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75" windowWidth="11565" windowHeight="15945"/>
  </bookViews>
  <sheets>
    <sheet name="About" sheetId="19" r:id="rId1"/>
    <sheet name="NCIt GENC data" sheetId="10" r:id="rId2"/>
    <sheet name="ISO-3166" sheetId="6" r:id="rId3"/>
    <sheet name="Country Comparison" sheetId="9" r:id="rId4"/>
    <sheet name="Original GENC AS" sheetId="12" r:id="rId5"/>
    <sheet name="ISO 3166-2 NCImeta" sheetId="17" r:id="rId6"/>
    <sheet name="AS Comparison" sheetId="15" r:id="rId7"/>
  </sheets>
  <definedNames>
    <definedName name="_xlnm._FilterDatabase" localSheetId="6" hidden="1">'AS Comparison'!$A$2:$N$6025</definedName>
    <definedName name="_xlnm._FilterDatabase" localSheetId="3" hidden="1">'Country Comparison'!$A$2:$M$2</definedName>
    <definedName name="_xlnm._FilterDatabase" localSheetId="5" hidden="1">'ISO 3166-2 NCImeta'!$A$1:$E$1</definedName>
    <definedName name="_xlnm._FilterDatabase" localSheetId="2" hidden="1">'ISO-3166'!$A$1:$D$1</definedName>
    <definedName name="_xlnm._FilterDatabase" localSheetId="1" hidden="1">'NCIt GENC data'!$A$1:$H$1</definedName>
    <definedName name="_xlnm._FilterDatabase" localSheetId="4" hidden="1">'Original GENC AS'!$A$1:$G$1</definedName>
    <definedName name="v2.CountryCodes" localSheetId="3">'Country Comparison'!$I$3:$L$286</definedName>
    <definedName name="v2.CountryCodes" localSheetId="2">'ISO-3166'!$A$2:$C$251</definedName>
  </definedNames>
  <calcPr calcId="145621"/>
</workbook>
</file>

<file path=xl/calcChain.xml><?xml version="1.0" encoding="utf-8"?>
<calcChain xmlns="http://schemas.openxmlformats.org/spreadsheetml/2006/main">
  <c r="F3" i="15" l="1"/>
  <c r="G5206" i="12" l="1"/>
  <c r="F5206" i="12"/>
  <c r="G5205" i="12"/>
  <c r="F5205" i="12"/>
  <c r="G5204" i="12"/>
  <c r="F5204" i="12"/>
  <c r="G5203" i="12"/>
  <c r="F5203" i="12"/>
  <c r="G5202" i="12"/>
  <c r="F5202" i="12"/>
  <c r="G5201" i="12"/>
  <c r="F5201" i="12"/>
  <c r="G5200" i="12"/>
  <c r="F5200" i="12"/>
  <c r="G5199" i="12"/>
  <c r="F5199" i="12"/>
  <c r="G5198" i="12"/>
  <c r="F5198" i="12"/>
  <c r="G5197" i="12"/>
  <c r="F5197" i="12"/>
  <c r="A5197" i="12"/>
  <c r="G5196" i="12"/>
  <c r="F5196" i="12"/>
  <c r="G5195" i="12"/>
  <c r="F5195" i="12"/>
  <c r="G5194" i="12"/>
  <c r="F5194" i="12"/>
  <c r="G5193" i="12"/>
  <c r="F5193" i="12"/>
  <c r="G5192" i="12"/>
  <c r="F5192" i="12"/>
  <c r="G5191" i="12"/>
  <c r="F5191" i="12"/>
  <c r="G5190" i="12"/>
  <c r="F5190" i="12"/>
  <c r="G5189" i="12"/>
  <c r="F5189" i="12"/>
  <c r="G5188" i="12"/>
  <c r="F5188" i="12"/>
  <c r="G5187" i="12"/>
  <c r="F5187" i="12"/>
  <c r="A5187" i="12"/>
  <c r="G5186" i="12"/>
  <c r="F5186" i="12"/>
  <c r="G5185" i="12"/>
  <c r="F5185" i="12"/>
  <c r="G5184" i="12"/>
  <c r="F5184" i="12"/>
  <c r="G5183" i="12"/>
  <c r="F5183" i="12"/>
  <c r="G5182" i="12"/>
  <c r="F5182" i="12"/>
  <c r="G5181" i="12"/>
  <c r="F5181" i="12"/>
  <c r="G5180" i="12"/>
  <c r="F5180" i="12"/>
  <c r="G5179" i="12"/>
  <c r="F5179" i="12"/>
  <c r="G5178" i="12"/>
  <c r="F5178" i="12"/>
  <c r="G5177" i="12"/>
  <c r="F5177" i="12"/>
  <c r="G5176" i="12"/>
  <c r="F5176" i="12"/>
  <c r="G5175" i="12"/>
  <c r="F5175" i="12"/>
  <c r="G5174" i="12"/>
  <c r="F5174" i="12"/>
  <c r="G5173" i="12"/>
  <c r="F5173" i="12"/>
  <c r="G5172" i="12"/>
  <c r="F5172" i="12"/>
  <c r="G5171" i="12"/>
  <c r="F5171" i="12"/>
  <c r="G5170" i="12"/>
  <c r="F5170" i="12"/>
  <c r="G5169" i="12"/>
  <c r="F5169" i="12"/>
  <c r="G5168" i="12"/>
  <c r="F5168" i="12"/>
  <c r="G5167" i="12"/>
  <c r="F5167" i="12"/>
  <c r="G5166" i="12"/>
  <c r="F5166" i="12"/>
  <c r="G5165" i="12"/>
  <c r="F5165" i="12"/>
  <c r="A5165" i="12"/>
  <c r="G5164" i="12"/>
  <c r="F5164" i="12"/>
  <c r="G5163" i="12"/>
  <c r="F5163" i="12"/>
  <c r="G5162" i="12"/>
  <c r="F5162" i="12"/>
  <c r="G5161" i="12"/>
  <c r="F5161" i="12"/>
  <c r="G5160" i="12"/>
  <c r="F5160" i="12"/>
  <c r="G5159" i="12"/>
  <c r="F5159" i="12"/>
  <c r="G5158" i="12"/>
  <c r="F5158" i="12"/>
  <c r="G5157" i="12"/>
  <c r="F5157" i="12"/>
  <c r="G5156" i="12"/>
  <c r="F5156" i="12"/>
  <c r="G5155" i="12"/>
  <c r="F5155" i="12"/>
  <c r="G5154" i="12"/>
  <c r="F5154" i="12"/>
  <c r="G5153" i="12"/>
  <c r="F5153" i="12"/>
  <c r="G5152" i="12"/>
  <c r="F5152" i="12"/>
  <c r="G5151" i="12"/>
  <c r="F5151" i="12"/>
  <c r="G5150" i="12"/>
  <c r="F5150" i="12"/>
  <c r="G5149" i="12"/>
  <c r="F5149" i="12"/>
  <c r="G5148" i="12"/>
  <c r="F5148" i="12"/>
  <c r="G5147" i="12"/>
  <c r="F5147" i="12"/>
  <c r="G5146" i="12"/>
  <c r="F5146" i="12"/>
  <c r="G5145" i="12"/>
  <c r="F5145" i="12"/>
  <c r="G5144" i="12"/>
  <c r="F5144" i="12"/>
  <c r="G5143" i="12"/>
  <c r="F5143" i="12"/>
  <c r="G5142" i="12"/>
  <c r="F5142" i="12"/>
  <c r="G5141" i="12"/>
  <c r="F5141" i="12"/>
  <c r="G5140" i="12"/>
  <c r="F5140" i="12"/>
  <c r="G5139" i="12"/>
  <c r="F5139" i="12"/>
  <c r="G5138" i="12"/>
  <c r="F5138" i="12"/>
  <c r="G5137" i="12"/>
  <c r="F5137" i="12"/>
  <c r="G5136" i="12"/>
  <c r="F5136" i="12"/>
  <c r="G5135" i="12"/>
  <c r="F5135" i="12"/>
  <c r="G5134" i="12"/>
  <c r="F5134" i="12"/>
  <c r="G5133" i="12"/>
  <c r="F5133" i="12"/>
  <c r="G5132" i="12"/>
  <c r="F5132" i="12"/>
  <c r="G5131" i="12"/>
  <c r="F5131" i="12"/>
  <c r="G5130" i="12"/>
  <c r="F5130" i="12"/>
  <c r="G5129" i="12"/>
  <c r="F5129" i="12"/>
  <c r="G5128" i="12"/>
  <c r="F5128" i="12"/>
  <c r="G5127" i="12"/>
  <c r="F5127" i="12"/>
  <c r="G5126" i="12"/>
  <c r="F5126" i="12"/>
  <c r="G5125" i="12"/>
  <c r="F5125" i="12"/>
  <c r="G5124" i="12"/>
  <c r="F5124" i="12"/>
  <c r="G5123" i="12"/>
  <c r="F5123" i="12"/>
  <c r="G5122" i="12"/>
  <c r="F5122" i="12"/>
  <c r="G5121" i="12"/>
  <c r="F5121" i="12"/>
  <c r="G5120" i="12"/>
  <c r="F5120" i="12"/>
  <c r="G5119" i="12"/>
  <c r="F5119" i="12"/>
  <c r="G5118" i="12"/>
  <c r="F5118" i="12"/>
  <c r="G5117" i="12"/>
  <c r="F5117" i="12"/>
  <c r="G5116" i="12"/>
  <c r="F5116" i="12"/>
  <c r="G5115" i="12"/>
  <c r="F5115" i="12"/>
  <c r="G5114" i="12"/>
  <c r="F5114" i="12"/>
  <c r="G5113" i="12"/>
  <c r="F5113" i="12"/>
  <c r="G5112" i="12"/>
  <c r="F5112" i="12"/>
  <c r="G5111" i="12"/>
  <c r="F5111" i="12"/>
  <c r="G5110" i="12"/>
  <c r="F5110" i="12"/>
  <c r="G5109" i="12"/>
  <c r="F5109" i="12"/>
  <c r="G5108" i="12"/>
  <c r="F5108" i="12"/>
  <c r="G5107" i="12"/>
  <c r="F5107" i="12"/>
  <c r="G5106" i="12"/>
  <c r="F5106" i="12"/>
  <c r="G5105" i="12"/>
  <c r="F5105" i="12"/>
  <c r="G5104" i="12"/>
  <c r="F5104" i="12"/>
  <c r="G5103" i="12"/>
  <c r="F5103" i="12"/>
  <c r="G5102" i="12"/>
  <c r="F5102" i="12"/>
  <c r="A5102" i="12"/>
  <c r="G5101" i="12"/>
  <c r="F5101" i="12"/>
  <c r="G5100" i="12"/>
  <c r="F5100" i="12"/>
  <c r="G5099" i="12"/>
  <c r="F5099" i="12"/>
  <c r="G5098" i="12"/>
  <c r="F5098" i="12"/>
  <c r="G5097" i="12"/>
  <c r="F5097" i="12"/>
  <c r="G5096" i="12"/>
  <c r="F5096" i="12"/>
  <c r="G5095" i="12"/>
  <c r="F5095" i="12"/>
  <c r="G5094" i="12"/>
  <c r="F5094" i="12"/>
  <c r="G5093" i="12"/>
  <c r="F5093" i="12"/>
  <c r="G5092" i="12"/>
  <c r="F5092" i="12"/>
  <c r="G5091" i="12"/>
  <c r="F5091" i="12"/>
  <c r="G5090" i="12"/>
  <c r="F5090" i="12"/>
  <c r="G5089" i="12"/>
  <c r="F5089" i="12"/>
  <c r="G5088" i="12"/>
  <c r="F5088" i="12"/>
  <c r="G5087" i="12"/>
  <c r="F5087" i="12"/>
  <c r="G5086" i="12"/>
  <c r="F5086" i="12"/>
  <c r="G5085" i="12"/>
  <c r="F5085" i="12"/>
  <c r="G5084" i="12"/>
  <c r="F5084" i="12"/>
  <c r="G5083" i="12"/>
  <c r="F5083" i="12"/>
  <c r="G5082" i="12"/>
  <c r="F5082" i="12"/>
  <c r="G5081" i="12"/>
  <c r="F5081" i="12"/>
  <c r="G5080" i="12"/>
  <c r="F5080" i="12"/>
  <c r="G5079" i="12"/>
  <c r="F5079" i="12"/>
  <c r="G5078" i="12"/>
  <c r="F5078" i="12"/>
  <c r="G5077" i="12"/>
  <c r="F5077" i="12"/>
  <c r="A5077" i="12"/>
  <c r="G5076" i="12"/>
  <c r="F5076" i="12"/>
  <c r="G5075" i="12"/>
  <c r="F5075" i="12"/>
  <c r="G5074" i="12"/>
  <c r="F5074" i="12"/>
  <c r="G5073" i="12"/>
  <c r="F5073" i="12"/>
  <c r="G5072" i="12"/>
  <c r="F5072" i="12"/>
  <c r="G5071" i="12"/>
  <c r="F5071" i="12"/>
  <c r="A5071" i="12"/>
  <c r="G5070" i="12"/>
  <c r="F5070" i="12"/>
  <c r="G5069" i="12"/>
  <c r="F5069" i="12"/>
  <c r="G5068" i="12"/>
  <c r="F5068" i="12"/>
  <c r="G5067" i="12"/>
  <c r="F5067" i="12"/>
  <c r="G5066" i="12"/>
  <c r="F5066" i="12"/>
  <c r="G5065" i="12"/>
  <c r="F5065" i="12"/>
  <c r="G5064" i="12"/>
  <c r="F5064" i="12"/>
  <c r="G5063" i="12"/>
  <c r="F5063" i="12"/>
  <c r="G5062" i="12"/>
  <c r="F5062" i="12"/>
  <c r="G5061" i="12"/>
  <c r="F5061" i="12"/>
  <c r="G5060" i="12"/>
  <c r="F5060" i="12"/>
  <c r="G5059" i="12"/>
  <c r="F5059" i="12"/>
  <c r="G5058" i="12"/>
  <c r="F5058" i="12"/>
  <c r="G5057" i="12"/>
  <c r="F5057" i="12"/>
  <c r="A5057" i="12"/>
  <c r="G5056" i="12"/>
  <c r="F5056" i="12"/>
  <c r="G5055" i="12"/>
  <c r="F5055" i="12"/>
  <c r="G5054" i="12"/>
  <c r="F5054" i="12"/>
  <c r="G5053" i="12"/>
  <c r="F5053" i="12"/>
  <c r="G5052" i="12"/>
  <c r="F5052" i="12"/>
  <c r="G5051" i="12"/>
  <c r="F5051" i="12"/>
  <c r="G5050" i="12"/>
  <c r="F5050" i="12"/>
  <c r="G5049" i="12"/>
  <c r="F5049" i="12"/>
  <c r="G5048" i="12"/>
  <c r="F5048" i="12"/>
  <c r="G5047" i="12"/>
  <c r="F5047" i="12"/>
  <c r="G5046" i="12"/>
  <c r="F5046" i="12"/>
  <c r="G5045" i="12"/>
  <c r="F5045" i="12"/>
  <c r="G5044" i="12"/>
  <c r="F5044" i="12"/>
  <c r="G5043" i="12"/>
  <c r="F5043" i="12"/>
  <c r="G5042" i="12"/>
  <c r="F5042" i="12"/>
  <c r="G5041" i="12"/>
  <c r="F5041" i="12"/>
  <c r="G5040" i="12"/>
  <c r="F5040" i="12"/>
  <c r="G5039" i="12"/>
  <c r="F5039" i="12"/>
  <c r="G5038" i="12"/>
  <c r="F5038" i="12"/>
  <c r="A5038" i="12"/>
  <c r="G5037" i="12"/>
  <c r="F5037" i="12"/>
  <c r="G5036" i="12"/>
  <c r="F5036" i="12"/>
  <c r="G5035" i="12"/>
  <c r="F5035" i="12"/>
  <c r="G5034" i="12"/>
  <c r="F5034" i="12"/>
  <c r="G5033" i="12"/>
  <c r="F5033" i="12"/>
  <c r="G5032" i="12"/>
  <c r="F5032" i="12"/>
  <c r="G5031" i="12"/>
  <c r="F5031" i="12"/>
  <c r="G5030" i="12"/>
  <c r="F5030" i="12"/>
  <c r="G5029" i="12"/>
  <c r="F5029" i="12"/>
  <c r="G5028" i="12"/>
  <c r="F5028" i="12"/>
  <c r="G5027" i="12"/>
  <c r="F5027" i="12"/>
  <c r="G5026" i="12"/>
  <c r="F5026" i="12"/>
  <c r="G5025" i="12"/>
  <c r="F5025" i="12"/>
  <c r="G5024" i="12"/>
  <c r="F5024" i="12"/>
  <c r="G5023" i="12"/>
  <c r="F5023" i="12"/>
  <c r="G5022" i="12"/>
  <c r="F5022" i="12"/>
  <c r="G5021" i="12"/>
  <c r="F5021" i="12"/>
  <c r="G5020" i="12"/>
  <c r="F5020" i="12"/>
  <c r="G5019" i="12"/>
  <c r="F5019" i="12"/>
  <c r="G5018" i="12"/>
  <c r="F5018" i="12"/>
  <c r="G5017" i="12"/>
  <c r="F5017" i="12"/>
  <c r="G5016" i="12"/>
  <c r="F5016" i="12"/>
  <c r="G5015" i="12"/>
  <c r="F5015" i="12"/>
  <c r="G5014" i="12"/>
  <c r="F5014" i="12"/>
  <c r="G5013" i="12"/>
  <c r="F5013" i="12"/>
  <c r="G5012" i="12"/>
  <c r="F5012" i="12"/>
  <c r="G5011" i="12"/>
  <c r="F5011" i="12"/>
  <c r="G5010" i="12"/>
  <c r="F5010" i="12"/>
  <c r="G5009" i="12"/>
  <c r="F5009" i="12"/>
  <c r="G5008" i="12"/>
  <c r="F5008" i="12"/>
  <c r="G5007" i="12"/>
  <c r="F5007" i="12"/>
  <c r="G5006" i="12"/>
  <c r="F5006" i="12"/>
  <c r="G5005" i="12"/>
  <c r="F5005" i="12"/>
  <c r="G5004" i="12"/>
  <c r="F5004" i="12"/>
  <c r="G5003" i="12"/>
  <c r="F5003" i="12"/>
  <c r="G5002" i="12"/>
  <c r="F5002" i="12"/>
  <c r="G5001" i="12"/>
  <c r="F5001" i="12"/>
  <c r="G5000" i="12"/>
  <c r="F5000" i="12"/>
  <c r="G4999" i="12"/>
  <c r="F4999" i="12"/>
  <c r="G4998" i="12"/>
  <c r="F4998" i="12"/>
  <c r="G4997" i="12"/>
  <c r="F4997" i="12"/>
  <c r="G4996" i="12"/>
  <c r="F4996" i="12"/>
  <c r="G4995" i="12"/>
  <c r="F4995" i="12"/>
  <c r="G4994" i="12"/>
  <c r="F4994" i="12"/>
  <c r="G4993" i="12"/>
  <c r="F4993" i="12"/>
  <c r="G4992" i="12"/>
  <c r="F4992" i="12"/>
  <c r="G4991" i="12"/>
  <c r="F4991" i="12"/>
  <c r="G4990" i="12"/>
  <c r="F4990" i="12"/>
  <c r="G4989" i="12"/>
  <c r="F4989" i="12"/>
  <c r="G4988" i="12"/>
  <c r="F4988" i="12"/>
  <c r="G4987" i="12"/>
  <c r="F4987" i="12"/>
  <c r="A4987" i="12"/>
  <c r="G4986" i="12"/>
  <c r="F4986" i="12"/>
  <c r="G4985" i="12"/>
  <c r="F4985" i="12"/>
  <c r="G4984" i="12"/>
  <c r="F4984" i="12"/>
  <c r="G4983" i="12"/>
  <c r="F4983" i="12"/>
  <c r="G4982" i="12"/>
  <c r="F4982" i="12"/>
  <c r="G4981" i="12"/>
  <c r="F4981" i="12"/>
  <c r="G4980" i="12"/>
  <c r="F4980" i="12"/>
  <c r="G4979" i="12"/>
  <c r="F4979" i="12"/>
  <c r="G4978" i="12"/>
  <c r="F4978" i="12"/>
  <c r="G4977" i="12"/>
  <c r="F4977" i="12"/>
  <c r="G4976" i="12"/>
  <c r="F4976" i="12"/>
  <c r="G4975" i="12"/>
  <c r="F4975" i="12"/>
  <c r="G4974" i="12"/>
  <c r="F4974" i="12"/>
  <c r="G4973" i="12"/>
  <c r="F4973" i="12"/>
  <c r="G4972" i="12"/>
  <c r="F4972" i="12"/>
  <c r="G4971" i="12"/>
  <c r="F4971" i="12"/>
  <c r="G4970" i="12"/>
  <c r="F4970" i="12"/>
  <c r="G4969" i="12"/>
  <c r="F4969" i="12"/>
  <c r="G4968" i="12"/>
  <c r="F4968" i="12"/>
  <c r="G4967" i="12"/>
  <c r="F4967" i="12"/>
  <c r="G4966" i="12"/>
  <c r="F4966" i="12"/>
  <c r="G4965" i="12"/>
  <c r="F4965" i="12"/>
  <c r="G4964" i="12"/>
  <c r="F4964" i="12"/>
  <c r="G4963" i="12"/>
  <c r="F4963" i="12"/>
  <c r="G4962" i="12"/>
  <c r="F4962" i="12"/>
  <c r="G4961" i="12"/>
  <c r="F4961" i="12"/>
  <c r="G4960" i="12"/>
  <c r="F4960" i="12"/>
  <c r="G4959" i="12"/>
  <c r="F4959" i="12"/>
  <c r="G4958" i="12"/>
  <c r="F4958" i="12"/>
  <c r="G4957" i="12"/>
  <c r="F4957" i="12"/>
  <c r="G4956" i="12"/>
  <c r="F4956" i="12"/>
  <c r="G4955" i="12"/>
  <c r="F4955" i="12"/>
  <c r="G4954" i="12"/>
  <c r="F4954" i="12"/>
  <c r="G4953" i="12"/>
  <c r="F4953" i="12"/>
  <c r="G4952" i="12"/>
  <c r="F4952" i="12"/>
  <c r="G4951" i="12"/>
  <c r="F4951" i="12"/>
  <c r="G4950" i="12"/>
  <c r="F4950" i="12"/>
  <c r="G4949" i="12"/>
  <c r="F4949" i="12"/>
  <c r="G4948" i="12"/>
  <c r="F4948" i="12"/>
  <c r="G4947" i="12"/>
  <c r="F4947" i="12"/>
  <c r="G4946" i="12"/>
  <c r="F4946" i="12"/>
  <c r="G4945" i="12"/>
  <c r="F4945" i="12"/>
  <c r="G4944" i="12"/>
  <c r="F4944" i="12"/>
  <c r="G4943" i="12"/>
  <c r="F4943" i="12"/>
  <c r="G4942" i="12"/>
  <c r="F4942" i="12"/>
  <c r="G4941" i="12"/>
  <c r="F4941" i="12"/>
  <c r="G4940" i="12"/>
  <c r="F4940" i="12"/>
  <c r="G4939" i="12"/>
  <c r="F4939" i="12"/>
  <c r="G4938" i="12"/>
  <c r="F4938" i="12"/>
  <c r="G4937" i="12"/>
  <c r="F4937" i="12"/>
  <c r="G4936" i="12"/>
  <c r="F4936" i="12"/>
  <c r="G4935" i="12"/>
  <c r="F4935" i="12"/>
  <c r="G4934" i="12"/>
  <c r="F4934" i="12"/>
  <c r="G4933" i="12"/>
  <c r="F4933" i="12"/>
  <c r="G4932" i="12"/>
  <c r="F4932" i="12"/>
  <c r="G4931" i="12"/>
  <c r="F4931" i="12"/>
  <c r="G4930" i="12"/>
  <c r="F4930" i="12"/>
  <c r="G4929" i="12"/>
  <c r="F4929" i="12"/>
  <c r="G4928" i="12"/>
  <c r="F4928" i="12"/>
  <c r="G4927" i="12"/>
  <c r="F4927" i="12"/>
  <c r="G4926" i="12"/>
  <c r="F4926" i="12"/>
  <c r="G4925" i="12"/>
  <c r="F4925" i="12"/>
  <c r="G4924" i="12"/>
  <c r="F4924" i="12"/>
  <c r="G4923" i="12"/>
  <c r="F4923" i="12"/>
  <c r="G4922" i="12"/>
  <c r="F4922" i="12"/>
  <c r="G4921" i="12"/>
  <c r="F4921" i="12"/>
  <c r="G4920" i="12"/>
  <c r="F4920" i="12"/>
  <c r="G4919" i="12"/>
  <c r="F4919" i="12"/>
  <c r="G4918" i="12"/>
  <c r="F4918" i="12"/>
  <c r="G4917" i="12"/>
  <c r="F4917" i="12"/>
  <c r="G4916" i="12"/>
  <c r="F4916" i="12"/>
  <c r="G4915" i="12"/>
  <c r="F4915" i="12"/>
  <c r="G4914" i="12"/>
  <c r="F4914" i="12"/>
  <c r="G4913" i="12"/>
  <c r="F4913" i="12"/>
  <c r="G4912" i="12"/>
  <c r="F4912" i="12"/>
  <c r="G4911" i="12"/>
  <c r="F4911" i="12"/>
  <c r="G4910" i="12"/>
  <c r="F4910" i="12"/>
  <c r="G4909" i="12"/>
  <c r="F4909" i="12"/>
  <c r="G4908" i="12"/>
  <c r="F4908" i="12"/>
  <c r="G4907" i="12"/>
  <c r="F4907" i="12"/>
  <c r="G4906" i="12"/>
  <c r="F4906" i="12"/>
  <c r="G4905" i="12"/>
  <c r="F4905" i="12"/>
  <c r="G4904" i="12"/>
  <c r="F4904" i="12"/>
  <c r="G4903" i="12"/>
  <c r="F4903" i="12"/>
  <c r="G4902" i="12"/>
  <c r="F4902" i="12"/>
  <c r="G4901" i="12"/>
  <c r="F4901" i="12"/>
  <c r="G4900" i="12"/>
  <c r="F4900" i="12"/>
  <c r="G4899" i="12"/>
  <c r="F4899" i="12"/>
  <c r="G4898" i="12"/>
  <c r="F4898" i="12"/>
  <c r="G4897" i="12"/>
  <c r="F4897" i="12"/>
  <c r="G4896" i="12"/>
  <c r="F4896" i="12"/>
  <c r="G4895" i="12"/>
  <c r="F4895" i="12"/>
  <c r="G4894" i="12"/>
  <c r="F4894" i="12"/>
  <c r="G4893" i="12"/>
  <c r="F4893" i="12"/>
  <c r="G4892" i="12"/>
  <c r="F4892" i="12"/>
  <c r="G4891" i="12"/>
  <c r="F4891" i="12"/>
  <c r="G4890" i="12"/>
  <c r="F4890" i="12"/>
  <c r="G4889" i="12"/>
  <c r="F4889" i="12"/>
  <c r="G4888" i="12"/>
  <c r="F4888" i="12"/>
  <c r="G4887" i="12"/>
  <c r="F4887" i="12"/>
  <c r="G4886" i="12"/>
  <c r="F4886" i="12"/>
  <c r="G4885" i="12"/>
  <c r="F4885" i="12"/>
  <c r="G4884" i="12"/>
  <c r="F4884" i="12"/>
  <c r="G4883" i="12"/>
  <c r="F4883" i="12"/>
  <c r="G4882" i="12"/>
  <c r="F4882" i="12"/>
  <c r="G4881" i="12"/>
  <c r="F4881" i="12"/>
  <c r="G4880" i="12"/>
  <c r="F4880" i="12"/>
  <c r="G4879" i="12"/>
  <c r="F4879" i="12"/>
  <c r="G4878" i="12"/>
  <c r="F4878" i="12"/>
  <c r="G4877" i="12"/>
  <c r="F4877" i="12"/>
  <c r="G4876" i="12"/>
  <c r="F4876" i="12"/>
  <c r="G4875" i="12"/>
  <c r="F4875" i="12"/>
  <c r="G4874" i="12"/>
  <c r="F4874" i="12"/>
  <c r="G4873" i="12"/>
  <c r="F4873" i="12"/>
  <c r="G4872" i="12"/>
  <c r="F4872" i="12"/>
  <c r="G4871" i="12"/>
  <c r="F4871" i="12"/>
  <c r="G4870" i="12"/>
  <c r="F4870" i="12"/>
  <c r="G4869" i="12"/>
  <c r="F4869" i="12"/>
  <c r="G4868" i="12"/>
  <c r="F4868" i="12"/>
  <c r="G4867" i="12"/>
  <c r="F4867" i="12"/>
  <c r="G4866" i="12"/>
  <c r="F4866" i="12"/>
  <c r="G4865" i="12"/>
  <c r="F4865" i="12"/>
  <c r="G4864" i="12"/>
  <c r="F4864" i="12"/>
  <c r="G4863" i="12"/>
  <c r="F4863" i="12"/>
  <c r="G4862" i="12"/>
  <c r="F4862" i="12"/>
  <c r="G4861" i="12"/>
  <c r="F4861" i="12"/>
  <c r="G4860" i="12"/>
  <c r="F4860" i="12"/>
  <c r="G4859" i="12"/>
  <c r="F4859" i="12"/>
  <c r="G4858" i="12"/>
  <c r="F4858" i="12"/>
  <c r="G4857" i="12"/>
  <c r="F4857" i="12"/>
  <c r="G4856" i="12"/>
  <c r="F4856" i="12"/>
  <c r="G4855" i="12"/>
  <c r="F4855" i="12"/>
  <c r="G4854" i="12"/>
  <c r="F4854" i="12"/>
  <c r="G4853" i="12"/>
  <c r="F4853" i="12"/>
  <c r="G4852" i="12"/>
  <c r="F4852" i="12"/>
  <c r="G4851" i="12"/>
  <c r="F4851" i="12"/>
  <c r="G4850" i="12"/>
  <c r="F4850" i="12"/>
  <c r="G4849" i="12"/>
  <c r="F4849" i="12"/>
  <c r="G4848" i="12"/>
  <c r="F4848" i="12"/>
  <c r="G4847" i="12"/>
  <c r="F4847" i="12"/>
  <c r="G4846" i="12"/>
  <c r="F4846" i="12"/>
  <c r="G4845" i="12"/>
  <c r="F4845" i="12"/>
  <c r="G4844" i="12"/>
  <c r="F4844" i="12"/>
  <c r="G4843" i="12"/>
  <c r="F4843" i="12"/>
  <c r="G4842" i="12"/>
  <c r="F4842" i="12"/>
  <c r="G4841" i="12"/>
  <c r="F4841" i="12"/>
  <c r="G4840" i="12"/>
  <c r="F4840" i="12"/>
  <c r="G4839" i="12"/>
  <c r="F4839" i="12"/>
  <c r="G4838" i="12"/>
  <c r="F4838" i="12"/>
  <c r="G4837" i="12"/>
  <c r="F4837" i="12"/>
  <c r="G4836" i="12"/>
  <c r="F4836" i="12"/>
  <c r="G4835" i="12"/>
  <c r="F4835" i="12"/>
  <c r="G4834" i="12"/>
  <c r="F4834" i="12"/>
  <c r="G4833" i="12"/>
  <c r="F4833" i="12"/>
  <c r="G4832" i="12"/>
  <c r="F4832" i="12"/>
  <c r="G4831" i="12"/>
  <c r="F4831" i="12"/>
  <c r="G4830" i="12"/>
  <c r="F4830" i="12"/>
  <c r="G4829" i="12"/>
  <c r="F4829" i="12"/>
  <c r="G4828" i="12"/>
  <c r="F4828" i="12"/>
  <c r="G4827" i="12"/>
  <c r="F4827" i="12"/>
  <c r="G4826" i="12"/>
  <c r="F4826" i="12"/>
  <c r="G4825" i="12"/>
  <c r="F4825" i="12"/>
  <c r="G4824" i="12"/>
  <c r="F4824" i="12"/>
  <c r="G4823" i="12"/>
  <c r="F4823" i="12"/>
  <c r="G4822" i="12"/>
  <c r="F4822" i="12"/>
  <c r="G4821" i="12"/>
  <c r="F4821" i="12"/>
  <c r="G4820" i="12"/>
  <c r="F4820" i="12"/>
  <c r="G4819" i="12"/>
  <c r="F4819" i="12"/>
  <c r="G4818" i="12"/>
  <c r="F4818" i="12"/>
  <c r="G4817" i="12"/>
  <c r="F4817" i="12"/>
  <c r="G4816" i="12"/>
  <c r="F4816" i="12"/>
  <c r="G4815" i="12"/>
  <c r="F4815" i="12"/>
  <c r="G4814" i="12"/>
  <c r="F4814" i="12"/>
  <c r="G4813" i="12"/>
  <c r="F4813" i="12"/>
  <c r="G4812" i="12"/>
  <c r="F4812" i="12"/>
  <c r="G4811" i="12"/>
  <c r="F4811" i="12"/>
  <c r="G4810" i="12"/>
  <c r="F4810" i="12"/>
  <c r="G4809" i="12"/>
  <c r="F4809" i="12"/>
  <c r="G4808" i="12"/>
  <c r="F4808" i="12"/>
  <c r="G4807" i="12"/>
  <c r="F4807" i="12"/>
  <c r="G4806" i="12"/>
  <c r="F4806" i="12"/>
  <c r="G4805" i="12"/>
  <c r="F4805" i="12"/>
  <c r="G4804" i="12"/>
  <c r="F4804" i="12"/>
  <c r="G4803" i="12"/>
  <c r="F4803" i="12"/>
  <c r="G4802" i="12"/>
  <c r="F4802" i="12"/>
  <c r="G4801" i="12"/>
  <c r="F4801" i="12"/>
  <c r="G4800" i="12"/>
  <c r="F4800" i="12"/>
  <c r="G4799" i="12"/>
  <c r="F4799" i="12"/>
  <c r="G4798" i="12"/>
  <c r="F4798" i="12"/>
  <c r="G4797" i="12"/>
  <c r="F4797" i="12"/>
  <c r="G4796" i="12"/>
  <c r="F4796" i="12"/>
  <c r="G4795" i="12"/>
  <c r="F4795" i="12"/>
  <c r="G4794" i="12"/>
  <c r="F4794" i="12"/>
  <c r="G4793" i="12"/>
  <c r="F4793" i="12"/>
  <c r="G4792" i="12"/>
  <c r="F4792" i="12"/>
  <c r="G4791" i="12"/>
  <c r="F4791" i="12"/>
  <c r="G4790" i="12"/>
  <c r="F4790" i="12"/>
  <c r="G4789" i="12"/>
  <c r="F4789" i="12"/>
  <c r="G4788" i="12"/>
  <c r="F4788" i="12"/>
  <c r="G4787" i="12"/>
  <c r="F4787" i="12"/>
  <c r="G4786" i="12"/>
  <c r="F4786" i="12"/>
  <c r="G4785" i="12"/>
  <c r="F4785" i="12"/>
  <c r="G4784" i="12"/>
  <c r="F4784" i="12"/>
  <c r="G4783" i="12"/>
  <c r="F4783" i="12"/>
  <c r="G4782" i="12"/>
  <c r="F4782" i="12"/>
  <c r="G4781" i="12"/>
  <c r="F4781" i="12"/>
  <c r="G4780" i="12"/>
  <c r="F4780" i="12"/>
  <c r="G4779" i="12"/>
  <c r="F4779" i="12"/>
  <c r="G4778" i="12"/>
  <c r="F4778" i="12"/>
  <c r="G4777" i="12"/>
  <c r="F4777" i="12"/>
  <c r="G4776" i="12"/>
  <c r="F4776" i="12"/>
  <c r="G4775" i="12"/>
  <c r="F4775" i="12"/>
  <c r="G4774" i="12"/>
  <c r="F4774" i="12"/>
  <c r="G4773" i="12"/>
  <c r="F4773" i="12"/>
  <c r="G4772" i="12"/>
  <c r="F4772" i="12"/>
  <c r="G4771" i="12"/>
  <c r="F4771" i="12"/>
  <c r="G4770" i="12"/>
  <c r="F4770" i="12"/>
  <c r="G4769" i="12"/>
  <c r="F4769" i="12"/>
  <c r="G4768" i="12"/>
  <c r="F4768" i="12"/>
  <c r="G4767" i="12"/>
  <c r="F4767" i="12"/>
  <c r="G4766" i="12"/>
  <c r="F4766" i="12"/>
  <c r="G4765" i="12"/>
  <c r="F4765" i="12"/>
  <c r="G4764" i="12"/>
  <c r="F4764" i="12"/>
  <c r="G4763" i="12"/>
  <c r="F4763" i="12"/>
  <c r="G4762" i="12"/>
  <c r="F4762" i="12"/>
  <c r="G4761" i="12"/>
  <c r="F4761" i="12"/>
  <c r="G4760" i="12"/>
  <c r="F4760" i="12"/>
  <c r="G4759" i="12"/>
  <c r="F4759" i="12"/>
  <c r="G4758" i="12"/>
  <c r="F4758" i="12"/>
  <c r="G4757" i="12"/>
  <c r="F4757" i="12"/>
  <c r="G4756" i="12"/>
  <c r="F4756" i="12"/>
  <c r="G4755" i="12"/>
  <c r="F4755" i="12"/>
  <c r="G4754" i="12"/>
  <c r="F4754" i="12"/>
  <c r="G4753" i="12"/>
  <c r="F4753" i="12"/>
  <c r="G4752" i="12"/>
  <c r="F4752" i="12"/>
  <c r="G4751" i="12"/>
  <c r="F4751" i="12"/>
  <c r="A4751" i="12"/>
  <c r="G4750" i="12"/>
  <c r="F4750" i="12"/>
  <c r="G4749" i="12"/>
  <c r="F4749" i="12"/>
  <c r="G4748" i="12"/>
  <c r="F4748" i="12"/>
  <c r="G4747" i="12"/>
  <c r="F4747" i="12"/>
  <c r="G4746" i="12"/>
  <c r="F4746" i="12"/>
  <c r="G4745" i="12"/>
  <c r="F4745" i="12"/>
  <c r="G4744" i="12"/>
  <c r="F4744" i="12"/>
  <c r="A4744" i="12"/>
  <c r="G4743" i="12"/>
  <c r="F4743" i="12"/>
  <c r="G4742" i="12"/>
  <c r="F4742" i="12"/>
  <c r="G4741" i="12"/>
  <c r="F4741" i="12"/>
  <c r="G4740" i="12"/>
  <c r="F4740" i="12"/>
  <c r="G4739" i="12"/>
  <c r="F4739" i="12"/>
  <c r="G4738" i="12"/>
  <c r="F4738" i="12"/>
  <c r="G4737" i="12"/>
  <c r="F4737" i="12"/>
  <c r="G4736" i="12"/>
  <c r="F4736" i="12"/>
  <c r="G4735" i="12"/>
  <c r="F4735" i="12"/>
  <c r="G4734" i="12"/>
  <c r="F4734" i="12"/>
  <c r="G4733" i="12"/>
  <c r="F4733" i="12"/>
  <c r="G4732" i="12"/>
  <c r="F4732" i="12"/>
  <c r="G4731" i="12"/>
  <c r="F4731" i="12"/>
  <c r="G4730" i="12"/>
  <c r="F4730" i="12"/>
  <c r="G4729" i="12"/>
  <c r="F4729" i="12"/>
  <c r="G4728" i="12"/>
  <c r="F4728" i="12"/>
  <c r="G4727" i="12"/>
  <c r="F4727" i="12"/>
  <c r="G4726" i="12"/>
  <c r="F4726" i="12"/>
  <c r="G4725" i="12"/>
  <c r="F4725" i="12"/>
  <c r="G4724" i="12"/>
  <c r="F4724" i="12"/>
  <c r="G4723" i="12"/>
  <c r="F4723" i="12"/>
  <c r="G4722" i="12"/>
  <c r="F4722" i="12"/>
  <c r="G4721" i="12"/>
  <c r="F4721" i="12"/>
  <c r="G4720" i="12"/>
  <c r="F4720" i="12"/>
  <c r="G4719" i="12"/>
  <c r="F4719" i="12"/>
  <c r="G4718" i="12"/>
  <c r="F4718" i="12"/>
  <c r="G4717" i="12"/>
  <c r="F4717" i="12"/>
  <c r="A4717" i="12"/>
  <c r="G4716" i="12"/>
  <c r="F4716" i="12"/>
  <c r="G4715" i="12"/>
  <c r="F4715" i="12"/>
  <c r="G4714" i="12"/>
  <c r="F4714" i="12"/>
  <c r="G4713" i="12"/>
  <c r="F4713" i="12"/>
  <c r="G4712" i="12"/>
  <c r="F4712" i="12"/>
  <c r="G4711" i="12"/>
  <c r="F4711" i="12"/>
  <c r="G4710" i="12"/>
  <c r="F4710" i="12"/>
  <c r="G4709" i="12"/>
  <c r="F4709" i="12"/>
  <c r="G4708" i="12"/>
  <c r="F4708" i="12"/>
  <c r="G4707" i="12"/>
  <c r="F4707" i="12"/>
  <c r="G4706" i="12"/>
  <c r="F4706" i="12"/>
  <c r="G4705" i="12"/>
  <c r="F4705" i="12"/>
  <c r="G4704" i="12"/>
  <c r="F4704" i="12"/>
  <c r="G4703" i="12"/>
  <c r="F4703" i="12"/>
  <c r="G4702" i="12"/>
  <c r="F4702" i="12"/>
  <c r="G4701" i="12"/>
  <c r="F4701" i="12"/>
  <c r="G4700" i="12"/>
  <c r="F4700" i="12"/>
  <c r="G4699" i="12"/>
  <c r="F4699" i="12"/>
  <c r="G4698" i="12"/>
  <c r="F4698" i="12"/>
  <c r="G4697" i="12"/>
  <c r="F4697" i="12"/>
  <c r="G4696" i="12"/>
  <c r="F4696" i="12"/>
  <c r="G4695" i="12"/>
  <c r="F4695" i="12"/>
  <c r="G4694" i="12"/>
  <c r="F4694" i="12"/>
  <c r="G4693" i="12"/>
  <c r="F4693" i="12"/>
  <c r="G4692" i="12"/>
  <c r="F4692" i="12"/>
  <c r="G4691" i="12"/>
  <c r="F4691" i="12"/>
  <c r="G4690" i="12"/>
  <c r="F4690" i="12"/>
  <c r="G4689" i="12"/>
  <c r="F4689" i="12"/>
  <c r="G4688" i="12"/>
  <c r="F4688" i="12"/>
  <c r="G4687" i="12"/>
  <c r="F4687" i="12"/>
  <c r="G4686" i="12"/>
  <c r="F4686" i="12"/>
  <c r="G4685" i="12"/>
  <c r="F4685" i="12"/>
  <c r="G4684" i="12"/>
  <c r="F4684" i="12"/>
  <c r="G4683" i="12"/>
  <c r="F4683" i="12"/>
  <c r="G4682" i="12"/>
  <c r="F4682" i="12"/>
  <c r="G4681" i="12"/>
  <c r="F4681" i="12"/>
  <c r="G4680" i="12"/>
  <c r="F4680" i="12"/>
  <c r="G4679" i="12"/>
  <c r="F4679" i="12"/>
  <c r="G4678" i="12"/>
  <c r="F4678" i="12"/>
  <c r="G4677" i="12"/>
  <c r="F4677" i="12"/>
  <c r="G4676" i="12"/>
  <c r="F4676" i="12"/>
  <c r="G4675" i="12"/>
  <c r="F4675" i="12"/>
  <c r="G4674" i="12"/>
  <c r="F4674" i="12"/>
  <c r="G4673" i="12"/>
  <c r="F4673" i="12"/>
  <c r="G4672" i="12"/>
  <c r="F4672" i="12"/>
  <c r="G4671" i="12"/>
  <c r="F4671" i="12"/>
  <c r="G4670" i="12"/>
  <c r="F4670" i="12"/>
  <c r="G4669" i="12"/>
  <c r="F4669" i="12"/>
  <c r="G4668" i="12"/>
  <c r="F4668" i="12"/>
  <c r="G4667" i="12"/>
  <c r="F4667" i="12"/>
  <c r="G4666" i="12"/>
  <c r="F4666" i="12"/>
  <c r="G4665" i="12"/>
  <c r="F4665" i="12"/>
  <c r="G4664" i="12"/>
  <c r="F4664" i="12"/>
  <c r="G4663" i="12"/>
  <c r="F4663" i="12"/>
  <c r="G4662" i="12"/>
  <c r="F4662" i="12"/>
  <c r="G4661" i="12"/>
  <c r="F4661" i="12"/>
  <c r="G4660" i="12"/>
  <c r="F4660" i="12"/>
  <c r="G4659" i="12"/>
  <c r="F4659" i="12"/>
  <c r="G4658" i="12"/>
  <c r="F4658" i="12"/>
  <c r="G4657" i="12"/>
  <c r="F4657" i="12"/>
  <c r="G4656" i="12"/>
  <c r="F4656" i="12"/>
  <c r="G4655" i="12"/>
  <c r="F4655" i="12"/>
  <c r="G4654" i="12"/>
  <c r="F4654" i="12"/>
  <c r="G4653" i="12"/>
  <c r="F4653" i="12"/>
  <c r="G4652" i="12"/>
  <c r="F4652" i="12"/>
  <c r="G4651" i="12"/>
  <c r="F4651" i="12"/>
  <c r="G4650" i="12"/>
  <c r="F4650" i="12"/>
  <c r="G4649" i="12"/>
  <c r="F4649" i="12"/>
  <c r="G4648" i="12"/>
  <c r="F4648" i="12"/>
  <c r="G4647" i="12"/>
  <c r="F4647" i="12"/>
  <c r="G4646" i="12"/>
  <c r="F4646" i="12"/>
  <c r="G4645" i="12"/>
  <c r="F4645" i="12"/>
  <c r="G4644" i="12"/>
  <c r="F4644" i="12"/>
  <c r="G4643" i="12"/>
  <c r="F4643" i="12"/>
  <c r="G4642" i="12"/>
  <c r="F4642" i="12"/>
  <c r="G4641" i="12"/>
  <c r="F4641" i="12"/>
  <c r="G4640" i="12"/>
  <c r="F4640" i="12"/>
  <c r="G4639" i="12"/>
  <c r="F4639" i="12"/>
  <c r="G4638" i="12"/>
  <c r="F4638" i="12"/>
  <c r="G4637" i="12"/>
  <c r="F4637" i="12"/>
  <c r="G4636" i="12"/>
  <c r="F4636" i="12"/>
  <c r="G4635" i="12"/>
  <c r="F4635" i="12"/>
  <c r="G4634" i="12"/>
  <c r="F4634" i="12"/>
  <c r="G4633" i="12"/>
  <c r="F4633" i="12"/>
  <c r="G4632" i="12"/>
  <c r="F4632" i="12"/>
  <c r="G4631" i="12"/>
  <c r="F4631" i="12"/>
  <c r="G4630" i="12"/>
  <c r="F4630" i="12"/>
  <c r="G4629" i="12"/>
  <c r="F4629" i="12"/>
  <c r="G4628" i="12"/>
  <c r="F4628" i="12"/>
  <c r="G4627" i="12"/>
  <c r="F4627" i="12"/>
  <c r="G4626" i="12"/>
  <c r="F4626" i="12"/>
  <c r="G4625" i="12"/>
  <c r="F4625" i="12"/>
  <c r="G4624" i="12"/>
  <c r="F4624" i="12"/>
  <c r="G4623" i="12"/>
  <c r="F4623" i="12"/>
  <c r="G4622" i="12"/>
  <c r="F4622" i="12"/>
  <c r="G4621" i="12"/>
  <c r="F4621" i="12"/>
  <c r="G4620" i="12"/>
  <c r="F4620" i="12"/>
  <c r="G4619" i="12"/>
  <c r="F4619" i="12"/>
  <c r="G4618" i="12"/>
  <c r="F4618" i="12"/>
  <c r="G4617" i="12"/>
  <c r="F4617" i="12"/>
  <c r="G4616" i="12"/>
  <c r="F4616" i="12"/>
  <c r="G4615" i="12"/>
  <c r="F4615" i="12"/>
  <c r="G4614" i="12"/>
  <c r="F4614" i="12"/>
  <c r="G4613" i="12"/>
  <c r="F4613" i="12"/>
  <c r="G4612" i="12"/>
  <c r="F4612" i="12"/>
  <c r="G4611" i="12"/>
  <c r="F4611" i="12"/>
  <c r="G4610" i="12"/>
  <c r="F4610" i="12"/>
  <c r="G4609" i="12"/>
  <c r="F4609" i="12"/>
  <c r="G4608" i="12"/>
  <c r="F4608" i="12"/>
  <c r="G4607" i="12"/>
  <c r="F4607" i="12"/>
  <c r="G4606" i="12"/>
  <c r="F4606" i="12"/>
  <c r="G4605" i="12"/>
  <c r="F4605" i="12"/>
  <c r="G4604" i="12"/>
  <c r="F4604" i="12"/>
  <c r="G4603" i="12"/>
  <c r="F4603" i="12"/>
  <c r="G4602" i="12"/>
  <c r="F4602" i="12"/>
  <c r="G4601" i="12"/>
  <c r="F4601" i="12"/>
  <c r="A4601" i="12"/>
  <c r="G4600" i="12"/>
  <c r="F4600" i="12"/>
  <c r="G4599" i="12"/>
  <c r="F4599" i="12"/>
  <c r="G4598" i="12"/>
  <c r="F4598" i="12"/>
  <c r="G4597" i="12"/>
  <c r="F4597" i="12"/>
  <c r="G4596" i="12"/>
  <c r="F4596" i="12"/>
  <c r="G4595" i="12"/>
  <c r="F4595" i="12"/>
  <c r="G4594" i="12"/>
  <c r="F4594" i="12"/>
  <c r="G4593" i="12"/>
  <c r="F4593" i="12"/>
  <c r="A4593" i="12"/>
  <c r="G4592" i="12"/>
  <c r="F4592" i="12"/>
  <c r="G4591" i="12"/>
  <c r="F4591" i="12"/>
  <c r="G4590" i="12"/>
  <c r="F4590" i="12"/>
  <c r="G4589" i="12"/>
  <c r="F4589" i="12"/>
  <c r="G4588" i="12"/>
  <c r="F4588" i="12"/>
  <c r="G4587" i="12"/>
  <c r="F4587" i="12"/>
  <c r="A4587" i="12"/>
  <c r="G4586" i="12"/>
  <c r="F4586" i="12"/>
  <c r="G4585" i="12"/>
  <c r="F4585" i="12"/>
  <c r="G4584" i="12"/>
  <c r="F4584" i="12"/>
  <c r="G4583" i="12"/>
  <c r="F4583" i="12"/>
  <c r="G4582" i="12"/>
  <c r="F4582" i="12"/>
  <c r="G4581" i="12"/>
  <c r="F4581" i="12"/>
  <c r="G4580" i="12"/>
  <c r="F4580" i="12"/>
  <c r="G4579" i="12"/>
  <c r="F4579" i="12"/>
  <c r="G4578" i="12"/>
  <c r="F4578" i="12"/>
  <c r="G4577" i="12"/>
  <c r="F4577" i="12"/>
  <c r="G4576" i="12"/>
  <c r="F4576" i="12"/>
  <c r="G4575" i="12"/>
  <c r="F4575" i="12"/>
  <c r="G4574" i="12"/>
  <c r="F4574" i="12"/>
  <c r="G4573" i="12"/>
  <c r="F4573" i="12"/>
  <c r="G4572" i="12"/>
  <c r="F4572" i="12"/>
  <c r="G4571" i="12"/>
  <c r="F4571" i="12"/>
  <c r="G4570" i="12"/>
  <c r="F4570" i="12"/>
  <c r="G4569" i="12"/>
  <c r="F4569" i="12"/>
  <c r="G4568" i="12"/>
  <c r="F4568" i="12"/>
  <c r="G4567" i="12"/>
  <c r="F4567" i="12"/>
  <c r="G4566" i="12"/>
  <c r="F4566" i="12"/>
  <c r="G4565" i="12"/>
  <c r="F4565" i="12"/>
  <c r="G4564" i="12"/>
  <c r="F4564" i="12"/>
  <c r="G4563" i="12"/>
  <c r="F4563" i="12"/>
  <c r="G4562" i="12"/>
  <c r="F4562" i="12"/>
  <c r="G4561" i="12"/>
  <c r="F4561" i="12"/>
  <c r="G4560" i="12"/>
  <c r="F4560" i="12"/>
  <c r="G4559" i="12"/>
  <c r="F4559" i="12"/>
  <c r="G4558" i="12"/>
  <c r="F4558" i="12"/>
  <c r="G4557" i="12"/>
  <c r="F4557" i="12"/>
  <c r="G4556" i="12"/>
  <c r="F4556" i="12"/>
  <c r="G4555" i="12"/>
  <c r="F4555" i="12"/>
  <c r="G4554" i="12"/>
  <c r="F4554" i="12"/>
  <c r="G4553" i="12"/>
  <c r="F4553" i="12"/>
  <c r="G4552" i="12"/>
  <c r="F4552" i="12"/>
  <c r="G4551" i="12"/>
  <c r="F4551" i="12"/>
  <c r="G4550" i="12"/>
  <c r="F4550" i="12"/>
  <c r="G4549" i="12"/>
  <c r="F4549" i="12"/>
  <c r="G4548" i="12"/>
  <c r="F4548" i="12"/>
  <c r="G4547" i="12"/>
  <c r="F4547" i="12"/>
  <c r="G4546" i="12"/>
  <c r="F4546" i="12"/>
  <c r="G4545" i="12"/>
  <c r="F4545" i="12"/>
  <c r="G4544" i="12"/>
  <c r="F4544" i="12"/>
  <c r="G4543" i="12"/>
  <c r="F4543" i="12"/>
  <c r="G4542" i="12"/>
  <c r="F4542" i="12"/>
  <c r="G4541" i="12"/>
  <c r="F4541" i="12"/>
  <c r="G4540" i="12"/>
  <c r="F4540" i="12"/>
  <c r="G4539" i="12"/>
  <c r="F4539" i="12"/>
  <c r="G4538" i="12"/>
  <c r="F4538" i="12"/>
  <c r="G4537" i="12"/>
  <c r="F4537" i="12"/>
  <c r="G4536" i="12"/>
  <c r="F4536" i="12"/>
  <c r="G4535" i="12"/>
  <c r="F4535" i="12"/>
  <c r="G4534" i="12"/>
  <c r="F4534" i="12"/>
  <c r="G4533" i="12"/>
  <c r="F4533" i="12"/>
  <c r="G4532" i="12"/>
  <c r="F4532" i="12"/>
  <c r="G4531" i="12"/>
  <c r="F4531" i="12"/>
  <c r="G4530" i="12"/>
  <c r="F4530" i="12"/>
  <c r="G4529" i="12"/>
  <c r="F4529" i="12"/>
  <c r="G4528" i="12"/>
  <c r="F4528" i="12"/>
  <c r="G4527" i="12"/>
  <c r="F4527" i="12"/>
  <c r="G4526" i="12"/>
  <c r="F4526" i="12"/>
  <c r="G4525" i="12"/>
  <c r="F4525" i="12"/>
  <c r="G4524" i="12"/>
  <c r="F4524" i="12"/>
  <c r="G4523" i="12"/>
  <c r="F4523" i="12"/>
  <c r="G4522" i="12"/>
  <c r="F4522" i="12"/>
  <c r="G4521" i="12"/>
  <c r="F4521" i="12"/>
  <c r="G4520" i="12"/>
  <c r="F4520" i="12"/>
  <c r="G4519" i="12"/>
  <c r="F4519" i="12"/>
  <c r="G4518" i="12"/>
  <c r="F4518" i="12"/>
  <c r="G4517" i="12"/>
  <c r="F4517" i="12"/>
  <c r="G4516" i="12"/>
  <c r="F4516" i="12"/>
  <c r="G4515" i="12"/>
  <c r="F4515" i="12"/>
  <c r="G4514" i="12"/>
  <c r="F4514" i="12"/>
  <c r="G4513" i="12"/>
  <c r="F4513" i="12"/>
  <c r="G4512" i="12"/>
  <c r="F4512" i="12"/>
  <c r="G4511" i="12"/>
  <c r="F4511" i="12"/>
  <c r="G4510" i="12"/>
  <c r="F4510" i="12"/>
  <c r="G4509" i="12"/>
  <c r="F4509" i="12"/>
  <c r="G4508" i="12"/>
  <c r="F4508" i="12"/>
  <c r="G4507" i="12"/>
  <c r="F4507" i="12"/>
  <c r="G4506" i="12"/>
  <c r="F4506" i="12"/>
  <c r="A4506" i="12"/>
  <c r="G4505" i="12"/>
  <c r="F4505" i="12"/>
  <c r="G4504" i="12"/>
  <c r="F4504" i="12"/>
  <c r="G4503" i="12"/>
  <c r="F4503" i="12"/>
  <c r="G4502" i="12"/>
  <c r="F4502" i="12"/>
  <c r="G4501" i="12"/>
  <c r="F4501" i="12"/>
  <c r="G4500" i="12"/>
  <c r="F4500" i="12"/>
  <c r="G4499" i="12"/>
  <c r="F4499" i="12"/>
  <c r="G4498" i="12"/>
  <c r="F4498" i="12"/>
  <c r="G4497" i="12"/>
  <c r="F4497" i="12"/>
  <c r="G4496" i="12"/>
  <c r="F4496" i="12"/>
  <c r="G4495" i="12"/>
  <c r="F4495" i="12"/>
  <c r="G4494" i="12"/>
  <c r="F4494" i="12"/>
  <c r="G4493" i="12"/>
  <c r="F4493" i="12"/>
  <c r="G4492" i="12"/>
  <c r="F4492" i="12"/>
  <c r="G4491" i="12"/>
  <c r="F4491" i="12"/>
  <c r="G4490" i="12"/>
  <c r="F4490" i="12"/>
  <c r="G4489" i="12"/>
  <c r="F4489" i="12"/>
  <c r="G4488" i="12"/>
  <c r="F4488" i="12"/>
  <c r="G4487" i="12"/>
  <c r="F4487" i="12"/>
  <c r="G4486" i="12"/>
  <c r="F4486" i="12"/>
  <c r="G4485" i="12"/>
  <c r="F4485" i="12"/>
  <c r="G4484" i="12"/>
  <c r="F4484" i="12"/>
  <c r="G4483" i="12"/>
  <c r="F4483" i="12"/>
  <c r="G4482" i="12"/>
  <c r="F4482" i="12"/>
  <c r="A4482" i="12"/>
  <c r="G4481" i="12"/>
  <c r="F4481" i="12"/>
  <c r="G4480" i="12"/>
  <c r="F4480" i="12"/>
  <c r="G4479" i="12"/>
  <c r="F4479" i="12"/>
  <c r="G4478" i="12"/>
  <c r="F4478" i="12"/>
  <c r="G4477" i="12"/>
  <c r="F4477" i="12"/>
  <c r="G4476" i="12"/>
  <c r="F4476" i="12"/>
  <c r="G4475" i="12"/>
  <c r="F4475" i="12"/>
  <c r="G4474" i="12"/>
  <c r="F4474" i="12"/>
  <c r="G4473" i="12"/>
  <c r="F4473" i="12"/>
  <c r="G4472" i="12"/>
  <c r="F4472" i="12"/>
  <c r="G4471" i="12"/>
  <c r="F4471" i="12"/>
  <c r="G4470" i="12"/>
  <c r="F4470" i="12"/>
  <c r="G4469" i="12"/>
  <c r="F4469" i="12"/>
  <c r="G4468" i="12"/>
  <c r="F4468" i="12"/>
  <c r="G4467" i="12"/>
  <c r="F4467" i="12"/>
  <c r="A4467" i="12"/>
  <c r="G4466" i="12"/>
  <c r="F4466" i="12"/>
  <c r="G4465" i="12"/>
  <c r="F4465" i="12"/>
  <c r="G4464" i="12"/>
  <c r="F4464" i="12"/>
  <c r="G4463" i="12"/>
  <c r="F4463" i="12"/>
  <c r="G4462" i="12"/>
  <c r="F4462" i="12"/>
  <c r="A4462" i="12"/>
  <c r="G4461" i="12"/>
  <c r="F4461" i="12"/>
  <c r="G4460" i="12"/>
  <c r="F4460" i="12"/>
  <c r="G4459" i="12"/>
  <c r="F4459" i="12"/>
  <c r="G4458" i="12"/>
  <c r="F4458" i="12"/>
  <c r="G4457" i="12"/>
  <c r="F4457" i="12"/>
  <c r="A4457" i="12"/>
  <c r="G4456" i="12"/>
  <c r="F4456" i="12"/>
  <c r="G4455" i="12"/>
  <c r="F4455" i="12"/>
  <c r="G4454" i="12"/>
  <c r="F4454" i="12"/>
  <c r="G4453" i="12"/>
  <c r="F4453" i="12"/>
  <c r="G4452" i="12"/>
  <c r="F4452" i="12"/>
  <c r="G4451" i="12"/>
  <c r="F4451" i="12"/>
  <c r="G4450" i="12"/>
  <c r="F4450" i="12"/>
  <c r="G4449" i="12"/>
  <c r="F4449" i="12"/>
  <c r="G4448" i="12"/>
  <c r="F4448" i="12"/>
  <c r="G4447" i="12"/>
  <c r="F4447" i="12"/>
  <c r="G4446" i="12"/>
  <c r="F4446" i="12"/>
  <c r="G4445" i="12"/>
  <c r="F4445" i="12"/>
  <c r="G4444" i="12"/>
  <c r="F4444" i="12"/>
  <c r="A4444" i="12"/>
  <c r="G4443" i="12"/>
  <c r="F4443" i="12"/>
  <c r="G4442" i="12"/>
  <c r="F4442" i="12"/>
  <c r="G4441" i="12"/>
  <c r="F4441" i="12"/>
  <c r="G4440" i="12"/>
  <c r="F4440" i="12"/>
  <c r="G4439" i="12"/>
  <c r="F4439" i="12"/>
  <c r="G4438" i="12"/>
  <c r="F4438" i="12"/>
  <c r="G4437" i="12"/>
  <c r="F4437" i="12"/>
  <c r="G4436" i="12"/>
  <c r="F4436" i="12"/>
  <c r="G4435" i="12"/>
  <c r="F4435" i="12"/>
  <c r="G4434" i="12"/>
  <c r="F4434" i="12"/>
  <c r="G4433" i="12"/>
  <c r="F4433" i="12"/>
  <c r="G4432" i="12"/>
  <c r="F4432" i="12"/>
  <c r="G4431" i="12"/>
  <c r="F4431" i="12"/>
  <c r="G4430" i="12"/>
  <c r="F4430" i="12"/>
  <c r="G4429" i="12"/>
  <c r="F4429" i="12"/>
  <c r="G4428" i="12"/>
  <c r="F4428" i="12"/>
  <c r="G4427" i="12"/>
  <c r="F4427" i="12"/>
  <c r="G4426" i="12"/>
  <c r="F4426" i="12"/>
  <c r="G4425" i="12"/>
  <c r="F4425" i="12"/>
  <c r="G4424" i="12"/>
  <c r="F4424" i="12"/>
  <c r="G4423" i="12"/>
  <c r="F4423" i="12"/>
  <c r="G4422" i="12"/>
  <c r="F4422" i="12"/>
  <c r="G4421" i="12"/>
  <c r="F4421" i="12"/>
  <c r="G4420" i="12"/>
  <c r="F4420" i="12"/>
  <c r="G4419" i="12"/>
  <c r="F4419" i="12"/>
  <c r="G4418" i="12"/>
  <c r="F4418" i="12"/>
  <c r="G4417" i="12"/>
  <c r="F4417" i="12"/>
  <c r="G4416" i="12"/>
  <c r="F4416" i="12"/>
  <c r="G4415" i="12"/>
  <c r="F4415" i="12"/>
  <c r="G4414" i="12"/>
  <c r="F4414" i="12"/>
  <c r="G4413" i="12"/>
  <c r="F4413" i="12"/>
  <c r="G4412" i="12"/>
  <c r="F4412" i="12"/>
  <c r="G4411" i="12"/>
  <c r="F4411" i="12"/>
  <c r="G4410" i="12"/>
  <c r="F4410" i="12"/>
  <c r="G4409" i="12"/>
  <c r="F4409" i="12"/>
  <c r="G4408" i="12"/>
  <c r="F4408" i="12"/>
  <c r="G4407" i="12"/>
  <c r="F4407" i="12"/>
  <c r="G4406" i="12"/>
  <c r="F4406" i="12"/>
  <c r="G4405" i="12"/>
  <c r="F4405" i="12"/>
  <c r="G4404" i="12"/>
  <c r="F4404" i="12"/>
  <c r="G4403" i="12"/>
  <c r="F4403" i="12"/>
  <c r="G4402" i="12"/>
  <c r="F4402" i="12"/>
  <c r="G4401" i="12"/>
  <c r="F4401" i="12"/>
  <c r="G4400" i="12"/>
  <c r="F4400" i="12"/>
  <c r="G4399" i="12"/>
  <c r="F4399" i="12"/>
  <c r="G4398" i="12"/>
  <c r="F4398" i="12"/>
  <c r="G4397" i="12"/>
  <c r="F4397" i="12"/>
  <c r="G4396" i="12"/>
  <c r="F4396" i="12"/>
  <c r="G4395" i="12"/>
  <c r="F4395" i="12"/>
  <c r="G4394" i="12"/>
  <c r="F4394" i="12"/>
  <c r="G4393" i="12"/>
  <c r="F4393" i="12"/>
  <c r="G4392" i="12"/>
  <c r="F4392" i="12"/>
  <c r="G4391" i="12"/>
  <c r="F4391" i="12"/>
  <c r="G4390" i="12"/>
  <c r="F4390" i="12"/>
  <c r="G4389" i="12"/>
  <c r="F4389" i="12"/>
  <c r="G4388" i="12"/>
  <c r="F4388" i="12"/>
  <c r="G4387" i="12"/>
  <c r="F4387" i="12"/>
  <c r="G4386" i="12"/>
  <c r="F4386" i="12"/>
  <c r="G4385" i="12"/>
  <c r="F4385" i="12"/>
  <c r="G4384" i="12"/>
  <c r="F4384" i="12"/>
  <c r="G4383" i="12"/>
  <c r="F4383" i="12"/>
  <c r="G4382" i="12"/>
  <c r="F4382" i="12"/>
  <c r="G4381" i="12"/>
  <c r="F4381" i="12"/>
  <c r="G4380" i="12"/>
  <c r="F4380" i="12"/>
  <c r="G4379" i="12"/>
  <c r="F4379" i="12"/>
  <c r="G4378" i="12"/>
  <c r="F4378" i="12"/>
  <c r="G4377" i="12"/>
  <c r="F4377" i="12"/>
  <c r="G4376" i="12"/>
  <c r="F4376" i="12"/>
  <c r="G4375" i="12"/>
  <c r="F4375" i="12"/>
  <c r="G4374" i="12"/>
  <c r="F4374" i="12"/>
  <c r="G4373" i="12"/>
  <c r="F4373" i="12"/>
  <c r="G4372" i="12"/>
  <c r="F4372" i="12"/>
  <c r="G4371" i="12"/>
  <c r="F4371" i="12"/>
  <c r="G4370" i="12"/>
  <c r="F4370" i="12"/>
  <c r="G4369" i="12"/>
  <c r="F4369" i="12"/>
  <c r="G4368" i="12"/>
  <c r="F4368" i="12"/>
  <c r="G4367" i="12"/>
  <c r="F4367" i="12"/>
  <c r="A4367" i="12"/>
  <c r="G4366" i="12"/>
  <c r="F4366" i="12"/>
  <c r="G4365" i="12"/>
  <c r="F4365" i="12"/>
  <c r="G4364" i="12"/>
  <c r="F4364" i="12"/>
  <c r="G4363" i="12"/>
  <c r="F4363" i="12"/>
  <c r="G4362" i="12"/>
  <c r="F4362" i="12"/>
  <c r="G4361" i="12"/>
  <c r="F4361" i="12"/>
  <c r="G4360" i="12"/>
  <c r="F4360" i="12"/>
  <c r="G4359" i="12"/>
  <c r="F4359" i="12"/>
  <c r="G4358" i="12"/>
  <c r="F4358" i="12"/>
  <c r="G4357" i="12"/>
  <c r="F4357" i="12"/>
  <c r="G4356" i="12"/>
  <c r="F4356" i="12"/>
  <c r="G4355" i="12"/>
  <c r="F4355" i="12"/>
  <c r="G4354" i="12"/>
  <c r="F4354" i="12"/>
  <c r="G4353" i="12"/>
  <c r="F4353" i="12"/>
  <c r="G4352" i="12"/>
  <c r="F4352" i="12"/>
  <c r="G4351" i="12"/>
  <c r="F4351" i="12"/>
  <c r="G4350" i="12"/>
  <c r="F4350" i="12"/>
  <c r="G4349" i="12"/>
  <c r="F4349" i="12"/>
  <c r="G4348" i="12"/>
  <c r="F4348" i="12"/>
  <c r="G4347" i="12"/>
  <c r="F4347" i="12"/>
  <c r="G4346" i="12"/>
  <c r="F4346" i="12"/>
  <c r="G4345" i="12"/>
  <c r="F4345" i="12"/>
  <c r="G4344" i="12"/>
  <c r="F4344" i="12"/>
  <c r="G4343" i="12"/>
  <c r="F4343" i="12"/>
  <c r="G4342" i="12"/>
  <c r="F4342" i="12"/>
  <c r="G4341" i="12"/>
  <c r="F4341" i="12"/>
  <c r="G4340" i="12"/>
  <c r="F4340" i="12"/>
  <c r="G4339" i="12"/>
  <c r="F4339" i="12"/>
  <c r="G4338" i="12"/>
  <c r="F4338" i="12"/>
  <c r="G4337" i="12"/>
  <c r="F4337" i="12"/>
  <c r="A4337" i="12"/>
  <c r="G4336" i="12"/>
  <c r="F4336" i="12"/>
  <c r="G4335" i="12"/>
  <c r="F4335" i="12"/>
  <c r="G4334" i="12"/>
  <c r="F4334" i="12"/>
  <c r="G4333" i="12"/>
  <c r="F4333" i="12"/>
  <c r="G4332" i="12"/>
  <c r="F4332" i="12"/>
  <c r="A4332" i="12"/>
  <c r="G4331" i="12"/>
  <c r="F4331" i="12"/>
  <c r="G4330" i="12"/>
  <c r="F4330" i="12"/>
  <c r="G4329" i="12"/>
  <c r="F4329" i="12"/>
  <c r="G4328" i="12"/>
  <c r="F4328" i="12"/>
  <c r="G4327" i="12"/>
  <c r="F4327" i="12"/>
  <c r="G4326" i="12"/>
  <c r="F4326" i="12"/>
  <c r="G4325" i="12"/>
  <c r="F4325" i="12"/>
  <c r="G4324" i="12"/>
  <c r="F4324" i="12"/>
  <c r="G4323" i="12"/>
  <c r="F4323" i="12"/>
  <c r="G4322" i="12"/>
  <c r="F4322" i="12"/>
  <c r="G4321" i="12"/>
  <c r="F4321" i="12"/>
  <c r="G4320" i="12"/>
  <c r="F4320" i="12"/>
  <c r="G4319" i="12"/>
  <c r="F4319" i="12"/>
  <c r="G4318" i="12"/>
  <c r="F4318" i="12"/>
  <c r="G4317" i="12"/>
  <c r="F4317" i="12"/>
  <c r="G4316" i="12"/>
  <c r="F4316" i="12"/>
  <c r="G4315" i="12"/>
  <c r="F4315" i="12"/>
  <c r="G4314" i="12"/>
  <c r="F4314" i="12"/>
  <c r="G4313" i="12"/>
  <c r="F4313" i="12"/>
  <c r="G4312" i="12"/>
  <c r="F4312" i="12"/>
  <c r="G4311" i="12"/>
  <c r="F4311" i="12"/>
  <c r="G4310" i="12"/>
  <c r="F4310" i="12"/>
  <c r="A4310" i="12"/>
  <c r="G4309" i="12"/>
  <c r="F4309" i="12"/>
  <c r="G4308" i="12"/>
  <c r="F4308" i="12"/>
  <c r="G4307" i="12"/>
  <c r="F4307" i="12"/>
  <c r="G4306" i="12"/>
  <c r="F4306" i="12"/>
  <c r="G4305" i="12"/>
  <c r="F4305" i="12"/>
  <c r="G4304" i="12"/>
  <c r="F4304" i="12"/>
  <c r="G4303" i="12"/>
  <c r="F4303" i="12"/>
  <c r="G4302" i="12"/>
  <c r="F4302" i="12"/>
  <c r="G4301" i="12"/>
  <c r="F4301" i="12"/>
  <c r="G4300" i="12"/>
  <c r="F4300" i="12"/>
  <c r="G4299" i="12"/>
  <c r="F4299" i="12"/>
  <c r="G4298" i="12"/>
  <c r="F4298" i="12"/>
  <c r="G4297" i="12"/>
  <c r="F4297" i="12"/>
  <c r="G4296" i="12"/>
  <c r="F4296" i="12"/>
  <c r="A4296" i="12"/>
  <c r="G4295" i="12"/>
  <c r="F4295" i="12"/>
  <c r="G4294" i="12"/>
  <c r="F4294" i="12"/>
  <c r="G4293" i="12"/>
  <c r="F4293" i="12"/>
  <c r="G4292" i="12"/>
  <c r="F4292" i="12"/>
  <c r="G4291" i="12"/>
  <c r="F4291" i="12"/>
  <c r="G4290" i="12"/>
  <c r="F4290" i="12"/>
  <c r="G4289" i="12"/>
  <c r="F4289" i="12"/>
  <c r="G4288" i="12"/>
  <c r="F4288" i="12"/>
  <c r="G4287" i="12"/>
  <c r="F4287" i="12"/>
  <c r="G4286" i="12"/>
  <c r="F4286" i="12"/>
  <c r="G4285" i="12"/>
  <c r="F4285" i="12"/>
  <c r="G4284" i="12"/>
  <c r="F4284" i="12"/>
  <c r="G4283" i="12"/>
  <c r="F4283" i="12"/>
  <c r="G4282" i="12"/>
  <c r="F4282" i="12"/>
  <c r="G4281" i="12"/>
  <c r="F4281" i="12"/>
  <c r="G4280" i="12"/>
  <c r="F4280" i="12"/>
  <c r="G4279" i="12"/>
  <c r="F4279" i="12"/>
  <c r="G4278" i="12"/>
  <c r="F4278" i="12"/>
  <c r="G4277" i="12"/>
  <c r="F4277" i="12"/>
  <c r="G4276" i="12"/>
  <c r="F4276" i="12"/>
  <c r="G4275" i="12"/>
  <c r="F4275" i="12"/>
  <c r="G4274" i="12"/>
  <c r="F4274" i="12"/>
  <c r="G4273" i="12"/>
  <c r="F4273" i="12"/>
  <c r="G4272" i="12"/>
  <c r="F4272" i="12"/>
  <c r="G4271" i="12"/>
  <c r="F4271" i="12"/>
  <c r="G4270" i="12"/>
  <c r="F4270" i="12"/>
  <c r="A4270" i="12"/>
  <c r="G4269" i="12"/>
  <c r="F4269" i="12"/>
  <c r="G4268" i="12"/>
  <c r="F4268" i="12"/>
  <c r="G4267" i="12"/>
  <c r="F4267" i="12"/>
  <c r="G4266" i="12"/>
  <c r="F4266" i="12"/>
  <c r="G4265" i="12"/>
  <c r="F4265" i="12"/>
  <c r="G4264" i="12"/>
  <c r="F4264" i="12"/>
  <c r="G4263" i="12"/>
  <c r="F4263" i="12"/>
  <c r="G4262" i="12"/>
  <c r="F4262" i="12"/>
  <c r="G4261" i="12"/>
  <c r="F4261" i="12"/>
  <c r="G4260" i="12"/>
  <c r="F4260" i="12"/>
  <c r="G4259" i="12"/>
  <c r="F4259" i="12"/>
  <c r="G4258" i="12"/>
  <c r="F4258" i="12"/>
  <c r="G4257" i="12"/>
  <c r="F4257" i="12"/>
  <c r="G4256" i="12"/>
  <c r="F4256" i="12"/>
  <c r="G4255" i="12"/>
  <c r="F4255" i="12"/>
  <c r="G4254" i="12"/>
  <c r="F4254" i="12"/>
  <c r="G4253" i="12"/>
  <c r="F4253" i="12"/>
  <c r="G4252" i="12"/>
  <c r="F4252" i="12"/>
  <c r="G4251" i="12"/>
  <c r="F4251" i="12"/>
  <c r="G4250" i="12"/>
  <c r="F4250" i="12"/>
  <c r="G4249" i="12"/>
  <c r="F4249" i="12"/>
  <c r="A4249" i="12"/>
  <c r="G4248" i="12"/>
  <c r="F4248" i="12"/>
  <c r="G4247" i="12"/>
  <c r="F4247" i="12"/>
  <c r="G4246" i="12"/>
  <c r="F4246" i="12"/>
  <c r="G4245" i="12"/>
  <c r="F4245" i="12"/>
  <c r="A4245" i="12"/>
  <c r="G4244" i="12"/>
  <c r="F4244" i="12"/>
  <c r="G4243" i="12"/>
  <c r="F4243" i="12"/>
  <c r="G4242" i="12"/>
  <c r="F4242" i="12"/>
  <c r="G4241" i="12"/>
  <c r="F4241" i="12"/>
  <c r="G4240" i="12"/>
  <c r="F4240" i="12"/>
  <c r="G4239" i="12"/>
  <c r="F4239" i="12"/>
  <c r="G4238" i="12"/>
  <c r="F4238" i="12"/>
  <c r="G4237" i="12"/>
  <c r="F4237" i="12"/>
  <c r="G4236" i="12"/>
  <c r="F4236" i="12"/>
  <c r="G4235" i="12"/>
  <c r="F4235" i="12"/>
  <c r="A4235" i="12"/>
  <c r="G4234" i="12"/>
  <c r="F4234" i="12"/>
  <c r="G4233" i="12"/>
  <c r="F4233" i="12"/>
  <c r="G4232" i="12"/>
  <c r="F4232" i="12"/>
  <c r="G4231" i="12"/>
  <c r="F4231" i="12"/>
  <c r="G4230" i="12"/>
  <c r="F4230" i="12"/>
  <c r="G4229" i="12"/>
  <c r="F4229" i="12"/>
  <c r="G4228" i="12"/>
  <c r="F4228" i="12"/>
  <c r="G4227" i="12"/>
  <c r="F4227" i="12"/>
  <c r="G4226" i="12"/>
  <c r="F4226" i="12"/>
  <c r="G4225" i="12"/>
  <c r="F4225" i="12"/>
  <c r="G4224" i="12"/>
  <c r="F4224" i="12"/>
  <c r="G4223" i="12"/>
  <c r="F4223" i="12"/>
  <c r="G4222" i="12"/>
  <c r="F4222" i="12"/>
  <c r="G4221" i="12"/>
  <c r="F4221" i="12"/>
  <c r="G4220" i="12"/>
  <c r="F4220" i="12"/>
  <c r="G4219" i="12"/>
  <c r="F4219" i="12"/>
  <c r="G4218" i="12"/>
  <c r="F4218" i="12"/>
  <c r="G4217" i="12"/>
  <c r="F4217" i="12"/>
  <c r="A4217" i="12"/>
  <c r="G4216" i="12"/>
  <c r="F4216" i="12"/>
  <c r="G4215" i="12"/>
  <c r="F4215" i="12"/>
  <c r="G4214" i="12"/>
  <c r="F4214" i="12"/>
  <c r="G4213" i="12"/>
  <c r="F4213" i="12"/>
  <c r="G4212" i="12"/>
  <c r="F4212" i="12"/>
  <c r="G4211" i="12"/>
  <c r="F4211" i="12"/>
  <c r="G4210" i="12"/>
  <c r="F4210" i="12"/>
  <c r="G4209" i="12"/>
  <c r="F4209" i="12"/>
  <c r="G4208" i="12"/>
  <c r="F4208" i="12"/>
  <c r="G4207" i="12"/>
  <c r="F4207" i="12"/>
  <c r="G4206" i="12"/>
  <c r="F4206" i="12"/>
  <c r="G4205" i="12"/>
  <c r="F4205" i="12"/>
  <c r="G4204" i="12"/>
  <c r="F4204" i="12"/>
  <c r="G4203" i="12"/>
  <c r="F4203" i="12"/>
  <c r="G4202" i="12"/>
  <c r="F4202" i="12"/>
  <c r="G4201" i="12"/>
  <c r="F4201" i="12"/>
  <c r="G4200" i="12"/>
  <c r="F4200" i="12"/>
  <c r="G4199" i="12"/>
  <c r="F4199" i="12"/>
  <c r="G4198" i="12"/>
  <c r="F4198" i="12"/>
  <c r="G4197" i="12"/>
  <c r="F4197" i="12"/>
  <c r="G4196" i="12"/>
  <c r="F4196" i="12"/>
  <c r="G4195" i="12"/>
  <c r="F4195" i="12"/>
  <c r="G4194" i="12"/>
  <c r="F4194" i="12"/>
  <c r="G4193" i="12"/>
  <c r="F4193" i="12"/>
  <c r="G4192" i="12"/>
  <c r="F4192" i="12"/>
  <c r="G4191" i="12"/>
  <c r="F4191" i="12"/>
  <c r="G4190" i="12"/>
  <c r="F4190" i="12"/>
  <c r="G4189" i="12"/>
  <c r="F4189" i="12"/>
  <c r="G4188" i="12"/>
  <c r="F4188" i="12"/>
  <c r="G4187" i="12"/>
  <c r="F4187" i="12"/>
  <c r="G4186" i="12"/>
  <c r="F4186" i="12"/>
  <c r="G4185" i="12"/>
  <c r="F4185" i="12"/>
  <c r="G4184" i="12"/>
  <c r="F4184" i="12"/>
  <c r="G4183" i="12"/>
  <c r="F4183" i="12"/>
  <c r="A4183" i="12"/>
  <c r="G4182" i="12"/>
  <c r="F4182" i="12"/>
  <c r="G4181" i="12"/>
  <c r="F4181" i="12"/>
  <c r="G4180" i="12"/>
  <c r="F4180" i="12"/>
  <c r="G4179" i="12"/>
  <c r="F4179" i="12"/>
  <c r="G4178" i="12"/>
  <c r="F4178" i="12"/>
  <c r="G4177" i="12"/>
  <c r="F4177" i="12"/>
  <c r="G4176" i="12"/>
  <c r="F4176" i="12"/>
  <c r="G4175" i="12"/>
  <c r="F4175" i="12"/>
  <c r="G4174" i="12"/>
  <c r="F4174" i="12"/>
  <c r="G4173" i="12"/>
  <c r="F4173" i="12"/>
  <c r="G4172" i="12"/>
  <c r="F4172" i="12"/>
  <c r="G4171" i="12"/>
  <c r="F4171" i="12"/>
  <c r="G4170" i="12"/>
  <c r="F4170" i="12"/>
  <c r="G4169" i="12"/>
  <c r="F4169" i="12"/>
  <c r="G4168" i="12"/>
  <c r="F4168" i="12"/>
  <c r="G4167" i="12"/>
  <c r="F4167" i="12"/>
  <c r="G4166" i="12"/>
  <c r="F4166" i="12"/>
  <c r="G4165" i="12"/>
  <c r="F4165" i="12"/>
  <c r="G4164" i="12"/>
  <c r="F4164" i="12"/>
  <c r="G4163" i="12"/>
  <c r="F4163" i="12"/>
  <c r="G4162" i="12"/>
  <c r="F4162" i="12"/>
  <c r="G4161" i="12"/>
  <c r="F4161" i="12"/>
  <c r="G4160" i="12"/>
  <c r="F4160" i="12"/>
  <c r="G4159" i="12"/>
  <c r="F4159" i="12"/>
  <c r="G4158" i="12"/>
  <c r="F4158" i="12"/>
  <c r="G4157" i="12"/>
  <c r="F4157" i="12"/>
  <c r="G4156" i="12"/>
  <c r="F4156" i="12"/>
  <c r="G4155" i="12"/>
  <c r="F4155" i="12"/>
  <c r="G4154" i="12"/>
  <c r="F4154" i="12"/>
  <c r="G4153" i="12"/>
  <c r="F4153" i="12"/>
  <c r="G4152" i="12"/>
  <c r="F4152" i="12"/>
  <c r="G4151" i="12"/>
  <c r="F4151" i="12"/>
  <c r="G4150" i="12"/>
  <c r="F4150" i="12"/>
  <c r="G4149" i="12"/>
  <c r="F4149" i="12"/>
  <c r="G4148" i="12"/>
  <c r="F4148" i="12"/>
  <c r="G4147" i="12"/>
  <c r="F4147" i="12"/>
  <c r="G4146" i="12"/>
  <c r="F4146" i="12"/>
  <c r="G4145" i="12"/>
  <c r="F4145" i="12"/>
  <c r="G4144" i="12"/>
  <c r="F4144" i="12"/>
  <c r="G4143" i="12"/>
  <c r="F4143" i="12"/>
  <c r="G4142" i="12"/>
  <c r="F4142" i="12"/>
  <c r="G4141" i="12"/>
  <c r="F4141" i="12"/>
  <c r="G4140" i="12"/>
  <c r="F4140" i="12"/>
  <c r="G4139" i="12"/>
  <c r="F4139" i="12"/>
  <c r="G4138" i="12"/>
  <c r="F4138" i="12"/>
  <c r="G4137" i="12"/>
  <c r="F4137" i="12"/>
  <c r="G4136" i="12"/>
  <c r="F4136" i="12"/>
  <c r="G4135" i="12"/>
  <c r="F4135" i="12"/>
  <c r="G4134" i="12"/>
  <c r="F4134" i="12"/>
  <c r="G4133" i="12"/>
  <c r="F4133" i="12"/>
  <c r="G4132" i="12"/>
  <c r="F4132" i="12"/>
  <c r="G4131" i="12"/>
  <c r="F4131" i="12"/>
  <c r="G4130" i="12"/>
  <c r="F4130" i="12"/>
  <c r="G4129" i="12"/>
  <c r="F4129" i="12"/>
  <c r="G4128" i="12"/>
  <c r="F4128" i="12"/>
  <c r="G4127" i="12"/>
  <c r="F4127" i="12"/>
  <c r="G4126" i="12"/>
  <c r="F4126" i="12"/>
  <c r="G4125" i="12"/>
  <c r="F4125" i="12"/>
  <c r="G4124" i="12"/>
  <c r="F4124" i="12"/>
  <c r="G4123" i="12"/>
  <c r="F4123" i="12"/>
  <c r="G4122" i="12"/>
  <c r="F4122" i="12"/>
  <c r="G4121" i="12"/>
  <c r="F4121" i="12"/>
  <c r="G4120" i="12"/>
  <c r="F4120" i="12"/>
  <c r="G4119" i="12"/>
  <c r="F4119" i="12"/>
  <c r="G4118" i="12"/>
  <c r="F4118" i="12"/>
  <c r="G4117" i="12"/>
  <c r="F4117" i="12"/>
  <c r="G4116" i="12"/>
  <c r="F4116" i="12"/>
  <c r="G4115" i="12"/>
  <c r="F4115" i="12"/>
  <c r="G4114" i="12"/>
  <c r="F4114" i="12"/>
  <c r="A4114" i="12"/>
  <c r="G4113" i="12"/>
  <c r="F4113" i="12"/>
  <c r="G4112" i="12"/>
  <c r="F4112" i="12"/>
  <c r="G4111" i="12"/>
  <c r="F4111" i="12"/>
  <c r="G4110" i="12"/>
  <c r="F4110" i="12"/>
  <c r="G4109" i="12"/>
  <c r="F4109" i="12"/>
  <c r="G4108" i="12"/>
  <c r="F4108" i="12"/>
  <c r="G4107" i="12"/>
  <c r="F4107" i="12"/>
  <c r="G4106" i="12"/>
  <c r="F4106" i="12"/>
  <c r="G4105" i="12"/>
  <c r="F4105" i="12"/>
  <c r="G4104" i="12"/>
  <c r="F4104" i="12"/>
  <c r="A4104" i="12"/>
  <c r="G4103" i="12"/>
  <c r="F4103" i="12"/>
  <c r="G4102" i="12"/>
  <c r="F4102" i="12"/>
  <c r="G4101" i="12"/>
  <c r="F4101" i="12"/>
  <c r="G4100" i="12"/>
  <c r="F4100" i="12"/>
  <c r="G4099" i="12"/>
  <c r="F4099" i="12"/>
  <c r="G4098" i="12"/>
  <c r="F4098" i="12"/>
  <c r="G4097" i="12"/>
  <c r="F4097" i="12"/>
  <c r="G4096" i="12"/>
  <c r="F4096" i="12"/>
  <c r="G4095" i="12"/>
  <c r="F4095" i="12"/>
  <c r="A4095" i="12"/>
  <c r="G4094" i="12"/>
  <c r="F4094" i="12"/>
  <c r="G4093" i="12"/>
  <c r="F4093" i="12"/>
  <c r="G4092" i="12"/>
  <c r="F4092" i="12"/>
  <c r="G4091" i="12"/>
  <c r="F4091" i="12"/>
  <c r="G4090" i="12"/>
  <c r="F4090" i="12"/>
  <c r="G4089" i="12"/>
  <c r="F4089" i="12"/>
  <c r="G4088" i="12"/>
  <c r="F4088" i="12"/>
  <c r="G4087" i="12"/>
  <c r="F4087" i="12"/>
  <c r="G4086" i="12"/>
  <c r="F4086" i="12"/>
  <c r="G4085" i="12"/>
  <c r="F4085" i="12"/>
  <c r="G4084" i="12"/>
  <c r="F4084" i="12"/>
  <c r="G4083" i="12"/>
  <c r="F4083" i="12"/>
  <c r="G4082" i="12"/>
  <c r="F4082" i="12"/>
  <c r="G4081" i="12"/>
  <c r="F4081" i="12"/>
  <c r="G4080" i="12"/>
  <c r="F4080" i="12"/>
  <c r="G4079" i="12"/>
  <c r="F4079" i="12"/>
  <c r="G4078" i="12"/>
  <c r="F4078" i="12"/>
  <c r="G4077" i="12"/>
  <c r="F4077" i="12"/>
  <c r="A4077" i="12"/>
  <c r="G4076" i="12"/>
  <c r="F4076" i="12"/>
  <c r="G4075" i="12"/>
  <c r="F4075" i="12"/>
  <c r="G4074" i="12"/>
  <c r="F4074" i="12"/>
  <c r="G4073" i="12"/>
  <c r="F4073" i="12"/>
  <c r="G4072" i="12"/>
  <c r="F4072" i="12"/>
  <c r="G4071" i="12"/>
  <c r="F4071" i="12"/>
  <c r="G4070" i="12"/>
  <c r="F4070" i="12"/>
  <c r="G4069" i="12"/>
  <c r="F4069" i="12"/>
  <c r="G4068" i="12"/>
  <c r="F4068" i="12"/>
  <c r="G4067" i="12"/>
  <c r="F4067" i="12"/>
  <c r="A4067" i="12"/>
  <c r="G4066" i="12"/>
  <c r="F4066" i="12"/>
  <c r="G4065" i="12"/>
  <c r="F4065" i="12"/>
  <c r="G4064" i="12"/>
  <c r="F4064" i="12"/>
  <c r="G4063" i="12"/>
  <c r="F4063" i="12"/>
  <c r="G4062" i="12"/>
  <c r="F4062" i="12"/>
  <c r="G4061" i="12"/>
  <c r="F4061" i="12"/>
  <c r="G4060" i="12"/>
  <c r="F4060" i="12"/>
  <c r="G4059" i="12"/>
  <c r="F4059" i="12"/>
  <c r="G4058" i="12"/>
  <c r="F4058" i="12"/>
  <c r="G4057" i="12"/>
  <c r="F4057" i="12"/>
  <c r="G4056" i="12"/>
  <c r="F4056" i="12"/>
  <c r="G4055" i="12"/>
  <c r="F4055" i="12"/>
  <c r="G4054" i="12"/>
  <c r="F4054" i="12"/>
  <c r="G4053" i="12"/>
  <c r="F4053" i="12"/>
  <c r="G4052" i="12"/>
  <c r="F4052" i="12"/>
  <c r="G4051" i="12"/>
  <c r="F4051" i="12"/>
  <c r="G4050" i="12"/>
  <c r="F4050" i="12"/>
  <c r="G4049" i="12"/>
  <c r="F4049" i="12"/>
  <c r="G4048" i="12"/>
  <c r="F4048" i="12"/>
  <c r="G4047" i="12"/>
  <c r="F4047" i="12"/>
  <c r="G4046" i="12"/>
  <c r="F4046" i="12"/>
  <c r="G4045" i="12"/>
  <c r="F4045" i="12"/>
  <c r="G4044" i="12"/>
  <c r="F4044" i="12"/>
  <c r="G4043" i="12"/>
  <c r="F4043" i="12"/>
  <c r="G4042" i="12"/>
  <c r="F4042" i="12"/>
  <c r="G4041" i="12"/>
  <c r="F4041" i="12"/>
  <c r="G4040" i="12"/>
  <c r="F4040" i="12"/>
  <c r="G4039" i="12"/>
  <c r="F4039" i="12"/>
  <c r="G4038" i="12"/>
  <c r="F4038" i="12"/>
  <c r="G4037" i="12"/>
  <c r="F4037" i="12"/>
  <c r="G4036" i="12"/>
  <c r="F4036" i="12"/>
  <c r="G4035" i="12"/>
  <c r="F4035" i="12"/>
  <c r="G4034" i="12"/>
  <c r="F4034" i="12"/>
  <c r="G4033" i="12"/>
  <c r="F4033" i="12"/>
  <c r="G4032" i="12"/>
  <c r="F4032" i="12"/>
  <c r="G4031" i="12"/>
  <c r="F4031" i="12"/>
  <c r="G4030" i="12"/>
  <c r="F4030" i="12"/>
  <c r="G4029" i="12"/>
  <c r="F4029" i="12"/>
  <c r="G4028" i="12"/>
  <c r="F4028" i="12"/>
  <c r="G4027" i="12"/>
  <c r="F4027" i="12"/>
  <c r="G4026" i="12"/>
  <c r="F4026" i="12"/>
  <c r="G4025" i="12"/>
  <c r="F4025" i="12"/>
  <c r="G4024" i="12"/>
  <c r="F4024" i="12"/>
  <c r="G4023" i="12"/>
  <c r="F4023" i="12"/>
  <c r="G4022" i="12"/>
  <c r="F4022" i="12"/>
  <c r="G4021" i="12"/>
  <c r="F4021" i="12"/>
  <c r="G4020" i="12"/>
  <c r="F4020" i="12"/>
  <c r="G4019" i="12"/>
  <c r="F4019" i="12"/>
  <c r="G4018" i="12"/>
  <c r="F4018" i="12"/>
  <c r="G4017" i="12"/>
  <c r="F4017" i="12"/>
  <c r="G4016" i="12"/>
  <c r="F4016" i="12"/>
  <c r="G4015" i="12"/>
  <c r="F4015" i="12"/>
  <c r="G4014" i="12"/>
  <c r="F4014" i="12"/>
  <c r="G4013" i="12"/>
  <c r="F4013" i="12"/>
  <c r="G4012" i="12"/>
  <c r="F4012" i="12"/>
  <c r="G4011" i="12"/>
  <c r="F4011" i="12"/>
  <c r="G4010" i="12"/>
  <c r="F4010" i="12"/>
  <c r="G4009" i="12"/>
  <c r="F4009" i="12"/>
  <c r="G4008" i="12"/>
  <c r="F4008" i="12"/>
  <c r="G4007" i="12"/>
  <c r="F4007" i="12"/>
  <c r="G4006" i="12"/>
  <c r="F4006" i="12"/>
  <c r="G4005" i="12"/>
  <c r="F4005" i="12"/>
  <c r="G4004" i="12"/>
  <c r="F4004" i="12"/>
  <c r="G4003" i="12"/>
  <c r="F4003" i="12"/>
  <c r="G4002" i="12"/>
  <c r="F4002" i="12"/>
  <c r="G4001" i="12"/>
  <c r="F4001" i="12"/>
  <c r="G4000" i="12"/>
  <c r="F4000" i="12"/>
  <c r="G3999" i="12"/>
  <c r="F3999" i="12"/>
  <c r="G3998" i="12"/>
  <c r="F3998" i="12"/>
  <c r="G3997" i="12"/>
  <c r="F3997" i="12"/>
  <c r="G3996" i="12"/>
  <c r="F3996" i="12"/>
  <c r="G3995" i="12"/>
  <c r="F3995" i="12"/>
  <c r="G3994" i="12"/>
  <c r="F3994" i="12"/>
  <c r="G3993" i="12"/>
  <c r="F3993" i="12"/>
  <c r="G3992" i="12"/>
  <c r="F3992" i="12"/>
  <c r="G3991" i="12"/>
  <c r="F3991" i="12"/>
  <c r="G3990" i="12"/>
  <c r="F3990" i="12"/>
  <c r="G3989" i="12"/>
  <c r="F3989" i="12"/>
  <c r="G3988" i="12"/>
  <c r="F3988" i="12"/>
  <c r="G3987" i="12"/>
  <c r="F3987" i="12"/>
  <c r="G3986" i="12"/>
  <c r="F3986" i="12"/>
  <c r="G3985" i="12"/>
  <c r="F3985" i="12"/>
  <c r="G3984" i="12"/>
  <c r="F3984" i="12"/>
  <c r="G3983" i="12"/>
  <c r="F3983" i="12"/>
  <c r="G3982" i="12"/>
  <c r="F3982" i="12"/>
  <c r="G3981" i="12"/>
  <c r="F3981" i="12"/>
  <c r="G3980" i="12"/>
  <c r="F3980" i="12"/>
  <c r="G3979" i="12"/>
  <c r="F3979" i="12"/>
  <c r="G3978" i="12"/>
  <c r="F3978" i="12"/>
  <c r="G3977" i="12"/>
  <c r="F3977" i="12"/>
  <c r="G3976" i="12"/>
  <c r="F3976" i="12"/>
  <c r="G3975" i="12"/>
  <c r="F3975" i="12"/>
  <c r="G3974" i="12"/>
  <c r="F3974" i="12"/>
  <c r="G3973" i="12"/>
  <c r="F3973" i="12"/>
  <c r="G3972" i="12"/>
  <c r="F3972" i="12"/>
  <c r="G3971" i="12"/>
  <c r="F3971" i="12"/>
  <c r="G3970" i="12"/>
  <c r="F3970" i="12"/>
  <c r="G3969" i="12"/>
  <c r="F3969" i="12"/>
  <c r="G3968" i="12"/>
  <c r="F3968" i="12"/>
  <c r="G3967" i="12"/>
  <c r="F3967" i="12"/>
  <c r="G3966" i="12"/>
  <c r="F3966" i="12"/>
  <c r="G3965" i="12"/>
  <c r="F3965" i="12"/>
  <c r="G3964" i="12"/>
  <c r="F3964" i="12"/>
  <c r="G3963" i="12"/>
  <c r="F3963" i="12"/>
  <c r="G3962" i="12"/>
  <c r="F3962" i="12"/>
  <c r="G3961" i="12"/>
  <c r="F3961" i="12"/>
  <c r="G3960" i="12"/>
  <c r="F3960" i="12"/>
  <c r="G3959" i="12"/>
  <c r="F3959" i="12"/>
  <c r="G3958" i="12"/>
  <c r="F3958" i="12"/>
  <c r="G3957" i="12"/>
  <c r="F3957" i="12"/>
  <c r="G3956" i="12"/>
  <c r="F3956" i="12"/>
  <c r="G3955" i="12"/>
  <c r="F3955" i="12"/>
  <c r="G3954" i="12"/>
  <c r="F3954" i="12"/>
  <c r="G3953" i="12"/>
  <c r="F3953" i="12"/>
  <c r="G3952" i="12"/>
  <c r="F3952" i="12"/>
  <c r="G3951" i="12"/>
  <c r="F3951" i="12"/>
  <c r="G3950" i="12"/>
  <c r="F3950" i="12"/>
  <c r="G3949" i="12"/>
  <c r="F3949" i="12"/>
  <c r="G3948" i="12"/>
  <c r="F3948" i="12"/>
  <c r="G3947" i="12"/>
  <c r="F3947" i="12"/>
  <c r="G3946" i="12"/>
  <c r="F3946" i="12"/>
  <c r="G3945" i="12"/>
  <c r="F3945" i="12"/>
  <c r="G3944" i="12"/>
  <c r="F3944" i="12"/>
  <c r="G3943" i="12"/>
  <c r="F3943" i="12"/>
  <c r="G3942" i="12"/>
  <c r="F3942" i="12"/>
  <c r="G3941" i="12"/>
  <c r="F3941" i="12"/>
  <c r="G3940" i="12"/>
  <c r="F3940" i="12"/>
  <c r="G3939" i="12"/>
  <c r="F3939" i="12"/>
  <c r="G3938" i="12"/>
  <c r="F3938" i="12"/>
  <c r="G3937" i="12"/>
  <c r="F3937" i="12"/>
  <c r="G3936" i="12"/>
  <c r="F3936" i="12"/>
  <c r="G3935" i="12"/>
  <c r="F3935" i="12"/>
  <c r="G3934" i="12"/>
  <c r="F3934" i="12"/>
  <c r="G3933" i="12"/>
  <c r="F3933" i="12"/>
  <c r="G3932" i="12"/>
  <c r="F3932" i="12"/>
  <c r="G3931" i="12"/>
  <c r="F3931" i="12"/>
  <c r="G3930" i="12"/>
  <c r="F3930" i="12"/>
  <c r="G3929" i="12"/>
  <c r="F3929" i="12"/>
  <c r="G3928" i="12"/>
  <c r="F3928" i="12"/>
  <c r="G3927" i="12"/>
  <c r="F3927" i="12"/>
  <c r="G3926" i="12"/>
  <c r="F3926" i="12"/>
  <c r="G3925" i="12"/>
  <c r="F3925" i="12"/>
  <c r="G3924" i="12"/>
  <c r="F3924" i="12"/>
  <c r="G3923" i="12"/>
  <c r="F3923" i="12"/>
  <c r="G3922" i="12"/>
  <c r="F3922" i="12"/>
  <c r="G3921" i="12"/>
  <c r="F3921" i="12"/>
  <c r="G3920" i="12"/>
  <c r="F3920" i="12"/>
  <c r="G3919" i="12"/>
  <c r="F3919" i="12"/>
  <c r="G3918" i="12"/>
  <c r="F3918" i="12"/>
  <c r="G3917" i="12"/>
  <c r="F3917" i="12"/>
  <c r="G3916" i="12"/>
  <c r="F3916" i="12"/>
  <c r="G3915" i="12"/>
  <c r="F3915" i="12"/>
  <c r="G3914" i="12"/>
  <c r="F3914" i="12"/>
  <c r="G3913" i="12"/>
  <c r="F3913" i="12"/>
  <c r="G3912" i="12"/>
  <c r="F3912" i="12"/>
  <c r="G3911" i="12"/>
  <c r="F3911" i="12"/>
  <c r="G3910" i="12"/>
  <c r="F3910" i="12"/>
  <c r="G3909" i="12"/>
  <c r="F3909" i="12"/>
  <c r="G3908" i="12"/>
  <c r="F3908" i="12"/>
  <c r="G3907" i="12"/>
  <c r="F3907" i="12"/>
  <c r="G3906" i="12"/>
  <c r="F3906" i="12"/>
  <c r="G3905" i="12"/>
  <c r="F3905" i="12"/>
  <c r="G3904" i="12"/>
  <c r="F3904" i="12"/>
  <c r="G3903" i="12"/>
  <c r="F3903" i="12"/>
  <c r="G3902" i="12"/>
  <c r="F3902" i="12"/>
  <c r="G3901" i="12"/>
  <c r="F3901" i="12"/>
  <c r="G3900" i="12"/>
  <c r="F3900" i="12"/>
  <c r="G3899" i="12"/>
  <c r="F3899" i="12"/>
  <c r="G3898" i="12"/>
  <c r="F3898" i="12"/>
  <c r="G3897" i="12"/>
  <c r="F3897" i="12"/>
  <c r="G3896" i="12"/>
  <c r="F3896" i="12"/>
  <c r="G3895" i="12"/>
  <c r="F3895" i="12"/>
  <c r="G3894" i="12"/>
  <c r="F3894" i="12"/>
  <c r="G3893" i="12"/>
  <c r="F3893" i="12"/>
  <c r="G3892" i="12"/>
  <c r="F3892" i="12"/>
  <c r="G3891" i="12"/>
  <c r="F3891" i="12"/>
  <c r="G3890" i="12"/>
  <c r="F3890" i="12"/>
  <c r="G3889" i="12"/>
  <c r="F3889" i="12"/>
  <c r="G3888" i="12"/>
  <c r="F3888" i="12"/>
  <c r="G3887" i="12"/>
  <c r="F3887" i="12"/>
  <c r="G3886" i="12"/>
  <c r="F3886" i="12"/>
  <c r="G3885" i="12"/>
  <c r="F3885" i="12"/>
  <c r="G3884" i="12"/>
  <c r="F3884" i="12"/>
  <c r="G3883" i="12"/>
  <c r="F3883" i="12"/>
  <c r="G3882" i="12"/>
  <c r="F3882" i="12"/>
  <c r="G3881" i="12"/>
  <c r="F3881" i="12"/>
  <c r="G3880" i="12"/>
  <c r="F3880" i="12"/>
  <c r="G3879" i="12"/>
  <c r="F3879" i="12"/>
  <c r="G3878" i="12"/>
  <c r="F3878" i="12"/>
  <c r="G3877" i="12"/>
  <c r="F3877" i="12"/>
  <c r="G3876" i="12"/>
  <c r="F3876" i="12"/>
  <c r="G3875" i="12"/>
  <c r="F3875" i="12"/>
  <c r="G3874" i="12"/>
  <c r="F3874" i="12"/>
  <c r="G3873" i="12"/>
  <c r="F3873" i="12"/>
  <c r="G3872" i="12"/>
  <c r="F3872" i="12"/>
  <c r="G3871" i="12"/>
  <c r="F3871" i="12"/>
  <c r="G3870" i="12"/>
  <c r="F3870" i="12"/>
  <c r="G3869" i="12"/>
  <c r="F3869" i="12"/>
  <c r="G3868" i="12"/>
  <c r="F3868" i="12"/>
  <c r="G3867" i="12"/>
  <c r="F3867" i="12"/>
  <c r="G3866" i="12"/>
  <c r="F3866" i="12"/>
  <c r="G3865" i="12"/>
  <c r="F3865" i="12"/>
  <c r="G3864" i="12"/>
  <c r="F3864" i="12"/>
  <c r="G3863" i="12"/>
  <c r="F3863" i="12"/>
  <c r="G3862" i="12"/>
  <c r="F3862" i="12"/>
  <c r="G3861" i="12"/>
  <c r="F3861" i="12"/>
  <c r="G3860" i="12"/>
  <c r="F3860" i="12"/>
  <c r="G3859" i="12"/>
  <c r="F3859" i="12"/>
  <c r="G3858" i="12"/>
  <c r="F3858" i="12"/>
  <c r="G3857" i="12"/>
  <c r="F3857" i="12"/>
  <c r="G3856" i="12"/>
  <c r="F3856" i="12"/>
  <c r="A3856" i="12"/>
  <c r="G3855" i="12"/>
  <c r="F3855" i="12"/>
  <c r="G3854" i="12"/>
  <c r="F3854" i="12"/>
  <c r="G3853" i="12"/>
  <c r="F3853" i="12"/>
  <c r="G3852" i="12"/>
  <c r="F3852" i="12"/>
  <c r="G3851" i="12"/>
  <c r="F3851" i="12"/>
  <c r="G3850" i="12"/>
  <c r="F3850" i="12"/>
  <c r="G3849" i="12"/>
  <c r="F3849" i="12"/>
  <c r="G3848" i="12"/>
  <c r="F3848" i="12"/>
  <c r="A3848" i="12"/>
  <c r="G3847" i="12"/>
  <c r="F3847" i="12"/>
  <c r="G3846" i="12"/>
  <c r="F3846" i="12"/>
  <c r="G3845" i="12"/>
  <c r="F3845" i="12"/>
  <c r="G3844" i="12"/>
  <c r="F3844" i="12"/>
  <c r="G3843" i="12"/>
  <c r="F3843" i="12"/>
  <c r="A3843" i="12"/>
  <c r="G3842" i="12"/>
  <c r="F3842" i="12"/>
  <c r="G3841" i="12"/>
  <c r="F3841" i="12"/>
  <c r="G3840" i="12"/>
  <c r="F3840" i="12"/>
  <c r="G3839" i="12"/>
  <c r="F3839" i="12"/>
  <c r="A3839" i="12"/>
  <c r="G3838" i="12"/>
  <c r="F3838" i="12"/>
  <c r="G3837" i="12"/>
  <c r="F3837" i="12"/>
  <c r="G3836" i="12"/>
  <c r="F3836" i="12"/>
  <c r="G3835" i="12"/>
  <c r="F3835" i="12"/>
  <c r="G3834" i="12"/>
  <c r="F3834" i="12"/>
  <c r="G3833" i="12"/>
  <c r="F3833" i="12"/>
  <c r="G3832" i="12"/>
  <c r="F3832" i="12"/>
  <c r="G3831" i="12"/>
  <c r="F3831" i="12"/>
  <c r="G3830" i="12"/>
  <c r="F3830" i="12"/>
  <c r="G3829" i="12"/>
  <c r="F3829" i="12"/>
  <c r="G3828" i="12"/>
  <c r="F3828" i="12"/>
  <c r="G3827" i="12"/>
  <c r="F3827" i="12"/>
  <c r="G3826" i="12"/>
  <c r="F3826" i="12"/>
  <c r="G3825" i="12"/>
  <c r="F3825" i="12"/>
  <c r="G3824" i="12"/>
  <c r="F3824" i="12"/>
  <c r="G3823" i="12"/>
  <c r="F3823" i="12"/>
  <c r="G3822" i="12"/>
  <c r="F3822" i="12"/>
  <c r="G3821" i="12"/>
  <c r="F3821" i="12"/>
  <c r="G3820" i="12"/>
  <c r="F3820" i="12"/>
  <c r="G3819" i="12"/>
  <c r="F3819" i="12"/>
  <c r="G3818" i="12"/>
  <c r="F3818" i="12"/>
  <c r="G3817" i="12"/>
  <c r="F3817" i="12"/>
  <c r="G3816" i="12"/>
  <c r="F3816" i="12"/>
  <c r="G3815" i="12"/>
  <c r="F3815" i="12"/>
  <c r="G3814" i="12"/>
  <c r="F3814" i="12"/>
  <c r="A3814" i="12"/>
  <c r="G3813" i="12"/>
  <c r="F3813" i="12"/>
  <c r="G3812" i="12"/>
  <c r="F3812" i="12"/>
  <c r="G3811" i="12"/>
  <c r="F3811" i="12"/>
  <c r="G3810" i="12"/>
  <c r="F3810" i="12"/>
  <c r="G3809" i="12"/>
  <c r="F3809" i="12"/>
  <c r="G3808" i="12"/>
  <c r="F3808" i="12"/>
  <c r="G3807" i="12"/>
  <c r="F3807" i="12"/>
  <c r="G3806" i="12"/>
  <c r="F3806" i="12"/>
  <c r="G3805" i="12"/>
  <c r="F3805" i="12"/>
  <c r="G3804" i="12"/>
  <c r="F3804" i="12"/>
  <c r="G3803" i="12"/>
  <c r="F3803" i="12"/>
  <c r="G3802" i="12"/>
  <c r="F3802" i="12"/>
  <c r="G3801" i="12"/>
  <c r="F3801" i="12"/>
  <c r="G3800" i="12"/>
  <c r="F3800" i="12"/>
  <c r="G3799" i="12"/>
  <c r="F3799" i="12"/>
  <c r="G3798" i="12"/>
  <c r="F3798" i="12"/>
  <c r="G3797" i="12"/>
  <c r="F3797" i="12"/>
  <c r="G3796" i="12"/>
  <c r="F3796" i="12"/>
  <c r="G3795" i="12"/>
  <c r="F3795" i="12"/>
  <c r="G3794" i="12"/>
  <c r="F3794" i="12"/>
  <c r="G3793" i="12"/>
  <c r="F3793" i="12"/>
  <c r="G3792" i="12"/>
  <c r="F3792" i="12"/>
  <c r="G3791" i="12"/>
  <c r="F3791" i="12"/>
  <c r="G3790" i="12"/>
  <c r="F3790" i="12"/>
  <c r="G3789" i="12"/>
  <c r="F3789" i="12"/>
  <c r="G3788" i="12"/>
  <c r="F3788" i="12"/>
  <c r="G3787" i="12"/>
  <c r="F3787" i="12"/>
  <c r="G3786" i="12"/>
  <c r="F3786" i="12"/>
  <c r="G3785" i="12"/>
  <c r="F3785" i="12"/>
  <c r="G3784" i="12"/>
  <c r="F3784" i="12"/>
  <c r="G3783" i="12"/>
  <c r="F3783" i="12"/>
  <c r="G3782" i="12"/>
  <c r="F3782" i="12"/>
  <c r="G3781" i="12"/>
  <c r="F3781" i="12"/>
  <c r="G3780" i="12"/>
  <c r="F3780" i="12"/>
  <c r="G3779" i="12"/>
  <c r="F3779" i="12"/>
  <c r="G3778" i="12"/>
  <c r="F3778" i="12"/>
  <c r="G3777" i="12"/>
  <c r="F3777" i="12"/>
  <c r="G3776" i="12"/>
  <c r="F3776" i="12"/>
  <c r="G3775" i="12"/>
  <c r="F3775" i="12"/>
  <c r="G3774" i="12"/>
  <c r="F3774" i="12"/>
  <c r="G3773" i="12"/>
  <c r="F3773" i="12"/>
  <c r="G3772" i="12"/>
  <c r="F3772" i="12"/>
  <c r="G3771" i="12"/>
  <c r="F3771" i="12"/>
  <c r="G3770" i="12"/>
  <c r="F3770" i="12"/>
  <c r="G3769" i="12"/>
  <c r="F3769" i="12"/>
  <c r="G3768" i="12"/>
  <c r="F3768" i="12"/>
  <c r="G3767" i="12"/>
  <c r="F3767" i="12"/>
  <c r="G3766" i="12"/>
  <c r="F3766" i="12"/>
  <c r="G3765" i="12"/>
  <c r="F3765" i="12"/>
  <c r="G3764" i="12"/>
  <c r="F3764" i="12"/>
  <c r="G3763" i="12"/>
  <c r="F3763" i="12"/>
  <c r="G3762" i="12"/>
  <c r="F3762" i="12"/>
  <c r="G3761" i="12"/>
  <c r="F3761" i="12"/>
  <c r="G3760" i="12"/>
  <c r="F3760" i="12"/>
  <c r="G3759" i="12"/>
  <c r="F3759" i="12"/>
  <c r="G3758" i="12"/>
  <c r="F3758" i="12"/>
  <c r="G3757" i="12"/>
  <c r="F3757" i="12"/>
  <c r="G3756" i="12"/>
  <c r="F3756" i="12"/>
  <c r="G3755" i="12"/>
  <c r="F3755" i="12"/>
  <c r="G3754" i="12"/>
  <c r="F3754" i="12"/>
  <c r="G3753" i="12"/>
  <c r="F3753" i="12"/>
  <c r="G3752" i="12"/>
  <c r="F3752" i="12"/>
  <c r="G3751" i="12"/>
  <c r="F3751" i="12"/>
  <c r="G3750" i="12"/>
  <c r="F3750" i="12"/>
  <c r="G3749" i="12"/>
  <c r="F3749" i="12"/>
  <c r="G3748" i="12"/>
  <c r="F3748" i="12"/>
  <c r="G3747" i="12"/>
  <c r="F3747" i="12"/>
  <c r="G3746" i="12"/>
  <c r="F3746" i="12"/>
  <c r="G3745" i="12"/>
  <c r="F3745" i="12"/>
  <c r="G3744" i="12"/>
  <c r="F3744" i="12"/>
  <c r="G3743" i="12"/>
  <c r="F3743" i="12"/>
  <c r="G3742" i="12"/>
  <c r="F3742" i="12"/>
  <c r="G3741" i="12"/>
  <c r="F3741" i="12"/>
  <c r="G3740" i="12"/>
  <c r="F3740" i="12"/>
  <c r="G3739" i="12"/>
  <c r="F3739" i="12"/>
  <c r="G3738" i="12"/>
  <c r="F3738" i="12"/>
  <c r="G3737" i="12"/>
  <c r="F3737" i="12"/>
  <c r="G3736" i="12"/>
  <c r="F3736" i="12"/>
  <c r="G3735" i="12"/>
  <c r="F3735" i="12"/>
  <c r="G3734" i="12"/>
  <c r="F3734" i="12"/>
  <c r="G3733" i="12"/>
  <c r="F3733" i="12"/>
  <c r="G3732" i="12"/>
  <c r="F3732" i="12"/>
  <c r="G3731" i="12"/>
  <c r="F3731" i="12"/>
  <c r="G3730" i="12"/>
  <c r="F3730" i="12"/>
  <c r="G3729" i="12"/>
  <c r="F3729" i="12"/>
  <c r="G3728" i="12"/>
  <c r="F3728" i="12"/>
  <c r="G3727" i="12"/>
  <c r="F3727" i="12"/>
  <c r="G3726" i="12"/>
  <c r="F3726" i="12"/>
  <c r="G3725" i="12"/>
  <c r="F3725" i="12"/>
  <c r="G3724" i="12"/>
  <c r="F3724" i="12"/>
  <c r="G3723" i="12"/>
  <c r="F3723" i="12"/>
  <c r="G3722" i="12"/>
  <c r="F3722" i="12"/>
  <c r="G3721" i="12"/>
  <c r="F3721" i="12"/>
  <c r="G3720" i="12"/>
  <c r="F3720" i="12"/>
  <c r="G3719" i="12"/>
  <c r="F3719" i="12"/>
  <c r="G3718" i="12"/>
  <c r="F3718" i="12"/>
  <c r="G3717" i="12"/>
  <c r="F3717" i="12"/>
  <c r="G3716" i="12"/>
  <c r="F3716" i="12"/>
  <c r="G3715" i="12"/>
  <c r="F3715" i="12"/>
  <c r="G3714" i="12"/>
  <c r="F3714" i="12"/>
  <c r="G3713" i="12"/>
  <c r="F3713" i="12"/>
  <c r="G3712" i="12"/>
  <c r="F3712" i="12"/>
  <c r="G3711" i="12"/>
  <c r="F3711" i="12"/>
  <c r="G3710" i="12"/>
  <c r="F3710" i="12"/>
  <c r="G3709" i="12"/>
  <c r="F3709" i="12"/>
  <c r="G3708" i="12"/>
  <c r="F3708" i="12"/>
  <c r="G3707" i="12"/>
  <c r="F3707" i="12"/>
  <c r="G3706" i="12"/>
  <c r="F3706" i="12"/>
  <c r="G3705" i="12"/>
  <c r="F3705" i="12"/>
  <c r="G3704" i="12"/>
  <c r="F3704" i="12"/>
  <c r="G3703" i="12"/>
  <c r="F3703" i="12"/>
  <c r="G3702" i="12"/>
  <c r="F3702" i="12"/>
  <c r="G3701" i="12"/>
  <c r="F3701" i="12"/>
  <c r="G3700" i="12"/>
  <c r="F3700" i="12"/>
  <c r="G3699" i="12"/>
  <c r="F3699" i="12"/>
  <c r="G3698" i="12"/>
  <c r="F3698" i="12"/>
  <c r="G3697" i="12"/>
  <c r="F3697" i="12"/>
  <c r="G3696" i="12"/>
  <c r="F3696" i="12"/>
  <c r="G3695" i="12"/>
  <c r="F3695" i="12"/>
  <c r="G3694" i="12"/>
  <c r="F3694" i="12"/>
  <c r="G3693" i="12"/>
  <c r="F3693" i="12"/>
  <c r="G3692" i="12"/>
  <c r="F3692" i="12"/>
  <c r="G3691" i="12"/>
  <c r="F3691" i="12"/>
  <c r="G3690" i="12"/>
  <c r="F3690" i="12"/>
  <c r="G3689" i="12"/>
  <c r="F3689" i="12"/>
  <c r="G3688" i="12"/>
  <c r="F3688" i="12"/>
  <c r="G3687" i="12"/>
  <c r="F3687" i="12"/>
  <c r="G3686" i="12"/>
  <c r="F3686" i="12"/>
  <c r="G3685" i="12"/>
  <c r="F3685" i="12"/>
  <c r="G3684" i="12"/>
  <c r="F3684" i="12"/>
  <c r="G3683" i="12"/>
  <c r="F3683" i="12"/>
  <c r="G3682" i="12"/>
  <c r="F3682" i="12"/>
  <c r="G3681" i="12"/>
  <c r="F3681" i="12"/>
  <c r="G3680" i="12"/>
  <c r="F3680" i="12"/>
  <c r="G3679" i="12"/>
  <c r="F3679" i="12"/>
  <c r="G3678" i="12"/>
  <c r="F3678" i="12"/>
  <c r="G3677" i="12"/>
  <c r="F3677" i="12"/>
  <c r="G3676" i="12"/>
  <c r="F3676" i="12"/>
  <c r="G3675" i="12"/>
  <c r="F3675" i="12"/>
  <c r="G3674" i="12"/>
  <c r="F3674" i="12"/>
  <c r="G3673" i="12"/>
  <c r="F3673" i="12"/>
  <c r="G3672" i="12"/>
  <c r="F3672" i="12"/>
  <c r="G3671" i="12"/>
  <c r="F3671" i="12"/>
  <c r="G3670" i="12"/>
  <c r="F3670" i="12"/>
  <c r="G3669" i="12"/>
  <c r="F3669" i="12"/>
  <c r="G3668" i="12"/>
  <c r="F3668" i="12"/>
  <c r="G3667" i="12"/>
  <c r="F3667" i="12"/>
  <c r="G3666" i="12"/>
  <c r="F3666" i="12"/>
  <c r="G3665" i="12"/>
  <c r="F3665" i="12"/>
  <c r="G3664" i="12"/>
  <c r="F3664" i="12"/>
  <c r="G3663" i="12"/>
  <c r="F3663" i="12"/>
  <c r="G3662" i="12"/>
  <c r="F3662" i="12"/>
  <c r="G3661" i="12"/>
  <c r="F3661" i="12"/>
  <c r="G3660" i="12"/>
  <c r="F3660" i="12"/>
  <c r="G3659" i="12"/>
  <c r="F3659" i="12"/>
  <c r="G3658" i="12"/>
  <c r="F3658" i="12"/>
  <c r="G3657" i="12"/>
  <c r="F3657" i="12"/>
  <c r="G3656" i="12"/>
  <c r="F3656" i="12"/>
  <c r="G3655" i="12"/>
  <c r="F3655" i="12"/>
  <c r="G3654" i="12"/>
  <c r="F3654" i="12"/>
  <c r="G3653" i="12"/>
  <c r="F3653" i="12"/>
  <c r="G3652" i="12"/>
  <c r="F3652" i="12"/>
  <c r="G3651" i="12"/>
  <c r="F3651" i="12"/>
  <c r="G3650" i="12"/>
  <c r="F3650" i="12"/>
  <c r="G3649" i="12"/>
  <c r="F3649" i="12"/>
  <c r="G3648" i="12"/>
  <c r="F3648" i="12"/>
  <c r="G3647" i="12"/>
  <c r="F3647" i="12"/>
  <c r="G3646" i="12"/>
  <c r="F3646" i="12"/>
  <c r="G3645" i="12"/>
  <c r="F3645" i="12"/>
  <c r="G3644" i="12"/>
  <c r="F3644" i="12"/>
  <c r="A3644" i="12"/>
  <c r="G3643" i="12"/>
  <c r="F3643" i="12"/>
  <c r="G3642" i="12"/>
  <c r="F3642" i="12"/>
  <c r="G3641" i="12"/>
  <c r="F3641" i="12"/>
  <c r="G3640" i="12"/>
  <c r="F3640" i="12"/>
  <c r="G3639" i="12"/>
  <c r="F3639" i="12"/>
  <c r="G3638" i="12"/>
  <c r="F3638" i="12"/>
  <c r="G3637" i="12"/>
  <c r="F3637" i="12"/>
  <c r="G3636" i="12"/>
  <c r="F3636" i="12"/>
  <c r="G3635" i="12"/>
  <c r="F3635" i="12"/>
  <c r="G3634" i="12"/>
  <c r="F3634" i="12"/>
  <c r="G3633" i="12"/>
  <c r="F3633" i="12"/>
  <c r="G3632" i="12"/>
  <c r="F3632" i="12"/>
  <c r="G3631" i="12"/>
  <c r="F3631" i="12"/>
  <c r="G3630" i="12"/>
  <c r="F3630" i="12"/>
  <c r="A3630" i="12"/>
  <c r="G3629" i="12"/>
  <c r="F3629" i="12"/>
  <c r="G3628" i="12"/>
  <c r="F3628" i="12"/>
  <c r="G3627" i="12"/>
  <c r="F3627" i="12"/>
  <c r="G3626" i="12"/>
  <c r="F3626" i="12"/>
  <c r="G3625" i="12"/>
  <c r="F3625" i="12"/>
  <c r="G3624" i="12"/>
  <c r="F3624" i="12"/>
  <c r="G3623" i="12"/>
  <c r="F3623" i="12"/>
  <c r="G3622" i="12"/>
  <c r="F3622" i="12"/>
  <c r="G3621" i="12"/>
  <c r="F3621" i="12"/>
  <c r="G3620" i="12"/>
  <c r="F3620" i="12"/>
  <c r="G3619" i="12"/>
  <c r="F3619" i="12"/>
  <c r="G3618" i="12"/>
  <c r="F3618" i="12"/>
  <c r="G3617" i="12"/>
  <c r="F3617" i="12"/>
  <c r="A3617" i="12"/>
  <c r="G3616" i="12"/>
  <c r="F3616" i="12"/>
  <c r="G3615" i="12"/>
  <c r="F3615" i="12"/>
  <c r="A3615" i="12"/>
  <c r="G3614" i="12"/>
  <c r="F3614" i="12"/>
  <c r="G3613" i="12"/>
  <c r="F3613" i="12"/>
  <c r="G3612" i="12"/>
  <c r="F3612" i="12"/>
  <c r="G3611" i="12"/>
  <c r="F3611" i="12"/>
  <c r="G3610" i="12"/>
  <c r="F3610" i="12"/>
  <c r="G3609" i="12"/>
  <c r="F3609" i="12"/>
  <c r="G3608" i="12"/>
  <c r="F3608" i="12"/>
  <c r="G3607" i="12"/>
  <c r="F3607" i="12"/>
  <c r="G3606" i="12"/>
  <c r="F3606" i="12"/>
  <c r="A3606" i="12"/>
  <c r="G3605" i="12"/>
  <c r="F3605" i="12"/>
  <c r="G3604" i="12"/>
  <c r="F3604" i="12"/>
  <c r="G3603" i="12"/>
  <c r="F3603" i="12"/>
  <c r="G3602" i="12"/>
  <c r="F3602" i="12"/>
  <c r="G3601" i="12"/>
  <c r="F3601" i="12"/>
  <c r="G3600" i="12"/>
  <c r="F3600" i="12"/>
  <c r="G3599" i="12"/>
  <c r="F3599" i="12"/>
  <c r="G3598" i="12"/>
  <c r="F3598" i="12"/>
  <c r="G3597" i="12"/>
  <c r="F3597" i="12"/>
  <c r="G3596" i="12"/>
  <c r="F3596" i="12"/>
  <c r="G3595" i="12"/>
  <c r="F3595" i="12"/>
  <c r="A3595" i="12"/>
  <c r="G3594" i="12"/>
  <c r="F3594" i="12"/>
  <c r="G3593" i="12"/>
  <c r="F3593" i="12"/>
  <c r="G3592" i="12"/>
  <c r="F3592" i="12"/>
  <c r="G3591" i="12"/>
  <c r="F3591" i="12"/>
  <c r="G3590" i="12"/>
  <c r="F3590" i="12"/>
  <c r="G3589" i="12"/>
  <c r="F3589" i="12"/>
  <c r="A3589" i="12"/>
  <c r="G3588" i="12"/>
  <c r="F3588" i="12"/>
  <c r="G3587" i="12"/>
  <c r="F3587" i="12"/>
  <c r="G3586" i="12"/>
  <c r="F3586" i="12"/>
  <c r="G3585" i="12"/>
  <c r="F3585" i="12"/>
  <c r="G3584" i="12"/>
  <c r="F3584" i="12"/>
  <c r="G3583" i="12"/>
  <c r="F3583" i="12"/>
  <c r="G3582" i="12"/>
  <c r="F3582" i="12"/>
  <c r="G3581" i="12"/>
  <c r="F3581" i="12"/>
  <c r="G3580" i="12"/>
  <c r="F3580" i="12"/>
  <c r="G3579" i="12"/>
  <c r="F3579" i="12"/>
  <c r="A3579" i="12"/>
  <c r="G3578" i="12"/>
  <c r="F3578" i="12"/>
  <c r="G3577" i="12"/>
  <c r="F3577" i="12"/>
  <c r="G3576" i="12"/>
  <c r="F3576" i="12"/>
  <c r="G3575" i="12"/>
  <c r="F3575" i="12"/>
  <c r="G3574" i="12"/>
  <c r="F3574" i="12"/>
  <c r="G3573" i="12"/>
  <c r="F3573" i="12"/>
  <c r="G3572" i="12"/>
  <c r="F3572" i="12"/>
  <c r="G3571" i="12"/>
  <c r="F3571" i="12"/>
  <c r="G3570" i="12"/>
  <c r="F3570" i="12"/>
  <c r="G3569" i="12"/>
  <c r="F3569" i="12"/>
  <c r="G3568" i="12"/>
  <c r="F3568" i="12"/>
  <c r="G3567" i="12"/>
  <c r="F3567" i="12"/>
  <c r="G3566" i="12"/>
  <c r="F3566" i="12"/>
  <c r="G3565" i="12"/>
  <c r="F3565" i="12"/>
  <c r="G3564" i="12"/>
  <c r="F3564" i="12"/>
  <c r="G3563" i="12"/>
  <c r="F3563" i="12"/>
  <c r="A3563" i="12"/>
  <c r="G3562" i="12"/>
  <c r="F3562" i="12"/>
  <c r="G3561" i="12"/>
  <c r="F3561" i="12"/>
  <c r="G3560" i="12"/>
  <c r="F3560" i="12"/>
  <c r="A3560" i="12"/>
  <c r="G3559" i="12"/>
  <c r="F3559" i="12"/>
  <c r="G3558" i="12"/>
  <c r="F3558" i="12"/>
  <c r="G3557" i="12"/>
  <c r="F3557" i="12"/>
  <c r="G3556" i="12"/>
  <c r="F3556" i="12"/>
  <c r="G3555" i="12"/>
  <c r="F3555" i="12"/>
  <c r="A3555" i="12"/>
  <c r="G3554" i="12"/>
  <c r="F3554" i="12"/>
  <c r="G3553" i="12"/>
  <c r="F3553" i="12"/>
  <c r="G3552" i="12"/>
  <c r="F3552" i="12"/>
  <c r="G3551" i="12"/>
  <c r="F3551" i="12"/>
  <c r="G3550" i="12"/>
  <c r="F3550" i="12"/>
  <c r="G3549" i="12"/>
  <c r="F3549" i="12"/>
  <c r="G3548" i="12"/>
  <c r="F3548" i="12"/>
  <c r="G3547" i="12"/>
  <c r="F3547" i="12"/>
  <c r="G3546" i="12"/>
  <c r="F3546" i="12"/>
  <c r="G3545" i="12"/>
  <c r="F3545" i="12"/>
  <c r="G3544" i="12"/>
  <c r="F3544" i="12"/>
  <c r="G3543" i="12"/>
  <c r="F3543" i="12"/>
  <c r="G3542" i="12"/>
  <c r="F3542" i="12"/>
  <c r="G3541" i="12"/>
  <c r="F3541" i="12"/>
  <c r="G3540" i="12"/>
  <c r="F3540" i="12"/>
  <c r="G3539" i="12"/>
  <c r="F3539" i="12"/>
  <c r="G3538" i="12"/>
  <c r="F3538" i="12"/>
  <c r="G3537" i="12"/>
  <c r="F3537" i="12"/>
  <c r="G3536" i="12"/>
  <c r="F3536" i="12"/>
  <c r="G3535" i="12"/>
  <c r="F3535" i="12"/>
  <c r="G3534" i="12"/>
  <c r="F3534" i="12"/>
  <c r="G3533" i="12"/>
  <c r="F3533" i="12"/>
  <c r="G3532" i="12"/>
  <c r="F3532" i="12"/>
  <c r="G3531" i="12"/>
  <c r="F3531" i="12"/>
  <c r="G3530" i="12"/>
  <c r="F3530" i="12"/>
  <c r="G3529" i="12"/>
  <c r="F3529" i="12"/>
  <c r="G3528" i="12"/>
  <c r="F3528" i="12"/>
  <c r="G3527" i="12"/>
  <c r="F3527" i="12"/>
  <c r="G3526" i="12"/>
  <c r="F3526" i="12"/>
  <c r="G3525" i="12"/>
  <c r="F3525" i="12"/>
  <c r="G3524" i="12"/>
  <c r="F3524" i="12"/>
  <c r="G3523" i="12"/>
  <c r="F3523" i="12"/>
  <c r="G3522" i="12"/>
  <c r="F3522" i="12"/>
  <c r="G3521" i="12"/>
  <c r="F3521" i="12"/>
  <c r="G3520" i="12"/>
  <c r="F3520" i="12"/>
  <c r="G3519" i="12"/>
  <c r="F3519" i="12"/>
  <c r="G3518" i="12"/>
  <c r="F3518" i="12"/>
  <c r="G3517" i="12"/>
  <c r="F3517" i="12"/>
  <c r="G3516" i="12"/>
  <c r="F3516" i="12"/>
  <c r="G3515" i="12"/>
  <c r="F3515" i="12"/>
  <c r="G3514" i="12"/>
  <c r="F3514" i="12"/>
  <c r="G3513" i="12"/>
  <c r="F3513" i="12"/>
  <c r="G3512" i="12"/>
  <c r="F3512" i="12"/>
  <c r="G3511" i="12"/>
  <c r="F3511" i="12"/>
  <c r="G3510" i="12"/>
  <c r="F3510" i="12"/>
  <c r="G3509" i="12"/>
  <c r="F3509" i="12"/>
  <c r="G3508" i="12"/>
  <c r="F3508" i="12"/>
  <c r="G3507" i="12"/>
  <c r="F3507" i="12"/>
  <c r="G3506" i="12"/>
  <c r="F3506" i="12"/>
  <c r="G3505" i="12"/>
  <c r="F3505" i="12"/>
  <c r="G3504" i="12"/>
  <c r="F3504" i="12"/>
  <c r="G3503" i="12"/>
  <c r="F3503" i="12"/>
  <c r="G3502" i="12"/>
  <c r="F3502" i="12"/>
  <c r="G3501" i="12"/>
  <c r="F3501" i="12"/>
  <c r="G3500" i="12"/>
  <c r="F3500" i="12"/>
  <c r="G3499" i="12"/>
  <c r="F3499" i="12"/>
  <c r="G3498" i="12"/>
  <c r="F3498" i="12"/>
  <c r="G3497" i="12"/>
  <c r="F3497" i="12"/>
  <c r="G3496" i="12"/>
  <c r="F3496" i="12"/>
  <c r="G3495" i="12"/>
  <c r="F3495" i="12"/>
  <c r="G3494" i="12"/>
  <c r="F3494" i="12"/>
  <c r="G3493" i="12"/>
  <c r="F3493" i="12"/>
  <c r="G3492" i="12"/>
  <c r="F3492" i="12"/>
  <c r="G3491" i="12"/>
  <c r="F3491" i="12"/>
  <c r="G3490" i="12"/>
  <c r="F3490" i="12"/>
  <c r="G3489" i="12"/>
  <c r="F3489" i="12"/>
  <c r="G3488" i="12"/>
  <c r="F3488" i="12"/>
  <c r="G3487" i="12"/>
  <c r="F3487" i="12"/>
  <c r="G3486" i="12"/>
  <c r="F3486" i="12"/>
  <c r="G3485" i="12"/>
  <c r="F3485" i="12"/>
  <c r="G3484" i="12"/>
  <c r="F3484" i="12"/>
  <c r="G3483" i="12"/>
  <c r="F3483" i="12"/>
  <c r="G3482" i="12"/>
  <c r="F3482" i="12"/>
  <c r="G3481" i="12"/>
  <c r="F3481" i="12"/>
  <c r="G3480" i="12"/>
  <c r="F3480" i="12"/>
  <c r="G3479" i="12"/>
  <c r="F3479" i="12"/>
  <c r="G3478" i="12"/>
  <c r="F3478" i="12"/>
  <c r="G3477" i="12"/>
  <c r="F3477" i="12"/>
  <c r="G3476" i="12"/>
  <c r="F3476" i="12"/>
  <c r="G3475" i="12"/>
  <c r="F3475" i="12"/>
  <c r="G3474" i="12"/>
  <c r="F3474" i="12"/>
  <c r="G3473" i="12"/>
  <c r="F3473" i="12"/>
  <c r="G3472" i="12"/>
  <c r="F3472" i="12"/>
  <c r="A3472" i="12"/>
  <c r="G3471" i="12"/>
  <c r="F3471" i="12"/>
  <c r="G3470" i="12"/>
  <c r="F3470" i="12"/>
  <c r="G3469" i="12"/>
  <c r="F3469" i="12"/>
  <c r="G3468" i="12"/>
  <c r="F3468" i="12"/>
  <c r="G3467" i="12"/>
  <c r="F3467" i="12"/>
  <c r="G3466" i="12"/>
  <c r="F3466" i="12"/>
  <c r="G3465" i="12"/>
  <c r="F3465" i="12"/>
  <c r="G3464" i="12"/>
  <c r="F3464" i="12"/>
  <c r="G3463" i="12"/>
  <c r="F3463" i="12"/>
  <c r="G3462" i="12"/>
  <c r="F3462" i="12"/>
  <c r="G3461" i="12"/>
  <c r="F3461" i="12"/>
  <c r="G3460" i="12"/>
  <c r="F3460" i="12"/>
  <c r="G3459" i="12"/>
  <c r="F3459" i="12"/>
  <c r="G3458" i="12"/>
  <c r="F3458" i="12"/>
  <c r="G3457" i="12"/>
  <c r="F3457" i="12"/>
  <c r="G3456" i="12"/>
  <c r="F3456" i="12"/>
  <c r="G3455" i="12"/>
  <c r="F3455" i="12"/>
  <c r="G3454" i="12"/>
  <c r="F3454" i="12"/>
  <c r="G3453" i="12"/>
  <c r="F3453" i="12"/>
  <c r="G3452" i="12"/>
  <c r="F3452" i="12"/>
  <c r="G3451" i="12"/>
  <c r="F3451" i="12"/>
  <c r="G3450" i="12"/>
  <c r="F3450" i="12"/>
  <c r="G3449" i="12"/>
  <c r="F3449" i="12"/>
  <c r="G3448" i="12"/>
  <c r="F3448" i="12"/>
  <c r="G3447" i="12"/>
  <c r="F3447" i="12"/>
  <c r="G3446" i="12"/>
  <c r="F3446" i="12"/>
  <c r="G3445" i="12"/>
  <c r="F3445" i="12"/>
  <c r="G3444" i="12"/>
  <c r="F3444" i="12"/>
  <c r="G3443" i="12"/>
  <c r="F3443" i="12"/>
  <c r="G3442" i="12"/>
  <c r="F3442" i="12"/>
  <c r="G3441" i="12"/>
  <c r="F3441" i="12"/>
  <c r="G3440" i="12"/>
  <c r="F3440" i="12"/>
  <c r="G3439" i="12"/>
  <c r="F3439" i="12"/>
  <c r="G3438" i="12"/>
  <c r="F3438" i="12"/>
  <c r="G3437" i="12"/>
  <c r="F3437" i="12"/>
  <c r="G3436" i="12"/>
  <c r="F3436" i="12"/>
  <c r="G3435" i="12"/>
  <c r="F3435" i="12"/>
  <c r="G3434" i="12"/>
  <c r="F3434" i="12"/>
  <c r="G3433" i="12"/>
  <c r="F3433" i="12"/>
  <c r="G3432" i="12"/>
  <c r="F3432" i="12"/>
  <c r="G3431" i="12"/>
  <c r="F3431" i="12"/>
  <c r="G3430" i="12"/>
  <c r="F3430" i="12"/>
  <c r="A3430" i="12"/>
  <c r="G3429" i="12"/>
  <c r="F3429" i="12"/>
  <c r="G3428" i="12"/>
  <c r="F3428" i="12"/>
  <c r="G3427" i="12"/>
  <c r="F3427" i="12"/>
  <c r="G3426" i="12"/>
  <c r="F3426" i="12"/>
  <c r="G3425" i="12"/>
  <c r="F3425" i="12"/>
  <c r="G3424" i="12"/>
  <c r="F3424" i="12"/>
  <c r="G3423" i="12"/>
  <c r="F3423" i="12"/>
  <c r="A3423" i="12"/>
  <c r="G3422" i="12"/>
  <c r="F3422" i="12"/>
  <c r="G3421" i="12"/>
  <c r="F3421" i="12"/>
  <c r="G3420" i="12"/>
  <c r="F3420" i="12"/>
  <c r="G3419" i="12"/>
  <c r="F3419" i="12"/>
  <c r="G3418" i="12"/>
  <c r="F3418" i="12"/>
  <c r="G3417" i="12"/>
  <c r="F3417" i="12"/>
  <c r="G3416" i="12"/>
  <c r="F3416" i="12"/>
  <c r="G3415" i="12"/>
  <c r="F3415" i="12"/>
  <c r="G3414" i="12"/>
  <c r="F3414" i="12"/>
  <c r="G3413" i="12"/>
  <c r="F3413" i="12"/>
  <c r="G3412" i="12"/>
  <c r="F3412" i="12"/>
  <c r="G3411" i="12"/>
  <c r="F3411" i="12"/>
  <c r="G3410" i="12"/>
  <c r="F3410" i="12"/>
  <c r="G3409" i="12"/>
  <c r="F3409" i="12"/>
  <c r="G3408" i="12"/>
  <c r="F3408" i="12"/>
  <c r="G3407" i="12"/>
  <c r="F3407" i="12"/>
  <c r="G3406" i="12"/>
  <c r="F3406" i="12"/>
  <c r="G3405" i="12"/>
  <c r="F3405" i="12"/>
  <c r="G3404" i="12"/>
  <c r="F3404" i="12"/>
  <c r="G3403" i="12"/>
  <c r="F3403" i="12"/>
  <c r="A3403" i="12"/>
  <c r="G3402" i="12"/>
  <c r="F3402" i="12"/>
  <c r="G3401" i="12"/>
  <c r="F3401" i="12"/>
  <c r="G3400" i="12"/>
  <c r="F3400" i="12"/>
  <c r="G3399" i="12"/>
  <c r="F3399" i="12"/>
  <c r="G3398" i="12"/>
  <c r="F3398" i="12"/>
  <c r="G3397" i="12"/>
  <c r="F3397" i="12"/>
  <c r="G3396" i="12"/>
  <c r="F3396" i="12"/>
  <c r="G3395" i="12"/>
  <c r="F3395" i="12"/>
  <c r="G3394" i="12"/>
  <c r="F3394" i="12"/>
  <c r="G3393" i="12"/>
  <c r="F3393" i="12"/>
  <c r="G3392" i="12"/>
  <c r="F3392" i="12"/>
  <c r="G3391" i="12"/>
  <c r="F3391" i="12"/>
  <c r="G3390" i="12"/>
  <c r="F3390" i="12"/>
  <c r="G3389" i="12"/>
  <c r="F3389" i="12"/>
  <c r="G3388" i="12"/>
  <c r="F3388" i="12"/>
  <c r="G3387" i="12"/>
  <c r="F3387" i="12"/>
  <c r="A3387" i="12"/>
  <c r="G3386" i="12"/>
  <c r="F3386" i="12"/>
  <c r="G3385" i="12"/>
  <c r="F3385" i="12"/>
  <c r="G3384" i="12"/>
  <c r="F3384" i="12"/>
  <c r="G3383" i="12"/>
  <c r="F3383" i="12"/>
  <c r="G3382" i="12"/>
  <c r="F3382" i="12"/>
  <c r="G3381" i="12"/>
  <c r="F3381" i="12"/>
  <c r="G3380" i="12"/>
  <c r="F3380" i="12"/>
  <c r="G3379" i="12"/>
  <c r="F3379" i="12"/>
  <c r="G3378" i="12"/>
  <c r="F3378" i="12"/>
  <c r="G3377" i="12"/>
  <c r="F3377" i="12"/>
  <c r="G3376" i="12"/>
  <c r="F3376" i="12"/>
  <c r="G3375" i="12"/>
  <c r="F3375" i="12"/>
  <c r="G3374" i="12"/>
  <c r="F3374" i="12"/>
  <c r="G3373" i="12"/>
  <c r="F3373" i="12"/>
  <c r="G3372" i="12"/>
  <c r="F3372" i="12"/>
  <c r="G3371" i="12"/>
  <c r="F3371" i="12"/>
  <c r="G3370" i="12"/>
  <c r="F3370" i="12"/>
  <c r="G3369" i="12"/>
  <c r="F3369" i="12"/>
  <c r="G3368" i="12"/>
  <c r="F3368" i="12"/>
  <c r="G3367" i="12"/>
  <c r="F3367" i="12"/>
  <c r="G3366" i="12"/>
  <c r="F3366" i="12"/>
  <c r="G3365" i="12"/>
  <c r="F3365" i="12"/>
  <c r="G3364" i="12"/>
  <c r="F3364" i="12"/>
  <c r="G3363" i="12"/>
  <c r="F3363" i="12"/>
  <c r="G3362" i="12"/>
  <c r="F3362" i="12"/>
  <c r="G3361" i="12"/>
  <c r="F3361" i="12"/>
  <c r="G3360" i="12"/>
  <c r="F3360" i="12"/>
  <c r="G3359" i="12"/>
  <c r="F3359" i="12"/>
  <c r="G3358" i="12"/>
  <c r="F3358" i="12"/>
  <c r="G3357" i="12"/>
  <c r="F3357" i="12"/>
  <c r="G3356" i="12"/>
  <c r="F3356" i="12"/>
  <c r="G3355" i="12"/>
  <c r="F3355" i="12"/>
  <c r="G3354" i="12"/>
  <c r="F3354" i="12"/>
  <c r="G3353" i="12"/>
  <c r="F3353" i="12"/>
  <c r="G3352" i="12"/>
  <c r="F3352" i="12"/>
  <c r="G3351" i="12"/>
  <c r="F3351" i="12"/>
  <c r="G3350" i="12"/>
  <c r="F3350" i="12"/>
  <c r="G3349" i="12"/>
  <c r="F3349" i="12"/>
  <c r="G3348" i="12"/>
  <c r="F3348" i="12"/>
  <c r="G3347" i="12"/>
  <c r="F3347" i="12"/>
  <c r="G3346" i="12"/>
  <c r="F3346" i="12"/>
  <c r="G3345" i="12"/>
  <c r="F3345" i="12"/>
  <c r="G3344" i="12"/>
  <c r="F3344" i="12"/>
  <c r="G3343" i="12"/>
  <c r="F3343" i="12"/>
  <c r="G3342" i="12"/>
  <c r="F3342" i="12"/>
  <c r="G3341" i="12"/>
  <c r="F3341" i="12"/>
  <c r="G3340" i="12"/>
  <c r="F3340" i="12"/>
  <c r="G3339" i="12"/>
  <c r="F3339" i="12"/>
  <c r="G3338" i="12"/>
  <c r="F3338" i="12"/>
  <c r="G3337" i="12"/>
  <c r="F3337" i="12"/>
  <c r="G3336" i="12"/>
  <c r="F3336" i="12"/>
  <c r="G3335" i="12"/>
  <c r="F3335" i="12"/>
  <c r="G3334" i="12"/>
  <c r="F3334" i="12"/>
  <c r="G3333" i="12"/>
  <c r="F3333" i="12"/>
  <c r="G3332" i="12"/>
  <c r="F3332" i="12"/>
  <c r="G3331" i="12"/>
  <c r="F3331" i="12"/>
  <c r="G3330" i="12"/>
  <c r="F3330" i="12"/>
  <c r="G3329" i="12"/>
  <c r="F3329" i="12"/>
  <c r="G3328" i="12"/>
  <c r="F3328" i="12"/>
  <c r="G3327" i="12"/>
  <c r="F3327" i="12"/>
  <c r="G3326" i="12"/>
  <c r="F3326" i="12"/>
  <c r="G3325" i="12"/>
  <c r="F3325" i="12"/>
  <c r="G3324" i="12"/>
  <c r="F3324" i="12"/>
  <c r="G3323" i="12"/>
  <c r="F3323" i="12"/>
  <c r="G3322" i="12"/>
  <c r="F3322" i="12"/>
  <c r="G3321" i="12"/>
  <c r="F3321" i="12"/>
  <c r="G3320" i="12"/>
  <c r="F3320" i="12"/>
  <c r="G3319" i="12"/>
  <c r="F3319" i="12"/>
  <c r="G3318" i="12"/>
  <c r="F3318" i="12"/>
  <c r="G3317" i="12"/>
  <c r="F3317" i="12"/>
  <c r="G3316" i="12"/>
  <c r="F3316" i="12"/>
  <c r="G3315" i="12"/>
  <c r="F3315" i="12"/>
  <c r="G3314" i="12"/>
  <c r="F3314" i="12"/>
  <c r="G3313" i="12"/>
  <c r="F3313" i="12"/>
  <c r="G3312" i="12"/>
  <c r="F3312" i="12"/>
  <c r="G3311" i="12"/>
  <c r="F3311" i="12"/>
  <c r="G3310" i="12"/>
  <c r="F3310" i="12"/>
  <c r="G3309" i="12"/>
  <c r="F3309" i="12"/>
  <c r="G3308" i="12"/>
  <c r="F3308" i="12"/>
  <c r="G3307" i="12"/>
  <c r="F3307" i="12"/>
  <c r="G3306" i="12"/>
  <c r="F3306" i="12"/>
  <c r="G3305" i="12"/>
  <c r="F3305" i="12"/>
  <c r="G3304" i="12"/>
  <c r="F3304" i="12"/>
  <c r="G3303" i="12"/>
  <c r="F3303" i="12"/>
  <c r="G3302" i="12"/>
  <c r="F3302" i="12"/>
  <c r="G3301" i="12"/>
  <c r="F3301" i="12"/>
  <c r="G3300" i="12"/>
  <c r="F3300" i="12"/>
  <c r="G3299" i="12"/>
  <c r="F3299" i="12"/>
  <c r="G3298" i="12"/>
  <c r="F3298" i="12"/>
  <c r="G3297" i="12"/>
  <c r="F3297" i="12"/>
  <c r="G3296" i="12"/>
  <c r="F3296" i="12"/>
  <c r="G3295" i="12"/>
  <c r="F3295" i="12"/>
  <c r="G3294" i="12"/>
  <c r="F3294" i="12"/>
  <c r="G3293" i="12"/>
  <c r="F3293" i="12"/>
  <c r="G3292" i="12"/>
  <c r="F3292" i="12"/>
  <c r="G3291" i="12"/>
  <c r="F3291" i="12"/>
  <c r="G3290" i="12"/>
  <c r="F3290" i="12"/>
  <c r="G3289" i="12"/>
  <c r="F3289" i="12"/>
  <c r="G3288" i="12"/>
  <c r="F3288" i="12"/>
  <c r="G3287" i="12"/>
  <c r="F3287" i="12"/>
  <c r="G3286" i="12"/>
  <c r="F3286" i="12"/>
  <c r="G3285" i="12"/>
  <c r="F3285" i="12"/>
  <c r="G3284" i="12"/>
  <c r="F3284" i="12"/>
  <c r="G3283" i="12"/>
  <c r="F3283" i="12"/>
  <c r="G3282" i="12"/>
  <c r="F3282" i="12"/>
  <c r="G3281" i="12"/>
  <c r="F3281" i="12"/>
  <c r="G3280" i="12"/>
  <c r="F3280" i="12"/>
  <c r="G3279" i="12"/>
  <c r="F3279" i="12"/>
  <c r="G3278" i="12"/>
  <c r="F3278" i="12"/>
  <c r="G3277" i="12"/>
  <c r="F3277" i="12"/>
  <c r="G3276" i="12"/>
  <c r="F3276" i="12"/>
  <c r="G3275" i="12"/>
  <c r="F3275" i="12"/>
  <c r="G3274" i="12"/>
  <c r="F3274" i="12"/>
  <c r="G3273" i="12"/>
  <c r="F3273" i="12"/>
  <c r="G3272" i="12"/>
  <c r="F3272" i="12"/>
  <c r="G3271" i="12"/>
  <c r="F3271" i="12"/>
  <c r="G3270" i="12"/>
  <c r="F3270" i="12"/>
  <c r="G3269" i="12"/>
  <c r="F3269" i="12"/>
  <c r="G3268" i="12"/>
  <c r="F3268" i="12"/>
  <c r="G3267" i="12"/>
  <c r="F3267" i="12"/>
  <c r="G3266" i="12"/>
  <c r="F3266" i="12"/>
  <c r="G3265" i="12"/>
  <c r="F3265" i="12"/>
  <c r="G3264" i="12"/>
  <c r="F3264" i="12"/>
  <c r="G3263" i="12"/>
  <c r="F3263" i="12"/>
  <c r="G3262" i="12"/>
  <c r="F3262" i="12"/>
  <c r="G3261" i="12"/>
  <c r="F3261" i="12"/>
  <c r="G3260" i="12"/>
  <c r="F3260" i="12"/>
  <c r="G3259" i="12"/>
  <c r="F3259" i="12"/>
  <c r="G3258" i="12"/>
  <c r="F3258" i="12"/>
  <c r="G3257" i="12"/>
  <c r="F3257" i="12"/>
  <c r="G3256" i="12"/>
  <c r="F3256" i="12"/>
  <c r="G3255" i="12"/>
  <c r="F3255" i="12"/>
  <c r="G3254" i="12"/>
  <c r="F3254" i="12"/>
  <c r="G3253" i="12"/>
  <c r="F3253" i="12"/>
  <c r="G3252" i="12"/>
  <c r="F3252" i="12"/>
  <c r="G3251" i="12"/>
  <c r="F3251" i="12"/>
  <c r="A3251" i="12"/>
  <c r="G3250" i="12"/>
  <c r="F3250" i="12"/>
  <c r="G3249" i="12"/>
  <c r="F3249" i="12"/>
  <c r="G3248" i="12"/>
  <c r="F3248" i="12"/>
  <c r="G3247" i="12"/>
  <c r="F3247" i="12"/>
  <c r="G3246" i="12"/>
  <c r="F3246" i="12"/>
  <c r="G3245" i="12"/>
  <c r="F3245" i="12"/>
  <c r="G3244" i="12"/>
  <c r="F3244" i="12"/>
  <c r="G3243" i="12"/>
  <c r="F3243" i="12"/>
  <c r="G3242" i="12"/>
  <c r="F3242" i="12"/>
  <c r="G3241" i="12"/>
  <c r="F3241" i="12"/>
  <c r="G3240" i="12"/>
  <c r="F3240" i="12"/>
  <c r="G3239" i="12"/>
  <c r="F3239" i="12"/>
  <c r="G3238" i="12"/>
  <c r="F3238" i="12"/>
  <c r="G3237" i="12"/>
  <c r="F3237" i="12"/>
  <c r="G3236" i="12"/>
  <c r="F3236" i="12"/>
  <c r="G3235" i="12"/>
  <c r="F3235" i="12"/>
  <c r="G3234" i="12"/>
  <c r="F3234" i="12"/>
  <c r="G3233" i="12"/>
  <c r="F3233" i="12"/>
  <c r="G3232" i="12"/>
  <c r="F3232" i="12"/>
  <c r="G3231" i="12"/>
  <c r="F3231" i="12"/>
  <c r="G3230" i="12"/>
  <c r="F3230" i="12"/>
  <c r="G3229" i="12"/>
  <c r="F3229" i="12"/>
  <c r="G3228" i="12"/>
  <c r="F3228" i="12"/>
  <c r="G3227" i="12"/>
  <c r="F3227" i="12"/>
  <c r="G3226" i="12"/>
  <c r="F3226" i="12"/>
  <c r="G3225" i="12"/>
  <c r="F3225" i="12"/>
  <c r="A3225" i="12"/>
  <c r="G3224" i="12"/>
  <c r="F3224" i="12"/>
  <c r="G3223" i="12"/>
  <c r="F3223" i="12"/>
  <c r="G3222" i="12"/>
  <c r="F3222" i="12"/>
  <c r="G3221" i="12"/>
  <c r="F3221" i="12"/>
  <c r="G3220" i="12"/>
  <c r="F3220" i="12"/>
  <c r="G3219" i="12"/>
  <c r="F3219" i="12"/>
  <c r="G3218" i="12"/>
  <c r="F3218" i="12"/>
  <c r="G3217" i="12"/>
  <c r="F3217" i="12"/>
  <c r="G3216" i="12"/>
  <c r="F3216" i="12"/>
  <c r="G3215" i="12"/>
  <c r="F3215" i="12"/>
  <c r="G3214" i="12"/>
  <c r="F3214" i="12"/>
  <c r="G3213" i="12"/>
  <c r="F3213" i="12"/>
  <c r="G3212" i="12"/>
  <c r="F3212" i="12"/>
  <c r="G3211" i="12"/>
  <c r="F3211" i="12"/>
  <c r="G3210" i="12"/>
  <c r="F3210" i="12"/>
  <c r="G3209" i="12"/>
  <c r="F3209" i="12"/>
  <c r="G3208" i="12"/>
  <c r="F3208" i="12"/>
  <c r="G3207" i="12"/>
  <c r="F3207" i="12"/>
  <c r="A3207" i="12"/>
  <c r="G3206" i="12"/>
  <c r="F3206" i="12"/>
  <c r="G3205" i="12"/>
  <c r="F3205" i="12"/>
  <c r="G3204" i="12"/>
  <c r="F3204" i="12"/>
  <c r="G3203" i="12"/>
  <c r="F3203" i="12"/>
  <c r="G3202" i="12"/>
  <c r="F3202" i="12"/>
  <c r="G3201" i="12"/>
  <c r="F3201" i="12"/>
  <c r="G3200" i="12"/>
  <c r="F3200" i="12"/>
  <c r="G3199" i="12"/>
  <c r="F3199" i="12"/>
  <c r="G3198" i="12"/>
  <c r="F3198" i="12"/>
  <c r="G3197" i="12"/>
  <c r="F3197" i="12"/>
  <c r="G3196" i="12"/>
  <c r="F3196" i="12"/>
  <c r="G3195" i="12"/>
  <c r="F3195" i="12"/>
  <c r="G3194" i="12"/>
  <c r="F3194" i="12"/>
  <c r="G3193" i="12"/>
  <c r="F3193" i="12"/>
  <c r="G3192" i="12"/>
  <c r="F3192" i="12"/>
  <c r="G3191" i="12"/>
  <c r="F3191" i="12"/>
  <c r="G3190" i="12"/>
  <c r="F3190" i="12"/>
  <c r="G3189" i="12"/>
  <c r="F3189" i="12"/>
  <c r="G3188" i="12"/>
  <c r="F3188" i="12"/>
  <c r="G3187" i="12"/>
  <c r="F3187" i="12"/>
  <c r="G3186" i="12"/>
  <c r="F3186" i="12"/>
  <c r="G3185" i="12"/>
  <c r="F3185" i="12"/>
  <c r="A3185" i="12"/>
  <c r="G3184" i="12"/>
  <c r="F3184" i="12"/>
  <c r="G3183" i="12"/>
  <c r="F3183" i="12"/>
  <c r="G3182" i="12"/>
  <c r="F3182" i="12"/>
  <c r="G3181" i="12"/>
  <c r="F3181" i="12"/>
  <c r="G3180" i="12"/>
  <c r="F3180" i="12"/>
  <c r="G3179" i="12"/>
  <c r="F3179" i="12"/>
  <c r="G3178" i="12"/>
  <c r="F3178" i="12"/>
  <c r="G3177" i="12"/>
  <c r="F3177" i="12"/>
  <c r="G3176" i="12"/>
  <c r="F3176" i="12"/>
  <c r="G3175" i="12"/>
  <c r="F3175" i="12"/>
  <c r="G3174" i="12"/>
  <c r="F3174" i="12"/>
  <c r="G3173" i="12"/>
  <c r="F3173" i="12"/>
  <c r="G3172" i="12"/>
  <c r="F3172" i="12"/>
  <c r="A3172" i="12"/>
  <c r="G3171" i="12"/>
  <c r="F3171" i="12"/>
  <c r="G3170" i="12"/>
  <c r="F3170" i="12"/>
  <c r="G3169" i="12"/>
  <c r="F3169" i="12"/>
  <c r="G3168" i="12"/>
  <c r="F3168" i="12"/>
  <c r="G3167" i="12"/>
  <c r="F3167" i="12"/>
  <c r="G3166" i="12"/>
  <c r="F3166" i="12"/>
  <c r="G3165" i="12"/>
  <c r="F3165" i="12"/>
  <c r="G3164" i="12"/>
  <c r="F3164" i="12"/>
  <c r="G3163" i="12"/>
  <c r="F3163" i="12"/>
  <c r="G3162" i="12"/>
  <c r="F3162" i="12"/>
  <c r="G3161" i="12"/>
  <c r="F3161" i="12"/>
  <c r="G3160" i="12"/>
  <c r="F3160" i="12"/>
  <c r="G3159" i="12"/>
  <c r="F3159" i="12"/>
  <c r="G3158" i="12"/>
  <c r="F3158" i="12"/>
  <c r="G3157" i="12"/>
  <c r="F3157" i="12"/>
  <c r="G3156" i="12"/>
  <c r="F3156" i="12"/>
  <c r="A3156" i="12"/>
  <c r="G3155" i="12"/>
  <c r="F3155" i="12"/>
  <c r="G3154" i="12"/>
  <c r="F3154" i="12"/>
  <c r="G3153" i="12"/>
  <c r="F3153" i="12"/>
  <c r="G3152" i="12"/>
  <c r="F3152" i="12"/>
  <c r="G3151" i="12"/>
  <c r="F3151" i="12"/>
  <c r="G3150" i="12"/>
  <c r="F3150" i="12"/>
  <c r="G3149" i="12"/>
  <c r="F3149" i="12"/>
  <c r="G3148" i="12"/>
  <c r="F3148" i="12"/>
  <c r="A3148" i="12"/>
  <c r="G3147" i="12"/>
  <c r="F3147" i="12"/>
  <c r="G3146" i="12"/>
  <c r="F3146" i="12"/>
  <c r="G3145" i="12"/>
  <c r="F3145" i="12"/>
  <c r="G3144" i="12"/>
  <c r="F3144" i="12"/>
  <c r="G3143" i="12"/>
  <c r="F3143" i="12"/>
  <c r="G3142" i="12"/>
  <c r="F3142" i="12"/>
  <c r="G3141" i="12"/>
  <c r="F3141" i="12"/>
  <c r="G3140" i="12"/>
  <c r="F3140" i="12"/>
  <c r="G3139" i="12"/>
  <c r="F3139" i="12"/>
  <c r="G3138" i="12"/>
  <c r="F3138" i="12"/>
  <c r="G3137" i="12"/>
  <c r="F3137" i="12"/>
  <c r="A3137" i="12"/>
  <c r="G3136" i="12"/>
  <c r="F3136" i="12"/>
  <c r="G3135" i="12"/>
  <c r="F3135" i="12"/>
  <c r="G3134" i="12"/>
  <c r="F3134" i="12"/>
  <c r="G3133" i="12"/>
  <c r="F3133" i="12"/>
  <c r="G3132" i="12"/>
  <c r="F3132" i="12"/>
  <c r="G3131" i="12"/>
  <c r="F3131" i="12"/>
  <c r="G3130" i="12"/>
  <c r="F3130" i="12"/>
  <c r="G3129" i="12"/>
  <c r="F3129" i="12"/>
  <c r="G3128" i="12"/>
  <c r="F3128" i="12"/>
  <c r="G3127" i="12"/>
  <c r="F3127" i="12"/>
  <c r="G3126" i="12"/>
  <c r="F3126" i="12"/>
  <c r="G3125" i="12"/>
  <c r="F3125" i="12"/>
  <c r="G3124" i="12"/>
  <c r="F3124" i="12"/>
  <c r="G3123" i="12"/>
  <c r="F3123" i="12"/>
  <c r="G3122" i="12"/>
  <c r="F3122" i="12"/>
  <c r="G3121" i="12"/>
  <c r="F3121" i="12"/>
  <c r="G3120" i="12"/>
  <c r="F3120" i="12"/>
  <c r="G3119" i="12"/>
  <c r="F3119" i="12"/>
  <c r="G3118" i="12"/>
  <c r="F3118" i="12"/>
  <c r="A3118" i="12"/>
  <c r="G3117" i="12"/>
  <c r="F3117" i="12"/>
  <c r="G3116" i="12"/>
  <c r="F3116" i="12"/>
  <c r="G3115" i="12"/>
  <c r="F3115" i="12"/>
  <c r="G3114" i="12"/>
  <c r="F3114" i="12"/>
  <c r="G3113" i="12"/>
  <c r="F3113" i="12"/>
  <c r="G3112" i="12"/>
  <c r="F3112" i="12"/>
  <c r="G3111" i="12"/>
  <c r="F3111" i="12"/>
  <c r="G3110" i="12"/>
  <c r="F3110" i="12"/>
  <c r="G3109" i="12"/>
  <c r="F3109" i="12"/>
  <c r="G3108" i="12"/>
  <c r="F3108" i="12"/>
  <c r="G3107" i="12"/>
  <c r="F3107" i="12"/>
  <c r="G3106" i="12"/>
  <c r="F3106" i="12"/>
  <c r="G3105" i="12"/>
  <c r="F3105" i="12"/>
  <c r="G3104" i="12"/>
  <c r="F3104" i="12"/>
  <c r="G3103" i="12"/>
  <c r="F3103" i="12"/>
  <c r="G3102" i="12"/>
  <c r="F3102" i="12"/>
  <c r="G3101" i="12"/>
  <c r="F3101" i="12"/>
  <c r="G3100" i="12"/>
  <c r="F3100" i="12"/>
  <c r="G3099" i="12"/>
  <c r="F3099" i="12"/>
  <c r="G3098" i="12"/>
  <c r="F3098" i="12"/>
  <c r="G3097" i="12"/>
  <c r="F3097" i="12"/>
  <c r="G3096" i="12"/>
  <c r="F3096" i="12"/>
  <c r="G3095" i="12"/>
  <c r="F3095" i="12"/>
  <c r="G3094" i="12"/>
  <c r="F3094" i="12"/>
  <c r="G3093" i="12"/>
  <c r="F3093" i="12"/>
  <c r="G3092" i="12"/>
  <c r="F3092" i="12"/>
  <c r="G3091" i="12"/>
  <c r="F3091" i="12"/>
  <c r="G3090" i="12"/>
  <c r="F3090" i="12"/>
  <c r="G3089" i="12"/>
  <c r="F3089" i="12"/>
  <c r="G3088" i="12"/>
  <c r="F3088" i="12"/>
  <c r="G3087" i="12"/>
  <c r="F3087" i="12"/>
  <c r="G3086" i="12"/>
  <c r="F3086" i="12"/>
  <c r="G3085" i="12"/>
  <c r="F3085" i="12"/>
  <c r="G3084" i="12"/>
  <c r="F3084" i="12"/>
  <c r="G3083" i="12"/>
  <c r="F3083" i="12"/>
  <c r="G3082" i="12"/>
  <c r="F3082" i="12"/>
  <c r="G3081" i="12"/>
  <c r="F3081" i="12"/>
  <c r="A3081" i="12"/>
  <c r="G3080" i="12"/>
  <c r="F3080" i="12"/>
  <c r="G3079" i="12"/>
  <c r="F3079" i="12"/>
  <c r="G3078" i="12"/>
  <c r="F3078" i="12"/>
  <c r="G3077" i="12"/>
  <c r="F3077" i="12"/>
  <c r="G3076" i="12"/>
  <c r="F3076" i="12"/>
  <c r="G3075" i="12"/>
  <c r="F3075" i="12"/>
  <c r="G3074" i="12"/>
  <c r="F3074" i="12"/>
  <c r="G3073" i="12"/>
  <c r="F3073" i="12"/>
  <c r="A3073" i="12"/>
  <c r="G3072" i="12"/>
  <c r="F3072" i="12"/>
  <c r="G3071" i="12"/>
  <c r="F3071" i="12"/>
  <c r="G3070" i="12"/>
  <c r="F3070" i="12"/>
  <c r="G3069" i="12"/>
  <c r="F3069" i="12"/>
  <c r="G3068" i="12"/>
  <c r="F3068" i="12"/>
  <c r="G3067" i="12"/>
  <c r="F3067" i="12"/>
  <c r="G3066" i="12"/>
  <c r="F3066" i="12"/>
  <c r="G3065" i="12"/>
  <c r="F3065" i="12"/>
  <c r="G3064" i="12"/>
  <c r="F3064" i="12"/>
  <c r="G3063" i="12"/>
  <c r="F3063" i="12"/>
  <c r="G3062" i="12"/>
  <c r="F3062" i="12"/>
  <c r="G3061" i="12"/>
  <c r="F3061" i="12"/>
  <c r="G3060" i="12"/>
  <c r="F3060" i="12"/>
  <c r="G3059" i="12"/>
  <c r="F3059" i="12"/>
  <c r="G3058" i="12"/>
  <c r="F3058" i="12"/>
  <c r="G3057" i="12"/>
  <c r="F3057" i="12"/>
  <c r="G3056" i="12"/>
  <c r="F3056" i="12"/>
  <c r="A3056" i="12"/>
  <c r="G3055" i="12"/>
  <c r="F3055" i="12"/>
  <c r="G3054" i="12"/>
  <c r="F3054" i="12"/>
  <c r="G3053" i="12"/>
  <c r="F3053" i="12"/>
  <c r="G3052" i="12"/>
  <c r="F3052" i="12"/>
  <c r="G3051" i="12"/>
  <c r="F3051" i="12"/>
  <c r="G3050" i="12"/>
  <c r="F3050" i="12"/>
  <c r="G3049" i="12"/>
  <c r="F3049" i="12"/>
  <c r="G3048" i="12"/>
  <c r="F3048" i="12"/>
  <c r="G3047" i="12"/>
  <c r="F3047" i="12"/>
  <c r="G3046" i="12"/>
  <c r="F3046" i="12"/>
  <c r="G3045" i="12"/>
  <c r="F3045" i="12"/>
  <c r="G3044" i="12"/>
  <c r="F3044" i="12"/>
  <c r="G3043" i="12"/>
  <c r="F3043" i="12"/>
  <c r="G3042" i="12"/>
  <c r="F3042" i="12"/>
  <c r="G3041" i="12"/>
  <c r="F3041" i="12"/>
  <c r="G3040" i="12"/>
  <c r="F3040" i="12"/>
  <c r="G3039" i="12"/>
  <c r="F3039" i="12"/>
  <c r="G3038" i="12"/>
  <c r="F3038" i="12"/>
  <c r="G3037" i="12"/>
  <c r="F3037" i="12"/>
  <c r="A3037" i="12"/>
  <c r="G3036" i="12"/>
  <c r="F3036" i="12"/>
  <c r="G3035" i="12"/>
  <c r="F3035" i="12"/>
  <c r="G3034" i="12"/>
  <c r="F3034" i="12"/>
  <c r="A3034" i="12"/>
  <c r="G3033" i="12"/>
  <c r="F3033" i="12"/>
  <c r="G3032" i="12"/>
  <c r="F3032" i="12"/>
  <c r="G3031" i="12"/>
  <c r="F3031" i="12"/>
  <c r="G3030" i="12"/>
  <c r="F3030" i="12"/>
  <c r="G3029" i="12"/>
  <c r="F3029" i="12"/>
  <c r="G3028" i="12"/>
  <c r="F3028" i="12"/>
  <c r="G3027" i="12"/>
  <c r="F3027" i="12"/>
  <c r="G3026" i="12"/>
  <c r="F3026" i="12"/>
  <c r="G3025" i="12"/>
  <c r="F3025" i="12"/>
  <c r="G3024" i="12"/>
  <c r="F3024" i="12"/>
  <c r="G3023" i="12"/>
  <c r="F3023" i="12"/>
  <c r="G3022" i="12"/>
  <c r="F3022" i="12"/>
  <c r="A3022" i="12"/>
  <c r="G3021" i="12"/>
  <c r="F3021" i="12"/>
  <c r="G3020" i="12"/>
  <c r="F3020" i="12"/>
  <c r="G3019" i="12"/>
  <c r="F3019" i="12"/>
  <c r="G3018" i="12"/>
  <c r="F3018" i="12"/>
  <c r="G3017" i="12"/>
  <c r="F3017" i="12"/>
  <c r="G3016" i="12"/>
  <c r="F3016" i="12"/>
  <c r="G3015" i="12"/>
  <c r="F3015" i="12"/>
  <c r="G3014" i="12"/>
  <c r="F3014" i="12"/>
  <c r="G3013" i="12"/>
  <c r="F3013" i="12"/>
  <c r="G3012" i="12"/>
  <c r="F3012" i="12"/>
  <c r="G3011" i="12"/>
  <c r="F3011" i="12"/>
  <c r="G3010" i="12"/>
  <c r="F3010" i="12"/>
  <c r="G3009" i="12"/>
  <c r="F3009" i="12"/>
  <c r="G3008" i="12"/>
  <c r="F3008" i="12"/>
  <c r="G3007" i="12"/>
  <c r="F3007" i="12"/>
  <c r="G3006" i="12"/>
  <c r="F3006" i="12"/>
  <c r="G3005" i="12"/>
  <c r="F3005" i="12"/>
  <c r="G3004" i="12"/>
  <c r="F3004" i="12"/>
  <c r="G3003" i="12"/>
  <c r="F3003" i="12"/>
  <c r="A3003" i="12"/>
  <c r="G3002" i="12"/>
  <c r="F3002" i="12"/>
  <c r="G3001" i="12"/>
  <c r="F3001" i="12"/>
  <c r="G3000" i="12"/>
  <c r="F3000" i="12"/>
  <c r="G2999" i="12"/>
  <c r="F2999" i="12"/>
  <c r="G2998" i="12"/>
  <c r="F2998" i="12"/>
  <c r="G2997" i="12"/>
  <c r="F2997" i="12"/>
  <c r="G2996" i="12"/>
  <c r="F2996" i="12"/>
  <c r="G2995" i="12"/>
  <c r="F2995" i="12"/>
  <c r="G2994" i="12"/>
  <c r="F2994" i="12"/>
  <c r="G2993" i="12"/>
  <c r="F2993" i="12"/>
  <c r="G2992" i="12"/>
  <c r="F2992" i="12"/>
  <c r="G2991" i="12"/>
  <c r="F2991" i="12"/>
  <c r="G2990" i="12"/>
  <c r="F2990" i="12"/>
  <c r="G2989" i="12"/>
  <c r="F2989" i="12"/>
  <c r="A2989" i="12"/>
  <c r="G2988" i="12"/>
  <c r="F2988" i="12"/>
  <c r="G2987" i="12"/>
  <c r="F2987" i="12"/>
  <c r="G2986" i="12"/>
  <c r="F2986" i="12"/>
  <c r="G2985" i="12"/>
  <c r="F2985" i="12"/>
  <c r="G2984" i="12"/>
  <c r="F2984" i="12"/>
  <c r="G2983" i="12"/>
  <c r="F2983" i="12"/>
  <c r="G2982" i="12"/>
  <c r="F2982" i="12"/>
  <c r="G2981" i="12"/>
  <c r="F2981" i="12"/>
  <c r="G2980" i="12"/>
  <c r="F2980" i="12"/>
  <c r="G2979" i="12"/>
  <c r="F2979" i="12"/>
  <c r="G2978" i="12"/>
  <c r="F2978" i="12"/>
  <c r="G2977" i="12"/>
  <c r="F2977" i="12"/>
  <c r="G2976" i="12"/>
  <c r="F2976" i="12"/>
  <c r="G2975" i="12"/>
  <c r="F2975" i="12"/>
  <c r="A2975" i="12"/>
  <c r="G2974" i="12"/>
  <c r="F2974" i="12"/>
  <c r="G2973" i="12"/>
  <c r="F2973" i="12"/>
  <c r="G2972" i="12"/>
  <c r="F2972" i="12"/>
  <c r="G2971" i="12"/>
  <c r="F2971" i="12"/>
  <c r="G2970" i="12"/>
  <c r="F2970" i="12"/>
  <c r="G2969" i="12"/>
  <c r="F2969" i="12"/>
  <c r="G2968" i="12"/>
  <c r="F2968" i="12"/>
  <c r="G2967" i="12"/>
  <c r="F2967" i="12"/>
  <c r="G2966" i="12"/>
  <c r="F2966" i="12"/>
  <c r="G2965" i="12"/>
  <c r="F2965" i="12"/>
  <c r="G2964" i="12"/>
  <c r="F2964" i="12"/>
  <c r="A2964" i="12"/>
  <c r="G2963" i="12"/>
  <c r="F2963" i="12"/>
  <c r="G2962" i="12"/>
  <c r="F2962" i="12"/>
  <c r="G2961" i="12"/>
  <c r="F2961" i="12"/>
  <c r="G2960" i="12"/>
  <c r="F2960" i="12"/>
  <c r="G2959" i="12"/>
  <c r="F2959" i="12"/>
  <c r="G2958" i="12"/>
  <c r="F2958" i="12"/>
  <c r="G2957" i="12"/>
  <c r="F2957" i="12"/>
  <c r="G2956" i="12"/>
  <c r="F2956" i="12"/>
  <c r="G2955" i="12"/>
  <c r="F2955" i="12"/>
  <c r="G2954" i="12"/>
  <c r="F2954" i="12"/>
  <c r="G2953" i="12"/>
  <c r="F2953" i="12"/>
  <c r="G2952" i="12"/>
  <c r="F2952" i="12"/>
  <c r="G2951" i="12"/>
  <c r="F2951" i="12"/>
  <c r="G2950" i="12"/>
  <c r="F2950" i="12"/>
  <c r="G2949" i="12"/>
  <c r="F2949" i="12"/>
  <c r="G2948" i="12"/>
  <c r="F2948" i="12"/>
  <c r="G2947" i="12"/>
  <c r="F2947" i="12"/>
  <c r="G2946" i="12"/>
  <c r="F2946" i="12"/>
  <c r="G2945" i="12"/>
  <c r="F2945" i="12"/>
  <c r="G2944" i="12"/>
  <c r="F2944" i="12"/>
  <c r="G2943" i="12"/>
  <c r="F2943" i="12"/>
  <c r="G2942" i="12"/>
  <c r="F2942" i="12"/>
  <c r="G2941" i="12"/>
  <c r="F2941" i="12"/>
  <c r="G2940" i="12"/>
  <c r="F2940" i="12"/>
  <c r="G2939" i="12"/>
  <c r="F2939" i="12"/>
  <c r="G2938" i="12"/>
  <c r="F2938" i="12"/>
  <c r="G2937" i="12"/>
  <c r="F2937" i="12"/>
  <c r="G2936" i="12"/>
  <c r="F2936" i="12"/>
  <c r="G2935" i="12"/>
  <c r="F2935" i="12"/>
  <c r="G2934" i="12"/>
  <c r="F2934" i="12"/>
  <c r="G2933" i="12"/>
  <c r="F2933" i="12"/>
  <c r="G2932" i="12"/>
  <c r="F2932" i="12"/>
  <c r="G2931" i="12"/>
  <c r="F2931" i="12"/>
  <c r="G2930" i="12"/>
  <c r="F2930" i="12"/>
  <c r="G2929" i="12"/>
  <c r="F2929" i="12"/>
  <c r="G2928" i="12"/>
  <c r="F2928" i="12"/>
  <c r="G2927" i="12"/>
  <c r="F2927" i="12"/>
  <c r="G2926" i="12"/>
  <c r="F2926" i="12"/>
  <c r="G2925" i="12"/>
  <c r="F2925" i="12"/>
  <c r="G2924" i="12"/>
  <c r="F2924" i="12"/>
  <c r="G2923" i="12"/>
  <c r="F2923" i="12"/>
  <c r="G2922" i="12"/>
  <c r="F2922" i="12"/>
  <c r="G2921" i="12"/>
  <c r="F2921" i="12"/>
  <c r="G2920" i="12"/>
  <c r="F2920" i="12"/>
  <c r="G2919" i="12"/>
  <c r="F2919" i="12"/>
  <c r="G2918" i="12"/>
  <c r="F2918" i="12"/>
  <c r="G2917" i="12"/>
  <c r="F2917" i="12"/>
  <c r="G2916" i="12"/>
  <c r="F2916" i="12"/>
  <c r="G2915" i="12"/>
  <c r="F2915" i="12"/>
  <c r="G2914" i="12"/>
  <c r="F2914" i="12"/>
  <c r="G2913" i="12"/>
  <c r="F2913" i="12"/>
  <c r="G2912" i="12"/>
  <c r="F2912" i="12"/>
  <c r="G2911" i="12"/>
  <c r="F2911" i="12"/>
  <c r="G2910" i="12"/>
  <c r="F2910" i="12"/>
  <c r="G2909" i="12"/>
  <c r="F2909" i="12"/>
  <c r="G2908" i="12"/>
  <c r="F2908" i="12"/>
  <c r="G2907" i="12"/>
  <c r="F2907" i="12"/>
  <c r="G2906" i="12"/>
  <c r="F2906" i="12"/>
  <c r="G2905" i="12"/>
  <c r="F2905" i="12"/>
  <c r="G2904" i="12"/>
  <c r="F2904" i="12"/>
  <c r="G2903" i="12"/>
  <c r="F2903" i="12"/>
  <c r="G2902" i="12"/>
  <c r="F2902" i="12"/>
  <c r="G2901" i="12"/>
  <c r="F2901" i="12"/>
  <c r="G2900" i="12"/>
  <c r="F2900" i="12"/>
  <c r="G2899" i="12"/>
  <c r="F2899" i="12"/>
  <c r="G2898" i="12"/>
  <c r="F2898" i="12"/>
  <c r="G2897" i="12"/>
  <c r="F2897" i="12"/>
  <c r="G2896" i="12"/>
  <c r="F2896" i="12"/>
  <c r="G2895" i="12"/>
  <c r="F2895" i="12"/>
  <c r="G2894" i="12"/>
  <c r="F2894" i="12"/>
  <c r="G2893" i="12"/>
  <c r="F2893" i="12"/>
  <c r="G2892" i="12"/>
  <c r="F2892" i="12"/>
  <c r="G2891" i="12"/>
  <c r="F2891" i="12"/>
  <c r="G2890" i="12"/>
  <c r="F2890" i="12"/>
  <c r="A2890" i="12"/>
  <c r="G2889" i="12"/>
  <c r="F2889" i="12"/>
  <c r="G2888" i="12"/>
  <c r="F2888" i="12"/>
  <c r="G2887" i="12"/>
  <c r="F2887" i="12"/>
  <c r="A2887" i="12"/>
  <c r="G2886" i="12"/>
  <c r="F2886" i="12"/>
  <c r="G2885" i="12"/>
  <c r="F2885" i="12"/>
  <c r="G2884" i="12"/>
  <c r="F2884" i="12"/>
  <c r="G2883" i="12"/>
  <c r="F2883" i="12"/>
  <c r="G2882" i="12"/>
  <c r="F2882" i="12"/>
  <c r="G2881" i="12"/>
  <c r="F2881" i="12"/>
  <c r="G2880" i="12"/>
  <c r="F2880" i="12"/>
  <c r="G2879" i="12"/>
  <c r="F2879" i="12"/>
  <c r="G2878" i="12"/>
  <c r="F2878" i="12"/>
  <c r="G2877" i="12"/>
  <c r="F2877" i="12"/>
  <c r="G2876" i="12"/>
  <c r="F2876" i="12"/>
  <c r="G2875" i="12"/>
  <c r="F2875" i="12"/>
  <c r="G2874" i="12"/>
  <c r="F2874" i="12"/>
  <c r="G2873" i="12"/>
  <c r="F2873" i="12"/>
  <c r="G2872" i="12"/>
  <c r="F2872" i="12"/>
  <c r="G2871" i="12"/>
  <c r="F2871" i="12"/>
  <c r="G2870" i="12"/>
  <c r="F2870" i="12"/>
  <c r="G2869" i="12"/>
  <c r="F2869" i="12"/>
  <c r="G2868" i="12"/>
  <c r="F2868" i="12"/>
  <c r="G2867" i="12"/>
  <c r="F2867" i="12"/>
  <c r="G2866" i="12"/>
  <c r="F2866" i="12"/>
  <c r="G2865" i="12"/>
  <c r="F2865" i="12"/>
  <c r="G2864" i="12"/>
  <c r="F2864" i="12"/>
  <c r="A2864" i="12"/>
  <c r="G2863" i="12"/>
  <c r="F2863" i="12"/>
  <c r="G2862" i="12"/>
  <c r="F2862" i="12"/>
  <c r="G2861" i="12"/>
  <c r="F2861" i="12"/>
  <c r="G2860" i="12"/>
  <c r="F2860" i="12"/>
  <c r="G2859" i="12"/>
  <c r="F2859" i="12"/>
  <c r="G2858" i="12"/>
  <c r="F2858" i="12"/>
  <c r="G2857" i="12"/>
  <c r="F2857" i="12"/>
  <c r="G2856" i="12"/>
  <c r="F2856" i="12"/>
  <c r="G2855" i="12"/>
  <c r="F2855" i="12"/>
  <c r="G2854" i="12"/>
  <c r="F2854" i="12"/>
  <c r="G2853" i="12"/>
  <c r="F2853" i="12"/>
  <c r="G2852" i="12"/>
  <c r="F2852" i="12"/>
  <c r="G2851" i="12"/>
  <c r="F2851" i="12"/>
  <c r="G2850" i="12"/>
  <c r="F2850" i="12"/>
  <c r="G2849" i="12"/>
  <c r="F2849" i="12"/>
  <c r="G2848" i="12"/>
  <c r="F2848" i="12"/>
  <c r="G2847" i="12"/>
  <c r="F2847" i="12"/>
  <c r="G2846" i="12"/>
  <c r="F2846" i="12"/>
  <c r="G2845" i="12"/>
  <c r="F2845" i="12"/>
  <c r="G2844" i="12"/>
  <c r="F2844" i="12"/>
  <c r="G2843" i="12"/>
  <c r="F2843" i="12"/>
  <c r="G2842" i="12"/>
  <c r="F2842" i="12"/>
  <c r="A2842" i="12"/>
  <c r="G2841" i="12"/>
  <c r="F2841" i="12"/>
  <c r="G2840" i="12"/>
  <c r="F2840" i="12"/>
  <c r="G2839" i="12"/>
  <c r="F2839" i="12"/>
  <c r="G2838" i="12"/>
  <c r="F2838" i="12"/>
  <c r="G2837" i="12"/>
  <c r="F2837" i="12"/>
  <c r="G2836" i="12"/>
  <c r="F2836" i="12"/>
  <c r="G2835" i="12"/>
  <c r="F2835" i="12"/>
  <c r="G2834" i="12"/>
  <c r="F2834" i="12"/>
  <c r="G2833" i="12"/>
  <c r="F2833" i="12"/>
  <c r="G2832" i="12"/>
  <c r="F2832" i="12"/>
  <c r="G2831" i="12"/>
  <c r="F2831" i="12"/>
  <c r="G2830" i="12"/>
  <c r="F2830" i="12"/>
  <c r="G2829" i="12"/>
  <c r="F2829" i="12"/>
  <c r="G2828" i="12"/>
  <c r="F2828" i="12"/>
  <c r="G2827" i="12"/>
  <c r="F2827" i="12"/>
  <c r="G2826" i="12"/>
  <c r="F2826" i="12"/>
  <c r="G2825" i="12"/>
  <c r="F2825" i="12"/>
  <c r="A2825" i="12"/>
  <c r="G2824" i="12"/>
  <c r="F2824" i="12"/>
  <c r="G2823" i="12"/>
  <c r="F2823" i="12"/>
  <c r="G2822" i="12"/>
  <c r="F2822" i="12"/>
  <c r="G2821" i="12"/>
  <c r="F2821" i="12"/>
  <c r="G2820" i="12"/>
  <c r="F2820" i="12"/>
  <c r="G2819" i="12"/>
  <c r="F2819" i="12"/>
  <c r="G2818" i="12"/>
  <c r="F2818" i="12"/>
  <c r="G2817" i="12"/>
  <c r="F2817" i="12"/>
  <c r="G2816" i="12"/>
  <c r="F2816" i="12"/>
  <c r="G2815" i="12"/>
  <c r="F2815" i="12"/>
  <c r="G2814" i="12"/>
  <c r="F2814" i="12"/>
  <c r="G2813" i="12"/>
  <c r="F2813" i="12"/>
  <c r="G2812" i="12"/>
  <c r="F2812" i="12"/>
  <c r="G2811" i="12"/>
  <c r="F2811" i="12"/>
  <c r="G2810" i="12"/>
  <c r="F2810" i="12"/>
  <c r="G2809" i="12"/>
  <c r="F2809" i="12"/>
  <c r="G2808" i="12"/>
  <c r="F2808" i="12"/>
  <c r="G2807" i="12"/>
  <c r="F2807" i="12"/>
  <c r="G2806" i="12"/>
  <c r="F2806" i="12"/>
  <c r="G2805" i="12"/>
  <c r="F2805" i="12"/>
  <c r="G2804" i="12"/>
  <c r="F2804" i="12"/>
  <c r="G2803" i="12"/>
  <c r="F2803" i="12"/>
  <c r="G2802" i="12"/>
  <c r="F2802" i="12"/>
  <c r="G2801" i="12"/>
  <c r="F2801" i="12"/>
  <c r="G2800" i="12"/>
  <c r="F2800" i="12"/>
  <c r="G2799" i="12"/>
  <c r="F2799" i="12"/>
  <c r="G2798" i="12"/>
  <c r="F2798" i="12"/>
  <c r="G2797" i="12"/>
  <c r="F2797" i="12"/>
  <c r="G2796" i="12"/>
  <c r="F2796" i="12"/>
  <c r="G2795" i="12"/>
  <c r="F2795" i="12"/>
  <c r="G2794" i="12"/>
  <c r="F2794" i="12"/>
  <c r="G2793" i="12"/>
  <c r="F2793" i="12"/>
  <c r="G2792" i="12"/>
  <c r="F2792" i="12"/>
  <c r="G2791" i="12"/>
  <c r="F2791" i="12"/>
  <c r="G2790" i="12"/>
  <c r="F2790" i="12"/>
  <c r="G2789" i="12"/>
  <c r="F2789" i="12"/>
  <c r="G2788" i="12"/>
  <c r="F2788" i="12"/>
  <c r="A2788" i="12"/>
  <c r="G2787" i="12"/>
  <c r="F2787" i="12"/>
  <c r="G2786" i="12"/>
  <c r="F2786" i="12"/>
  <c r="G2785" i="12"/>
  <c r="F2785" i="12"/>
  <c r="G2784" i="12"/>
  <c r="F2784" i="12"/>
  <c r="A2784" i="12"/>
  <c r="G2783" i="12"/>
  <c r="F2783" i="12"/>
  <c r="G2782" i="12"/>
  <c r="F2782" i="12"/>
  <c r="G2781" i="12"/>
  <c r="F2781" i="12"/>
  <c r="G2780" i="12"/>
  <c r="F2780" i="12"/>
  <c r="G2779" i="12"/>
  <c r="F2779" i="12"/>
  <c r="G2778" i="12"/>
  <c r="F2778" i="12"/>
  <c r="G2777" i="12"/>
  <c r="F2777" i="12"/>
  <c r="G2776" i="12"/>
  <c r="F2776" i="12"/>
  <c r="G2775" i="12"/>
  <c r="F2775" i="12"/>
  <c r="G2774" i="12"/>
  <c r="F2774" i="12"/>
  <c r="G2773" i="12"/>
  <c r="F2773" i="12"/>
  <c r="G2772" i="12"/>
  <c r="F2772" i="12"/>
  <c r="G2771" i="12"/>
  <c r="F2771" i="12"/>
  <c r="G2770" i="12"/>
  <c r="F2770" i="12"/>
  <c r="G2769" i="12"/>
  <c r="F2769" i="12"/>
  <c r="G2768" i="12"/>
  <c r="F2768" i="12"/>
  <c r="G2767" i="12"/>
  <c r="F2767" i="12"/>
  <c r="G2766" i="12"/>
  <c r="F2766" i="12"/>
  <c r="G2765" i="12"/>
  <c r="F2765" i="12"/>
  <c r="G2764" i="12"/>
  <c r="F2764" i="12"/>
  <c r="G2763" i="12"/>
  <c r="F2763" i="12"/>
  <c r="G2762" i="12"/>
  <c r="F2762" i="12"/>
  <c r="G2761" i="12"/>
  <c r="F2761" i="12"/>
  <c r="G2760" i="12"/>
  <c r="F2760" i="12"/>
  <c r="G2759" i="12"/>
  <c r="F2759" i="12"/>
  <c r="G2758" i="12"/>
  <c r="F2758" i="12"/>
  <c r="G2757" i="12"/>
  <c r="F2757" i="12"/>
  <c r="G2756" i="12"/>
  <c r="F2756" i="12"/>
  <c r="G2755" i="12"/>
  <c r="F2755" i="12"/>
  <c r="G2754" i="12"/>
  <c r="F2754" i="12"/>
  <c r="G2753" i="12"/>
  <c r="F2753" i="12"/>
  <c r="G2752" i="12"/>
  <c r="F2752" i="12"/>
  <c r="A2752" i="12"/>
  <c r="G2751" i="12"/>
  <c r="F2751" i="12"/>
  <c r="G2750" i="12"/>
  <c r="F2750" i="12"/>
  <c r="G2749" i="12"/>
  <c r="F2749" i="12"/>
  <c r="G2748" i="12"/>
  <c r="F2748" i="12"/>
  <c r="G2747" i="12"/>
  <c r="F2747" i="12"/>
  <c r="G2746" i="12"/>
  <c r="F2746" i="12"/>
  <c r="G2745" i="12"/>
  <c r="F2745" i="12"/>
  <c r="G2744" i="12"/>
  <c r="F2744" i="12"/>
  <c r="G2743" i="12"/>
  <c r="F2743" i="12"/>
  <c r="G2742" i="12"/>
  <c r="F2742" i="12"/>
  <c r="G2741" i="12"/>
  <c r="F2741" i="12"/>
  <c r="G2740" i="12"/>
  <c r="F2740" i="12"/>
  <c r="G2739" i="12"/>
  <c r="F2739" i="12"/>
  <c r="G2738" i="12"/>
  <c r="F2738" i="12"/>
  <c r="G2737" i="12"/>
  <c r="F2737" i="12"/>
  <c r="G2736" i="12"/>
  <c r="F2736" i="12"/>
  <c r="G2735" i="12"/>
  <c r="F2735" i="12"/>
  <c r="A2735" i="12"/>
  <c r="G2734" i="12"/>
  <c r="F2734" i="12"/>
  <c r="G2733" i="12"/>
  <c r="F2733" i="12"/>
  <c r="G2732" i="12"/>
  <c r="F2732" i="12"/>
  <c r="G2731" i="12"/>
  <c r="F2731" i="12"/>
  <c r="G2730" i="12"/>
  <c r="F2730" i="12"/>
  <c r="G2729" i="12"/>
  <c r="F2729" i="12"/>
  <c r="G2728" i="12"/>
  <c r="F2728" i="12"/>
  <c r="G2727" i="12"/>
  <c r="F2727" i="12"/>
  <c r="G2726" i="12"/>
  <c r="F2726" i="12"/>
  <c r="G2725" i="12"/>
  <c r="F2725" i="12"/>
  <c r="G2724" i="12"/>
  <c r="F2724" i="12"/>
  <c r="G2723" i="12"/>
  <c r="F2723" i="12"/>
  <c r="G2722" i="12"/>
  <c r="F2722" i="12"/>
  <c r="A2722" i="12"/>
  <c r="G2721" i="12"/>
  <c r="F2721" i="12"/>
  <c r="G2720" i="12"/>
  <c r="F2720" i="12"/>
  <c r="G2719" i="12"/>
  <c r="F2719" i="12"/>
  <c r="G2718" i="12"/>
  <c r="F2718" i="12"/>
  <c r="G2717" i="12"/>
  <c r="F2717" i="12"/>
  <c r="G2716" i="12"/>
  <c r="F2716" i="12"/>
  <c r="G2715" i="12"/>
  <c r="F2715" i="12"/>
  <c r="G2714" i="12"/>
  <c r="F2714" i="12"/>
  <c r="G2713" i="12"/>
  <c r="F2713" i="12"/>
  <c r="G2712" i="12"/>
  <c r="F2712" i="12"/>
  <c r="G2711" i="12"/>
  <c r="F2711" i="12"/>
  <c r="G2710" i="12"/>
  <c r="F2710" i="12"/>
  <c r="G2709" i="12"/>
  <c r="F2709" i="12"/>
  <c r="G2708" i="12"/>
  <c r="F2708" i="12"/>
  <c r="G2707" i="12"/>
  <c r="F2707" i="12"/>
  <c r="G2706" i="12"/>
  <c r="F2706" i="12"/>
  <c r="G2705" i="12"/>
  <c r="F2705" i="12"/>
  <c r="G2704" i="12"/>
  <c r="F2704" i="12"/>
  <c r="G2703" i="12"/>
  <c r="F2703" i="12"/>
  <c r="G2702" i="12"/>
  <c r="F2702" i="12"/>
  <c r="G2701" i="12"/>
  <c r="F2701" i="12"/>
  <c r="G2700" i="12"/>
  <c r="F2700" i="12"/>
  <c r="G2699" i="12"/>
  <c r="F2699" i="12"/>
  <c r="G2698" i="12"/>
  <c r="F2698" i="12"/>
  <c r="G2697" i="12"/>
  <c r="F2697" i="12"/>
  <c r="G2696" i="12"/>
  <c r="F2696" i="12"/>
  <c r="A2696" i="12"/>
  <c r="G2695" i="12"/>
  <c r="F2695" i="12"/>
  <c r="G2694" i="12"/>
  <c r="F2694" i="12"/>
  <c r="G2693" i="12"/>
  <c r="F2693" i="12"/>
  <c r="G2692" i="12"/>
  <c r="F2692" i="12"/>
  <c r="G2691" i="12"/>
  <c r="F2691" i="12"/>
  <c r="G2690" i="12"/>
  <c r="F2690" i="12"/>
  <c r="G2689" i="12"/>
  <c r="F2689" i="12"/>
  <c r="G2688" i="12"/>
  <c r="F2688" i="12"/>
  <c r="G2687" i="12"/>
  <c r="F2687" i="12"/>
  <c r="G2686" i="12"/>
  <c r="F2686" i="12"/>
  <c r="G2685" i="12"/>
  <c r="F2685" i="12"/>
  <c r="G2684" i="12"/>
  <c r="F2684" i="12"/>
  <c r="G2683" i="12"/>
  <c r="F2683" i="12"/>
  <c r="G2682" i="12"/>
  <c r="F2682" i="12"/>
  <c r="G2681" i="12"/>
  <c r="F2681" i="12"/>
  <c r="G2680" i="12"/>
  <c r="F2680" i="12"/>
  <c r="G2679" i="12"/>
  <c r="F2679" i="12"/>
  <c r="G2678" i="12"/>
  <c r="F2678" i="12"/>
  <c r="G2677" i="12"/>
  <c r="F2677" i="12"/>
  <c r="G2676" i="12"/>
  <c r="F2676" i="12"/>
  <c r="G2675" i="12"/>
  <c r="F2675" i="12"/>
  <c r="G2674" i="12"/>
  <c r="F2674" i="12"/>
  <c r="G2673" i="12"/>
  <c r="F2673" i="12"/>
  <c r="G2672" i="12"/>
  <c r="F2672" i="12"/>
  <c r="G2671" i="12"/>
  <c r="F2671" i="12"/>
  <c r="G2670" i="12"/>
  <c r="F2670" i="12"/>
  <c r="G2669" i="12"/>
  <c r="F2669" i="12"/>
  <c r="G2668" i="12"/>
  <c r="F2668" i="12"/>
  <c r="G2667" i="12"/>
  <c r="F2667" i="12"/>
  <c r="G2666" i="12"/>
  <c r="F2666" i="12"/>
  <c r="G2665" i="12"/>
  <c r="F2665" i="12"/>
  <c r="G2664" i="12"/>
  <c r="F2664" i="12"/>
  <c r="G2663" i="12"/>
  <c r="F2663" i="12"/>
  <c r="G2662" i="12"/>
  <c r="F2662" i="12"/>
  <c r="G2661" i="12"/>
  <c r="F2661" i="12"/>
  <c r="G2660" i="12"/>
  <c r="F2660" i="12"/>
  <c r="G2659" i="12"/>
  <c r="F2659" i="12"/>
  <c r="G2658" i="12"/>
  <c r="F2658" i="12"/>
  <c r="G2657" i="12"/>
  <c r="F2657" i="12"/>
  <c r="G2656" i="12"/>
  <c r="F2656" i="12"/>
  <c r="G2655" i="12"/>
  <c r="F2655" i="12"/>
  <c r="G2654" i="12"/>
  <c r="F2654" i="12"/>
  <c r="G2653" i="12"/>
  <c r="F2653" i="12"/>
  <c r="G2652" i="12"/>
  <c r="F2652" i="12"/>
  <c r="G2651" i="12"/>
  <c r="F2651" i="12"/>
  <c r="G2650" i="12"/>
  <c r="F2650" i="12"/>
  <c r="G2649" i="12"/>
  <c r="F2649" i="12"/>
  <c r="G2648" i="12"/>
  <c r="F2648" i="12"/>
  <c r="G2647" i="12"/>
  <c r="F2647" i="12"/>
  <c r="G2646" i="12"/>
  <c r="F2646" i="12"/>
  <c r="G2645" i="12"/>
  <c r="F2645" i="12"/>
  <c r="G2644" i="12"/>
  <c r="F2644" i="12"/>
  <c r="G2643" i="12"/>
  <c r="F2643" i="12"/>
  <c r="G2642" i="12"/>
  <c r="F2642" i="12"/>
  <c r="G2641" i="12"/>
  <c r="F2641" i="12"/>
  <c r="G2640" i="12"/>
  <c r="F2640" i="12"/>
  <c r="G2639" i="12"/>
  <c r="F2639" i="12"/>
  <c r="G2638" i="12"/>
  <c r="F2638" i="12"/>
  <c r="G2637" i="12"/>
  <c r="F2637" i="12"/>
  <c r="G2636" i="12"/>
  <c r="F2636" i="12"/>
  <c r="G2635" i="12"/>
  <c r="F2635" i="12"/>
  <c r="G2634" i="12"/>
  <c r="F2634" i="12"/>
  <c r="G2633" i="12"/>
  <c r="F2633" i="12"/>
  <c r="G2632" i="12"/>
  <c r="F2632" i="12"/>
  <c r="G2631" i="12"/>
  <c r="F2631" i="12"/>
  <c r="G2630" i="12"/>
  <c r="F2630" i="12"/>
  <c r="G2629" i="12"/>
  <c r="F2629" i="12"/>
  <c r="G2628" i="12"/>
  <c r="F2628" i="12"/>
  <c r="A2628" i="12"/>
  <c r="G2627" i="12"/>
  <c r="F2627" i="12"/>
  <c r="G2626" i="12"/>
  <c r="F2626" i="12"/>
  <c r="G2625" i="12"/>
  <c r="F2625" i="12"/>
  <c r="G2624" i="12"/>
  <c r="F2624" i="12"/>
  <c r="G2623" i="12"/>
  <c r="F2623" i="12"/>
  <c r="G2622" i="12"/>
  <c r="F2622" i="12"/>
  <c r="G2621" i="12"/>
  <c r="F2621" i="12"/>
  <c r="G2620" i="12"/>
  <c r="F2620" i="12"/>
  <c r="G2619" i="12"/>
  <c r="F2619" i="12"/>
  <c r="A2619" i="12"/>
  <c r="G2618" i="12"/>
  <c r="F2618" i="12"/>
  <c r="G2617" i="12"/>
  <c r="F2617" i="12"/>
  <c r="G2616" i="12"/>
  <c r="F2616" i="12"/>
  <c r="G2615" i="12"/>
  <c r="F2615" i="12"/>
  <c r="G2614" i="12"/>
  <c r="F2614" i="12"/>
  <c r="G2613" i="12"/>
  <c r="F2613" i="12"/>
  <c r="G2612" i="12"/>
  <c r="F2612" i="12"/>
  <c r="G2611" i="12"/>
  <c r="F2611" i="12"/>
  <c r="G2610" i="12"/>
  <c r="F2610" i="12"/>
  <c r="G2609" i="12"/>
  <c r="F2609" i="12"/>
  <c r="G2608" i="12"/>
  <c r="F2608" i="12"/>
  <c r="G2607" i="12"/>
  <c r="F2607" i="12"/>
  <c r="G2606" i="12"/>
  <c r="F2606" i="12"/>
  <c r="G2605" i="12"/>
  <c r="F2605" i="12"/>
  <c r="G2604" i="12"/>
  <c r="F2604" i="12"/>
  <c r="G2603" i="12"/>
  <c r="F2603" i="12"/>
  <c r="G2602" i="12"/>
  <c r="F2602" i="12"/>
  <c r="G2601" i="12"/>
  <c r="F2601" i="12"/>
  <c r="G2600" i="12"/>
  <c r="F2600" i="12"/>
  <c r="G2599" i="12"/>
  <c r="F2599" i="12"/>
  <c r="G2598" i="12"/>
  <c r="F2598" i="12"/>
  <c r="G2597" i="12"/>
  <c r="F2597" i="12"/>
  <c r="G2596" i="12"/>
  <c r="F2596" i="12"/>
  <c r="G2595" i="12"/>
  <c r="F2595" i="12"/>
  <c r="G2594" i="12"/>
  <c r="F2594" i="12"/>
  <c r="G2593" i="12"/>
  <c r="F2593" i="12"/>
  <c r="G2592" i="12"/>
  <c r="F2592" i="12"/>
  <c r="G2591" i="12"/>
  <c r="F2591" i="12"/>
  <c r="A2591" i="12"/>
  <c r="G2590" i="12"/>
  <c r="F2590" i="12"/>
  <c r="G2589" i="12"/>
  <c r="F2589" i="12"/>
  <c r="G2588" i="12"/>
  <c r="F2588" i="12"/>
  <c r="G2587" i="12"/>
  <c r="F2587" i="12"/>
  <c r="G2586" i="12"/>
  <c r="F2586" i="12"/>
  <c r="G2585" i="12"/>
  <c r="F2585" i="12"/>
  <c r="G2584" i="12"/>
  <c r="F2584" i="12"/>
  <c r="G2583" i="12"/>
  <c r="F2583" i="12"/>
  <c r="G2582" i="12"/>
  <c r="F2582" i="12"/>
  <c r="G2581" i="12"/>
  <c r="F2581" i="12"/>
  <c r="G2580" i="12"/>
  <c r="F2580" i="12"/>
  <c r="G2579" i="12"/>
  <c r="F2579" i="12"/>
  <c r="G2578" i="12"/>
  <c r="F2578" i="12"/>
  <c r="G2577" i="12"/>
  <c r="F2577" i="12"/>
  <c r="G2576" i="12"/>
  <c r="F2576" i="12"/>
  <c r="G2575" i="12"/>
  <c r="F2575" i="12"/>
  <c r="A2575" i="12"/>
  <c r="G2574" i="12"/>
  <c r="F2574" i="12"/>
  <c r="G2573" i="12"/>
  <c r="F2573" i="12"/>
  <c r="G2572" i="12"/>
  <c r="F2572" i="12"/>
  <c r="G2571" i="12"/>
  <c r="F2571" i="12"/>
  <c r="G2570" i="12"/>
  <c r="F2570" i="12"/>
  <c r="G2569" i="12"/>
  <c r="F2569" i="12"/>
  <c r="G2568" i="12"/>
  <c r="F2568" i="12"/>
  <c r="G2567" i="12"/>
  <c r="F2567" i="12"/>
  <c r="G2566" i="12"/>
  <c r="F2566" i="12"/>
  <c r="G2565" i="12"/>
  <c r="F2565" i="12"/>
  <c r="G2564" i="12"/>
  <c r="F2564" i="12"/>
  <c r="G2563" i="12"/>
  <c r="F2563" i="12"/>
  <c r="G2562" i="12"/>
  <c r="F2562" i="12"/>
  <c r="G2561" i="12"/>
  <c r="F2561" i="12"/>
  <c r="G2560" i="12"/>
  <c r="F2560" i="12"/>
  <c r="G2559" i="12"/>
  <c r="F2559" i="12"/>
  <c r="G2558" i="12"/>
  <c r="F2558" i="12"/>
  <c r="G2557" i="12"/>
  <c r="F2557" i="12"/>
  <c r="G2556" i="12"/>
  <c r="F2556" i="12"/>
  <c r="G2555" i="12"/>
  <c r="F2555" i="12"/>
  <c r="G2554" i="12"/>
  <c r="F2554" i="12"/>
  <c r="G2553" i="12"/>
  <c r="F2553" i="12"/>
  <c r="G2552" i="12"/>
  <c r="F2552" i="12"/>
  <c r="G2551" i="12"/>
  <c r="F2551" i="12"/>
  <c r="G2550" i="12"/>
  <c r="F2550" i="12"/>
  <c r="G2549" i="12"/>
  <c r="F2549" i="12"/>
  <c r="G2548" i="12"/>
  <c r="F2548" i="12"/>
  <c r="G2547" i="12"/>
  <c r="F2547" i="12"/>
  <c r="G2546" i="12"/>
  <c r="F2546" i="12"/>
  <c r="G2545" i="12"/>
  <c r="F2545" i="12"/>
  <c r="G2544" i="12"/>
  <c r="F2544" i="12"/>
  <c r="A2544" i="12"/>
  <c r="G2543" i="12"/>
  <c r="F2543" i="12"/>
  <c r="G2542" i="12"/>
  <c r="F2542" i="12"/>
  <c r="G2541" i="12"/>
  <c r="F2541" i="12"/>
  <c r="G2540" i="12"/>
  <c r="F2540" i="12"/>
  <c r="G2539" i="12"/>
  <c r="F2539" i="12"/>
  <c r="G2538" i="12"/>
  <c r="F2538" i="12"/>
  <c r="A2538" i="12"/>
  <c r="G2537" i="12"/>
  <c r="F2537" i="12"/>
  <c r="G2536" i="12"/>
  <c r="F2536" i="12"/>
  <c r="G2535" i="12"/>
  <c r="F2535" i="12"/>
  <c r="G2534" i="12"/>
  <c r="F2534" i="12"/>
  <c r="G2533" i="12"/>
  <c r="F2533" i="12"/>
  <c r="G2532" i="12"/>
  <c r="F2532" i="12"/>
  <c r="G2531" i="12"/>
  <c r="F2531" i="12"/>
  <c r="G2530" i="12"/>
  <c r="F2530" i="12"/>
  <c r="G2529" i="12"/>
  <c r="F2529" i="12"/>
  <c r="G2528" i="12"/>
  <c r="F2528" i="12"/>
  <c r="G2527" i="12"/>
  <c r="F2527" i="12"/>
  <c r="G2526" i="12"/>
  <c r="F2526" i="12"/>
  <c r="G2525" i="12"/>
  <c r="F2525" i="12"/>
  <c r="G2524" i="12"/>
  <c r="F2524" i="12"/>
  <c r="G2523" i="12"/>
  <c r="F2523" i="12"/>
  <c r="G2522" i="12"/>
  <c r="F2522" i="12"/>
  <c r="G2521" i="12"/>
  <c r="F2521" i="12"/>
  <c r="G2520" i="12"/>
  <c r="F2520" i="12"/>
  <c r="G2519" i="12"/>
  <c r="F2519" i="12"/>
  <c r="G2518" i="12"/>
  <c r="F2518" i="12"/>
  <c r="G2517" i="12"/>
  <c r="F2517" i="12"/>
  <c r="G2516" i="12"/>
  <c r="F2516" i="12"/>
  <c r="G2515" i="12"/>
  <c r="F2515" i="12"/>
  <c r="G2514" i="12"/>
  <c r="F2514" i="12"/>
  <c r="G2513" i="12"/>
  <c r="F2513" i="12"/>
  <c r="G2512" i="12"/>
  <c r="F2512" i="12"/>
  <c r="G2511" i="12"/>
  <c r="F2511" i="12"/>
  <c r="G2510" i="12"/>
  <c r="F2510" i="12"/>
  <c r="G2509" i="12"/>
  <c r="F2509" i="12"/>
  <c r="G2508" i="12"/>
  <c r="F2508" i="12"/>
  <c r="G2507" i="12"/>
  <c r="F2507" i="12"/>
  <c r="G2506" i="12"/>
  <c r="F2506" i="12"/>
  <c r="G2505" i="12"/>
  <c r="F2505" i="12"/>
  <c r="G2504" i="12"/>
  <c r="F2504" i="12"/>
  <c r="G2503" i="12"/>
  <c r="F2503" i="12"/>
  <c r="G2502" i="12"/>
  <c r="F2502" i="12"/>
  <c r="G2501" i="12"/>
  <c r="F2501" i="12"/>
  <c r="G2500" i="12"/>
  <c r="F2500" i="12"/>
  <c r="G2499" i="12"/>
  <c r="F2499" i="12"/>
  <c r="G2498" i="12"/>
  <c r="F2498" i="12"/>
  <c r="G2497" i="12"/>
  <c r="F2497" i="12"/>
  <c r="G2496" i="12"/>
  <c r="F2496" i="12"/>
  <c r="G2495" i="12"/>
  <c r="F2495" i="12"/>
  <c r="G2494" i="12"/>
  <c r="F2494" i="12"/>
  <c r="G2493" i="12"/>
  <c r="F2493" i="12"/>
  <c r="G2492" i="12"/>
  <c r="F2492" i="12"/>
  <c r="G2491" i="12"/>
  <c r="F2491" i="12"/>
  <c r="G2490" i="12"/>
  <c r="F2490" i="12"/>
  <c r="G2489" i="12"/>
  <c r="F2489" i="12"/>
  <c r="G2488" i="12"/>
  <c r="F2488" i="12"/>
  <c r="G2487" i="12"/>
  <c r="F2487" i="12"/>
  <c r="G2486" i="12"/>
  <c r="F2486" i="12"/>
  <c r="G2485" i="12"/>
  <c r="F2485" i="12"/>
  <c r="G2484" i="12"/>
  <c r="F2484" i="12"/>
  <c r="G2483" i="12"/>
  <c r="F2483" i="12"/>
  <c r="G2482" i="12"/>
  <c r="F2482" i="12"/>
  <c r="G2481" i="12"/>
  <c r="F2481" i="12"/>
  <c r="G2480" i="12"/>
  <c r="F2480" i="12"/>
  <c r="G2479" i="12"/>
  <c r="F2479" i="12"/>
  <c r="G2478" i="12"/>
  <c r="F2478" i="12"/>
  <c r="G2477" i="12"/>
  <c r="F2477" i="12"/>
  <c r="G2476" i="12"/>
  <c r="F2476" i="12"/>
  <c r="G2475" i="12"/>
  <c r="F2475" i="12"/>
  <c r="G2474" i="12"/>
  <c r="F2474" i="12"/>
  <c r="G2473" i="12"/>
  <c r="F2473" i="12"/>
  <c r="G2472" i="12"/>
  <c r="F2472" i="12"/>
  <c r="G2471" i="12"/>
  <c r="F2471" i="12"/>
  <c r="G2470" i="12"/>
  <c r="F2470" i="12"/>
  <c r="G2469" i="12"/>
  <c r="F2469" i="12"/>
  <c r="G2468" i="12"/>
  <c r="F2468" i="12"/>
  <c r="G2467" i="12"/>
  <c r="F2467" i="12"/>
  <c r="A2467" i="12"/>
  <c r="G2466" i="12"/>
  <c r="F2466" i="12"/>
  <c r="G2465" i="12"/>
  <c r="F2465" i="12"/>
  <c r="G2464" i="12"/>
  <c r="F2464" i="12"/>
  <c r="A2464" i="12"/>
  <c r="G2463" i="12"/>
  <c r="F2463" i="12"/>
  <c r="G2462" i="12"/>
  <c r="F2462" i="12"/>
  <c r="G2461" i="12"/>
  <c r="F2461" i="12"/>
  <c r="G2460" i="12"/>
  <c r="F2460" i="12"/>
  <c r="G2459" i="12"/>
  <c r="F2459" i="12"/>
  <c r="G2458" i="12"/>
  <c r="F2458" i="12"/>
  <c r="G2457" i="12"/>
  <c r="F2457" i="12"/>
  <c r="G2456" i="12"/>
  <c r="F2456" i="12"/>
  <c r="G2455" i="12"/>
  <c r="F2455" i="12"/>
  <c r="G2454" i="12"/>
  <c r="F2454" i="12"/>
  <c r="G2453" i="12"/>
  <c r="F2453" i="12"/>
  <c r="G2452" i="12"/>
  <c r="F2452" i="12"/>
  <c r="G2451" i="12"/>
  <c r="F2451" i="12"/>
  <c r="G2450" i="12"/>
  <c r="F2450" i="12"/>
  <c r="G2449" i="12"/>
  <c r="F2449" i="12"/>
  <c r="G2448" i="12"/>
  <c r="F2448" i="12"/>
  <c r="G2447" i="12"/>
  <c r="F2447" i="12"/>
  <c r="G2446" i="12"/>
  <c r="F2446" i="12"/>
  <c r="G2445" i="12"/>
  <c r="F2445" i="12"/>
  <c r="G2444" i="12"/>
  <c r="F2444" i="12"/>
  <c r="G2443" i="12"/>
  <c r="F2443" i="12"/>
  <c r="G2442" i="12"/>
  <c r="F2442" i="12"/>
  <c r="G2441" i="12"/>
  <c r="F2441" i="12"/>
  <c r="G2440" i="12"/>
  <c r="F2440" i="12"/>
  <c r="G2439" i="12"/>
  <c r="F2439" i="12"/>
  <c r="G2438" i="12"/>
  <c r="F2438" i="12"/>
  <c r="G2437" i="12"/>
  <c r="F2437" i="12"/>
  <c r="G2436" i="12"/>
  <c r="F2436" i="12"/>
  <c r="G2435" i="12"/>
  <c r="F2435" i="12"/>
  <c r="G2434" i="12"/>
  <c r="F2434" i="12"/>
  <c r="G2433" i="12"/>
  <c r="F2433" i="12"/>
  <c r="G2432" i="12"/>
  <c r="F2432" i="12"/>
  <c r="G2431" i="12"/>
  <c r="F2431" i="12"/>
  <c r="G2430" i="12"/>
  <c r="F2430" i="12"/>
  <c r="G2429" i="12"/>
  <c r="F2429" i="12"/>
  <c r="G2428" i="12"/>
  <c r="F2428" i="12"/>
  <c r="G2427" i="12"/>
  <c r="F2427" i="12"/>
  <c r="G2426" i="12"/>
  <c r="F2426" i="12"/>
  <c r="G2425" i="12"/>
  <c r="F2425" i="12"/>
  <c r="G2424" i="12"/>
  <c r="F2424" i="12"/>
  <c r="G2423" i="12"/>
  <c r="F2423" i="12"/>
  <c r="G2422" i="12"/>
  <c r="F2422" i="12"/>
  <c r="G2421" i="12"/>
  <c r="F2421" i="12"/>
  <c r="G2420" i="12"/>
  <c r="F2420" i="12"/>
  <c r="G2419" i="12"/>
  <c r="F2419" i="12"/>
  <c r="G2418" i="12"/>
  <c r="F2418" i="12"/>
  <c r="G2417" i="12"/>
  <c r="F2417" i="12"/>
  <c r="G2416" i="12"/>
  <c r="F2416" i="12"/>
  <c r="G2415" i="12"/>
  <c r="F2415" i="12"/>
  <c r="G2414" i="12"/>
  <c r="F2414" i="12"/>
  <c r="G2413" i="12"/>
  <c r="F2413" i="12"/>
  <c r="G2412" i="12"/>
  <c r="F2412" i="12"/>
  <c r="G2411" i="12"/>
  <c r="F2411" i="12"/>
  <c r="G2410" i="12"/>
  <c r="F2410" i="12"/>
  <c r="G2409" i="12"/>
  <c r="F2409" i="12"/>
  <c r="G2408" i="12"/>
  <c r="F2408" i="12"/>
  <c r="G2407" i="12"/>
  <c r="F2407" i="12"/>
  <c r="G2406" i="12"/>
  <c r="F2406" i="12"/>
  <c r="G2405" i="12"/>
  <c r="F2405" i="12"/>
  <c r="G2404" i="12"/>
  <c r="F2404" i="12"/>
  <c r="G2403" i="12"/>
  <c r="F2403" i="12"/>
  <c r="G2402" i="12"/>
  <c r="F2402" i="12"/>
  <c r="G2401" i="12"/>
  <c r="F2401" i="12"/>
  <c r="G2400" i="12"/>
  <c r="F2400" i="12"/>
  <c r="G2399" i="12"/>
  <c r="F2399" i="12"/>
  <c r="G2398" i="12"/>
  <c r="F2398" i="12"/>
  <c r="G2397" i="12"/>
  <c r="F2397" i="12"/>
  <c r="G2396" i="12"/>
  <c r="F2396" i="12"/>
  <c r="G2395" i="12"/>
  <c r="F2395" i="12"/>
  <c r="G2394" i="12"/>
  <c r="F2394" i="12"/>
  <c r="A2394" i="12"/>
  <c r="G2393" i="12"/>
  <c r="F2393" i="12"/>
  <c r="G2392" i="12"/>
  <c r="F2392" i="12"/>
  <c r="G2391" i="12"/>
  <c r="F2391" i="12"/>
  <c r="G2390" i="12"/>
  <c r="F2390" i="12"/>
  <c r="G2389" i="12"/>
  <c r="F2389" i="12"/>
  <c r="G2388" i="12"/>
  <c r="F2388" i="12"/>
  <c r="G2387" i="12"/>
  <c r="F2387" i="12"/>
  <c r="G2386" i="12"/>
  <c r="F2386" i="12"/>
  <c r="G2385" i="12"/>
  <c r="F2385" i="12"/>
  <c r="G2384" i="12"/>
  <c r="F2384" i="12"/>
  <c r="G2383" i="12"/>
  <c r="F2383" i="12"/>
  <c r="A2383" i="12"/>
  <c r="G2382" i="12"/>
  <c r="F2382" i="12"/>
  <c r="G2381" i="12"/>
  <c r="F2381" i="12"/>
  <c r="G2380" i="12"/>
  <c r="F2380" i="12"/>
  <c r="G2379" i="12"/>
  <c r="F2379" i="12"/>
  <c r="G2378" i="12"/>
  <c r="F2378" i="12"/>
  <c r="G2377" i="12"/>
  <c r="F2377" i="12"/>
  <c r="G2376" i="12"/>
  <c r="F2376" i="12"/>
  <c r="G2375" i="12"/>
  <c r="F2375" i="12"/>
  <c r="G2374" i="12"/>
  <c r="F2374" i="12"/>
  <c r="G2373" i="12"/>
  <c r="F2373" i="12"/>
  <c r="G2372" i="12"/>
  <c r="F2372" i="12"/>
  <c r="G2371" i="12"/>
  <c r="F2371" i="12"/>
  <c r="G2370" i="12"/>
  <c r="F2370" i="12"/>
  <c r="G2369" i="12"/>
  <c r="F2369" i="12"/>
  <c r="G2368" i="12"/>
  <c r="F2368" i="12"/>
  <c r="G2367" i="12"/>
  <c r="F2367" i="12"/>
  <c r="G2366" i="12"/>
  <c r="F2366" i="12"/>
  <c r="G2365" i="12"/>
  <c r="F2365" i="12"/>
  <c r="G2364" i="12"/>
  <c r="F2364" i="12"/>
  <c r="G2363" i="12"/>
  <c r="F2363" i="12"/>
  <c r="G2362" i="12"/>
  <c r="F2362" i="12"/>
  <c r="G2361" i="12"/>
  <c r="F2361" i="12"/>
  <c r="A2361" i="12"/>
  <c r="G2360" i="12"/>
  <c r="F2360" i="12"/>
  <c r="G2359" i="12"/>
  <c r="F2359" i="12"/>
  <c r="G2358" i="12"/>
  <c r="F2358" i="12"/>
  <c r="G2357" i="12"/>
  <c r="F2357" i="12"/>
  <c r="G2356" i="12"/>
  <c r="F2356" i="12"/>
  <c r="G2355" i="12"/>
  <c r="F2355" i="12"/>
  <c r="G2354" i="12"/>
  <c r="F2354" i="12"/>
  <c r="G2353" i="12"/>
  <c r="F2353" i="12"/>
  <c r="G2352" i="12"/>
  <c r="F2352" i="12"/>
  <c r="G2351" i="12"/>
  <c r="F2351" i="12"/>
  <c r="G2350" i="12"/>
  <c r="F2350" i="12"/>
  <c r="G2349" i="12"/>
  <c r="F2349" i="12"/>
  <c r="G2348" i="12"/>
  <c r="F2348" i="12"/>
  <c r="G2347" i="12"/>
  <c r="F2347" i="12"/>
  <c r="G2346" i="12"/>
  <c r="F2346" i="12"/>
  <c r="A2346" i="12"/>
  <c r="G2345" i="12"/>
  <c r="F2345" i="12"/>
  <c r="G2344" i="12"/>
  <c r="F2344" i="12"/>
  <c r="G2343" i="12"/>
  <c r="F2343" i="12"/>
  <c r="G2342" i="12"/>
  <c r="F2342" i="12"/>
  <c r="G2341" i="12"/>
  <c r="F2341" i="12"/>
  <c r="G2340" i="12"/>
  <c r="F2340" i="12"/>
  <c r="G2339" i="12"/>
  <c r="F2339" i="12"/>
  <c r="G2338" i="12"/>
  <c r="F2338" i="12"/>
  <c r="G2337" i="12"/>
  <c r="F2337" i="12"/>
  <c r="G2336" i="12"/>
  <c r="F2336" i="12"/>
  <c r="A2336" i="12"/>
  <c r="G2335" i="12"/>
  <c r="F2335" i="12"/>
  <c r="G2334" i="12"/>
  <c r="F2334" i="12"/>
  <c r="G2333" i="12"/>
  <c r="F2333" i="12"/>
  <c r="G2332" i="12"/>
  <c r="F2332" i="12"/>
  <c r="G2331" i="12"/>
  <c r="F2331" i="12"/>
  <c r="G2330" i="12"/>
  <c r="F2330" i="12"/>
  <c r="G2329" i="12"/>
  <c r="F2329" i="12"/>
  <c r="G2328" i="12"/>
  <c r="F2328" i="12"/>
  <c r="A2328" i="12"/>
  <c r="G2327" i="12"/>
  <c r="F2327" i="12"/>
  <c r="G2326" i="12"/>
  <c r="F2326" i="12"/>
  <c r="G2325" i="12"/>
  <c r="F2325" i="12"/>
  <c r="G2324" i="12"/>
  <c r="F2324" i="12"/>
  <c r="G2323" i="12"/>
  <c r="F2323" i="12"/>
  <c r="G2322" i="12"/>
  <c r="F2322" i="12"/>
  <c r="G2321" i="12"/>
  <c r="F2321" i="12"/>
  <c r="G2320" i="12"/>
  <c r="F2320" i="12"/>
  <c r="G2319" i="12"/>
  <c r="F2319" i="12"/>
  <c r="G2318" i="12"/>
  <c r="F2318" i="12"/>
  <c r="G2317" i="12"/>
  <c r="F2317" i="12"/>
  <c r="G2316" i="12"/>
  <c r="F2316" i="12"/>
  <c r="G2315" i="12"/>
  <c r="F2315" i="12"/>
  <c r="G2314" i="12"/>
  <c r="F2314" i="12"/>
  <c r="G2313" i="12"/>
  <c r="F2313" i="12"/>
  <c r="G2312" i="12"/>
  <c r="F2312" i="12"/>
  <c r="G2311" i="12"/>
  <c r="F2311" i="12"/>
  <c r="G2310" i="12"/>
  <c r="F2310" i="12"/>
  <c r="G2309" i="12"/>
  <c r="F2309" i="12"/>
  <c r="G2308" i="12"/>
  <c r="F2308" i="12"/>
  <c r="G2307" i="12"/>
  <c r="F2307" i="12"/>
  <c r="G2306" i="12"/>
  <c r="F2306" i="12"/>
  <c r="G2305" i="12"/>
  <c r="F2305" i="12"/>
  <c r="G2304" i="12"/>
  <c r="F2304" i="12"/>
  <c r="G2303" i="12"/>
  <c r="F2303" i="12"/>
  <c r="G2302" i="12"/>
  <c r="F2302" i="12"/>
  <c r="G2301" i="12"/>
  <c r="F2301" i="12"/>
  <c r="G2300" i="12"/>
  <c r="F2300" i="12"/>
  <c r="G2299" i="12"/>
  <c r="F2299" i="12"/>
  <c r="G2298" i="12"/>
  <c r="F2298" i="12"/>
  <c r="G2297" i="12"/>
  <c r="F2297" i="12"/>
  <c r="G2296" i="12"/>
  <c r="F2296" i="12"/>
  <c r="G2295" i="12"/>
  <c r="F2295" i="12"/>
  <c r="G2294" i="12"/>
  <c r="F2294" i="12"/>
  <c r="G2293" i="12"/>
  <c r="F2293" i="12"/>
  <c r="G2292" i="12"/>
  <c r="F2292" i="12"/>
  <c r="G2291" i="12"/>
  <c r="F2291" i="12"/>
  <c r="G2290" i="12"/>
  <c r="F2290" i="12"/>
  <c r="G2289" i="12"/>
  <c r="F2289" i="12"/>
  <c r="G2288" i="12"/>
  <c r="F2288" i="12"/>
  <c r="G2287" i="12"/>
  <c r="F2287" i="12"/>
  <c r="G2286" i="12"/>
  <c r="F2286" i="12"/>
  <c r="G2285" i="12"/>
  <c r="F2285" i="12"/>
  <c r="G2284" i="12"/>
  <c r="F2284" i="12"/>
  <c r="G2283" i="12"/>
  <c r="F2283" i="12"/>
  <c r="G2282" i="12"/>
  <c r="F2282" i="12"/>
  <c r="G2281" i="12"/>
  <c r="F2281" i="12"/>
  <c r="G2280" i="12"/>
  <c r="F2280" i="12"/>
  <c r="G2279" i="12"/>
  <c r="F2279" i="12"/>
  <c r="G2278" i="12"/>
  <c r="F2278" i="12"/>
  <c r="G2277" i="12"/>
  <c r="F2277" i="12"/>
  <c r="G2276" i="12"/>
  <c r="F2276" i="12"/>
  <c r="G2275" i="12"/>
  <c r="F2275" i="12"/>
  <c r="G2274" i="12"/>
  <c r="F2274" i="12"/>
  <c r="G2273" i="12"/>
  <c r="F2273" i="12"/>
  <c r="G2272" i="12"/>
  <c r="F2272" i="12"/>
  <c r="G2271" i="12"/>
  <c r="F2271" i="12"/>
  <c r="G2270" i="12"/>
  <c r="F2270" i="12"/>
  <c r="G2269" i="12"/>
  <c r="F2269" i="12"/>
  <c r="G2268" i="12"/>
  <c r="F2268" i="12"/>
  <c r="G2267" i="12"/>
  <c r="F2267" i="12"/>
  <c r="G2266" i="12"/>
  <c r="F2266" i="12"/>
  <c r="G2265" i="12"/>
  <c r="F2265" i="12"/>
  <c r="G2264" i="12"/>
  <c r="F2264" i="12"/>
  <c r="G2263" i="12"/>
  <c r="F2263" i="12"/>
  <c r="G2262" i="12"/>
  <c r="F2262" i="12"/>
  <c r="G2261" i="12"/>
  <c r="F2261" i="12"/>
  <c r="G2260" i="12"/>
  <c r="F2260" i="12"/>
  <c r="G2259" i="12"/>
  <c r="F2259" i="12"/>
  <c r="G2258" i="12"/>
  <c r="F2258" i="12"/>
  <c r="G2257" i="12"/>
  <c r="F2257" i="12"/>
  <c r="G2256" i="12"/>
  <c r="F2256" i="12"/>
  <c r="G2255" i="12"/>
  <c r="F2255" i="12"/>
  <c r="G2254" i="12"/>
  <c r="F2254" i="12"/>
  <c r="G2253" i="12"/>
  <c r="F2253" i="12"/>
  <c r="G2252" i="12"/>
  <c r="F2252" i="12"/>
  <c r="G2251" i="12"/>
  <c r="F2251" i="12"/>
  <c r="G2250" i="12"/>
  <c r="F2250" i="12"/>
  <c r="G2249" i="12"/>
  <c r="F2249" i="12"/>
  <c r="G2248" i="12"/>
  <c r="F2248" i="12"/>
  <c r="G2247" i="12"/>
  <c r="F2247" i="12"/>
  <c r="G2246" i="12"/>
  <c r="F2246" i="12"/>
  <c r="G2245" i="12"/>
  <c r="F2245" i="12"/>
  <c r="G2244" i="12"/>
  <c r="F2244" i="12"/>
  <c r="G2243" i="12"/>
  <c r="F2243" i="12"/>
  <c r="G2242" i="12"/>
  <c r="F2242" i="12"/>
  <c r="G2241" i="12"/>
  <c r="F2241" i="12"/>
  <c r="G2240" i="12"/>
  <c r="F2240" i="12"/>
  <c r="G2239" i="12"/>
  <c r="F2239" i="12"/>
  <c r="G2238" i="12"/>
  <c r="F2238" i="12"/>
  <c r="G2237" i="12"/>
  <c r="F2237" i="12"/>
  <c r="G2236" i="12"/>
  <c r="F2236" i="12"/>
  <c r="G2235" i="12"/>
  <c r="F2235" i="12"/>
  <c r="G2234" i="12"/>
  <c r="F2234" i="12"/>
  <c r="G2233" i="12"/>
  <c r="F2233" i="12"/>
  <c r="G2232" i="12"/>
  <c r="F2232" i="12"/>
  <c r="G2231" i="12"/>
  <c r="F2231" i="12"/>
  <c r="G2230" i="12"/>
  <c r="F2230" i="12"/>
  <c r="G2229" i="12"/>
  <c r="F2229" i="12"/>
  <c r="G2228" i="12"/>
  <c r="F2228" i="12"/>
  <c r="G2227" i="12"/>
  <c r="F2227" i="12"/>
  <c r="G2226" i="12"/>
  <c r="F2226" i="12"/>
  <c r="G2225" i="12"/>
  <c r="F2225" i="12"/>
  <c r="G2224" i="12"/>
  <c r="F2224" i="12"/>
  <c r="G2223" i="12"/>
  <c r="F2223" i="12"/>
  <c r="G2222" i="12"/>
  <c r="F2222" i="12"/>
  <c r="G2221" i="12"/>
  <c r="F2221" i="12"/>
  <c r="G2220" i="12"/>
  <c r="F2220" i="12"/>
  <c r="G2219" i="12"/>
  <c r="F2219" i="12"/>
  <c r="G2218" i="12"/>
  <c r="F2218" i="12"/>
  <c r="G2217" i="12"/>
  <c r="F2217" i="12"/>
  <c r="G2216" i="12"/>
  <c r="F2216" i="12"/>
  <c r="G2215" i="12"/>
  <c r="F2215" i="12"/>
  <c r="G2214" i="12"/>
  <c r="F2214" i="12"/>
  <c r="G2213" i="12"/>
  <c r="F2213" i="12"/>
  <c r="G2212" i="12"/>
  <c r="F2212" i="12"/>
  <c r="G2211" i="12"/>
  <c r="F2211" i="12"/>
  <c r="G2210" i="12"/>
  <c r="F2210" i="12"/>
  <c r="G2209" i="12"/>
  <c r="F2209" i="12"/>
  <c r="A2209" i="12"/>
  <c r="G2208" i="12"/>
  <c r="F2208" i="12"/>
  <c r="G2207" i="12"/>
  <c r="F2207" i="12"/>
  <c r="G2206" i="12"/>
  <c r="F2206" i="12"/>
  <c r="G2205" i="12"/>
  <c r="F2205" i="12"/>
  <c r="G2204" i="12"/>
  <c r="F2204" i="12"/>
  <c r="G2203" i="12"/>
  <c r="F2203" i="12"/>
  <c r="G2202" i="12"/>
  <c r="F2202" i="12"/>
  <c r="G2201" i="12"/>
  <c r="F2201" i="12"/>
  <c r="G2200" i="12"/>
  <c r="F2200" i="12"/>
  <c r="G2199" i="12"/>
  <c r="F2199" i="12"/>
  <c r="G2198" i="12"/>
  <c r="F2198" i="12"/>
  <c r="G2197" i="12"/>
  <c r="F2197" i="12"/>
  <c r="G2196" i="12"/>
  <c r="F2196" i="12"/>
  <c r="G2195" i="12"/>
  <c r="F2195" i="12"/>
  <c r="G2194" i="12"/>
  <c r="F2194" i="12"/>
  <c r="G2193" i="12"/>
  <c r="F2193" i="12"/>
  <c r="G2192" i="12"/>
  <c r="F2192" i="12"/>
  <c r="G2191" i="12"/>
  <c r="F2191" i="12"/>
  <c r="A2191" i="12"/>
  <c r="G2190" i="12"/>
  <c r="F2190" i="12"/>
  <c r="G2189" i="12"/>
  <c r="F2189" i="12"/>
  <c r="G2188" i="12"/>
  <c r="F2188" i="12"/>
  <c r="G2187" i="12"/>
  <c r="F2187" i="12"/>
  <c r="G2186" i="12"/>
  <c r="F2186" i="12"/>
  <c r="G2185" i="12"/>
  <c r="F2185" i="12"/>
  <c r="G2184" i="12"/>
  <c r="F2184" i="12"/>
  <c r="G2183" i="12"/>
  <c r="F2183" i="12"/>
  <c r="G2182" i="12"/>
  <c r="F2182" i="12"/>
  <c r="A2182" i="12"/>
  <c r="G2181" i="12"/>
  <c r="F2181" i="12"/>
  <c r="G2180" i="12"/>
  <c r="F2180" i="12"/>
  <c r="G2179" i="12"/>
  <c r="F2179" i="12"/>
  <c r="G2178" i="12"/>
  <c r="F2178" i="12"/>
  <c r="G2177" i="12"/>
  <c r="F2177" i="12"/>
  <c r="G2176" i="12"/>
  <c r="F2176" i="12"/>
  <c r="A2176" i="12"/>
  <c r="G2175" i="12"/>
  <c r="F2175" i="12"/>
  <c r="G2174" i="12"/>
  <c r="F2174" i="12"/>
  <c r="G2173" i="12"/>
  <c r="F2173" i="12"/>
  <c r="G2172" i="12"/>
  <c r="F2172" i="12"/>
  <c r="G2171" i="12"/>
  <c r="F2171" i="12"/>
  <c r="G2170" i="12"/>
  <c r="F2170" i="12"/>
  <c r="G2169" i="12"/>
  <c r="F2169" i="12"/>
  <c r="G2168" i="12"/>
  <c r="F2168" i="12"/>
  <c r="G2167" i="12"/>
  <c r="F2167" i="12"/>
  <c r="G2166" i="12"/>
  <c r="F2166" i="12"/>
  <c r="G2165" i="12"/>
  <c r="F2165" i="12"/>
  <c r="G2164" i="12"/>
  <c r="F2164" i="12"/>
  <c r="G2163" i="12"/>
  <c r="F2163" i="12"/>
  <c r="G2162" i="12"/>
  <c r="F2162" i="12"/>
  <c r="G2161" i="12"/>
  <c r="F2161" i="12"/>
  <c r="G2160" i="12"/>
  <c r="F2160" i="12"/>
  <c r="G2159" i="12"/>
  <c r="F2159" i="12"/>
  <c r="G2158" i="12"/>
  <c r="F2158" i="12"/>
  <c r="G2157" i="12"/>
  <c r="F2157" i="12"/>
  <c r="G2156" i="12"/>
  <c r="F2156" i="12"/>
  <c r="G2155" i="12"/>
  <c r="F2155" i="12"/>
  <c r="G2154" i="12"/>
  <c r="F2154" i="12"/>
  <c r="G2153" i="12"/>
  <c r="F2153" i="12"/>
  <c r="G2152" i="12"/>
  <c r="F2152" i="12"/>
  <c r="G2151" i="12"/>
  <c r="F2151" i="12"/>
  <c r="G2150" i="12"/>
  <c r="F2150" i="12"/>
  <c r="G2149" i="12"/>
  <c r="F2149" i="12"/>
  <c r="G2148" i="12"/>
  <c r="F2148" i="12"/>
  <c r="G2147" i="12"/>
  <c r="F2147" i="12"/>
  <c r="G2146" i="12"/>
  <c r="F2146" i="12"/>
  <c r="G2145" i="12"/>
  <c r="F2145" i="12"/>
  <c r="G2144" i="12"/>
  <c r="F2144" i="12"/>
  <c r="G2143" i="12"/>
  <c r="F2143" i="12"/>
  <c r="G2142" i="12"/>
  <c r="F2142" i="12"/>
  <c r="G2141" i="12"/>
  <c r="F2141" i="12"/>
  <c r="G2140" i="12"/>
  <c r="F2140" i="12"/>
  <c r="G2139" i="12"/>
  <c r="F2139" i="12"/>
  <c r="A2139" i="12"/>
  <c r="G2138" i="12"/>
  <c r="F2138" i="12"/>
  <c r="G2137" i="12"/>
  <c r="F2137" i="12"/>
  <c r="G2136" i="12"/>
  <c r="F2136" i="12"/>
  <c r="G2135" i="12"/>
  <c r="F2135" i="12"/>
  <c r="G2134" i="12"/>
  <c r="F2134" i="12"/>
  <c r="G2133" i="12"/>
  <c r="F2133" i="12"/>
  <c r="G2132" i="12"/>
  <c r="F2132" i="12"/>
  <c r="G2131" i="12"/>
  <c r="F2131" i="12"/>
  <c r="G2130" i="12"/>
  <c r="F2130" i="12"/>
  <c r="G2129" i="12"/>
  <c r="F2129" i="12"/>
  <c r="G2128" i="12"/>
  <c r="F2128" i="12"/>
  <c r="G2127" i="12"/>
  <c r="F2127" i="12"/>
  <c r="G2126" i="12"/>
  <c r="F2126" i="12"/>
  <c r="G2125" i="12"/>
  <c r="F2125" i="12"/>
  <c r="G2124" i="12"/>
  <c r="F2124" i="12"/>
  <c r="G2123" i="12"/>
  <c r="F2123" i="12"/>
  <c r="G2122" i="12"/>
  <c r="F2122" i="12"/>
  <c r="A2122" i="12"/>
  <c r="G2121" i="12"/>
  <c r="F2121" i="12"/>
  <c r="G2120" i="12"/>
  <c r="F2120" i="12"/>
  <c r="G2119" i="12"/>
  <c r="F2119" i="12"/>
  <c r="G2118" i="12"/>
  <c r="F2118" i="12"/>
  <c r="G2117" i="12"/>
  <c r="F2117" i="12"/>
  <c r="G2116" i="12"/>
  <c r="F2116" i="12"/>
  <c r="G2115" i="12"/>
  <c r="F2115" i="12"/>
  <c r="G2114" i="12"/>
  <c r="F2114" i="12"/>
  <c r="G2113" i="12"/>
  <c r="F2113" i="12"/>
  <c r="G2112" i="12"/>
  <c r="F2112" i="12"/>
  <c r="G2111" i="12"/>
  <c r="F2111" i="12"/>
  <c r="A2111" i="12"/>
  <c r="G2110" i="12"/>
  <c r="F2110" i="12"/>
  <c r="G2109" i="12"/>
  <c r="F2109" i="12"/>
  <c r="G2108" i="12"/>
  <c r="F2108" i="12"/>
  <c r="G2107" i="12"/>
  <c r="F2107" i="12"/>
  <c r="G2106" i="12"/>
  <c r="F2106" i="12"/>
  <c r="G2105" i="12"/>
  <c r="F2105" i="12"/>
  <c r="G2104" i="12"/>
  <c r="F2104" i="12"/>
  <c r="G2103" i="12"/>
  <c r="F2103" i="12"/>
  <c r="G2102" i="12"/>
  <c r="F2102" i="12"/>
  <c r="G2101" i="12"/>
  <c r="F2101" i="12"/>
  <c r="G2100" i="12"/>
  <c r="F2100" i="12"/>
  <c r="G2099" i="12"/>
  <c r="F2099" i="12"/>
  <c r="G2098" i="12"/>
  <c r="F2098" i="12"/>
  <c r="G2097" i="12"/>
  <c r="F2097" i="12"/>
  <c r="G2096" i="12"/>
  <c r="F2096" i="12"/>
  <c r="G2095" i="12"/>
  <c r="F2095" i="12"/>
  <c r="G2094" i="12"/>
  <c r="F2094" i="12"/>
  <c r="G2093" i="12"/>
  <c r="F2093" i="12"/>
  <c r="G2092" i="12"/>
  <c r="F2092" i="12"/>
  <c r="G2091" i="12"/>
  <c r="F2091" i="12"/>
  <c r="G2090" i="12"/>
  <c r="F2090" i="12"/>
  <c r="G2089" i="12"/>
  <c r="F2089" i="12"/>
  <c r="G2088" i="12"/>
  <c r="F2088" i="12"/>
  <c r="G2087" i="12"/>
  <c r="F2087" i="12"/>
  <c r="G2086" i="12"/>
  <c r="F2086" i="12"/>
  <c r="G2085" i="12"/>
  <c r="F2085" i="12"/>
  <c r="G2084" i="12"/>
  <c r="F2084" i="12"/>
  <c r="G2083" i="12"/>
  <c r="F2083" i="12"/>
  <c r="G2082" i="12"/>
  <c r="F2082" i="12"/>
  <c r="G2081" i="12"/>
  <c r="F2081" i="12"/>
  <c r="G2080" i="12"/>
  <c r="F2080" i="12"/>
  <c r="G2079" i="12"/>
  <c r="F2079" i="12"/>
  <c r="G2078" i="12"/>
  <c r="F2078" i="12"/>
  <c r="G2077" i="12"/>
  <c r="F2077" i="12"/>
  <c r="G2076" i="12"/>
  <c r="F2076" i="12"/>
  <c r="G2075" i="12"/>
  <c r="F2075" i="12"/>
  <c r="G2074" i="12"/>
  <c r="F2074" i="12"/>
  <c r="G2073" i="12"/>
  <c r="F2073" i="12"/>
  <c r="G2072" i="12"/>
  <c r="F2072" i="12"/>
  <c r="G2071" i="12"/>
  <c r="F2071" i="12"/>
  <c r="G2070" i="12"/>
  <c r="F2070" i="12"/>
  <c r="G2069" i="12"/>
  <c r="F2069" i="12"/>
  <c r="G2068" i="12"/>
  <c r="F2068" i="12"/>
  <c r="G2067" i="12"/>
  <c r="F2067" i="12"/>
  <c r="G2066" i="12"/>
  <c r="F2066" i="12"/>
  <c r="G2065" i="12"/>
  <c r="F2065" i="12"/>
  <c r="G2064" i="12"/>
  <c r="F2064" i="12"/>
  <c r="A2064" i="12"/>
  <c r="G2063" i="12"/>
  <c r="F2063" i="12"/>
  <c r="G2062" i="12"/>
  <c r="F2062" i="12"/>
  <c r="G2061" i="12"/>
  <c r="F2061" i="12"/>
  <c r="G2060" i="12"/>
  <c r="F2060" i="12"/>
  <c r="G2059" i="12"/>
  <c r="F2059" i="12"/>
  <c r="G2058" i="12"/>
  <c r="F2058" i="12"/>
  <c r="G2057" i="12"/>
  <c r="F2057" i="12"/>
  <c r="G2056" i="12"/>
  <c r="F2056" i="12"/>
  <c r="G2055" i="12"/>
  <c r="F2055" i="12"/>
  <c r="G2054" i="12"/>
  <c r="F2054" i="12"/>
  <c r="G2053" i="12"/>
  <c r="F2053" i="12"/>
  <c r="G2052" i="12"/>
  <c r="F2052" i="12"/>
  <c r="G2051" i="12"/>
  <c r="F2051" i="12"/>
  <c r="G2050" i="12"/>
  <c r="F2050" i="12"/>
  <c r="G2049" i="12"/>
  <c r="F2049" i="12"/>
  <c r="G2048" i="12"/>
  <c r="F2048" i="12"/>
  <c r="G2047" i="12"/>
  <c r="F2047" i="12"/>
  <c r="A2047" i="12"/>
  <c r="G2046" i="12"/>
  <c r="F2046" i="12"/>
  <c r="G2045" i="12"/>
  <c r="F2045" i="12"/>
  <c r="G2044" i="12"/>
  <c r="F2044" i="12"/>
  <c r="G2043" i="12"/>
  <c r="F2043" i="12"/>
  <c r="G2042" i="12"/>
  <c r="F2042" i="12"/>
  <c r="G2041" i="12"/>
  <c r="F2041" i="12"/>
  <c r="G2040" i="12"/>
  <c r="F2040" i="12"/>
  <c r="G2039" i="12"/>
  <c r="F2039" i="12"/>
  <c r="G2038" i="12"/>
  <c r="F2038" i="12"/>
  <c r="G2037" i="12"/>
  <c r="F2037" i="12"/>
  <c r="G2036" i="12"/>
  <c r="F2036" i="12"/>
  <c r="G2035" i="12"/>
  <c r="F2035" i="12"/>
  <c r="A2035" i="12"/>
  <c r="G2034" i="12"/>
  <c r="F2034" i="12"/>
  <c r="G2033" i="12"/>
  <c r="F2033" i="12"/>
  <c r="G2032" i="12"/>
  <c r="F2032" i="12"/>
  <c r="G2031" i="12"/>
  <c r="F2031" i="12"/>
  <c r="G2030" i="12"/>
  <c r="F2030" i="12"/>
  <c r="G2029" i="12"/>
  <c r="F2029" i="12"/>
  <c r="G2028" i="12"/>
  <c r="F2028" i="12"/>
  <c r="G2027" i="12"/>
  <c r="F2027" i="12"/>
  <c r="G2026" i="12"/>
  <c r="F2026" i="12"/>
  <c r="G2025" i="12"/>
  <c r="F2025" i="12"/>
  <c r="G2024" i="12"/>
  <c r="F2024" i="12"/>
  <c r="G2023" i="12"/>
  <c r="F2023" i="12"/>
  <c r="G2022" i="12"/>
  <c r="F2022" i="12"/>
  <c r="G2021" i="12"/>
  <c r="F2021" i="12"/>
  <c r="G2020" i="12"/>
  <c r="F2020" i="12"/>
  <c r="G2019" i="12"/>
  <c r="F2019" i="12"/>
  <c r="G2018" i="12"/>
  <c r="F2018" i="12"/>
  <c r="G2017" i="12"/>
  <c r="F2017" i="12"/>
  <c r="G2016" i="12"/>
  <c r="F2016" i="12"/>
  <c r="G2015" i="12"/>
  <c r="F2015" i="12"/>
  <c r="G2014" i="12"/>
  <c r="F2014" i="12"/>
  <c r="G2013" i="12"/>
  <c r="F2013" i="12"/>
  <c r="G2012" i="12"/>
  <c r="F2012" i="12"/>
  <c r="G2011" i="12"/>
  <c r="F2011" i="12"/>
  <c r="G2010" i="12"/>
  <c r="F2010" i="12"/>
  <c r="G2009" i="12"/>
  <c r="F2009" i="12"/>
  <c r="G2008" i="12"/>
  <c r="F2008" i="12"/>
  <c r="G2007" i="12"/>
  <c r="F2007" i="12"/>
  <c r="G2006" i="12"/>
  <c r="F2006" i="12"/>
  <c r="G2005" i="12"/>
  <c r="F2005" i="12"/>
  <c r="G2004" i="12"/>
  <c r="F2004" i="12"/>
  <c r="G2003" i="12"/>
  <c r="F2003" i="12"/>
  <c r="G2002" i="12"/>
  <c r="F2002" i="12"/>
  <c r="G2001" i="12"/>
  <c r="F2001" i="12"/>
  <c r="G2000" i="12"/>
  <c r="F2000" i="12"/>
  <c r="G1999" i="12"/>
  <c r="F1999" i="12"/>
  <c r="G1998" i="12"/>
  <c r="F1998" i="12"/>
  <c r="G1997" i="12"/>
  <c r="F1997" i="12"/>
  <c r="G1996" i="12"/>
  <c r="F1996" i="12"/>
  <c r="G1995" i="12"/>
  <c r="F1995" i="12"/>
  <c r="G1994" i="12"/>
  <c r="F1994" i="12"/>
  <c r="G1993" i="12"/>
  <c r="F1993" i="12"/>
  <c r="G1992" i="12"/>
  <c r="F1992" i="12"/>
  <c r="G1991" i="12"/>
  <c r="F1991" i="12"/>
  <c r="G1990" i="12"/>
  <c r="F1990" i="12"/>
  <c r="G1989" i="12"/>
  <c r="F1989" i="12"/>
  <c r="G1988" i="12"/>
  <c r="F1988" i="12"/>
  <c r="A1988" i="12"/>
  <c r="G1987" i="12"/>
  <c r="F1987" i="12"/>
  <c r="G1986" i="12"/>
  <c r="F1986" i="12"/>
  <c r="G1985" i="12"/>
  <c r="F1985" i="12"/>
  <c r="G1984" i="12"/>
  <c r="F1984" i="12"/>
  <c r="G1983" i="12"/>
  <c r="F1983" i="12"/>
  <c r="G1982" i="12"/>
  <c r="F1982" i="12"/>
  <c r="G1981" i="12"/>
  <c r="F1981" i="12"/>
  <c r="G1980" i="12"/>
  <c r="F1980" i="12"/>
  <c r="G1979" i="12"/>
  <c r="F1979" i="12"/>
  <c r="G1978" i="12"/>
  <c r="F1978" i="12"/>
  <c r="G1977" i="12"/>
  <c r="F1977" i="12"/>
  <c r="G1976" i="12"/>
  <c r="F1976" i="12"/>
  <c r="G1975" i="12"/>
  <c r="F1975" i="12"/>
  <c r="G1974" i="12"/>
  <c r="F1974" i="12"/>
  <c r="A1974" i="12"/>
  <c r="G1973" i="12"/>
  <c r="F1973" i="12"/>
  <c r="G1972" i="12"/>
  <c r="F1972" i="12"/>
  <c r="G1971" i="12"/>
  <c r="F1971" i="12"/>
  <c r="G1970" i="12"/>
  <c r="F1970" i="12"/>
  <c r="G1969" i="12"/>
  <c r="F1969" i="12"/>
  <c r="G1968" i="12"/>
  <c r="F1968" i="12"/>
  <c r="G1967" i="12"/>
  <c r="F1967" i="12"/>
  <c r="G1966" i="12"/>
  <c r="F1966" i="12"/>
  <c r="G1965" i="12"/>
  <c r="F1965" i="12"/>
  <c r="G1964" i="12"/>
  <c r="F1964" i="12"/>
  <c r="G1963" i="12"/>
  <c r="F1963" i="12"/>
  <c r="G1962" i="12"/>
  <c r="F1962" i="12"/>
  <c r="G1961" i="12"/>
  <c r="F1961" i="12"/>
  <c r="G1960" i="12"/>
  <c r="F1960" i="12"/>
  <c r="G1959" i="12"/>
  <c r="F1959" i="12"/>
  <c r="G1958" i="12"/>
  <c r="F1958" i="12"/>
  <c r="G1957" i="12"/>
  <c r="F1957" i="12"/>
  <c r="G1956" i="12"/>
  <c r="F1956" i="12"/>
  <c r="G1955" i="12"/>
  <c r="F1955" i="12"/>
  <c r="G1954" i="12"/>
  <c r="F1954" i="12"/>
  <c r="G1953" i="12"/>
  <c r="F1953" i="12"/>
  <c r="G1952" i="12"/>
  <c r="F1952" i="12"/>
  <c r="G1951" i="12"/>
  <c r="F1951" i="12"/>
  <c r="G1950" i="12"/>
  <c r="F1950" i="12"/>
  <c r="G1949" i="12"/>
  <c r="F1949" i="12"/>
  <c r="G1948" i="12"/>
  <c r="F1948" i="12"/>
  <c r="G1947" i="12"/>
  <c r="F1947" i="12"/>
  <c r="G1946" i="12"/>
  <c r="F1946" i="12"/>
  <c r="G1945" i="12"/>
  <c r="F1945" i="12"/>
  <c r="G1944" i="12"/>
  <c r="F1944" i="12"/>
  <c r="G1943" i="12"/>
  <c r="F1943" i="12"/>
  <c r="G1942" i="12"/>
  <c r="F1942" i="12"/>
  <c r="G1941" i="12"/>
  <c r="F1941" i="12"/>
  <c r="G1940" i="12"/>
  <c r="F1940" i="12"/>
  <c r="G1939" i="12"/>
  <c r="F1939" i="12"/>
  <c r="G1938" i="12"/>
  <c r="F1938" i="12"/>
  <c r="G1937" i="12"/>
  <c r="F1937" i="12"/>
  <c r="G1936" i="12"/>
  <c r="F1936" i="12"/>
  <c r="G1935" i="12"/>
  <c r="F1935" i="12"/>
  <c r="G1934" i="12"/>
  <c r="F1934" i="12"/>
  <c r="G1933" i="12"/>
  <c r="F1933" i="12"/>
  <c r="G1932" i="12"/>
  <c r="F1932" i="12"/>
  <c r="G1931" i="12"/>
  <c r="F1931" i="12"/>
  <c r="G1930" i="12"/>
  <c r="F1930" i="12"/>
  <c r="G1929" i="12"/>
  <c r="F1929" i="12"/>
  <c r="G1928" i="12"/>
  <c r="F1928" i="12"/>
  <c r="G1927" i="12"/>
  <c r="F1927" i="12"/>
  <c r="G1926" i="12"/>
  <c r="F1926" i="12"/>
  <c r="G1925" i="12"/>
  <c r="F1925" i="12"/>
  <c r="G1924" i="12"/>
  <c r="F1924" i="12"/>
  <c r="G1923" i="12"/>
  <c r="F1923" i="12"/>
  <c r="G1922" i="12"/>
  <c r="F1922" i="12"/>
  <c r="G1921" i="12"/>
  <c r="F1921" i="12"/>
  <c r="G1920" i="12"/>
  <c r="F1920" i="12"/>
  <c r="G1919" i="12"/>
  <c r="F1919" i="12"/>
  <c r="G1918" i="12"/>
  <c r="F1918" i="12"/>
  <c r="G1917" i="12"/>
  <c r="F1917" i="12"/>
  <c r="G1916" i="12"/>
  <c r="F1916" i="12"/>
  <c r="G1915" i="12"/>
  <c r="F1915" i="12"/>
  <c r="G1914" i="12"/>
  <c r="F1914" i="12"/>
  <c r="G1913" i="12"/>
  <c r="F1913" i="12"/>
  <c r="G1912" i="12"/>
  <c r="F1912" i="12"/>
  <c r="G1911" i="12"/>
  <c r="F1911" i="12"/>
  <c r="G1910" i="12"/>
  <c r="F1910" i="12"/>
  <c r="G1909" i="12"/>
  <c r="F1909" i="12"/>
  <c r="G1908" i="12"/>
  <c r="F1908" i="12"/>
  <c r="G1907" i="12"/>
  <c r="F1907" i="12"/>
  <c r="G1906" i="12"/>
  <c r="F1906" i="12"/>
  <c r="G1905" i="12"/>
  <c r="F1905" i="12"/>
  <c r="G1904" i="12"/>
  <c r="F1904" i="12"/>
  <c r="G1903" i="12"/>
  <c r="F1903" i="12"/>
  <c r="G1902" i="12"/>
  <c r="F1902" i="12"/>
  <c r="G1901" i="12"/>
  <c r="F1901" i="12"/>
  <c r="G1900" i="12"/>
  <c r="F1900" i="12"/>
  <c r="G1899" i="12"/>
  <c r="F1899" i="12"/>
  <c r="G1898" i="12"/>
  <c r="F1898" i="12"/>
  <c r="G1897" i="12"/>
  <c r="F1897" i="12"/>
  <c r="G1896" i="12"/>
  <c r="F1896" i="12"/>
  <c r="G1895" i="12"/>
  <c r="F1895" i="12"/>
  <c r="G1894" i="12"/>
  <c r="F1894" i="12"/>
  <c r="G1893" i="12"/>
  <c r="F1893" i="12"/>
  <c r="G1892" i="12"/>
  <c r="F1892" i="12"/>
  <c r="G1891" i="12"/>
  <c r="F1891" i="12"/>
  <c r="G1890" i="12"/>
  <c r="F1890" i="12"/>
  <c r="G1889" i="12"/>
  <c r="F1889" i="12"/>
  <c r="G1888" i="12"/>
  <c r="F1888" i="12"/>
  <c r="G1887" i="12"/>
  <c r="F1887" i="12"/>
  <c r="G1886" i="12"/>
  <c r="F1886" i="12"/>
  <c r="G1885" i="12"/>
  <c r="F1885" i="12"/>
  <c r="G1884" i="12"/>
  <c r="F1884" i="12"/>
  <c r="G1883" i="12"/>
  <c r="F1883" i="12"/>
  <c r="G1882" i="12"/>
  <c r="F1882" i="12"/>
  <c r="G1881" i="12"/>
  <c r="F1881" i="12"/>
  <c r="G1880" i="12"/>
  <c r="F1880" i="12"/>
  <c r="G1879" i="12"/>
  <c r="F1879" i="12"/>
  <c r="G1878" i="12"/>
  <c r="F1878" i="12"/>
  <c r="G1877" i="12"/>
  <c r="F1877" i="12"/>
  <c r="G1876" i="12"/>
  <c r="F1876" i="12"/>
  <c r="G1875" i="12"/>
  <c r="F1875" i="12"/>
  <c r="G1874" i="12"/>
  <c r="F1874" i="12"/>
  <c r="G1873" i="12"/>
  <c r="F1873" i="12"/>
  <c r="G1872" i="12"/>
  <c r="F1872" i="12"/>
  <c r="G1871" i="12"/>
  <c r="F1871" i="12"/>
  <c r="G1870" i="12"/>
  <c r="F1870" i="12"/>
  <c r="G1869" i="12"/>
  <c r="F1869" i="12"/>
  <c r="G1868" i="12"/>
  <c r="F1868" i="12"/>
  <c r="G1867" i="12"/>
  <c r="F1867" i="12"/>
  <c r="G1866" i="12"/>
  <c r="F1866" i="12"/>
  <c r="G1865" i="12"/>
  <c r="F1865" i="12"/>
  <c r="G1864" i="12"/>
  <c r="F1864" i="12"/>
  <c r="G1863" i="12"/>
  <c r="F1863" i="12"/>
  <c r="G1862" i="12"/>
  <c r="F1862" i="12"/>
  <c r="G1861" i="12"/>
  <c r="F1861" i="12"/>
  <c r="G1860" i="12"/>
  <c r="F1860" i="12"/>
  <c r="G1859" i="12"/>
  <c r="F1859" i="12"/>
  <c r="G1858" i="12"/>
  <c r="F1858" i="12"/>
  <c r="G1857" i="12"/>
  <c r="F1857" i="12"/>
  <c r="G1856" i="12"/>
  <c r="F1856" i="12"/>
  <c r="G1855" i="12"/>
  <c r="F1855" i="12"/>
  <c r="G1854" i="12"/>
  <c r="F1854" i="12"/>
  <c r="G1853" i="12"/>
  <c r="F1853" i="12"/>
  <c r="G1852" i="12"/>
  <c r="F1852" i="12"/>
  <c r="G1851" i="12"/>
  <c r="F1851" i="12"/>
  <c r="G1850" i="12"/>
  <c r="F1850" i="12"/>
  <c r="G1849" i="12"/>
  <c r="F1849" i="12"/>
  <c r="G1848" i="12"/>
  <c r="F1848" i="12"/>
  <c r="G1847" i="12"/>
  <c r="F1847" i="12"/>
  <c r="G1846" i="12"/>
  <c r="F1846" i="12"/>
  <c r="G1845" i="12"/>
  <c r="F1845" i="12"/>
  <c r="G1844" i="12"/>
  <c r="F1844" i="12"/>
  <c r="A1844" i="12"/>
  <c r="G1843" i="12"/>
  <c r="F1843" i="12"/>
  <c r="G1842" i="12"/>
  <c r="F1842" i="12"/>
  <c r="G1841" i="12"/>
  <c r="F1841" i="12"/>
  <c r="G1840" i="12"/>
  <c r="F1840" i="12"/>
  <c r="G1839" i="12"/>
  <c r="F1839" i="12"/>
  <c r="G1838" i="12"/>
  <c r="F1838" i="12"/>
  <c r="A1838" i="12"/>
  <c r="G1837" i="12"/>
  <c r="F1837" i="12"/>
  <c r="G1836" i="12"/>
  <c r="F1836" i="12"/>
  <c r="G1835" i="12"/>
  <c r="F1835" i="12"/>
  <c r="G1834" i="12"/>
  <c r="F1834" i="12"/>
  <c r="G1833" i="12"/>
  <c r="F1833" i="12"/>
  <c r="G1832" i="12"/>
  <c r="F1832" i="12"/>
  <c r="G1831" i="12"/>
  <c r="F1831" i="12"/>
  <c r="G1830" i="12"/>
  <c r="F1830" i="12"/>
  <c r="G1829" i="12"/>
  <c r="F1829" i="12"/>
  <c r="G1828" i="12"/>
  <c r="F1828" i="12"/>
  <c r="G1827" i="12"/>
  <c r="F1827" i="12"/>
  <c r="G1826" i="12"/>
  <c r="F1826" i="12"/>
  <c r="G1825" i="12"/>
  <c r="F1825" i="12"/>
  <c r="G1824" i="12"/>
  <c r="F1824" i="12"/>
  <c r="G1823" i="12"/>
  <c r="F1823" i="12"/>
  <c r="G1822" i="12"/>
  <c r="F1822" i="12"/>
  <c r="G1821" i="12"/>
  <c r="F1821" i="12"/>
  <c r="G1820" i="12"/>
  <c r="F1820" i="12"/>
  <c r="G1819" i="12"/>
  <c r="F1819" i="12"/>
  <c r="G1818" i="12"/>
  <c r="F1818" i="12"/>
  <c r="G1817" i="12"/>
  <c r="F1817" i="12"/>
  <c r="G1816" i="12"/>
  <c r="F1816" i="12"/>
  <c r="G1815" i="12"/>
  <c r="F1815" i="12"/>
  <c r="G1814" i="12"/>
  <c r="F1814" i="12"/>
  <c r="G1813" i="12"/>
  <c r="F1813" i="12"/>
  <c r="G1812" i="12"/>
  <c r="F1812" i="12"/>
  <c r="G1811" i="12"/>
  <c r="F1811" i="12"/>
  <c r="G1810" i="12"/>
  <c r="F1810" i="12"/>
  <c r="G1809" i="12"/>
  <c r="F1809" i="12"/>
  <c r="G1808" i="12"/>
  <c r="F1808" i="12"/>
  <c r="G1807" i="12"/>
  <c r="F1807" i="12"/>
  <c r="G1806" i="12"/>
  <c r="F1806" i="12"/>
  <c r="G1805" i="12"/>
  <c r="F1805" i="12"/>
  <c r="G1804" i="12"/>
  <c r="F1804" i="12"/>
  <c r="G1803" i="12"/>
  <c r="F1803" i="12"/>
  <c r="A1803" i="12"/>
  <c r="G1802" i="12"/>
  <c r="F1802" i="12"/>
  <c r="G1801" i="12"/>
  <c r="F1801" i="12"/>
  <c r="G1800" i="12"/>
  <c r="F1800" i="12"/>
  <c r="G1799" i="12"/>
  <c r="F1799" i="12"/>
  <c r="G1798" i="12"/>
  <c r="F1798" i="12"/>
  <c r="G1797" i="12"/>
  <c r="F1797" i="12"/>
  <c r="G1796" i="12"/>
  <c r="F1796" i="12"/>
  <c r="G1795" i="12"/>
  <c r="F1795" i="12"/>
  <c r="G1794" i="12"/>
  <c r="F1794" i="12"/>
  <c r="G1793" i="12"/>
  <c r="F1793" i="12"/>
  <c r="G1792" i="12"/>
  <c r="F1792" i="12"/>
  <c r="G1791" i="12"/>
  <c r="F1791" i="12"/>
  <c r="G1790" i="12"/>
  <c r="F1790" i="12"/>
  <c r="G1789" i="12"/>
  <c r="F1789" i="12"/>
  <c r="G1788" i="12"/>
  <c r="F1788" i="12"/>
  <c r="G1787" i="12"/>
  <c r="F1787" i="12"/>
  <c r="G1786" i="12"/>
  <c r="F1786" i="12"/>
  <c r="G1785" i="12"/>
  <c r="F1785" i="12"/>
  <c r="A1785" i="12"/>
  <c r="G1784" i="12"/>
  <c r="F1784" i="12"/>
  <c r="G1783" i="12"/>
  <c r="F1783" i="12"/>
  <c r="G1782" i="12"/>
  <c r="F1782" i="12"/>
  <c r="G1781" i="12"/>
  <c r="F1781" i="12"/>
  <c r="G1780" i="12"/>
  <c r="F1780" i="12"/>
  <c r="G1779" i="12"/>
  <c r="F1779" i="12"/>
  <c r="G1778" i="12"/>
  <c r="F1778" i="12"/>
  <c r="G1777" i="12"/>
  <c r="F1777" i="12"/>
  <c r="G1776" i="12"/>
  <c r="F1776" i="12"/>
  <c r="G1775" i="12"/>
  <c r="F1775" i="12"/>
  <c r="G1774" i="12"/>
  <c r="F1774" i="12"/>
  <c r="G1773" i="12"/>
  <c r="F1773" i="12"/>
  <c r="G1772" i="12"/>
  <c r="F1772" i="12"/>
  <c r="G1771" i="12"/>
  <c r="F1771" i="12"/>
  <c r="G1770" i="12"/>
  <c r="F1770" i="12"/>
  <c r="G1769" i="12"/>
  <c r="F1769" i="12"/>
  <c r="G1768" i="12"/>
  <c r="F1768" i="12"/>
  <c r="G1767" i="12"/>
  <c r="F1767" i="12"/>
  <c r="G1766" i="12"/>
  <c r="F1766" i="12"/>
  <c r="G1765" i="12"/>
  <c r="F1765" i="12"/>
  <c r="G1764" i="12"/>
  <c r="F1764" i="12"/>
  <c r="G1763" i="12"/>
  <c r="F1763" i="12"/>
  <c r="G1762" i="12"/>
  <c r="F1762" i="12"/>
  <c r="G1761" i="12"/>
  <c r="F1761" i="12"/>
  <c r="G1760" i="12"/>
  <c r="F1760" i="12"/>
  <c r="G1759" i="12"/>
  <c r="F1759" i="12"/>
  <c r="G1758" i="12"/>
  <c r="F1758" i="12"/>
  <c r="G1757" i="12"/>
  <c r="F1757" i="12"/>
  <c r="G1756" i="12"/>
  <c r="F1756" i="12"/>
  <c r="G1755" i="12"/>
  <c r="F1755" i="12"/>
  <c r="G1754" i="12"/>
  <c r="F1754" i="12"/>
  <c r="A1754" i="12"/>
  <c r="G1753" i="12"/>
  <c r="F1753" i="12"/>
  <c r="G1752" i="12"/>
  <c r="F1752" i="12"/>
  <c r="G1751" i="12"/>
  <c r="F1751" i="12"/>
  <c r="G1750" i="12"/>
  <c r="F1750" i="12"/>
  <c r="G1749" i="12"/>
  <c r="F1749" i="12"/>
  <c r="G1748" i="12"/>
  <c r="F1748" i="12"/>
  <c r="G1747" i="12"/>
  <c r="F1747" i="12"/>
  <c r="G1746" i="12"/>
  <c r="F1746" i="12"/>
  <c r="G1745" i="12"/>
  <c r="F1745" i="12"/>
  <c r="G1744" i="12"/>
  <c r="F1744" i="12"/>
  <c r="G1743" i="12"/>
  <c r="F1743" i="12"/>
  <c r="G1742" i="12"/>
  <c r="F1742" i="12"/>
  <c r="G1741" i="12"/>
  <c r="F1741" i="12"/>
  <c r="G1740" i="12"/>
  <c r="F1740" i="12"/>
  <c r="G1739" i="12"/>
  <c r="F1739" i="12"/>
  <c r="G1738" i="12"/>
  <c r="F1738" i="12"/>
  <c r="G1737" i="12"/>
  <c r="F1737" i="12"/>
  <c r="G1736" i="12"/>
  <c r="F1736" i="12"/>
  <c r="G1735" i="12"/>
  <c r="F1735" i="12"/>
  <c r="G1734" i="12"/>
  <c r="F1734" i="12"/>
  <c r="G1733" i="12"/>
  <c r="F1733" i="12"/>
  <c r="G1732" i="12"/>
  <c r="F1732" i="12"/>
  <c r="G1731" i="12"/>
  <c r="F1731" i="12"/>
  <c r="G1730" i="12"/>
  <c r="F1730" i="12"/>
  <c r="G1729" i="12"/>
  <c r="F1729" i="12"/>
  <c r="G1728" i="12"/>
  <c r="F1728" i="12"/>
  <c r="G1727" i="12"/>
  <c r="F1727" i="12"/>
  <c r="G1726" i="12"/>
  <c r="F1726" i="12"/>
  <c r="G1725" i="12"/>
  <c r="F1725" i="12"/>
  <c r="G1724" i="12"/>
  <c r="F1724" i="12"/>
  <c r="G1723" i="12"/>
  <c r="F1723" i="12"/>
  <c r="G1722" i="12"/>
  <c r="F1722" i="12"/>
  <c r="G1721" i="12"/>
  <c r="F1721" i="12"/>
  <c r="G1720" i="12"/>
  <c r="F1720" i="12"/>
  <c r="G1719" i="12"/>
  <c r="F1719" i="12"/>
  <c r="G1718" i="12"/>
  <c r="F1718" i="12"/>
  <c r="G1717" i="12"/>
  <c r="F1717" i="12"/>
  <c r="G1716" i="12"/>
  <c r="F1716" i="12"/>
  <c r="G1715" i="12"/>
  <c r="F1715" i="12"/>
  <c r="G1714" i="12"/>
  <c r="F1714" i="12"/>
  <c r="G1713" i="12"/>
  <c r="F1713" i="12"/>
  <c r="A1713" i="12"/>
  <c r="G1712" i="12"/>
  <c r="F1712" i="12"/>
  <c r="G1711" i="12"/>
  <c r="F1711" i="12"/>
  <c r="G1710" i="12"/>
  <c r="F1710" i="12"/>
  <c r="G1709" i="12"/>
  <c r="F1709" i="12"/>
  <c r="G1708" i="12"/>
  <c r="F1708" i="12"/>
  <c r="G1707" i="12"/>
  <c r="F1707" i="12"/>
  <c r="G1706" i="12"/>
  <c r="F1706" i="12"/>
  <c r="G1705" i="12"/>
  <c r="F1705" i="12"/>
  <c r="G1704" i="12"/>
  <c r="F1704" i="12"/>
  <c r="G1703" i="12"/>
  <c r="F1703" i="12"/>
  <c r="G1702" i="12"/>
  <c r="F1702" i="12"/>
  <c r="G1701" i="12"/>
  <c r="F1701" i="12"/>
  <c r="G1700" i="12"/>
  <c r="F1700" i="12"/>
  <c r="G1699" i="12"/>
  <c r="F1699" i="12"/>
  <c r="G1698" i="12"/>
  <c r="F1698" i="12"/>
  <c r="G1697" i="12"/>
  <c r="F1697" i="12"/>
  <c r="G1696" i="12"/>
  <c r="F1696" i="12"/>
  <c r="G1695" i="12"/>
  <c r="F1695" i="12"/>
  <c r="G1694" i="12"/>
  <c r="F1694" i="12"/>
  <c r="G1693" i="12"/>
  <c r="F1693" i="12"/>
  <c r="G1692" i="12"/>
  <c r="F1692" i="12"/>
  <c r="G1691" i="12"/>
  <c r="F1691" i="12"/>
  <c r="G1690" i="12"/>
  <c r="F1690" i="12"/>
  <c r="G1689" i="12"/>
  <c r="F1689" i="12"/>
  <c r="G1688" i="12"/>
  <c r="F1688" i="12"/>
  <c r="G1687" i="12"/>
  <c r="F1687" i="12"/>
  <c r="G1686" i="12"/>
  <c r="F1686" i="12"/>
  <c r="G1685" i="12"/>
  <c r="F1685" i="12"/>
  <c r="G1684" i="12"/>
  <c r="F1684" i="12"/>
  <c r="G1683" i="12"/>
  <c r="F1683" i="12"/>
  <c r="G1682" i="12"/>
  <c r="F1682" i="12"/>
  <c r="G1681" i="12"/>
  <c r="F1681" i="12"/>
  <c r="G1680" i="12"/>
  <c r="F1680" i="12"/>
  <c r="G1679" i="12"/>
  <c r="F1679" i="12"/>
  <c r="G1678" i="12"/>
  <c r="F1678" i="12"/>
  <c r="G1677" i="12"/>
  <c r="F1677" i="12"/>
  <c r="A1677" i="12"/>
  <c r="G1676" i="12"/>
  <c r="F1676" i="12"/>
  <c r="G1675" i="12"/>
  <c r="F1675" i="12"/>
  <c r="G1674" i="12"/>
  <c r="F1674" i="12"/>
  <c r="G1673" i="12"/>
  <c r="F1673" i="12"/>
  <c r="G1672" i="12"/>
  <c r="F1672" i="12"/>
  <c r="G1671" i="12"/>
  <c r="F1671" i="12"/>
  <c r="G1670" i="12"/>
  <c r="F1670" i="12"/>
  <c r="G1669" i="12"/>
  <c r="F1669" i="12"/>
  <c r="G1668" i="12"/>
  <c r="F1668" i="12"/>
  <c r="A1668" i="12"/>
  <c r="G1667" i="12"/>
  <c r="F1667" i="12"/>
  <c r="G1666" i="12"/>
  <c r="F1666" i="12"/>
  <c r="G1665" i="12"/>
  <c r="F1665" i="12"/>
  <c r="G1664" i="12"/>
  <c r="F1664" i="12"/>
  <c r="G1663" i="12"/>
  <c r="F1663" i="12"/>
  <c r="G1662" i="12"/>
  <c r="F1662" i="12"/>
  <c r="G1661" i="12"/>
  <c r="F1661" i="12"/>
  <c r="G1660" i="12"/>
  <c r="F1660" i="12"/>
  <c r="G1659" i="12"/>
  <c r="F1659" i="12"/>
  <c r="G1658" i="12"/>
  <c r="F1658" i="12"/>
  <c r="G1657" i="12"/>
  <c r="F1657" i="12"/>
  <c r="G1656" i="12"/>
  <c r="F1656" i="12"/>
  <c r="G1655" i="12"/>
  <c r="F1655" i="12"/>
  <c r="G1654" i="12"/>
  <c r="F1654" i="12"/>
  <c r="G1653" i="12"/>
  <c r="F1653" i="12"/>
  <c r="G1652" i="12"/>
  <c r="F1652" i="12"/>
  <c r="G1651" i="12"/>
  <c r="F1651" i="12"/>
  <c r="G1650" i="12"/>
  <c r="F1650" i="12"/>
  <c r="G1649" i="12"/>
  <c r="F1649" i="12"/>
  <c r="G1648" i="12"/>
  <c r="F1648" i="12"/>
  <c r="G1647" i="12"/>
  <c r="F1647" i="12"/>
  <c r="G1646" i="12"/>
  <c r="F1646" i="12"/>
  <c r="G1645" i="12"/>
  <c r="F1645" i="12"/>
  <c r="G1644" i="12"/>
  <c r="F1644" i="12"/>
  <c r="G1643" i="12"/>
  <c r="F1643" i="12"/>
  <c r="G1642" i="12"/>
  <c r="F1642" i="12"/>
  <c r="G1641" i="12"/>
  <c r="F1641" i="12"/>
  <c r="G1640" i="12"/>
  <c r="F1640" i="12"/>
  <c r="G1639" i="12"/>
  <c r="F1639" i="12"/>
  <c r="G1638" i="12"/>
  <c r="F1638" i="12"/>
  <c r="G1637" i="12"/>
  <c r="F1637" i="12"/>
  <c r="G1636" i="12"/>
  <c r="F1636" i="12"/>
  <c r="G1635" i="12"/>
  <c r="F1635" i="12"/>
  <c r="G1634" i="12"/>
  <c r="F1634" i="12"/>
  <c r="G1633" i="12"/>
  <c r="F1633" i="12"/>
  <c r="G1632" i="12"/>
  <c r="F1632" i="12"/>
  <c r="G1631" i="12"/>
  <c r="F1631" i="12"/>
  <c r="G1630" i="12"/>
  <c r="F1630" i="12"/>
  <c r="G1629" i="12"/>
  <c r="F1629" i="12"/>
  <c r="G1628" i="12"/>
  <c r="F1628" i="12"/>
  <c r="G1627" i="12"/>
  <c r="F1627" i="12"/>
  <c r="G1626" i="12"/>
  <c r="F1626" i="12"/>
  <c r="G1625" i="12"/>
  <c r="F1625" i="12"/>
  <c r="A1625" i="12"/>
  <c r="G1624" i="12"/>
  <c r="F1624" i="12"/>
  <c r="G1623" i="12"/>
  <c r="F1623" i="12"/>
  <c r="G1622" i="12"/>
  <c r="F1622" i="12"/>
  <c r="G1621" i="12"/>
  <c r="F1621" i="12"/>
  <c r="G1620" i="12"/>
  <c r="F1620" i="12"/>
  <c r="G1619" i="12"/>
  <c r="F1619" i="12"/>
  <c r="G1618" i="12"/>
  <c r="F1618" i="12"/>
  <c r="G1617" i="12"/>
  <c r="F1617" i="12"/>
  <c r="G1616" i="12"/>
  <c r="F1616" i="12"/>
  <c r="G1615" i="12"/>
  <c r="F1615" i="12"/>
  <c r="G1614" i="12"/>
  <c r="F1614" i="12"/>
  <c r="G1613" i="12"/>
  <c r="F1613" i="12"/>
  <c r="G1612" i="12"/>
  <c r="F1612" i="12"/>
  <c r="G1611" i="12"/>
  <c r="F1611" i="12"/>
  <c r="G1610" i="12"/>
  <c r="F1610" i="12"/>
  <c r="G1609" i="12"/>
  <c r="F1609" i="12"/>
  <c r="G1608" i="12"/>
  <c r="F1608" i="12"/>
  <c r="G1607" i="12"/>
  <c r="F1607" i="12"/>
  <c r="A1607" i="12"/>
  <c r="G1606" i="12"/>
  <c r="F1606" i="12"/>
  <c r="G1605" i="12"/>
  <c r="F1605" i="12"/>
  <c r="G1604" i="12"/>
  <c r="F1604" i="12"/>
  <c r="G1603" i="12"/>
  <c r="F1603" i="12"/>
  <c r="G1602" i="12"/>
  <c r="F1602" i="12"/>
  <c r="G1601" i="12"/>
  <c r="F1601" i="12"/>
  <c r="G1600" i="12"/>
  <c r="F1600" i="12"/>
  <c r="G1599" i="12"/>
  <c r="F1599" i="12"/>
  <c r="G1598" i="12"/>
  <c r="F1598" i="12"/>
  <c r="G1597" i="12"/>
  <c r="F1597" i="12"/>
  <c r="A1597" i="12"/>
  <c r="G1596" i="12"/>
  <c r="F1596" i="12"/>
  <c r="G1595" i="12"/>
  <c r="F1595" i="12"/>
  <c r="G1594" i="12"/>
  <c r="F1594" i="12"/>
  <c r="G1593" i="12"/>
  <c r="F1593" i="12"/>
  <c r="G1592" i="12"/>
  <c r="F1592" i="12"/>
  <c r="G1591" i="12"/>
  <c r="F1591" i="12"/>
  <c r="G1590" i="12"/>
  <c r="F1590" i="12"/>
  <c r="G1589" i="12"/>
  <c r="F1589" i="12"/>
  <c r="G1588" i="12"/>
  <c r="F1588" i="12"/>
  <c r="G1587" i="12"/>
  <c r="F1587" i="12"/>
  <c r="A1587" i="12"/>
  <c r="G1586" i="12"/>
  <c r="F1586" i="12"/>
  <c r="G1585" i="12"/>
  <c r="F1585" i="12"/>
  <c r="G1584" i="12"/>
  <c r="F1584" i="12"/>
  <c r="G1583" i="12"/>
  <c r="F1583" i="12"/>
  <c r="G1582" i="12"/>
  <c r="F1582" i="12"/>
  <c r="G1581" i="12"/>
  <c r="F1581" i="12"/>
  <c r="G1580" i="12"/>
  <c r="F1580" i="12"/>
  <c r="G1579" i="12"/>
  <c r="F1579" i="12"/>
  <c r="G1578" i="12"/>
  <c r="F1578" i="12"/>
  <c r="G1577" i="12"/>
  <c r="F1577" i="12"/>
  <c r="G1576" i="12"/>
  <c r="F1576" i="12"/>
  <c r="G1575" i="12"/>
  <c r="F1575" i="12"/>
  <c r="A1575" i="12"/>
  <c r="G1574" i="12"/>
  <c r="F1574" i="12"/>
  <c r="G1573" i="12"/>
  <c r="F1573" i="12"/>
  <c r="G1572" i="12"/>
  <c r="F1572" i="12"/>
  <c r="G1571" i="12"/>
  <c r="F1571" i="12"/>
  <c r="G1570" i="12"/>
  <c r="F1570" i="12"/>
  <c r="G1569" i="12"/>
  <c r="F1569" i="12"/>
  <c r="G1568" i="12"/>
  <c r="F1568" i="12"/>
  <c r="G1567" i="12"/>
  <c r="F1567" i="12"/>
  <c r="G1566" i="12"/>
  <c r="F1566" i="12"/>
  <c r="G1565" i="12"/>
  <c r="F1565" i="12"/>
  <c r="G1564" i="12"/>
  <c r="F1564" i="12"/>
  <c r="G1563" i="12"/>
  <c r="F1563" i="12"/>
  <c r="G1562" i="12"/>
  <c r="F1562" i="12"/>
  <c r="G1561" i="12"/>
  <c r="F1561" i="12"/>
  <c r="G1560" i="12"/>
  <c r="F1560" i="12"/>
  <c r="G1559" i="12"/>
  <c r="F1559" i="12"/>
  <c r="G1558" i="12"/>
  <c r="F1558" i="12"/>
  <c r="G1557" i="12"/>
  <c r="F1557" i="12"/>
  <c r="G1556" i="12"/>
  <c r="F1556" i="12"/>
  <c r="G1555" i="12"/>
  <c r="F1555" i="12"/>
  <c r="G1554" i="12"/>
  <c r="F1554" i="12"/>
  <c r="G1553" i="12"/>
  <c r="F1553" i="12"/>
  <c r="G1552" i="12"/>
  <c r="F1552" i="12"/>
  <c r="G1551" i="12"/>
  <c r="F1551" i="12"/>
  <c r="G1550" i="12"/>
  <c r="F1550" i="12"/>
  <c r="G1549" i="12"/>
  <c r="F1549" i="12"/>
  <c r="G1548" i="12"/>
  <c r="F1548" i="12"/>
  <c r="G1547" i="12"/>
  <c r="F1547" i="12"/>
  <c r="G1546" i="12"/>
  <c r="F1546" i="12"/>
  <c r="G1545" i="12"/>
  <c r="F1545" i="12"/>
  <c r="G1544" i="12"/>
  <c r="F1544" i="12"/>
  <c r="G1543" i="12"/>
  <c r="F1543" i="12"/>
  <c r="G1542" i="12"/>
  <c r="F1542" i="12"/>
  <c r="G1541" i="12"/>
  <c r="F1541" i="12"/>
  <c r="G1540" i="12"/>
  <c r="F1540" i="12"/>
  <c r="G1539" i="12"/>
  <c r="F1539" i="12"/>
  <c r="G1538" i="12"/>
  <c r="F1538" i="12"/>
  <c r="G1537" i="12"/>
  <c r="F1537" i="12"/>
  <c r="G1536" i="12"/>
  <c r="F1536" i="12"/>
  <c r="G1535" i="12"/>
  <c r="F1535" i="12"/>
  <c r="G1534" i="12"/>
  <c r="F1534" i="12"/>
  <c r="A1534" i="12"/>
  <c r="G1533" i="12"/>
  <c r="F1533" i="12"/>
  <c r="G1532" i="12"/>
  <c r="F1532" i="12"/>
  <c r="G1531" i="12"/>
  <c r="F1531" i="12"/>
  <c r="G1530" i="12"/>
  <c r="F1530" i="12"/>
  <c r="G1529" i="12"/>
  <c r="F1529" i="12"/>
  <c r="G1528" i="12"/>
  <c r="F1528" i="12"/>
  <c r="G1527" i="12"/>
  <c r="F1527" i="12"/>
  <c r="G1526" i="12"/>
  <c r="F1526" i="12"/>
  <c r="G1525" i="12"/>
  <c r="F1525" i="12"/>
  <c r="G1524" i="12"/>
  <c r="F1524" i="12"/>
  <c r="G1523" i="12"/>
  <c r="F1523" i="12"/>
  <c r="G1522" i="12"/>
  <c r="F1522" i="12"/>
  <c r="G1521" i="12"/>
  <c r="F1521" i="12"/>
  <c r="G1520" i="12"/>
  <c r="F1520" i="12"/>
  <c r="G1519" i="12"/>
  <c r="F1519" i="12"/>
  <c r="G1518" i="12"/>
  <c r="F1518" i="12"/>
  <c r="G1517" i="12"/>
  <c r="F1517" i="12"/>
  <c r="G1516" i="12"/>
  <c r="F1516" i="12"/>
  <c r="G1515" i="12"/>
  <c r="F1515" i="12"/>
  <c r="G1514" i="12"/>
  <c r="F1514" i="12"/>
  <c r="G1513" i="12"/>
  <c r="F1513" i="12"/>
  <c r="G1512" i="12"/>
  <c r="F1512" i="12"/>
  <c r="A1512" i="12"/>
  <c r="G1511" i="12"/>
  <c r="F1511" i="12"/>
  <c r="G1510" i="12"/>
  <c r="F1510" i="12"/>
  <c r="G1509" i="12"/>
  <c r="F1509" i="12"/>
  <c r="G1508" i="12"/>
  <c r="F1508" i="12"/>
  <c r="G1507" i="12"/>
  <c r="F1507" i="12"/>
  <c r="G1506" i="12"/>
  <c r="F1506" i="12"/>
  <c r="G1505" i="12"/>
  <c r="F1505" i="12"/>
  <c r="A1505" i="12"/>
  <c r="G1504" i="12"/>
  <c r="F1504" i="12"/>
  <c r="G1503" i="12"/>
  <c r="F1503" i="12"/>
  <c r="G1502" i="12"/>
  <c r="F1502" i="12"/>
  <c r="G1501" i="12"/>
  <c r="F1501" i="12"/>
  <c r="A1501" i="12"/>
  <c r="G1500" i="12"/>
  <c r="F1500" i="12"/>
  <c r="G1499" i="12"/>
  <c r="F1499" i="12"/>
  <c r="G1498" i="12"/>
  <c r="F1498" i="12"/>
  <c r="G1497" i="12"/>
  <c r="F1497" i="12"/>
  <c r="G1496" i="12"/>
  <c r="F1496" i="12"/>
  <c r="G1495" i="12"/>
  <c r="F1495" i="12"/>
  <c r="G1494" i="12"/>
  <c r="F1494" i="12"/>
  <c r="G1493" i="12"/>
  <c r="F1493" i="12"/>
  <c r="G1492" i="12"/>
  <c r="F1492" i="12"/>
  <c r="G1491" i="12"/>
  <c r="F1491" i="12"/>
  <c r="G1490" i="12"/>
  <c r="F1490" i="12"/>
  <c r="G1489" i="12"/>
  <c r="F1489" i="12"/>
  <c r="G1488" i="12"/>
  <c r="F1488" i="12"/>
  <c r="G1487" i="12"/>
  <c r="F1487" i="12"/>
  <c r="G1486" i="12"/>
  <c r="F1486" i="12"/>
  <c r="G1485" i="12"/>
  <c r="F1485" i="12"/>
  <c r="G1484" i="12"/>
  <c r="F1484" i="12"/>
  <c r="G1483" i="12"/>
  <c r="F1483" i="12"/>
  <c r="G1482" i="12"/>
  <c r="F1482" i="12"/>
  <c r="G1481" i="12"/>
  <c r="F1481" i="12"/>
  <c r="G1480" i="12"/>
  <c r="F1480" i="12"/>
  <c r="G1479" i="12"/>
  <c r="F1479" i="12"/>
  <c r="G1478" i="12"/>
  <c r="F1478" i="12"/>
  <c r="G1477" i="12"/>
  <c r="F1477" i="12"/>
  <c r="G1476" i="12"/>
  <c r="F1476" i="12"/>
  <c r="G1475" i="12"/>
  <c r="F1475" i="12"/>
  <c r="G1474" i="12"/>
  <c r="F1474" i="12"/>
  <c r="G1473" i="12"/>
  <c r="F1473" i="12"/>
  <c r="G1472" i="12"/>
  <c r="F1472" i="12"/>
  <c r="G1471" i="12"/>
  <c r="F1471" i="12"/>
  <c r="G1470" i="12"/>
  <c r="F1470" i="12"/>
  <c r="G1469" i="12"/>
  <c r="F1469" i="12"/>
  <c r="G1468" i="12"/>
  <c r="F1468" i="12"/>
  <c r="G1467" i="12"/>
  <c r="F1467" i="12"/>
  <c r="G1466" i="12"/>
  <c r="F1466" i="12"/>
  <c r="G1465" i="12"/>
  <c r="F1465" i="12"/>
  <c r="G1464" i="12"/>
  <c r="F1464" i="12"/>
  <c r="G1463" i="12"/>
  <c r="F1463" i="12"/>
  <c r="G1462" i="12"/>
  <c r="F1462" i="12"/>
  <c r="G1461" i="12"/>
  <c r="F1461" i="12"/>
  <c r="G1460" i="12"/>
  <c r="F1460" i="12"/>
  <c r="G1459" i="12"/>
  <c r="F1459" i="12"/>
  <c r="G1458" i="12"/>
  <c r="F1458" i="12"/>
  <c r="G1457" i="12"/>
  <c r="F1457" i="12"/>
  <c r="G1456" i="12"/>
  <c r="F1456" i="12"/>
  <c r="G1455" i="12"/>
  <c r="F1455" i="12"/>
  <c r="G1454" i="12"/>
  <c r="F1454" i="12"/>
  <c r="G1453" i="12"/>
  <c r="F1453" i="12"/>
  <c r="G1452" i="12"/>
  <c r="F1452" i="12"/>
  <c r="G1451" i="12"/>
  <c r="F1451" i="12"/>
  <c r="G1450" i="12"/>
  <c r="F1450" i="12"/>
  <c r="G1449" i="12"/>
  <c r="F1449" i="12"/>
  <c r="G1448" i="12"/>
  <c r="F1448" i="12"/>
  <c r="G1447" i="12"/>
  <c r="F1447" i="12"/>
  <c r="G1446" i="12"/>
  <c r="F1446" i="12"/>
  <c r="G1445" i="12"/>
  <c r="F1445" i="12"/>
  <c r="G1444" i="12"/>
  <c r="F1444" i="12"/>
  <c r="G1443" i="12"/>
  <c r="F1443" i="12"/>
  <c r="G1442" i="12"/>
  <c r="F1442" i="12"/>
  <c r="G1441" i="12"/>
  <c r="F1441" i="12"/>
  <c r="G1440" i="12"/>
  <c r="F1440" i="12"/>
  <c r="G1439" i="12"/>
  <c r="F1439" i="12"/>
  <c r="G1438" i="12"/>
  <c r="F1438" i="12"/>
  <c r="G1437" i="12"/>
  <c r="F1437" i="12"/>
  <c r="G1436" i="12"/>
  <c r="F1436" i="12"/>
  <c r="A1436" i="12"/>
  <c r="G1435" i="12"/>
  <c r="F1435" i="12"/>
  <c r="G1434" i="12"/>
  <c r="F1434" i="12"/>
  <c r="G1433" i="12"/>
  <c r="F1433" i="12"/>
  <c r="G1432" i="12"/>
  <c r="F1432" i="12"/>
  <c r="G1431" i="12"/>
  <c r="F1431" i="12"/>
  <c r="G1430" i="12"/>
  <c r="F1430" i="12"/>
  <c r="G1429" i="12"/>
  <c r="F1429" i="12"/>
  <c r="G1428" i="12"/>
  <c r="F1428" i="12"/>
  <c r="G1427" i="12"/>
  <c r="F1427" i="12"/>
  <c r="G1426" i="12"/>
  <c r="F1426" i="12"/>
  <c r="A1426" i="12"/>
  <c r="G1425" i="12"/>
  <c r="F1425" i="12"/>
  <c r="G1424" i="12"/>
  <c r="F1424" i="12"/>
  <c r="G1423" i="12"/>
  <c r="F1423" i="12"/>
  <c r="G1422" i="12"/>
  <c r="F1422" i="12"/>
  <c r="G1421" i="12"/>
  <c r="F1421" i="12"/>
  <c r="G1420" i="12"/>
  <c r="F1420" i="12"/>
  <c r="G1419" i="12"/>
  <c r="F1419" i="12"/>
  <c r="G1418" i="12"/>
  <c r="F1418" i="12"/>
  <c r="G1417" i="12"/>
  <c r="F1417" i="12"/>
  <c r="G1416" i="12"/>
  <c r="F1416" i="12"/>
  <c r="G1415" i="12"/>
  <c r="F1415" i="12"/>
  <c r="G1414" i="12"/>
  <c r="F1414" i="12"/>
  <c r="G1413" i="12"/>
  <c r="F1413" i="12"/>
  <c r="G1412" i="12"/>
  <c r="F1412" i="12"/>
  <c r="G1411" i="12"/>
  <c r="F1411" i="12"/>
  <c r="G1410" i="12"/>
  <c r="F1410" i="12"/>
  <c r="A1410" i="12"/>
  <c r="G1409" i="12"/>
  <c r="F1409" i="12"/>
  <c r="G1408" i="12"/>
  <c r="F1408" i="12"/>
  <c r="G1407" i="12"/>
  <c r="F1407" i="12"/>
  <c r="G1406" i="12"/>
  <c r="F1406" i="12"/>
  <c r="G1405" i="12"/>
  <c r="F1405" i="12"/>
  <c r="G1404" i="12"/>
  <c r="F1404" i="12"/>
  <c r="G1403" i="12"/>
  <c r="F1403" i="12"/>
  <c r="G1402" i="12"/>
  <c r="F1402" i="12"/>
  <c r="G1401" i="12"/>
  <c r="F1401" i="12"/>
  <c r="G1400" i="12"/>
  <c r="F1400" i="12"/>
  <c r="G1399" i="12"/>
  <c r="F1399" i="12"/>
  <c r="G1398" i="12"/>
  <c r="F1398" i="12"/>
  <c r="A1398" i="12"/>
  <c r="G1397" i="12"/>
  <c r="F1397" i="12"/>
  <c r="G1396" i="12"/>
  <c r="F1396" i="12"/>
  <c r="G1395" i="12"/>
  <c r="F1395" i="12"/>
  <c r="G1394" i="12"/>
  <c r="F1394" i="12"/>
  <c r="G1393" i="12"/>
  <c r="F1393" i="12"/>
  <c r="G1392" i="12"/>
  <c r="F1392" i="12"/>
  <c r="A1392" i="12"/>
  <c r="G1391" i="12"/>
  <c r="F1391" i="12"/>
  <c r="G1390" i="12"/>
  <c r="F1390" i="12"/>
  <c r="G1389" i="12"/>
  <c r="F1389" i="12"/>
  <c r="G1388" i="12"/>
  <c r="F1388" i="12"/>
  <c r="G1387" i="12"/>
  <c r="F1387" i="12"/>
  <c r="G1386" i="12"/>
  <c r="F1386" i="12"/>
  <c r="G1385" i="12"/>
  <c r="F1385" i="12"/>
  <c r="G1384" i="12"/>
  <c r="F1384" i="12"/>
  <c r="G1383" i="12"/>
  <c r="F1383" i="12"/>
  <c r="A1383" i="12"/>
  <c r="G1382" i="12"/>
  <c r="F1382" i="12"/>
  <c r="G1381" i="12"/>
  <c r="F1381" i="12"/>
  <c r="G1380" i="12"/>
  <c r="F1380" i="12"/>
  <c r="G1379" i="12"/>
  <c r="F1379" i="12"/>
  <c r="G1378" i="12"/>
  <c r="F1378" i="12"/>
  <c r="G1377" i="12"/>
  <c r="F1377" i="12"/>
  <c r="G1376" i="12"/>
  <c r="F1376" i="12"/>
  <c r="G1375" i="12"/>
  <c r="F1375" i="12"/>
  <c r="G1374" i="12"/>
  <c r="F1374" i="12"/>
  <c r="G1373" i="12"/>
  <c r="F1373" i="12"/>
  <c r="G1372" i="12"/>
  <c r="F1372" i="12"/>
  <c r="G1371" i="12"/>
  <c r="F1371" i="12"/>
  <c r="G1370" i="12"/>
  <c r="F1370" i="12"/>
  <c r="G1369" i="12"/>
  <c r="F1369" i="12"/>
  <c r="G1368" i="12"/>
  <c r="F1368" i="12"/>
  <c r="G1367" i="12"/>
  <c r="F1367" i="12"/>
  <c r="G1366" i="12"/>
  <c r="F1366" i="12"/>
  <c r="G1365" i="12"/>
  <c r="F1365" i="12"/>
  <c r="G1364" i="12"/>
  <c r="F1364" i="12"/>
  <c r="G1363" i="12"/>
  <c r="F1363" i="12"/>
  <c r="G1362" i="12"/>
  <c r="F1362" i="12"/>
  <c r="G1361" i="12"/>
  <c r="F1361" i="12"/>
  <c r="G1360" i="12"/>
  <c r="F1360" i="12"/>
  <c r="G1359" i="12"/>
  <c r="F1359" i="12"/>
  <c r="G1358" i="12"/>
  <c r="F1358" i="12"/>
  <c r="G1357" i="12"/>
  <c r="F1357" i="12"/>
  <c r="G1356" i="12"/>
  <c r="F1356" i="12"/>
  <c r="G1355" i="12"/>
  <c r="F1355" i="12"/>
  <c r="G1354" i="12"/>
  <c r="F1354" i="12"/>
  <c r="G1353" i="12"/>
  <c r="F1353" i="12"/>
  <c r="G1352" i="12"/>
  <c r="F1352" i="12"/>
  <c r="G1351" i="12"/>
  <c r="F1351" i="12"/>
  <c r="G1350" i="12"/>
  <c r="F1350" i="12"/>
  <c r="G1349" i="12"/>
  <c r="F1349" i="12"/>
  <c r="G1348" i="12"/>
  <c r="F1348" i="12"/>
  <c r="G1347" i="12"/>
  <c r="F1347" i="12"/>
  <c r="G1346" i="12"/>
  <c r="F1346" i="12"/>
  <c r="G1345" i="12"/>
  <c r="F1345" i="12"/>
  <c r="G1344" i="12"/>
  <c r="F1344" i="12"/>
  <c r="G1343" i="12"/>
  <c r="F1343" i="12"/>
  <c r="G1342" i="12"/>
  <c r="F1342" i="12"/>
  <c r="G1341" i="12"/>
  <c r="F1341" i="12"/>
  <c r="G1340" i="12"/>
  <c r="F1340" i="12"/>
  <c r="G1339" i="12"/>
  <c r="F1339" i="12"/>
  <c r="G1338" i="12"/>
  <c r="F1338" i="12"/>
  <c r="G1337" i="12"/>
  <c r="F1337" i="12"/>
  <c r="G1336" i="12"/>
  <c r="F1336" i="12"/>
  <c r="G1335" i="12"/>
  <c r="F1335" i="12"/>
  <c r="G1334" i="12"/>
  <c r="F1334" i="12"/>
  <c r="G1333" i="12"/>
  <c r="F1333" i="12"/>
  <c r="G1332" i="12"/>
  <c r="F1332" i="12"/>
  <c r="G1331" i="12"/>
  <c r="F1331" i="12"/>
  <c r="G1330" i="12"/>
  <c r="F1330" i="12"/>
  <c r="G1329" i="12"/>
  <c r="F1329" i="12"/>
  <c r="G1328" i="12"/>
  <c r="F1328" i="12"/>
  <c r="G1327" i="12"/>
  <c r="F1327" i="12"/>
  <c r="G1326" i="12"/>
  <c r="F1326" i="12"/>
  <c r="G1325" i="12"/>
  <c r="F1325" i="12"/>
  <c r="G1324" i="12"/>
  <c r="F1324" i="12"/>
  <c r="G1323" i="12"/>
  <c r="F1323" i="12"/>
  <c r="G1322" i="12"/>
  <c r="F1322" i="12"/>
  <c r="G1321" i="12"/>
  <c r="F1321" i="12"/>
  <c r="G1320" i="12"/>
  <c r="F1320" i="12"/>
  <c r="G1319" i="12"/>
  <c r="F1319" i="12"/>
  <c r="G1318" i="12"/>
  <c r="F1318" i="12"/>
  <c r="G1317" i="12"/>
  <c r="F1317" i="12"/>
  <c r="G1316" i="12"/>
  <c r="F1316" i="12"/>
  <c r="G1315" i="12"/>
  <c r="F1315" i="12"/>
  <c r="G1314" i="12"/>
  <c r="F1314" i="12"/>
  <c r="G1313" i="12"/>
  <c r="F1313" i="12"/>
  <c r="G1312" i="12"/>
  <c r="F1312" i="12"/>
  <c r="G1311" i="12"/>
  <c r="F1311" i="12"/>
  <c r="G1310" i="12"/>
  <c r="F1310" i="12"/>
  <c r="G1309" i="12"/>
  <c r="F1309" i="12"/>
  <c r="G1308" i="12"/>
  <c r="F1308" i="12"/>
  <c r="G1307" i="12"/>
  <c r="F1307" i="12"/>
  <c r="G1306" i="12"/>
  <c r="F1306" i="12"/>
  <c r="G1305" i="12"/>
  <c r="F1305" i="12"/>
  <c r="G1304" i="12"/>
  <c r="F1304" i="12"/>
  <c r="G1303" i="12"/>
  <c r="F1303" i="12"/>
  <c r="G1302" i="12"/>
  <c r="F1302" i="12"/>
  <c r="G1301" i="12"/>
  <c r="F1301" i="12"/>
  <c r="G1300" i="12"/>
  <c r="F1300" i="12"/>
  <c r="G1299" i="12"/>
  <c r="F1299" i="12"/>
  <c r="G1298" i="12"/>
  <c r="F1298" i="12"/>
  <c r="G1297" i="12"/>
  <c r="F1297" i="12"/>
  <c r="G1296" i="12"/>
  <c r="F1296" i="12"/>
  <c r="G1295" i="12"/>
  <c r="F1295" i="12"/>
  <c r="G1294" i="12"/>
  <c r="F1294" i="12"/>
  <c r="G1293" i="12"/>
  <c r="F1293" i="12"/>
  <c r="G1292" i="12"/>
  <c r="F1292" i="12"/>
  <c r="G1291" i="12"/>
  <c r="F1291" i="12"/>
  <c r="G1290" i="12"/>
  <c r="F1290" i="12"/>
  <c r="G1289" i="12"/>
  <c r="F1289" i="12"/>
  <c r="G1288" i="12"/>
  <c r="F1288" i="12"/>
  <c r="G1287" i="12"/>
  <c r="F1287" i="12"/>
  <c r="G1286" i="12"/>
  <c r="F1286" i="12"/>
  <c r="G1285" i="12"/>
  <c r="F1285" i="12"/>
  <c r="G1284" i="12"/>
  <c r="F1284" i="12"/>
  <c r="G1283" i="12"/>
  <c r="F1283" i="12"/>
  <c r="G1282" i="12"/>
  <c r="F1282" i="12"/>
  <c r="G1281" i="12"/>
  <c r="F1281" i="12"/>
  <c r="G1280" i="12"/>
  <c r="F1280" i="12"/>
  <c r="G1279" i="12"/>
  <c r="F1279" i="12"/>
  <c r="G1278" i="12"/>
  <c r="F1278" i="12"/>
  <c r="G1277" i="12"/>
  <c r="F1277" i="12"/>
  <c r="G1276" i="12"/>
  <c r="F1276" i="12"/>
  <c r="G1275" i="12"/>
  <c r="F1275" i="12"/>
  <c r="G1274" i="12"/>
  <c r="F1274" i="12"/>
  <c r="G1273" i="12"/>
  <c r="F1273" i="12"/>
  <c r="G1272" i="12"/>
  <c r="F1272" i="12"/>
  <c r="G1271" i="12"/>
  <c r="F1271" i="12"/>
  <c r="G1270" i="12"/>
  <c r="F1270" i="12"/>
  <c r="G1269" i="12"/>
  <c r="F1269" i="12"/>
  <c r="G1268" i="12"/>
  <c r="F1268" i="12"/>
  <c r="G1267" i="12"/>
  <c r="F1267" i="12"/>
  <c r="G1266" i="12"/>
  <c r="F1266" i="12"/>
  <c r="G1265" i="12"/>
  <c r="F1265" i="12"/>
  <c r="A1265" i="12"/>
  <c r="G1264" i="12"/>
  <c r="F1264" i="12"/>
  <c r="G1263" i="12"/>
  <c r="F1263" i="12"/>
  <c r="G1262" i="12"/>
  <c r="F1262" i="12"/>
  <c r="G1261" i="12"/>
  <c r="F1261" i="12"/>
  <c r="G1260" i="12"/>
  <c r="F1260" i="12"/>
  <c r="G1259" i="12"/>
  <c r="F1259" i="12"/>
  <c r="G1258" i="12"/>
  <c r="F1258" i="12"/>
  <c r="G1257" i="12"/>
  <c r="F1257" i="12"/>
  <c r="G1256" i="12"/>
  <c r="F1256" i="12"/>
  <c r="G1255" i="12"/>
  <c r="F1255" i="12"/>
  <c r="G1254" i="12"/>
  <c r="F1254" i="12"/>
  <c r="G1253" i="12"/>
  <c r="F1253" i="12"/>
  <c r="G1252" i="12"/>
  <c r="F1252" i="12"/>
  <c r="G1251" i="12"/>
  <c r="F1251" i="12"/>
  <c r="G1250" i="12"/>
  <c r="F1250" i="12"/>
  <c r="G1249" i="12"/>
  <c r="F1249" i="12"/>
  <c r="G1248" i="12"/>
  <c r="F1248" i="12"/>
  <c r="G1247" i="12"/>
  <c r="F1247" i="12"/>
  <c r="G1246" i="12"/>
  <c r="F1246" i="12"/>
  <c r="A1246" i="12"/>
  <c r="G1245" i="12"/>
  <c r="F1245" i="12"/>
  <c r="G1244" i="12"/>
  <c r="F1244" i="12"/>
  <c r="G1243" i="12"/>
  <c r="F1243" i="12"/>
  <c r="G1242" i="12"/>
  <c r="F1242" i="12"/>
  <c r="G1241" i="12"/>
  <c r="F1241" i="12"/>
  <c r="G1240" i="12"/>
  <c r="F1240" i="12"/>
  <c r="G1239" i="12"/>
  <c r="F1239" i="12"/>
  <c r="G1238" i="12"/>
  <c r="F1238" i="12"/>
  <c r="G1237" i="12"/>
  <c r="F1237" i="12"/>
  <c r="G1236" i="12"/>
  <c r="F1236" i="12"/>
  <c r="G1235" i="12"/>
  <c r="F1235" i="12"/>
  <c r="G1234" i="12"/>
  <c r="F1234" i="12"/>
  <c r="G1233" i="12"/>
  <c r="F1233" i="12"/>
  <c r="G1232" i="12"/>
  <c r="F1232" i="12"/>
  <c r="G1231" i="12"/>
  <c r="F1231" i="12"/>
  <c r="G1230" i="12"/>
  <c r="F1230" i="12"/>
  <c r="G1229" i="12"/>
  <c r="F1229" i="12"/>
  <c r="G1228" i="12"/>
  <c r="F1228" i="12"/>
  <c r="G1227" i="12"/>
  <c r="F1227" i="12"/>
  <c r="A1227" i="12"/>
  <c r="G1226" i="12"/>
  <c r="F1226" i="12"/>
  <c r="G1225" i="12"/>
  <c r="F1225" i="12"/>
  <c r="G1224" i="12"/>
  <c r="F1224" i="12"/>
  <c r="G1223" i="12"/>
  <c r="F1223" i="12"/>
  <c r="G1222" i="12"/>
  <c r="F1222" i="12"/>
  <c r="G1221" i="12"/>
  <c r="F1221" i="12"/>
  <c r="G1220" i="12"/>
  <c r="F1220" i="12"/>
  <c r="G1219" i="12"/>
  <c r="F1219" i="12"/>
  <c r="G1218" i="12"/>
  <c r="F1218" i="12"/>
  <c r="G1217" i="12"/>
  <c r="F1217" i="12"/>
  <c r="G1216" i="12"/>
  <c r="F1216" i="12"/>
  <c r="A1216" i="12"/>
  <c r="G1215" i="12"/>
  <c r="F1215" i="12"/>
  <c r="G1214" i="12"/>
  <c r="F1214" i="12"/>
  <c r="G1213" i="12"/>
  <c r="F1213" i="12"/>
  <c r="G1212" i="12"/>
  <c r="F1212" i="12"/>
  <c r="G1211" i="12"/>
  <c r="F1211" i="12"/>
  <c r="G1210" i="12"/>
  <c r="F1210" i="12"/>
  <c r="G1209" i="12"/>
  <c r="F1209" i="12"/>
  <c r="G1208" i="12"/>
  <c r="F1208" i="12"/>
  <c r="G1207" i="12"/>
  <c r="F1207" i="12"/>
  <c r="G1206" i="12"/>
  <c r="F1206" i="12"/>
  <c r="G1205" i="12"/>
  <c r="F1205" i="12"/>
  <c r="G1204" i="12"/>
  <c r="F1204" i="12"/>
  <c r="G1203" i="12"/>
  <c r="F1203" i="12"/>
  <c r="G1202" i="12"/>
  <c r="F1202" i="12"/>
  <c r="G1201" i="12"/>
  <c r="F1201" i="12"/>
  <c r="A1201" i="12"/>
  <c r="G1200" i="12"/>
  <c r="F1200" i="12"/>
  <c r="G1199" i="12"/>
  <c r="F1199" i="12"/>
  <c r="G1198" i="12"/>
  <c r="F1198" i="12"/>
  <c r="G1197" i="12"/>
  <c r="F1197" i="12"/>
  <c r="G1196" i="12"/>
  <c r="F1196" i="12"/>
  <c r="G1195" i="12"/>
  <c r="F1195" i="12"/>
  <c r="A1195" i="12"/>
  <c r="G1194" i="12"/>
  <c r="F1194" i="12"/>
  <c r="G1193" i="12"/>
  <c r="F1193" i="12"/>
  <c r="G1192" i="12"/>
  <c r="F1192" i="12"/>
  <c r="G1191" i="12"/>
  <c r="F1191" i="12"/>
  <c r="G1190" i="12"/>
  <c r="F1190" i="12"/>
  <c r="G1189" i="12"/>
  <c r="F1189" i="12"/>
  <c r="G1188" i="12"/>
  <c r="F1188" i="12"/>
  <c r="G1187" i="12"/>
  <c r="F1187" i="12"/>
  <c r="G1186" i="12"/>
  <c r="F1186" i="12"/>
  <c r="A1186" i="12"/>
  <c r="G1185" i="12"/>
  <c r="F1185" i="12"/>
  <c r="G1184" i="12"/>
  <c r="F1184" i="12"/>
  <c r="G1183" i="12"/>
  <c r="F1183" i="12"/>
  <c r="G1182" i="12"/>
  <c r="F1182" i="12"/>
  <c r="G1181" i="12"/>
  <c r="F1181" i="12"/>
  <c r="G1180" i="12"/>
  <c r="F1180" i="12"/>
  <c r="G1179" i="12"/>
  <c r="F1179" i="12"/>
  <c r="G1178" i="12"/>
  <c r="F1178" i="12"/>
  <c r="G1177" i="12"/>
  <c r="F1177" i="12"/>
  <c r="G1176" i="12"/>
  <c r="F1176" i="12"/>
  <c r="G1175" i="12"/>
  <c r="F1175" i="12"/>
  <c r="G1174" i="12"/>
  <c r="F1174" i="12"/>
  <c r="G1173" i="12"/>
  <c r="F1173" i="12"/>
  <c r="G1172" i="12"/>
  <c r="F1172" i="12"/>
  <c r="A1172" i="12"/>
  <c r="G1171" i="12"/>
  <c r="F1171" i="12"/>
  <c r="G1170" i="12"/>
  <c r="F1170" i="12"/>
  <c r="G1169" i="12"/>
  <c r="F1169" i="12"/>
  <c r="G1168" i="12"/>
  <c r="F1168" i="12"/>
  <c r="G1167" i="12"/>
  <c r="F1167" i="12"/>
  <c r="G1166" i="12"/>
  <c r="F1166" i="12"/>
  <c r="G1165" i="12"/>
  <c r="F1165" i="12"/>
  <c r="G1164" i="12"/>
  <c r="F1164" i="12"/>
  <c r="G1163" i="12"/>
  <c r="F1163" i="12"/>
  <c r="G1162" i="12"/>
  <c r="F1162" i="12"/>
  <c r="G1161" i="12"/>
  <c r="F1161" i="12"/>
  <c r="G1160" i="12"/>
  <c r="F1160" i="12"/>
  <c r="G1159" i="12"/>
  <c r="F1159" i="12"/>
  <c r="G1158" i="12"/>
  <c r="F1158" i="12"/>
  <c r="G1157" i="12"/>
  <c r="F1157" i="12"/>
  <c r="G1156" i="12"/>
  <c r="F1156" i="12"/>
  <c r="G1155" i="12"/>
  <c r="F1155" i="12"/>
  <c r="G1154" i="12"/>
  <c r="F1154" i="12"/>
  <c r="G1153" i="12"/>
  <c r="F1153" i="12"/>
  <c r="G1152" i="12"/>
  <c r="F1152" i="12"/>
  <c r="G1151" i="12"/>
  <c r="F1151" i="12"/>
  <c r="G1150" i="12"/>
  <c r="F1150" i="12"/>
  <c r="G1149" i="12"/>
  <c r="F1149" i="12"/>
  <c r="G1148" i="12"/>
  <c r="F1148" i="12"/>
  <c r="G1147" i="12"/>
  <c r="F1147" i="12"/>
  <c r="G1146" i="12"/>
  <c r="F1146" i="12"/>
  <c r="G1145" i="12"/>
  <c r="F1145" i="12"/>
  <c r="A1145" i="12"/>
  <c r="G1144" i="12"/>
  <c r="F1144" i="12"/>
  <c r="G1143" i="12"/>
  <c r="F1143" i="12"/>
  <c r="G1142" i="12"/>
  <c r="F1142" i="12"/>
  <c r="G1141" i="12"/>
  <c r="F1141" i="12"/>
  <c r="G1140" i="12"/>
  <c r="F1140" i="12"/>
  <c r="G1139" i="12"/>
  <c r="F1139" i="12"/>
  <c r="G1138" i="12"/>
  <c r="F1138" i="12"/>
  <c r="G1137" i="12"/>
  <c r="F1137" i="12"/>
  <c r="G1136" i="12"/>
  <c r="F1136" i="12"/>
  <c r="G1135" i="12"/>
  <c r="F1135" i="12"/>
  <c r="G1134" i="12"/>
  <c r="F1134" i="12"/>
  <c r="G1133" i="12"/>
  <c r="F1133" i="12"/>
  <c r="G1132" i="12"/>
  <c r="F1132" i="12"/>
  <c r="G1131" i="12"/>
  <c r="F1131" i="12"/>
  <c r="G1130" i="12"/>
  <c r="F1130" i="12"/>
  <c r="G1129" i="12"/>
  <c r="F1129" i="12"/>
  <c r="G1128" i="12"/>
  <c r="F1128" i="12"/>
  <c r="G1127" i="12"/>
  <c r="F1127" i="12"/>
  <c r="G1126" i="12"/>
  <c r="F1126" i="12"/>
  <c r="G1125" i="12"/>
  <c r="F1125" i="12"/>
  <c r="G1124" i="12"/>
  <c r="F1124" i="12"/>
  <c r="G1123" i="12"/>
  <c r="F1123" i="12"/>
  <c r="G1122" i="12"/>
  <c r="F1122" i="12"/>
  <c r="G1121" i="12"/>
  <c r="F1121" i="12"/>
  <c r="A1121" i="12"/>
  <c r="G1120" i="12"/>
  <c r="F1120" i="12"/>
  <c r="G1119" i="12"/>
  <c r="F1119" i="12"/>
  <c r="G1118" i="12"/>
  <c r="F1118" i="12"/>
  <c r="G1117" i="12"/>
  <c r="F1117" i="12"/>
  <c r="G1116" i="12"/>
  <c r="F1116" i="12"/>
  <c r="G1115" i="12"/>
  <c r="F1115" i="12"/>
  <c r="G1114" i="12"/>
  <c r="F1114" i="12"/>
  <c r="G1113" i="12"/>
  <c r="F1113" i="12"/>
  <c r="G1112" i="12"/>
  <c r="F1112" i="12"/>
  <c r="G1111" i="12"/>
  <c r="F1111" i="12"/>
  <c r="G1110" i="12"/>
  <c r="F1110" i="12"/>
  <c r="G1109" i="12"/>
  <c r="F1109" i="12"/>
  <c r="G1108" i="12"/>
  <c r="F1108" i="12"/>
  <c r="G1107" i="12"/>
  <c r="F1107" i="12"/>
  <c r="G1106" i="12"/>
  <c r="F1106" i="12"/>
  <c r="G1105" i="12"/>
  <c r="F1105" i="12"/>
  <c r="G1104" i="12"/>
  <c r="F1104" i="12"/>
  <c r="G1103" i="12"/>
  <c r="F1103" i="12"/>
  <c r="G1102" i="12"/>
  <c r="F1102" i="12"/>
  <c r="G1101" i="12"/>
  <c r="F1101" i="12"/>
  <c r="G1100" i="12"/>
  <c r="F1100" i="12"/>
  <c r="G1099" i="12"/>
  <c r="F1099" i="12"/>
  <c r="G1098" i="12"/>
  <c r="F1098" i="12"/>
  <c r="G1097" i="12"/>
  <c r="F1097" i="12"/>
  <c r="G1096" i="12"/>
  <c r="F1096" i="12"/>
  <c r="G1095" i="12"/>
  <c r="F1095" i="12"/>
  <c r="G1094" i="12"/>
  <c r="F1094" i="12"/>
  <c r="G1093" i="12"/>
  <c r="F1093" i="12"/>
  <c r="G1092" i="12"/>
  <c r="F1092" i="12"/>
  <c r="G1091" i="12"/>
  <c r="F1091" i="12"/>
  <c r="G1090" i="12"/>
  <c r="F1090" i="12"/>
  <c r="G1089" i="12"/>
  <c r="F1089" i="12"/>
  <c r="G1088" i="12"/>
  <c r="F1088" i="12"/>
  <c r="G1087" i="12"/>
  <c r="F1087" i="12"/>
  <c r="G1086" i="12"/>
  <c r="F1086" i="12"/>
  <c r="G1085" i="12"/>
  <c r="F1085" i="12"/>
  <c r="G1084" i="12"/>
  <c r="F1084" i="12"/>
  <c r="G1083" i="12"/>
  <c r="F1083" i="12"/>
  <c r="G1082" i="12"/>
  <c r="F1082" i="12"/>
  <c r="G1081" i="12"/>
  <c r="F1081" i="12"/>
  <c r="G1080" i="12"/>
  <c r="F1080" i="12"/>
  <c r="G1079" i="12"/>
  <c r="F1079" i="12"/>
  <c r="A1079" i="12"/>
  <c r="G1078" i="12"/>
  <c r="F1078" i="12"/>
  <c r="G1077" i="12"/>
  <c r="F1077" i="12"/>
  <c r="G1076" i="12"/>
  <c r="F1076" i="12"/>
  <c r="G1075" i="12"/>
  <c r="F1075" i="12"/>
  <c r="G1074" i="12"/>
  <c r="F1074" i="12"/>
  <c r="G1073" i="12"/>
  <c r="F1073" i="12"/>
  <c r="G1072" i="12"/>
  <c r="F1072" i="12"/>
  <c r="G1071" i="12"/>
  <c r="F1071" i="12"/>
  <c r="G1070" i="12"/>
  <c r="F1070" i="12"/>
  <c r="G1069" i="12"/>
  <c r="F1069" i="12"/>
  <c r="A1069" i="12"/>
  <c r="G1068" i="12"/>
  <c r="F1068" i="12"/>
  <c r="G1067" i="12"/>
  <c r="F1067" i="12"/>
  <c r="G1066" i="12"/>
  <c r="F1066" i="12"/>
  <c r="G1065" i="12"/>
  <c r="F1065" i="12"/>
  <c r="G1064" i="12"/>
  <c r="F1064" i="12"/>
  <c r="G1063" i="12"/>
  <c r="F1063" i="12"/>
  <c r="A1063" i="12"/>
  <c r="G1062" i="12"/>
  <c r="F1062" i="12"/>
  <c r="G1061" i="12"/>
  <c r="F1061" i="12"/>
  <c r="G1060" i="12"/>
  <c r="F1060" i="12"/>
  <c r="G1059" i="12"/>
  <c r="F1059" i="12"/>
  <c r="G1058" i="12"/>
  <c r="F1058" i="12"/>
  <c r="A1058" i="12"/>
  <c r="G1057" i="12"/>
  <c r="F1057" i="12"/>
  <c r="G1056" i="12"/>
  <c r="F1056" i="12"/>
  <c r="G1055" i="12"/>
  <c r="F1055" i="12"/>
  <c r="G1054" i="12"/>
  <c r="F1054" i="12"/>
  <c r="G1053" i="12"/>
  <c r="F1053" i="12"/>
  <c r="G1052" i="12"/>
  <c r="F1052" i="12"/>
  <c r="G1051" i="12"/>
  <c r="F1051" i="12"/>
  <c r="G1050" i="12"/>
  <c r="F1050" i="12"/>
  <c r="G1049" i="12"/>
  <c r="F1049" i="12"/>
  <c r="G1048" i="12"/>
  <c r="F1048" i="12"/>
  <c r="G1047" i="12"/>
  <c r="F1047" i="12"/>
  <c r="G1046" i="12"/>
  <c r="F1046" i="12"/>
  <c r="G1045" i="12"/>
  <c r="F1045" i="12"/>
  <c r="G1044" i="12"/>
  <c r="F1044" i="12"/>
  <c r="G1043" i="12"/>
  <c r="F1043" i="12"/>
  <c r="G1042" i="12"/>
  <c r="F1042" i="12"/>
  <c r="G1041" i="12"/>
  <c r="F1041" i="12"/>
  <c r="G1040" i="12"/>
  <c r="F1040" i="12"/>
  <c r="G1039" i="12"/>
  <c r="F1039" i="12"/>
  <c r="G1038" i="12"/>
  <c r="F1038" i="12"/>
  <c r="G1037" i="12"/>
  <c r="F1037" i="12"/>
  <c r="G1036" i="12"/>
  <c r="F1036" i="12"/>
  <c r="G1035" i="12"/>
  <c r="F1035" i="12"/>
  <c r="G1034" i="12"/>
  <c r="F1034" i="12"/>
  <c r="G1033" i="12"/>
  <c r="F1033" i="12"/>
  <c r="G1032" i="12"/>
  <c r="F1032" i="12"/>
  <c r="G1031" i="12"/>
  <c r="F1031" i="12"/>
  <c r="G1030" i="12"/>
  <c r="F1030" i="12"/>
  <c r="G1029" i="12"/>
  <c r="F1029" i="12"/>
  <c r="G1028" i="12"/>
  <c r="F1028" i="12"/>
  <c r="G1027" i="12"/>
  <c r="F1027" i="12"/>
  <c r="G1026" i="12"/>
  <c r="F1026" i="12"/>
  <c r="G1025" i="12"/>
  <c r="F1025" i="12"/>
  <c r="G1024" i="12"/>
  <c r="F1024" i="12"/>
  <c r="G1023" i="12"/>
  <c r="F1023" i="12"/>
  <c r="G1022" i="12"/>
  <c r="F1022" i="12"/>
  <c r="G1021" i="12"/>
  <c r="F1021" i="12"/>
  <c r="G1020" i="12"/>
  <c r="F1020" i="12"/>
  <c r="G1019" i="12"/>
  <c r="F1019" i="12"/>
  <c r="G1018" i="12"/>
  <c r="F1018" i="12"/>
  <c r="G1017" i="12"/>
  <c r="F1017" i="12"/>
  <c r="G1016" i="12"/>
  <c r="F1016" i="12"/>
  <c r="G1015" i="12"/>
  <c r="F1015" i="12"/>
  <c r="G1014" i="12"/>
  <c r="F1014" i="12"/>
  <c r="G1013" i="12"/>
  <c r="F1013" i="12"/>
  <c r="G1012" i="12"/>
  <c r="F1012" i="12"/>
  <c r="G1011" i="12"/>
  <c r="F1011" i="12"/>
  <c r="G1010" i="12"/>
  <c r="F1010" i="12"/>
  <c r="G1009" i="12"/>
  <c r="F1009" i="12"/>
  <c r="G1008" i="12"/>
  <c r="F1008" i="12"/>
  <c r="G1007" i="12"/>
  <c r="F1007" i="12"/>
  <c r="G1006" i="12"/>
  <c r="F1006" i="12"/>
  <c r="G1005" i="12"/>
  <c r="F1005" i="12"/>
  <c r="G1004" i="12"/>
  <c r="F1004" i="12"/>
  <c r="G1003" i="12"/>
  <c r="F1003" i="12"/>
  <c r="G1002" i="12"/>
  <c r="F1002" i="12"/>
  <c r="G1001" i="12"/>
  <c r="F1001" i="12"/>
  <c r="G1000" i="12"/>
  <c r="F1000" i="12"/>
  <c r="G999" i="12"/>
  <c r="F999" i="12"/>
  <c r="G998" i="12"/>
  <c r="F998" i="12"/>
  <c r="G997" i="12"/>
  <c r="F997" i="12"/>
  <c r="G996" i="12"/>
  <c r="F996" i="12"/>
  <c r="G995" i="12"/>
  <c r="F995" i="12"/>
  <c r="G994" i="12"/>
  <c r="F994" i="12"/>
  <c r="G993" i="12"/>
  <c r="F993" i="12"/>
  <c r="G992" i="12"/>
  <c r="F992" i="12"/>
  <c r="G991" i="12"/>
  <c r="F991" i="12"/>
  <c r="G990" i="12"/>
  <c r="F990" i="12"/>
  <c r="G989" i="12"/>
  <c r="F989" i="12"/>
  <c r="G988" i="12"/>
  <c r="F988" i="12"/>
  <c r="G987" i="12"/>
  <c r="F987" i="12"/>
  <c r="G986" i="12"/>
  <c r="F986" i="12"/>
  <c r="G985" i="12"/>
  <c r="F985" i="12"/>
  <c r="G984" i="12"/>
  <c r="F984" i="12"/>
  <c r="G983" i="12"/>
  <c r="F983" i="12"/>
  <c r="G982" i="12"/>
  <c r="F982" i="12"/>
  <c r="G981" i="12"/>
  <c r="F981" i="12"/>
  <c r="G980" i="12"/>
  <c r="F980" i="12"/>
  <c r="G979" i="12"/>
  <c r="F979" i="12"/>
  <c r="G978" i="12"/>
  <c r="F978" i="12"/>
  <c r="G977" i="12"/>
  <c r="F977" i="12"/>
  <c r="G976" i="12"/>
  <c r="F976" i="12"/>
  <c r="G975" i="12"/>
  <c r="F975" i="12"/>
  <c r="G974" i="12"/>
  <c r="F974" i="12"/>
  <c r="G973" i="12"/>
  <c r="F973" i="12"/>
  <c r="G972" i="12"/>
  <c r="F972" i="12"/>
  <c r="G971" i="12"/>
  <c r="F971" i="12"/>
  <c r="G970" i="12"/>
  <c r="F970" i="12"/>
  <c r="G969" i="12"/>
  <c r="F969" i="12"/>
  <c r="G968" i="12"/>
  <c r="F968" i="12"/>
  <c r="G967" i="12"/>
  <c r="F967" i="12"/>
  <c r="G966" i="12"/>
  <c r="F966" i="12"/>
  <c r="G965" i="12"/>
  <c r="F965" i="12"/>
  <c r="G964" i="12"/>
  <c r="F964" i="12"/>
  <c r="G963" i="12"/>
  <c r="F963" i="12"/>
  <c r="G962" i="12"/>
  <c r="F962" i="12"/>
  <c r="G961" i="12"/>
  <c r="F961" i="12"/>
  <c r="G960" i="12"/>
  <c r="F960" i="12"/>
  <c r="G959" i="12"/>
  <c r="F959" i="12"/>
  <c r="G958" i="12"/>
  <c r="F958" i="12"/>
  <c r="G957" i="12"/>
  <c r="F957" i="12"/>
  <c r="G956" i="12"/>
  <c r="F956" i="12"/>
  <c r="G955" i="12"/>
  <c r="F955" i="12"/>
  <c r="G954" i="12"/>
  <c r="F954" i="12"/>
  <c r="G953" i="12"/>
  <c r="F953" i="12"/>
  <c r="A953" i="12"/>
  <c r="G952" i="12"/>
  <c r="F952" i="12"/>
  <c r="G951" i="12"/>
  <c r="F951" i="12"/>
  <c r="G950" i="12"/>
  <c r="F950" i="12"/>
  <c r="G949" i="12"/>
  <c r="F949" i="12"/>
  <c r="G948" i="12"/>
  <c r="F948" i="12"/>
  <c r="G947" i="12"/>
  <c r="F947" i="12"/>
  <c r="A947" i="12"/>
  <c r="G946" i="12"/>
  <c r="F946" i="12"/>
  <c r="G945" i="12"/>
  <c r="F945" i="12"/>
  <c r="G944" i="12"/>
  <c r="F944" i="12"/>
  <c r="G943" i="12"/>
  <c r="F943" i="12"/>
  <c r="G942" i="12"/>
  <c r="F942" i="12"/>
  <c r="G941" i="12"/>
  <c r="F941" i="12"/>
  <c r="G940" i="12"/>
  <c r="F940" i="12"/>
  <c r="G939" i="12"/>
  <c r="F939" i="12"/>
  <c r="G938" i="12"/>
  <c r="F938" i="12"/>
  <c r="G937" i="12"/>
  <c r="F937" i="12"/>
  <c r="G936" i="12"/>
  <c r="F936" i="12"/>
  <c r="G935" i="12"/>
  <c r="F935" i="12"/>
  <c r="G934" i="12"/>
  <c r="F934" i="12"/>
  <c r="G933" i="12"/>
  <c r="F933" i="12"/>
  <c r="G932" i="12"/>
  <c r="F932" i="12"/>
  <c r="G931" i="12"/>
  <c r="F931" i="12"/>
  <c r="A931" i="12"/>
  <c r="G930" i="12"/>
  <c r="F930" i="12"/>
  <c r="G929" i="12"/>
  <c r="F929" i="12"/>
  <c r="G928" i="12"/>
  <c r="F928" i="12"/>
  <c r="G927" i="12"/>
  <c r="F927" i="12"/>
  <c r="G926" i="12"/>
  <c r="F926" i="12"/>
  <c r="G925" i="12"/>
  <c r="F925" i="12"/>
  <c r="G924" i="12"/>
  <c r="F924" i="12"/>
  <c r="G923" i="12"/>
  <c r="F923" i="12"/>
  <c r="G922" i="12"/>
  <c r="F922" i="12"/>
  <c r="G921" i="12"/>
  <c r="F921" i="12"/>
  <c r="G920" i="12"/>
  <c r="F920" i="12"/>
  <c r="G919" i="12"/>
  <c r="F919" i="12"/>
  <c r="G918" i="12"/>
  <c r="F918" i="12"/>
  <c r="G917" i="12"/>
  <c r="F917" i="12"/>
  <c r="G916" i="12"/>
  <c r="F916" i="12"/>
  <c r="G915" i="12"/>
  <c r="F915" i="12"/>
  <c r="G914" i="12"/>
  <c r="F914" i="12"/>
  <c r="G913" i="12"/>
  <c r="F913" i="12"/>
  <c r="G912" i="12"/>
  <c r="F912" i="12"/>
  <c r="G911" i="12"/>
  <c r="F911" i="12"/>
  <c r="G910" i="12"/>
  <c r="F910" i="12"/>
  <c r="A910" i="12"/>
  <c r="G909" i="12"/>
  <c r="F909" i="12"/>
  <c r="G908" i="12"/>
  <c r="F908" i="12"/>
  <c r="G907" i="12"/>
  <c r="F907" i="12"/>
  <c r="G906" i="12"/>
  <c r="F906" i="12"/>
  <c r="G905" i="12"/>
  <c r="F905" i="12"/>
  <c r="G904" i="12"/>
  <c r="F904" i="12"/>
  <c r="G903" i="12"/>
  <c r="F903" i="12"/>
  <c r="G902" i="12"/>
  <c r="F902" i="12"/>
  <c r="G901" i="12"/>
  <c r="F901" i="12"/>
  <c r="G900" i="12"/>
  <c r="F900" i="12"/>
  <c r="G899" i="12"/>
  <c r="F899" i="12"/>
  <c r="G898" i="12"/>
  <c r="F898" i="12"/>
  <c r="G897" i="12"/>
  <c r="F897" i="12"/>
  <c r="G896" i="12"/>
  <c r="F896" i="12"/>
  <c r="A896" i="12"/>
  <c r="G895" i="12"/>
  <c r="F895" i="12"/>
  <c r="G894" i="12"/>
  <c r="F894" i="12"/>
  <c r="G893" i="12"/>
  <c r="F893" i="12"/>
  <c r="G892" i="12"/>
  <c r="F892" i="12"/>
  <c r="G891" i="12"/>
  <c r="F891" i="12"/>
  <c r="G890" i="12"/>
  <c r="F890" i="12"/>
  <c r="G889" i="12"/>
  <c r="F889" i="12"/>
  <c r="A889" i="12"/>
  <c r="G888" i="12"/>
  <c r="F888" i="12"/>
  <c r="G887" i="12"/>
  <c r="F887" i="12"/>
  <c r="G886" i="12"/>
  <c r="F886" i="12"/>
  <c r="G885" i="12"/>
  <c r="F885" i="12"/>
  <c r="G884" i="12"/>
  <c r="F884" i="12"/>
  <c r="G883" i="12"/>
  <c r="F883" i="12"/>
  <c r="G882" i="12"/>
  <c r="F882" i="12"/>
  <c r="G881" i="12"/>
  <c r="F881" i="12"/>
  <c r="G880" i="12"/>
  <c r="F880" i="12"/>
  <c r="G879" i="12"/>
  <c r="F879" i="12"/>
  <c r="G878" i="12"/>
  <c r="F878" i="12"/>
  <c r="A878" i="12"/>
  <c r="G877" i="12"/>
  <c r="F877" i="12"/>
  <c r="G876" i="12"/>
  <c r="F876" i="12"/>
  <c r="G875" i="12"/>
  <c r="F875" i="12"/>
  <c r="G874" i="12"/>
  <c r="F874" i="12"/>
  <c r="G873" i="12"/>
  <c r="F873" i="12"/>
  <c r="G872" i="12"/>
  <c r="F872" i="12"/>
  <c r="G871" i="12"/>
  <c r="F871" i="12"/>
  <c r="G870" i="12"/>
  <c r="F870" i="12"/>
  <c r="G869" i="12"/>
  <c r="F869" i="12"/>
  <c r="G868" i="12"/>
  <c r="F868" i="12"/>
  <c r="G867" i="12"/>
  <c r="F867" i="12"/>
  <c r="G866" i="12"/>
  <c r="F866" i="12"/>
  <c r="A866" i="12"/>
  <c r="G865" i="12"/>
  <c r="F865" i="12"/>
  <c r="G864" i="12"/>
  <c r="F864" i="12"/>
  <c r="G863" i="12"/>
  <c r="F863" i="12"/>
  <c r="A863" i="12"/>
  <c r="G862" i="12"/>
  <c r="F862" i="12"/>
  <c r="G861" i="12"/>
  <c r="F861" i="12"/>
  <c r="G860" i="12"/>
  <c r="F860" i="12"/>
  <c r="G859" i="12"/>
  <c r="F859" i="12"/>
  <c r="G858" i="12"/>
  <c r="F858" i="12"/>
  <c r="G857" i="12"/>
  <c r="F857" i="12"/>
  <c r="G856" i="12"/>
  <c r="F856" i="12"/>
  <c r="G855" i="12"/>
  <c r="F855" i="12"/>
  <c r="G854" i="12"/>
  <c r="F854" i="12"/>
  <c r="G853" i="12"/>
  <c r="F853" i="12"/>
  <c r="G852" i="12"/>
  <c r="F852" i="12"/>
  <c r="G851" i="12"/>
  <c r="F851" i="12"/>
  <c r="G850" i="12"/>
  <c r="F850" i="12"/>
  <c r="G849" i="12"/>
  <c r="F849" i="12"/>
  <c r="G848" i="12"/>
  <c r="F848" i="12"/>
  <c r="G847" i="12"/>
  <c r="F847" i="12"/>
  <c r="G846" i="12"/>
  <c r="F846" i="12"/>
  <c r="G845" i="12"/>
  <c r="F845" i="12"/>
  <c r="G844" i="12"/>
  <c r="F844" i="12"/>
  <c r="G843" i="12"/>
  <c r="F843" i="12"/>
  <c r="G842" i="12"/>
  <c r="F842" i="12"/>
  <c r="G841" i="12"/>
  <c r="F841" i="12"/>
  <c r="G840" i="12"/>
  <c r="F840" i="12"/>
  <c r="G839" i="12"/>
  <c r="F839" i="12"/>
  <c r="G838" i="12"/>
  <c r="F838" i="12"/>
  <c r="G837" i="12"/>
  <c r="F837" i="12"/>
  <c r="G836" i="12"/>
  <c r="F836" i="12"/>
  <c r="G835" i="12"/>
  <c r="F835" i="12"/>
  <c r="G834" i="12"/>
  <c r="F834" i="12"/>
  <c r="G833" i="12"/>
  <c r="F833" i="12"/>
  <c r="G832" i="12"/>
  <c r="F832" i="12"/>
  <c r="G831" i="12"/>
  <c r="F831" i="12"/>
  <c r="G830" i="12"/>
  <c r="F830" i="12"/>
  <c r="A830" i="12"/>
  <c r="G829" i="12"/>
  <c r="F829" i="12"/>
  <c r="G828" i="12"/>
  <c r="F828" i="12"/>
  <c r="G827" i="12"/>
  <c r="F827" i="12"/>
  <c r="G826" i="12"/>
  <c r="F826" i="12"/>
  <c r="G825" i="12"/>
  <c r="F825" i="12"/>
  <c r="G824" i="12"/>
  <c r="F824" i="12"/>
  <c r="G823" i="12"/>
  <c r="F823" i="12"/>
  <c r="G822" i="12"/>
  <c r="F822" i="12"/>
  <c r="G821" i="12"/>
  <c r="F821" i="12"/>
  <c r="G820" i="12"/>
  <c r="F820" i="12"/>
  <c r="G819" i="12"/>
  <c r="F819" i="12"/>
  <c r="G818" i="12"/>
  <c r="F818" i="12"/>
  <c r="G817" i="12"/>
  <c r="F817" i="12"/>
  <c r="G816" i="12"/>
  <c r="F816" i="12"/>
  <c r="G815" i="12"/>
  <c r="F815" i="12"/>
  <c r="G814" i="12"/>
  <c r="F814" i="12"/>
  <c r="G813" i="12"/>
  <c r="F813" i="12"/>
  <c r="G812" i="12"/>
  <c r="F812" i="12"/>
  <c r="G811" i="12"/>
  <c r="F811" i="12"/>
  <c r="G810" i="12"/>
  <c r="F810" i="12"/>
  <c r="G809" i="12"/>
  <c r="F809" i="12"/>
  <c r="G808" i="12"/>
  <c r="F808" i="12"/>
  <c r="G807" i="12"/>
  <c r="F807" i="12"/>
  <c r="G806" i="12"/>
  <c r="F806" i="12"/>
  <c r="G805" i="12"/>
  <c r="F805" i="12"/>
  <c r="G804" i="12"/>
  <c r="F804" i="12"/>
  <c r="G803" i="12"/>
  <c r="F803" i="12"/>
  <c r="G802" i="12"/>
  <c r="F802" i="12"/>
  <c r="G801" i="12"/>
  <c r="F801" i="12"/>
  <c r="G800" i="12"/>
  <c r="F800" i="12"/>
  <c r="G799" i="12"/>
  <c r="F799" i="12"/>
  <c r="A799" i="12"/>
  <c r="G798" i="12"/>
  <c r="F798" i="12"/>
  <c r="G797" i="12"/>
  <c r="F797" i="12"/>
  <c r="G796" i="12"/>
  <c r="F796" i="12"/>
  <c r="G795" i="12"/>
  <c r="F795" i="12"/>
  <c r="G794" i="12"/>
  <c r="F794" i="12"/>
  <c r="G793" i="12"/>
  <c r="F793" i="12"/>
  <c r="G792" i="12"/>
  <c r="F792" i="12"/>
  <c r="G791" i="12"/>
  <c r="F791" i="12"/>
  <c r="G790" i="12"/>
  <c r="F790" i="12"/>
  <c r="G789" i="12"/>
  <c r="F789" i="12"/>
  <c r="G788" i="12"/>
  <c r="F788" i="12"/>
  <c r="G787" i="12"/>
  <c r="F787" i="12"/>
  <c r="G786" i="12"/>
  <c r="F786" i="12"/>
  <c r="G785" i="12"/>
  <c r="F785" i="12"/>
  <c r="G784" i="12"/>
  <c r="F784" i="12"/>
  <c r="A784" i="12"/>
  <c r="G783" i="12"/>
  <c r="F783" i="12"/>
  <c r="G782" i="12"/>
  <c r="F782" i="12"/>
  <c r="G781" i="12"/>
  <c r="F781" i="12"/>
  <c r="G780" i="12"/>
  <c r="F780" i="12"/>
  <c r="G779" i="12"/>
  <c r="F779" i="12"/>
  <c r="G778" i="12"/>
  <c r="F778" i="12"/>
  <c r="G777" i="12"/>
  <c r="F777" i="12"/>
  <c r="G776" i="12"/>
  <c r="F776" i="12"/>
  <c r="G775" i="12"/>
  <c r="F775" i="12"/>
  <c r="G774" i="12"/>
  <c r="F774" i="12"/>
  <c r="G773" i="12"/>
  <c r="F773" i="12"/>
  <c r="G772" i="12"/>
  <c r="F772" i="12"/>
  <c r="G771" i="12"/>
  <c r="F771" i="12"/>
  <c r="G770" i="12"/>
  <c r="F770" i="12"/>
  <c r="G769" i="12"/>
  <c r="F769" i="12"/>
  <c r="G768" i="12"/>
  <c r="F768" i="12"/>
  <c r="G767" i="12"/>
  <c r="F767" i="12"/>
  <c r="G766" i="12"/>
  <c r="F766" i="12"/>
  <c r="G765" i="12"/>
  <c r="F765" i="12"/>
  <c r="G764" i="12"/>
  <c r="F764" i="12"/>
  <c r="G763" i="12"/>
  <c r="F763" i="12"/>
  <c r="G762" i="12"/>
  <c r="F762" i="12"/>
  <c r="G761" i="12"/>
  <c r="F761" i="12"/>
  <c r="A761" i="12"/>
  <c r="G760" i="12"/>
  <c r="F760" i="12"/>
  <c r="G759" i="12"/>
  <c r="F759" i="12"/>
  <c r="G758" i="12"/>
  <c r="F758" i="12"/>
  <c r="G757" i="12"/>
  <c r="F757" i="12"/>
  <c r="G756" i="12"/>
  <c r="F756" i="12"/>
  <c r="G755" i="12"/>
  <c r="F755" i="12"/>
  <c r="G754" i="12"/>
  <c r="F754" i="12"/>
  <c r="G753" i="12"/>
  <c r="F753" i="12"/>
  <c r="G752" i="12"/>
  <c r="F752" i="12"/>
  <c r="G751" i="12"/>
  <c r="F751" i="12"/>
  <c r="G750" i="12"/>
  <c r="F750" i="12"/>
  <c r="G749" i="12"/>
  <c r="F749" i="12"/>
  <c r="G748" i="12"/>
  <c r="F748" i="12"/>
  <c r="G747" i="12"/>
  <c r="F747" i="12"/>
  <c r="G746" i="12"/>
  <c r="F746" i="12"/>
  <c r="G745" i="12"/>
  <c r="F745" i="12"/>
  <c r="G744" i="12"/>
  <c r="F744" i="12"/>
  <c r="A744" i="12"/>
  <c r="G743" i="12"/>
  <c r="F743" i="12"/>
  <c r="G742" i="12"/>
  <c r="F742" i="12"/>
  <c r="G741" i="12"/>
  <c r="F741" i="12"/>
  <c r="G740" i="12"/>
  <c r="F740" i="12"/>
  <c r="G739" i="12"/>
  <c r="F739" i="12"/>
  <c r="G738" i="12"/>
  <c r="F738" i="12"/>
  <c r="G737" i="12"/>
  <c r="F737" i="12"/>
  <c r="G736" i="12"/>
  <c r="F736" i="12"/>
  <c r="G735" i="12"/>
  <c r="F735" i="12"/>
  <c r="G734" i="12"/>
  <c r="F734" i="12"/>
  <c r="G733" i="12"/>
  <c r="F733" i="12"/>
  <c r="G732" i="12"/>
  <c r="F732" i="12"/>
  <c r="G731" i="12"/>
  <c r="F731" i="12"/>
  <c r="A731" i="12"/>
  <c r="G730" i="12"/>
  <c r="F730" i="12"/>
  <c r="G729" i="12"/>
  <c r="F729" i="12"/>
  <c r="G728" i="12"/>
  <c r="F728" i="12"/>
  <c r="G727" i="12"/>
  <c r="F727" i="12"/>
  <c r="G726" i="12"/>
  <c r="F726" i="12"/>
  <c r="G725" i="12"/>
  <c r="F725" i="12"/>
  <c r="G724" i="12"/>
  <c r="F724" i="12"/>
  <c r="G723" i="12"/>
  <c r="F723" i="12"/>
  <c r="G722" i="12"/>
  <c r="F722" i="12"/>
  <c r="G721" i="12"/>
  <c r="F721" i="12"/>
  <c r="A721" i="12"/>
  <c r="G720" i="12"/>
  <c r="F720" i="12"/>
  <c r="G719" i="12"/>
  <c r="F719" i="12"/>
  <c r="G718" i="12"/>
  <c r="F718" i="12"/>
  <c r="G717" i="12"/>
  <c r="F717" i="12"/>
  <c r="G716" i="12"/>
  <c r="F716" i="12"/>
  <c r="G715" i="12"/>
  <c r="F715" i="12"/>
  <c r="G714" i="12"/>
  <c r="F714" i="12"/>
  <c r="G713" i="12"/>
  <c r="F713" i="12"/>
  <c r="G712" i="12"/>
  <c r="F712" i="12"/>
  <c r="G711" i="12"/>
  <c r="F711" i="12"/>
  <c r="G710" i="12"/>
  <c r="F710" i="12"/>
  <c r="G709" i="12"/>
  <c r="F709" i="12"/>
  <c r="G708" i="12"/>
  <c r="F708" i="12"/>
  <c r="G707" i="12"/>
  <c r="F707" i="12"/>
  <c r="G706" i="12"/>
  <c r="F706" i="12"/>
  <c r="G705" i="12"/>
  <c r="F705" i="12"/>
  <c r="G704" i="12"/>
  <c r="F704" i="12"/>
  <c r="G703" i="12"/>
  <c r="F703" i="12"/>
  <c r="G702" i="12"/>
  <c r="F702" i="12"/>
  <c r="G701" i="12"/>
  <c r="F701" i="12"/>
  <c r="G700" i="12"/>
  <c r="F700" i="12"/>
  <c r="G699" i="12"/>
  <c r="F699" i="12"/>
  <c r="G698" i="12"/>
  <c r="F698" i="12"/>
  <c r="G697" i="12"/>
  <c r="F697" i="12"/>
  <c r="G696" i="12"/>
  <c r="F696" i="12"/>
  <c r="A696" i="12"/>
  <c r="G695" i="12"/>
  <c r="F695" i="12"/>
  <c r="G694" i="12"/>
  <c r="F694" i="12"/>
  <c r="G693" i="12"/>
  <c r="F693" i="12"/>
  <c r="G692" i="12"/>
  <c r="F692" i="12"/>
  <c r="G691" i="12"/>
  <c r="F691" i="12"/>
  <c r="G690" i="12"/>
  <c r="F690" i="12"/>
  <c r="G689" i="12"/>
  <c r="F689" i="12"/>
  <c r="G688" i="12"/>
  <c r="F688" i="12"/>
  <c r="G687" i="12"/>
  <c r="F687" i="12"/>
  <c r="G686" i="12"/>
  <c r="F686" i="12"/>
  <c r="G685" i="12"/>
  <c r="F685" i="12"/>
  <c r="G684" i="12"/>
  <c r="F684" i="12"/>
  <c r="G683" i="12"/>
  <c r="F683" i="12"/>
  <c r="G682" i="12"/>
  <c r="F682" i="12"/>
  <c r="G681" i="12"/>
  <c r="F681" i="12"/>
  <c r="G680" i="12"/>
  <c r="F680" i="12"/>
  <c r="G679" i="12"/>
  <c r="F679" i="12"/>
  <c r="G678" i="12"/>
  <c r="F678" i="12"/>
  <c r="G677" i="12"/>
  <c r="F677" i="12"/>
  <c r="G676" i="12"/>
  <c r="F676" i="12"/>
  <c r="G675" i="12"/>
  <c r="F675" i="12"/>
  <c r="G674" i="12"/>
  <c r="F674" i="12"/>
  <c r="G673" i="12"/>
  <c r="F673" i="12"/>
  <c r="G672" i="12"/>
  <c r="F672" i="12"/>
  <c r="A672" i="12"/>
  <c r="G671" i="12"/>
  <c r="F671" i="12"/>
  <c r="G670" i="12"/>
  <c r="F670" i="12"/>
  <c r="G669" i="12"/>
  <c r="F669" i="12"/>
  <c r="G668" i="12"/>
  <c r="F668" i="12"/>
  <c r="G667" i="12"/>
  <c r="F667" i="12"/>
  <c r="G666" i="12"/>
  <c r="F666" i="12"/>
  <c r="G665" i="12"/>
  <c r="F665" i="12"/>
  <c r="G664" i="12"/>
  <c r="F664" i="12"/>
  <c r="G663" i="12"/>
  <c r="F663" i="12"/>
  <c r="G662" i="12"/>
  <c r="F662" i="12"/>
  <c r="G661" i="12"/>
  <c r="F661" i="12"/>
  <c r="G660" i="12"/>
  <c r="F660" i="12"/>
  <c r="G659" i="12"/>
  <c r="F659" i="12"/>
  <c r="G658" i="12"/>
  <c r="F658" i="12"/>
  <c r="G657" i="12"/>
  <c r="F657" i="12"/>
  <c r="G656" i="12"/>
  <c r="F656" i="12"/>
  <c r="G655" i="12"/>
  <c r="F655" i="12"/>
  <c r="A655" i="12"/>
  <c r="G654" i="12"/>
  <c r="F654" i="12"/>
  <c r="G653" i="12"/>
  <c r="F653" i="12"/>
  <c r="G652" i="12"/>
  <c r="F652" i="12"/>
  <c r="G651" i="12"/>
  <c r="F651" i="12"/>
  <c r="G650" i="12"/>
  <c r="F650" i="12"/>
  <c r="G649" i="12"/>
  <c r="F649" i="12"/>
  <c r="G648" i="12"/>
  <c r="F648" i="12"/>
  <c r="G647" i="12"/>
  <c r="F647" i="12"/>
  <c r="G646" i="12"/>
  <c r="F646" i="12"/>
  <c r="G645" i="12"/>
  <c r="F645" i="12"/>
  <c r="G644" i="12"/>
  <c r="F644" i="12"/>
  <c r="G643" i="12"/>
  <c r="F643" i="12"/>
  <c r="G642" i="12"/>
  <c r="F642" i="12"/>
  <c r="G641" i="12"/>
  <c r="F641" i="12"/>
  <c r="G640" i="12"/>
  <c r="F640" i="12"/>
  <c r="A640" i="12"/>
  <c r="G639" i="12"/>
  <c r="F639" i="12"/>
  <c r="G638" i="12"/>
  <c r="F638" i="12"/>
  <c r="G637" i="12"/>
  <c r="F637" i="12"/>
  <c r="G636" i="12"/>
  <c r="F636" i="12"/>
  <c r="G635" i="12"/>
  <c r="F635" i="12"/>
  <c r="G634" i="12"/>
  <c r="F634" i="12"/>
  <c r="G633" i="12"/>
  <c r="F633" i="12"/>
  <c r="G632" i="12"/>
  <c r="F632" i="12"/>
  <c r="G631" i="12"/>
  <c r="F631" i="12"/>
  <c r="G630" i="12"/>
  <c r="F630" i="12"/>
  <c r="G629" i="12"/>
  <c r="F629" i="12"/>
  <c r="G628" i="12"/>
  <c r="F628" i="12"/>
  <c r="G627" i="12"/>
  <c r="F627" i="12"/>
  <c r="G626" i="12"/>
  <c r="F626" i="12"/>
  <c r="G625" i="12"/>
  <c r="F625" i="12"/>
  <c r="G624" i="12"/>
  <c r="F624" i="12"/>
  <c r="G623" i="12"/>
  <c r="F623" i="12"/>
  <c r="G622" i="12"/>
  <c r="F622" i="12"/>
  <c r="G621" i="12"/>
  <c r="F621" i="12"/>
  <c r="G620" i="12"/>
  <c r="F620" i="12"/>
  <c r="G619" i="12"/>
  <c r="F619" i="12"/>
  <c r="G618" i="12"/>
  <c r="F618" i="12"/>
  <c r="G617" i="12"/>
  <c r="F617" i="12"/>
  <c r="G616" i="12"/>
  <c r="F616" i="12"/>
  <c r="G615" i="12"/>
  <c r="F615" i="12"/>
  <c r="G614" i="12"/>
  <c r="F614" i="12"/>
  <c r="G613" i="12"/>
  <c r="F613" i="12"/>
  <c r="G612" i="12"/>
  <c r="F612" i="12"/>
  <c r="G611" i="12"/>
  <c r="F611" i="12"/>
  <c r="G610" i="12"/>
  <c r="F610" i="12"/>
  <c r="G609" i="12"/>
  <c r="F609" i="12"/>
  <c r="G608" i="12"/>
  <c r="F608" i="12"/>
  <c r="G607" i="12"/>
  <c r="F607" i="12"/>
  <c r="G606" i="12"/>
  <c r="F606" i="12"/>
  <c r="G605" i="12"/>
  <c r="F605" i="12"/>
  <c r="G604" i="12"/>
  <c r="F604" i="12"/>
  <c r="G603" i="12"/>
  <c r="F603" i="12"/>
  <c r="G602" i="12"/>
  <c r="F602" i="12"/>
  <c r="G601" i="12"/>
  <c r="F601" i="12"/>
  <c r="G600" i="12"/>
  <c r="F600" i="12"/>
  <c r="G599" i="12"/>
  <c r="F599" i="12"/>
  <c r="G598" i="12"/>
  <c r="F598" i="12"/>
  <c r="G597" i="12"/>
  <c r="F597" i="12"/>
  <c r="G596" i="12"/>
  <c r="F596" i="12"/>
  <c r="G595" i="12"/>
  <c r="F595" i="12"/>
  <c r="G594" i="12"/>
  <c r="F594" i="12"/>
  <c r="G593" i="12"/>
  <c r="F593" i="12"/>
  <c r="G592" i="12"/>
  <c r="F592" i="12"/>
  <c r="G591" i="12"/>
  <c r="F591" i="12"/>
  <c r="G590" i="12"/>
  <c r="F590" i="12"/>
  <c r="G589" i="12"/>
  <c r="F589" i="12"/>
  <c r="G588" i="12"/>
  <c r="F588" i="12"/>
  <c r="G587" i="12"/>
  <c r="F587" i="12"/>
  <c r="G586" i="12"/>
  <c r="F586" i="12"/>
  <c r="G585" i="12"/>
  <c r="F585" i="12"/>
  <c r="G584" i="12"/>
  <c r="F584" i="12"/>
  <c r="G583" i="12"/>
  <c r="F583" i="12"/>
  <c r="G582" i="12"/>
  <c r="F582" i="12"/>
  <c r="A582" i="12"/>
  <c r="G581" i="12"/>
  <c r="F581" i="12"/>
  <c r="G580" i="12"/>
  <c r="F580" i="12"/>
  <c r="G579" i="12"/>
  <c r="F579" i="12"/>
  <c r="G578" i="12"/>
  <c r="F578" i="12"/>
  <c r="G577" i="12"/>
  <c r="F577" i="12"/>
  <c r="G576" i="12"/>
  <c r="F576" i="12"/>
  <c r="G575" i="12"/>
  <c r="F575" i="12"/>
  <c r="G574" i="12"/>
  <c r="F574" i="12"/>
  <c r="G573" i="12"/>
  <c r="F573" i="12"/>
  <c r="G572" i="12"/>
  <c r="F572" i="12"/>
  <c r="G571" i="12"/>
  <c r="F571" i="12"/>
  <c r="G570" i="12"/>
  <c r="F570" i="12"/>
  <c r="G569" i="12"/>
  <c r="F569" i="12"/>
  <c r="G568" i="12"/>
  <c r="F568" i="12"/>
  <c r="G567" i="12"/>
  <c r="F567" i="12"/>
  <c r="G566" i="12"/>
  <c r="F566" i="12"/>
  <c r="G565" i="12"/>
  <c r="F565" i="12"/>
  <c r="G564" i="12"/>
  <c r="F564" i="12"/>
  <c r="G563" i="12"/>
  <c r="F563" i="12"/>
  <c r="G562" i="12"/>
  <c r="F562" i="12"/>
  <c r="G561" i="12"/>
  <c r="F561" i="12"/>
  <c r="G560" i="12"/>
  <c r="F560" i="12"/>
  <c r="G559" i="12"/>
  <c r="F559" i="12"/>
  <c r="G558" i="12"/>
  <c r="F558" i="12"/>
  <c r="G557" i="12"/>
  <c r="F557" i="12"/>
  <c r="G556" i="12"/>
  <c r="F556" i="12"/>
  <c r="G555" i="12"/>
  <c r="F555" i="12"/>
  <c r="G554" i="12"/>
  <c r="F554" i="12"/>
  <c r="A554" i="12"/>
  <c r="G553" i="12"/>
  <c r="F553" i="12"/>
  <c r="G552" i="12"/>
  <c r="F552" i="12"/>
  <c r="G551" i="12"/>
  <c r="F551" i="12"/>
  <c r="G550" i="12"/>
  <c r="F550" i="12"/>
  <c r="A550" i="12"/>
  <c r="G549" i="12"/>
  <c r="F549" i="12"/>
  <c r="G548" i="12"/>
  <c r="F548" i="12"/>
  <c r="G547" i="12"/>
  <c r="F547" i="12"/>
  <c r="G546" i="12"/>
  <c r="F546" i="12"/>
  <c r="G545" i="12"/>
  <c r="F545" i="12"/>
  <c r="G544" i="12"/>
  <c r="F544" i="12"/>
  <c r="G543" i="12"/>
  <c r="F543" i="12"/>
  <c r="G542" i="12"/>
  <c r="F542" i="12"/>
  <c r="G541" i="12"/>
  <c r="F541" i="12"/>
  <c r="G540" i="12"/>
  <c r="F540" i="12"/>
  <c r="G539" i="12"/>
  <c r="F539" i="12"/>
  <c r="G538" i="12"/>
  <c r="F538" i="12"/>
  <c r="G537" i="12"/>
  <c r="F537" i="12"/>
  <c r="G536" i="12"/>
  <c r="F536" i="12"/>
  <c r="G535" i="12"/>
  <c r="F535" i="12"/>
  <c r="G534" i="12"/>
  <c r="F534" i="12"/>
  <c r="G533" i="12"/>
  <c r="F533" i="12"/>
  <c r="G532" i="12"/>
  <c r="F532" i="12"/>
  <c r="G531" i="12"/>
  <c r="F531" i="12"/>
  <c r="G530" i="12"/>
  <c r="F530" i="12"/>
  <c r="G529" i="12"/>
  <c r="F529" i="12"/>
  <c r="G528" i="12"/>
  <c r="F528" i="12"/>
  <c r="G527" i="12"/>
  <c r="F527" i="12"/>
  <c r="G526" i="12"/>
  <c r="F526" i="12"/>
  <c r="G525" i="12"/>
  <c r="F525" i="12"/>
  <c r="G524" i="12"/>
  <c r="F524" i="12"/>
  <c r="G523" i="12"/>
  <c r="F523" i="12"/>
  <c r="A523" i="12"/>
  <c r="G522" i="12"/>
  <c r="F522" i="12"/>
  <c r="G521" i="12"/>
  <c r="F521" i="12"/>
  <c r="G520" i="12"/>
  <c r="F520" i="12"/>
  <c r="G519" i="12"/>
  <c r="F519" i="12"/>
  <c r="G518" i="12"/>
  <c r="F518" i="12"/>
  <c r="G517" i="12"/>
  <c r="F517" i="12"/>
  <c r="G516" i="12"/>
  <c r="F516" i="12"/>
  <c r="G515" i="12"/>
  <c r="F515" i="12"/>
  <c r="G514" i="12"/>
  <c r="F514" i="12"/>
  <c r="G513" i="12"/>
  <c r="F513" i="12"/>
  <c r="G512" i="12"/>
  <c r="F512" i="12"/>
  <c r="G511" i="12"/>
  <c r="F511" i="12"/>
  <c r="G510" i="12"/>
  <c r="F510" i="12"/>
  <c r="G509" i="12"/>
  <c r="F509" i="12"/>
  <c r="G508" i="12"/>
  <c r="F508" i="12"/>
  <c r="G507" i="12"/>
  <c r="F507" i="12"/>
  <c r="A507" i="12"/>
  <c r="G506" i="12"/>
  <c r="F506" i="12"/>
  <c r="G505" i="12"/>
  <c r="F505" i="12"/>
  <c r="G504" i="12"/>
  <c r="F504" i="12"/>
  <c r="G503" i="12"/>
  <c r="F503" i="12"/>
  <c r="G502" i="12"/>
  <c r="F502" i="12"/>
  <c r="G501" i="12"/>
  <c r="F501" i="12"/>
  <c r="G500" i="12"/>
  <c r="F500" i="12"/>
  <c r="G499" i="12"/>
  <c r="F499" i="12"/>
  <c r="G498" i="12"/>
  <c r="F498" i="12"/>
  <c r="G497" i="12"/>
  <c r="F497" i="12"/>
  <c r="G496" i="12"/>
  <c r="F496" i="12"/>
  <c r="G495" i="12"/>
  <c r="F495" i="12"/>
  <c r="G494" i="12"/>
  <c r="F494" i="12"/>
  <c r="A494" i="12"/>
  <c r="G493" i="12"/>
  <c r="F493" i="12"/>
  <c r="G492" i="12"/>
  <c r="F492" i="12"/>
  <c r="G491" i="12"/>
  <c r="F491" i="12"/>
  <c r="A491" i="12"/>
  <c r="G490" i="12"/>
  <c r="F490" i="12"/>
  <c r="G489" i="12"/>
  <c r="F489" i="12"/>
  <c r="G488" i="12"/>
  <c r="F488" i="12"/>
  <c r="G487" i="12"/>
  <c r="F487" i="12"/>
  <c r="G486" i="12"/>
  <c r="F486" i="12"/>
  <c r="G485" i="12"/>
  <c r="F485" i="12"/>
  <c r="G484" i="12"/>
  <c r="F484" i="12"/>
  <c r="G483" i="12"/>
  <c r="F483" i="12"/>
  <c r="G482" i="12"/>
  <c r="F482" i="12"/>
  <c r="A482" i="12"/>
  <c r="G481" i="12"/>
  <c r="F481" i="12"/>
  <c r="G480" i="12"/>
  <c r="F480" i="12"/>
  <c r="G479" i="12"/>
  <c r="F479" i="12"/>
  <c r="G478" i="12"/>
  <c r="F478" i="12"/>
  <c r="G477" i="12"/>
  <c r="F477" i="12"/>
  <c r="G476" i="12"/>
  <c r="F476" i="12"/>
  <c r="G475" i="12"/>
  <c r="F475" i="12"/>
  <c r="G474" i="12"/>
  <c r="F474" i="12"/>
  <c r="G473" i="12"/>
  <c r="F473" i="12"/>
  <c r="G472" i="12"/>
  <c r="F472" i="12"/>
  <c r="G471" i="12"/>
  <c r="F471" i="12"/>
  <c r="G470" i="12"/>
  <c r="F470" i="12"/>
  <c r="G469" i="12"/>
  <c r="F469" i="12"/>
  <c r="G468" i="12"/>
  <c r="F468" i="12"/>
  <c r="G467" i="12"/>
  <c r="F467" i="12"/>
  <c r="G466" i="12"/>
  <c r="F466" i="12"/>
  <c r="G465" i="12"/>
  <c r="F465" i="12"/>
  <c r="G464" i="12"/>
  <c r="F464" i="12"/>
  <c r="G463" i="12"/>
  <c r="F463" i="12"/>
  <c r="G462" i="12"/>
  <c r="F462" i="12"/>
  <c r="A462" i="12"/>
  <c r="G461" i="12"/>
  <c r="F461" i="12"/>
  <c r="G460" i="12"/>
  <c r="F460" i="12"/>
  <c r="G459" i="12"/>
  <c r="F459" i="12"/>
  <c r="G458" i="12"/>
  <c r="F458" i="12"/>
  <c r="G457" i="12"/>
  <c r="F457" i="12"/>
  <c r="G456" i="12"/>
  <c r="F456" i="12"/>
  <c r="G455" i="12"/>
  <c r="F455" i="12"/>
  <c r="G454" i="12"/>
  <c r="F454" i="12"/>
  <c r="G453" i="12"/>
  <c r="F453" i="12"/>
  <c r="G452" i="12"/>
  <c r="F452" i="12"/>
  <c r="G451" i="12"/>
  <c r="F451" i="12"/>
  <c r="A451" i="12"/>
  <c r="G450" i="12"/>
  <c r="F450" i="12"/>
  <c r="G449" i="12"/>
  <c r="F449" i="12"/>
  <c r="G448" i="12"/>
  <c r="F448" i="12"/>
  <c r="G447" i="12"/>
  <c r="F447" i="12"/>
  <c r="G446" i="12"/>
  <c r="F446" i="12"/>
  <c r="G445" i="12"/>
  <c r="F445" i="12"/>
  <c r="G444" i="12"/>
  <c r="F444" i="12"/>
  <c r="G443" i="12"/>
  <c r="F443" i="12"/>
  <c r="G442" i="12"/>
  <c r="F442" i="12"/>
  <c r="G441" i="12"/>
  <c r="F441" i="12"/>
  <c r="G440" i="12"/>
  <c r="F440" i="12"/>
  <c r="G439" i="12"/>
  <c r="F439" i="12"/>
  <c r="A439" i="12"/>
  <c r="G438" i="12"/>
  <c r="F438" i="12"/>
  <c r="G437" i="12"/>
  <c r="F437" i="12"/>
  <c r="G436" i="12"/>
  <c r="F436" i="12"/>
  <c r="G435" i="12"/>
  <c r="F435" i="12"/>
  <c r="G434" i="12"/>
  <c r="F434" i="12"/>
  <c r="G433" i="12"/>
  <c r="F433" i="12"/>
  <c r="A433" i="12"/>
  <c r="G432" i="12"/>
  <c r="F432" i="12"/>
  <c r="G431" i="12"/>
  <c r="F431" i="12"/>
  <c r="G430" i="12"/>
  <c r="F430" i="12"/>
  <c r="G429" i="12"/>
  <c r="F429" i="12"/>
  <c r="G428" i="12"/>
  <c r="F428" i="12"/>
  <c r="G427" i="12"/>
  <c r="F427" i="12"/>
  <c r="G426" i="12"/>
  <c r="F426" i="12"/>
  <c r="G425" i="12"/>
  <c r="F425" i="12"/>
  <c r="G424" i="12"/>
  <c r="F424" i="12"/>
  <c r="G423" i="12"/>
  <c r="F423" i="12"/>
  <c r="G422" i="12"/>
  <c r="F422" i="12"/>
  <c r="G421" i="12"/>
  <c r="F421" i="12"/>
  <c r="G420" i="12"/>
  <c r="F420" i="12"/>
  <c r="A420" i="12"/>
  <c r="G419" i="12"/>
  <c r="F419" i="12"/>
  <c r="G418" i="12"/>
  <c r="F418" i="12"/>
  <c r="G417" i="12"/>
  <c r="F417" i="12"/>
  <c r="G416" i="12"/>
  <c r="F416" i="12"/>
  <c r="G415" i="12"/>
  <c r="F415" i="12"/>
  <c r="G414" i="12"/>
  <c r="F414" i="12"/>
  <c r="G413" i="12"/>
  <c r="F413" i="12"/>
  <c r="A413" i="12"/>
  <c r="G412" i="12"/>
  <c r="F412" i="12"/>
  <c r="G411" i="12"/>
  <c r="F411" i="12"/>
  <c r="G410" i="12"/>
  <c r="F410" i="12"/>
  <c r="G409" i="12"/>
  <c r="F409" i="12"/>
  <c r="G408" i="12"/>
  <c r="F408" i="12"/>
  <c r="G407" i="12"/>
  <c r="F407" i="12"/>
  <c r="G406" i="12"/>
  <c r="F406" i="12"/>
  <c r="G405" i="12"/>
  <c r="F405" i="12"/>
  <c r="G404" i="12"/>
  <c r="F404" i="12"/>
  <c r="G403" i="12"/>
  <c r="F403" i="12"/>
  <c r="G402" i="12"/>
  <c r="F402" i="12"/>
  <c r="A402" i="12"/>
  <c r="G401" i="12"/>
  <c r="F401" i="12"/>
  <c r="G400" i="12"/>
  <c r="F400" i="12"/>
  <c r="G399" i="12"/>
  <c r="F399" i="12"/>
  <c r="G398" i="12"/>
  <c r="F398" i="12"/>
  <c r="G397" i="12"/>
  <c r="F397" i="12"/>
  <c r="G396" i="12"/>
  <c r="F396" i="12"/>
  <c r="G395" i="12"/>
  <c r="F395" i="12"/>
  <c r="G394" i="12"/>
  <c r="F394" i="12"/>
  <c r="G393" i="12"/>
  <c r="F393" i="12"/>
  <c r="G392" i="12"/>
  <c r="F392" i="12"/>
  <c r="G391" i="12"/>
  <c r="F391" i="12"/>
  <c r="G390" i="12"/>
  <c r="F390" i="12"/>
  <c r="G389" i="12"/>
  <c r="F389" i="12"/>
  <c r="G388" i="12"/>
  <c r="F388" i="12"/>
  <c r="G387" i="12"/>
  <c r="F387" i="12"/>
  <c r="G386" i="12"/>
  <c r="F386" i="12"/>
  <c r="G385" i="12"/>
  <c r="F385" i="12"/>
  <c r="G384" i="12"/>
  <c r="F384" i="12"/>
  <c r="G383" i="12"/>
  <c r="F383" i="12"/>
  <c r="G382" i="12"/>
  <c r="F382" i="12"/>
  <c r="G381" i="12"/>
  <c r="F381" i="12"/>
  <c r="G380" i="12"/>
  <c r="F380" i="12"/>
  <c r="G379" i="12"/>
  <c r="F379" i="12"/>
  <c r="G378" i="12"/>
  <c r="F378" i="12"/>
  <c r="G377" i="12"/>
  <c r="F377" i="12"/>
  <c r="G376" i="12"/>
  <c r="F376" i="12"/>
  <c r="G375" i="12"/>
  <c r="F375" i="12"/>
  <c r="G374" i="12"/>
  <c r="F374" i="12"/>
  <c r="G373" i="12"/>
  <c r="F373" i="12"/>
  <c r="G372" i="12"/>
  <c r="F372" i="12"/>
  <c r="G371" i="12"/>
  <c r="F371" i="12"/>
  <c r="G370" i="12"/>
  <c r="F370" i="12"/>
  <c r="G369" i="12"/>
  <c r="F369" i="12"/>
  <c r="G368" i="12"/>
  <c r="F368" i="12"/>
  <c r="G367" i="12"/>
  <c r="F367" i="12"/>
  <c r="G366" i="12"/>
  <c r="F366" i="12"/>
  <c r="G365" i="12"/>
  <c r="F365" i="12"/>
  <c r="G364" i="12"/>
  <c r="F364" i="12"/>
  <c r="G363" i="12"/>
  <c r="F363" i="12"/>
  <c r="G362" i="12"/>
  <c r="F362" i="12"/>
  <c r="G361" i="12"/>
  <c r="F361" i="12"/>
  <c r="G360" i="12"/>
  <c r="F360" i="12"/>
  <c r="G359" i="12"/>
  <c r="F359" i="12"/>
  <c r="G358" i="12"/>
  <c r="F358" i="12"/>
  <c r="G357" i="12"/>
  <c r="F357" i="12"/>
  <c r="G356" i="12"/>
  <c r="F356" i="12"/>
  <c r="G355" i="12"/>
  <c r="F355" i="12"/>
  <c r="G354" i="12"/>
  <c r="F354" i="12"/>
  <c r="G353" i="12"/>
  <c r="F353" i="12"/>
  <c r="G352" i="12"/>
  <c r="F352" i="12"/>
  <c r="G351" i="12"/>
  <c r="F351" i="12"/>
  <c r="G350" i="12"/>
  <c r="F350" i="12"/>
  <c r="G349" i="12"/>
  <c r="F349" i="12"/>
  <c r="G348" i="12"/>
  <c r="F348" i="12"/>
  <c r="G347" i="12"/>
  <c r="F347" i="12"/>
  <c r="G346" i="12"/>
  <c r="F346" i="12"/>
  <c r="G345" i="12"/>
  <c r="F345" i="12"/>
  <c r="G344" i="12"/>
  <c r="F344" i="12"/>
  <c r="G343" i="12"/>
  <c r="F343" i="12"/>
  <c r="G342" i="12"/>
  <c r="F342" i="12"/>
  <c r="G341" i="12"/>
  <c r="F341" i="12"/>
  <c r="G340" i="12"/>
  <c r="F340" i="12"/>
  <c r="G339" i="12"/>
  <c r="F339" i="12"/>
  <c r="G338" i="12"/>
  <c r="F338" i="12"/>
  <c r="G337" i="12"/>
  <c r="F337" i="12"/>
  <c r="G336" i="12"/>
  <c r="F336" i="12"/>
  <c r="G335" i="12"/>
  <c r="F335" i="12"/>
  <c r="G334" i="12"/>
  <c r="F334" i="12"/>
  <c r="G333" i="12"/>
  <c r="F333" i="12"/>
  <c r="G332" i="12"/>
  <c r="F332" i="12"/>
  <c r="G331" i="12"/>
  <c r="F331" i="12"/>
  <c r="A331" i="12"/>
  <c r="G330" i="12"/>
  <c r="F330" i="12"/>
  <c r="G329" i="12"/>
  <c r="F329" i="12"/>
  <c r="G328" i="12"/>
  <c r="F328" i="12"/>
  <c r="G327" i="12"/>
  <c r="F327" i="12"/>
  <c r="G326" i="12"/>
  <c r="F326" i="12"/>
  <c r="A326" i="12"/>
  <c r="G325" i="12"/>
  <c r="F325" i="12"/>
  <c r="G324" i="12"/>
  <c r="F324" i="12"/>
  <c r="G323" i="12"/>
  <c r="F323" i="12"/>
  <c r="G322" i="12"/>
  <c r="F322" i="12"/>
  <c r="G321" i="12"/>
  <c r="F321" i="12"/>
  <c r="G320" i="12"/>
  <c r="F320" i="12"/>
  <c r="G319" i="12"/>
  <c r="F319" i="12"/>
  <c r="G318" i="12"/>
  <c r="F318" i="12"/>
  <c r="G317" i="12"/>
  <c r="F317" i="12"/>
  <c r="G316" i="12"/>
  <c r="F316" i="12"/>
  <c r="G315" i="12"/>
  <c r="F315" i="12"/>
  <c r="G314" i="12"/>
  <c r="F314" i="12"/>
  <c r="G313" i="12"/>
  <c r="F313" i="12"/>
  <c r="G312" i="12"/>
  <c r="F312" i="12"/>
  <c r="G311" i="12"/>
  <c r="F311" i="12"/>
  <c r="G310" i="12"/>
  <c r="F310" i="12"/>
  <c r="G309" i="12"/>
  <c r="F309" i="12"/>
  <c r="G308" i="12"/>
  <c r="F308" i="12"/>
  <c r="G307" i="12"/>
  <c r="F307" i="12"/>
  <c r="G306" i="12"/>
  <c r="F306" i="12"/>
  <c r="G305" i="12"/>
  <c r="F305" i="12"/>
  <c r="G304" i="12"/>
  <c r="F304" i="12"/>
  <c r="G303" i="12"/>
  <c r="F303" i="12"/>
  <c r="G302" i="12"/>
  <c r="F302" i="12"/>
  <c r="G301" i="12"/>
  <c r="F301" i="12"/>
  <c r="G300" i="12"/>
  <c r="F300" i="12"/>
  <c r="G299" i="12"/>
  <c r="F299" i="12"/>
  <c r="G298" i="12"/>
  <c r="F298" i="12"/>
  <c r="G297" i="12"/>
  <c r="F297" i="12"/>
  <c r="G296" i="12"/>
  <c r="F296" i="12"/>
  <c r="G295" i="12"/>
  <c r="F295" i="12"/>
  <c r="A295" i="12"/>
  <c r="G294" i="12"/>
  <c r="F294" i="12"/>
  <c r="G293" i="12"/>
  <c r="F293" i="12"/>
  <c r="G292" i="12"/>
  <c r="F292" i="12"/>
  <c r="G291" i="12"/>
  <c r="F291" i="12"/>
  <c r="G290" i="12"/>
  <c r="F290" i="12"/>
  <c r="G289" i="12"/>
  <c r="F289" i="12"/>
  <c r="G288" i="12"/>
  <c r="F288" i="12"/>
  <c r="G287" i="12"/>
  <c r="F287" i="12"/>
  <c r="G286" i="12"/>
  <c r="F286" i="12"/>
  <c r="G285" i="12"/>
  <c r="F285" i="12"/>
  <c r="G284" i="12"/>
  <c r="F284" i="12"/>
  <c r="G283" i="12"/>
  <c r="F283" i="12"/>
  <c r="G282" i="12"/>
  <c r="F282" i="12"/>
  <c r="G281" i="12"/>
  <c r="F281" i="12"/>
  <c r="G280" i="12"/>
  <c r="F280" i="12"/>
  <c r="G279" i="12"/>
  <c r="F279" i="12"/>
  <c r="G278" i="12"/>
  <c r="F278" i="12"/>
  <c r="G277" i="12"/>
  <c r="F277" i="12"/>
  <c r="G276" i="12"/>
  <c r="F276" i="12"/>
  <c r="G275" i="12"/>
  <c r="F275" i="12"/>
  <c r="G274" i="12"/>
  <c r="F274" i="12"/>
  <c r="G273" i="12"/>
  <c r="F273" i="12"/>
  <c r="G272" i="12"/>
  <c r="F272" i="12"/>
  <c r="G271" i="12"/>
  <c r="F271" i="12"/>
  <c r="G270" i="12"/>
  <c r="F270" i="12"/>
  <c r="G269" i="12"/>
  <c r="F269" i="12"/>
  <c r="G268" i="12"/>
  <c r="F268" i="12"/>
  <c r="G267" i="12"/>
  <c r="F267" i="12"/>
  <c r="G266" i="12"/>
  <c r="F266" i="12"/>
  <c r="G265" i="12"/>
  <c r="F265" i="12"/>
  <c r="G264" i="12"/>
  <c r="F264" i="12"/>
  <c r="G263" i="12"/>
  <c r="F263" i="12"/>
  <c r="G262" i="12"/>
  <c r="F262" i="12"/>
  <c r="G261" i="12"/>
  <c r="F261" i="12"/>
  <c r="G260" i="12"/>
  <c r="F260" i="12"/>
  <c r="G259" i="12"/>
  <c r="F259" i="12"/>
  <c r="G258" i="12"/>
  <c r="F258" i="12"/>
  <c r="G257" i="12"/>
  <c r="F257" i="12"/>
  <c r="G256" i="12"/>
  <c r="F256" i="12"/>
  <c r="G255" i="12"/>
  <c r="F255" i="12"/>
  <c r="G254" i="12"/>
  <c r="F254" i="12"/>
  <c r="G253" i="12"/>
  <c r="F253" i="12"/>
  <c r="G252" i="12"/>
  <c r="F252" i="12"/>
  <c r="G251" i="12"/>
  <c r="F251" i="12"/>
  <c r="G250" i="12"/>
  <c r="F250" i="12"/>
  <c r="G249" i="12"/>
  <c r="F249" i="12"/>
  <c r="G248" i="12"/>
  <c r="F248" i="12"/>
  <c r="G247" i="12"/>
  <c r="F247" i="12"/>
  <c r="G246" i="12"/>
  <c r="F246" i="12"/>
  <c r="G245" i="12"/>
  <c r="F245" i="12"/>
  <c r="G244" i="12"/>
  <c r="F244" i="12"/>
  <c r="G243" i="12"/>
  <c r="F243" i="12"/>
  <c r="G242" i="12"/>
  <c r="F242" i="12"/>
  <c r="G241" i="12"/>
  <c r="F241" i="12"/>
  <c r="G240" i="12"/>
  <c r="F240" i="12"/>
  <c r="G239" i="12"/>
  <c r="F239" i="12"/>
  <c r="G238" i="12"/>
  <c r="F238" i="12"/>
  <c r="G237" i="12"/>
  <c r="F237" i="12"/>
  <c r="G236" i="12"/>
  <c r="F236" i="12"/>
  <c r="G235" i="12"/>
  <c r="F235" i="12"/>
  <c r="G234" i="12"/>
  <c r="F234" i="12"/>
  <c r="G233" i="12"/>
  <c r="F233" i="12"/>
  <c r="G232" i="12"/>
  <c r="F232" i="12"/>
  <c r="G231" i="12"/>
  <c r="F231" i="12"/>
  <c r="G230" i="12"/>
  <c r="F230" i="12"/>
  <c r="G229" i="12"/>
  <c r="F229" i="12"/>
  <c r="G228" i="12"/>
  <c r="F228" i="12"/>
  <c r="G227" i="12"/>
  <c r="F227" i="12"/>
  <c r="G226" i="12"/>
  <c r="F226" i="12"/>
  <c r="G225" i="12"/>
  <c r="F225" i="12"/>
  <c r="G224" i="12"/>
  <c r="F224" i="12"/>
  <c r="G223" i="12"/>
  <c r="F223" i="12"/>
  <c r="G222" i="12"/>
  <c r="F222" i="12"/>
  <c r="G221" i="12"/>
  <c r="F221" i="12"/>
  <c r="G220" i="12"/>
  <c r="F220" i="12"/>
  <c r="G219" i="12"/>
  <c r="F219" i="12"/>
  <c r="G218" i="12"/>
  <c r="F218" i="12"/>
  <c r="G217" i="12"/>
  <c r="F217" i="12"/>
  <c r="A217" i="12"/>
  <c r="G216" i="12"/>
  <c r="F216" i="12"/>
  <c r="G215" i="12"/>
  <c r="F215" i="12"/>
  <c r="G214" i="12"/>
  <c r="F214" i="12"/>
  <c r="G213" i="12"/>
  <c r="F213" i="12"/>
  <c r="G212" i="12"/>
  <c r="F212" i="12"/>
  <c r="G211" i="12"/>
  <c r="F211" i="12"/>
  <c r="G210" i="12"/>
  <c r="F210" i="12"/>
  <c r="G209" i="12"/>
  <c r="F209" i="12"/>
  <c r="G208" i="12"/>
  <c r="F208" i="12"/>
  <c r="A208" i="12"/>
  <c r="G207" i="12"/>
  <c r="F207" i="12"/>
  <c r="G206" i="12"/>
  <c r="F206" i="12"/>
  <c r="G205" i="12"/>
  <c r="F205" i="12"/>
  <c r="G204" i="12"/>
  <c r="F204" i="12"/>
  <c r="G203" i="12"/>
  <c r="F203" i="12"/>
  <c r="G202" i="12"/>
  <c r="F202" i="12"/>
  <c r="G201" i="12"/>
  <c r="F201" i="12"/>
  <c r="G200" i="12"/>
  <c r="F200" i="12"/>
  <c r="A200" i="12"/>
  <c r="G199" i="12"/>
  <c r="F199" i="12"/>
  <c r="G198" i="12"/>
  <c r="F198" i="12"/>
  <c r="G197" i="12"/>
  <c r="F197" i="12"/>
  <c r="G196" i="12"/>
  <c r="F196" i="12"/>
  <c r="G195" i="12"/>
  <c r="F195" i="12"/>
  <c r="G194" i="12"/>
  <c r="F194" i="12"/>
  <c r="G193" i="12"/>
  <c r="F193" i="12"/>
  <c r="G192" i="12"/>
  <c r="F192" i="12"/>
  <c r="G191" i="12"/>
  <c r="F191" i="12"/>
  <c r="G190" i="12"/>
  <c r="F190" i="12"/>
  <c r="G189" i="12"/>
  <c r="F189" i="12"/>
  <c r="A189" i="12"/>
  <c r="G188" i="12"/>
  <c r="F188" i="12"/>
  <c r="G187" i="12"/>
  <c r="F187" i="12"/>
  <c r="G186" i="12"/>
  <c r="F186" i="12"/>
  <c r="G185" i="12"/>
  <c r="F185" i="12"/>
  <c r="G184" i="12"/>
  <c r="F184" i="12"/>
  <c r="G183" i="12"/>
  <c r="F183" i="12"/>
  <c r="G182" i="12"/>
  <c r="F182" i="12"/>
  <c r="G181" i="12"/>
  <c r="F181" i="12"/>
  <c r="G180" i="12"/>
  <c r="F180" i="12"/>
  <c r="G179" i="12"/>
  <c r="F179" i="12"/>
  <c r="G178" i="12"/>
  <c r="F178" i="12"/>
  <c r="G177" i="12"/>
  <c r="F177" i="12"/>
  <c r="G176" i="12"/>
  <c r="F176" i="12"/>
  <c r="G175" i="12"/>
  <c r="F175" i="12"/>
  <c r="G174" i="12"/>
  <c r="F174" i="12"/>
  <c r="G173" i="12"/>
  <c r="F173" i="12"/>
  <c r="G172" i="12"/>
  <c r="F172" i="12"/>
  <c r="G171" i="12"/>
  <c r="F171" i="12"/>
  <c r="G170" i="12"/>
  <c r="F170" i="12"/>
  <c r="G169" i="12"/>
  <c r="F169" i="12"/>
  <c r="G168" i="12"/>
  <c r="F168" i="12"/>
  <c r="G167" i="12"/>
  <c r="F167" i="12"/>
  <c r="G166" i="12"/>
  <c r="F166" i="12"/>
  <c r="G165" i="12"/>
  <c r="F165" i="12"/>
  <c r="A165" i="12"/>
  <c r="G164" i="12"/>
  <c r="F164" i="12"/>
  <c r="G163" i="12"/>
  <c r="F163" i="12"/>
  <c r="G162" i="12"/>
  <c r="F162" i="12"/>
  <c r="G161" i="12"/>
  <c r="F161" i="12"/>
  <c r="G160" i="12"/>
  <c r="F160" i="12"/>
  <c r="G159" i="12"/>
  <c r="F159" i="12"/>
  <c r="G158" i="12"/>
  <c r="F158" i="12"/>
  <c r="G157" i="12"/>
  <c r="F157" i="12"/>
  <c r="A157" i="12"/>
  <c r="G156" i="12"/>
  <c r="F156" i="12"/>
  <c r="G155" i="12"/>
  <c r="F155" i="12"/>
  <c r="G154" i="12"/>
  <c r="F154" i="12"/>
  <c r="G153" i="12"/>
  <c r="F153" i="12"/>
  <c r="G152" i="12"/>
  <c r="F152" i="12"/>
  <c r="G151" i="12"/>
  <c r="F151" i="12"/>
  <c r="G150" i="12"/>
  <c r="F150" i="12"/>
  <c r="G149" i="12"/>
  <c r="F149" i="12"/>
  <c r="G148" i="12"/>
  <c r="F148" i="12"/>
  <c r="G147" i="12"/>
  <c r="F147" i="12"/>
  <c r="G146" i="12"/>
  <c r="F146" i="12"/>
  <c r="G145" i="12"/>
  <c r="F145" i="12"/>
  <c r="G144" i="12"/>
  <c r="F144" i="12"/>
  <c r="G143" i="12"/>
  <c r="F143" i="12"/>
  <c r="G142" i="12"/>
  <c r="F142" i="12"/>
  <c r="G141" i="12"/>
  <c r="F141" i="12"/>
  <c r="G140" i="12"/>
  <c r="F140" i="12"/>
  <c r="G139" i="12"/>
  <c r="F139" i="12"/>
  <c r="A139" i="12"/>
  <c r="G138" i="12"/>
  <c r="F138" i="12"/>
  <c r="G137" i="12"/>
  <c r="F137" i="12"/>
  <c r="G136" i="12"/>
  <c r="F136" i="12"/>
  <c r="G135" i="12"/>
  <c r="F135" i="12"/>
  <c r="G134" i="12"/>
  <c r="F134" i="12"/>
  <c r="G133" i="12"/>
  <c r="F133" i="12"/>
  <c r="G132" i="12"/>
  <c r="F132" i="12"/>
  <c r="A132" i="12"/>
  <c r="G131" i="12"/>
  <c r="F131" i="12"/>
  <c r="G130" i="12"/>
  <c r="F130" i="12"/>
  <c r="G129" i="12"/>
  <c r="F129" i="12"/>
  <c r="G128" i="12"/>
  <c r="F128" i="12"/>
  <c r="G127" i="12"/>
  <c r="F127" i="12"/>
  <c r="G126" i="12"/>
  <c r="F126" i="12"/>
  <c r="G125" i="12"/>
  <c r="F125" i="12"/>
  <c r="G124" i="12"/>
  <c r="F124" i="12"/>
  <c r="G123" i="12"/>
  <c r="F123" i="12"/>
  <c r="G122" i="12"/>
  <c r="F122" i="12"/>
  <c r="G121" i="12"/>
  <c r="F121" i="12"/>
  <c r="G120" i="12"/>
  <c r="F120" i="12"/>
  <c r="G119" i="12"/>
  <c r="F119" i="12"/>
  <c r="G118" i="12"/>
  <c r="F118" i="12"/>
  <c r="G117" i="12"/>
  <c r="F117" i="12"/>
  <c r="G116" i="12"/>
  <c r="F116" i="12"/>
  <c r="G115" i="12"/>
  <c r="F115" i="12"/>
  <c r="G114" i="12"/>
  <c r="F114" i="12"/>
  <c r="G113" i="12"/>
  <c r="F113" i="12"/>
  <c r="G112" i="12"/>
  <c r="F112" i="12"/>
  <c r="G111" i="12"/>
  <c r="F111" i="12"/>
  <c r="G110" i="12"/>
  <c r="F110" i="12"/>
  <c r="G109" i="12"/>
  <c r="F109" i="12"/>
  <c r="G108" i="12"/>
  <c r="F108" i="12"/>
  <c r="G107" i="12"/>
  <c r="F107" i="12"/>
  <c r="G106" i="12"/>
  <c r="F106" i="12"/>
  <c r="G105" i="12"/>
  <c r="F105" i="12"/>
  <c r="G104" i="12"/>
  <c r="F104" i="12"/>
  <c r="G103" i="12"/>
  <c r="F103" i="12"/>
  <c r="G102" i="12"/>
  <c r="F102" i="12"/>
  <c r="G101" i="12"/>
  <c r="F101" i="12"/>
  <c r="G100" i="12"/>
  <c r="F100" i="12"/>
  <c r="G99" i="12"/>
  <c r="F99" i="12"/>
  <c r="G98" i="12"/>
  <c r="F98" i="12"/>
  <c r="G97" i="12"/>
  <c r="F97" i="12"/>
  <c r="G96" i="12"/>
  <c r="F96" i="12"/>
  <c r="G95" i="12"/>
  <c r="F95" i="12"/>
  <c r="G94" i="12"/>
  <c r="F94" i="12"/>
  <c r="G93" i="12"/>
  <c r="F93" i="12"/>
  <c r="G92" i="12"/>
  <c r="F92" i="12"/>
  <c r="G91" i="12"/>
  <c r="F91" i="12"/>
  <c r="G90" i="12"/>
  <c r="F90" i="12"/>
  <c r="G89" i="12"/>
  <c r="F89" i="12"/>
  <c r="G88" i="12"/>
  <c r="F88" i="12"/>
  <c r="G87" i="12"/>
  <c r="F87" i="12"/>
  <c r="G86" i="12"/>
  <c r="F86" i="12"/>
  <c r="G85" i="12"/>
  <c r="F85" i="12"/>
  <c r="G84" i="12"/>
  <c r="F84" i="12"/>
  <c r="A84" i="12"/>
  <c r="G83" i="12"/>
  <c r="F83" i="12"/>
  <c r="G82" i="12"/>
  <c r="F82" i="12"/>
  <c r="G81" i="12"/>
  <c r="F81" i="12"/>
  <c r="G80" i="12"/>
  <c r="F80" i="12"/>
  <c r="G79" i="12"/>
  <c r="F79" i="12"/>
  <c r="G78" i="12"/>
  <c r="F78" i="12"/>
  <c r="G77" i="12"/>
  <c r="F77" i="12"/>
  <c r="G76" i="12"/>
  <c r="F76" i="12"/>
  <c r="G75" i="12"/>
  <c r="F75" i="12"/>
  <c r="G74" i="12"/>
  <c r="F74" i="12"/>
  <c r="G73" i="12"/>
  <c r="F73" i="12"/>
  <c r="G72" i="12"/>
  <c r="F72" i="12"/>
  <c r="G71" i="12"/>
  <c r="F71" i="12"/>
  <c r="G70" i="12"/>
  <c r="F70" i="12"/>
  <c r="G69" i="12"/>
  <c r="F69" i="12"/>
  <c r="G68" i="12"/>
  <c r="F68" i="12"/>
  <c r="G67" i="12"/>
  <c r="F67" i="12"/>
  <c r="G66" i="12"/>
  <c r="F66" i="12"/>
  <c r="G65" i="12"/>
  <c r="F65" i="12"/>
  <c r="G64" i="12"/>
  <c r="F64" i="12"/>
  <c r="G63" i="12"/>
  <c r="F63" i="12"/>
  <c r="G62" i="12"/>
  <c r="F62" i="12"/>
  <c r="G61" i="12"/>
  <c r="F61" i="12"/>
  <c r="G60" i="12"/>
  <c r="F60" i="12"/>
  <c r="G59" i="12"/>
  <c r="F59" i="12"/>
  <c r="G58" i="12"/>
  <c r="F58" i="12"/>
  <c r="G57" i="12"/>
  <c r="F57" i="12"/>
  <c r="G56" i="12"/>
  <c r="F56" i="12"/>
  <c r="G55" i="12"/>
  <c r="F55" i="12"/>
  <c r="G54" i="12"/>
  <c r="F54" i="12"/>
  <c r="G53" i="12"/>
  <c r="F53" i="12"/>
  <c r="G52" i="12"/>
  <c r="F52" i="12"/>
  <c r="G51" i="12"/>
  <c r="F51" i="12"/>
  <c r="G50" i="12"/>
  <c r="F50" i="12"/>
  <c r="G49" i="12"/>
  <c r="F49" i="12"/>
  <c r="G48" i="12"/>
  <c r="F48" i="12"/>
  <c r="G47" i="12"/>
  <c r="F47" i="12"/>
  <c r="G46" i="12"/>
  <c r="F46" i="12"/>
  <c r="G45" i="12"/>
  <c r="F45" i="12"/>
  <c r="G44" i="12"/>
  <c r="F44" i="12"/>
  <c r="G43" i="12"/>
  <c r="F43" i="12"/>
  <c r="G42" i="12"/>
  <c r="F42" i="12"/>
  <c r="G41" i="12"/>
  <c r="F41" i="12"/>
  <c r="G40" i="12"/>
  <c r="F40" i="12"/>
  <c r="G39" i="12"/>
  <c r="F39" i="12"/>
  <c r="G38" i="12"/>
  <c r="F38" i="12"/>
  <c r="G37" i="12"/>
  <c r="F37" i="12"/>
  <c r="G36" i="12"/>
  <c r="F36" i="12"/>
  <c r="A36" i="12"/>
  <c r="G35" i="12"/>
  <c r="F35" i="12"/>
  <c r="G34" i="12"/>
  <c r="F34" i="12"/>
  <c r="G33" i="12"/>
  <c r="F33" i="12"/>
  <c r="G32" i="12"/>
  <c r="F32" i="12"/>
  <c r="G31" i="12"/>
  <c r="F31" i="12"/>
  <c r="G30" i="12"/>
  <c r="F30" i="12"/>
  <c r="G29" i="12"/>
  <c r="F29" i="12"/>
  <c r="G28" i="12"/>
  <c r="F28" i="12"/>
  <c r="G27" i="12"/>
  <c r="F27" i="12"/>
  <c r="G26" i="12"/>
  <c r="F26" i="12"/>
  <c r="G25" i="12"/>
  <c r="F25" i="12"/>
  <c r="G24" i="12"/>
  <c r="F24" i="12"/>
  <c r="G23" i="12"/>
  <c r="F23" i="12"/>
  <c r="G22" i="12"/>
  <c r="F22" i="12"/>
  <c r="G21" i="12"/>
  <c r="F21" i="12"/>
  <c r="G20" i="12"/>
  <c r="F20" i="12"/>
  <c r="G19" i="12"/>
  <c r="F19" i="12"/>
  <c r="G18" i="12"/>
  <c r="F18" i="12"/>
  <c r="G17" i="12"/>
  <c r="F17" i="12"/>
  <c r="G16" i="12"/>
  <c r="F16" i="12"/>
  <c r="G15" i="12"/>
  <c r="F15" i="12"/>
  <c r="G14" i="12"/>
  <c r="F14" i="12"/>
  <c r="G13" i="12"/>
  <c r="F13" i="12"/>
  <c r="G12" i="12"/>
  <c r="F12" i="12"/>
  <c r="G11" i="12"/>
  <c r="F11" i="12"/>
  <c r="G10" i="12"/>
  <c r="F10" i="12"/>
  <c r="G9" i="12"/>
  <c r="F9" i="12"/>
  <c r="G8" i="12"/>
  <c r="F8" i="12"/>
  <c r="G7" i="12"/>
  <c r="F7" i="12"/>
  <c r="G6" i="12"/>
  <c r="F6" i="12"/>
  <c r="G5" i="12"/>
  <c r="F5" i="12"/>
  <c r="G4" i="12"/>
  <c r="F4" i="12"/>
  <c r="G3" i="12"/>
  <c r="F3" i="12"/>
  <c r="G2" i="12"/>
  <c r="F2" i="12"/>
  <c r="A2" i="12"/>
</calcChain>
</file>

<file path=xl/connections.xml><?xml version="1.0" encoding="utf-8"?>
<connections xmlns="http://schemas.openxmlformats.org/spreadsheetml/2006/main">
  <connection id="1" name="v2.CountryCodes" type="6" refreshedVersion="4" background="1" saveData="1">
    <textPr sourceFile="C:\Users\Fl0\Desktop\v2.CountryCodes.txt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v2.CountryCodes2" type="6" refreshedVersion="4" background="1" saveData="1">
    <textPr sourceFile="C:\Users\Fl0\Desktop\v2.CountryCodes.txt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<sst xmlns="http://schemas.openxmlformats.org/spreadsheetml/2006/main" count="85077" uniqueCount="13975">
  <si>
    <t>VUT</t>
  </si>
  <si>
    <t>C17247</t>
  </si>
  <si>
    <t>WLF</t>
  </si>
  <si>
    <t>C17259</t>
  </si>
  <si>
    <t>ESH</t>
  </si>
  <si>
    <t>C20113</t>
  </si>
  <si>
    <t>ZWE</t>
  </si>
  <si>
    <t>C17268</t>
  </si>
  <si>
    <t>ZMB</t>
  </si>
  <si>
    <t>C17267</t>
  </si>
  <si>
    <t>YEM</t>
  </si>
  <si>
    <t>C17264</t>
  </si>
  <si>
    <t>C17130</t>
  </si>
  <si>
    <t>SXM</t>
  </si>
  <si>
    <t>C101226</t>
  </si>
  <si>
    <t>SGP</t>
  </si>
  <si>
    <t>C17134</t>
  </si>
  <si>
    <t>SOM</t>
  </si>
  <si>
    <t>C17149</t>
  </si>
  <si>
    <t>SLB</t>
  </si>
  <si>
    <t>C17148</t>
  </si>
  <si>
    <t>SVK</t>
  </si>
  <si>
    <t>C17669</t>
  </si>
  <si>
    <t>SVN</t>
  </si>
  <si>
    <t>C17138</t>
  </si>
  <si>
    <t>SSD</t>
  </si>
  <si>
    <t>C97351</t>
  </si>
  <si>
    <t>LKA</t>
  </si>
  <si>
    <t>C17163</t>
  </si>
  <si>
    <t>SGS</t>
  </si>
  <si>
    <t>C20111</t>
  </si>
  <si>
    <t>KOR</t>
  </si>
  <si>
    <t>C16774</t>
  </si>
  <si>
    <t>ESP</t>
  </si>
  <si>
    <t>C17152</t>
  </si>
  <si>
    <t>ZAF</t>
  </si>
  <si>
    <t>C17151</t>
  </si>
  <si>
    <t>SDN</t>
  </si>
  <si>
    <t>C17170</t>
  </si>
  <si>
    <t>SYR</t>
  </si>
  <si>
    <t>C17182</t>
  </si>
  <si>
    <t>SWE</t>
  </si>
  <si>
    <t>C17180</t>
  </si>
  <si>
    <t>SUR</t>
  </si>
  <si>
    <t>C17175</t>
  </si>
  <si>
    <t>SJM</t>
  </si>
  <si>
    <t>C17178</t>
  </si>
  <si>
    <t>SWZ</t>
  </si>
  <si>
    <t>C17179</t>
  </si>
  <si>
    <t>CHE</t>
  </si>
  <si>
    <t>C17181</t>
  </si>
  <si>
    <t>TZA</t>
  </si>
  <si>
    <t>C17185</t>
  </si>
  <si>
    <t>TWN</t>
  </si>
  <si>
    <t>C17184</t>
  </si>
  <si>
    <t>TJK</t>
  </si>
  <si>
    <t>C17183</t>
  </si>
  <si>
    <t>THA</t>
  </si>
  <si>
    <t>C17192</t>
  </si>
  <si>
    <t>MKD</t>
  </si>
  <si>
    <t>C17654</t>
  </si>
  <si>
    <t>TKL</t>
  </si>
  <si>
    <t>C17704</t>
  </si>
  <si>
    <t>TON</t>
  </si>
  <si>
    <t>C17205</t>
  </si>
  <si>
    <t>TGO</t>
  </si>
  <si>
    <t>C17202</t>
  </si>
  <si>
    <t>TUR</t>
  </si>
  <si>
    <t>C17222</t>
  </si>
  <si>
    <t>TUV</t>
  </si>
  <si>
    <t>C17225</t>
  </si>
  <si>
    <t>TCA</t>
  </si>
  <si>
    <t>C17224</t>
  </si>
  <si>
    <t>TUN</t>
  </si>
  <si>
    <t>C17221</t>
  </si>
  <si>
    <t>TKM</t>
  </si>
  <si>
    <t>C17223</t>
  </si>
  <si>
    <t>TTO</t>
  </si>
  <si>
    <t>C17217</t>
  </si>
  <si>
    <t>UGA</t>
  </si>
  <si>
    <t>C17228</t>
  </si>
  <si>
    <t>GBR</t>
  </si>
  <si>
    <t>C17233</t>
  </si>
  <si>
    <t>VIR</t>
  </si>
  <si>
    <t>C17255</t>
  </si>
  <si>
    <t>ARE</t>
  </si>
  <si>
    <t>C17232</t>
  </si>
  <si>
    <t>USA</t>
  </si>
  <si>
    <t>C17234</t>
  </si>
  <si>
    <t>UMI</t>
  </si>
  <si>
    <t>C20112</t>
  </si>
  <si>
    <t>UKR</t>
  </si>
  <si>
    <t>C17229</t>
  </si>
  <si>
    <t>URY</t>
  </si>
  <si>
    <t>C17244</t>
  </si>
  <si>
    <t>UZB</t>
  </si>
  <si>
    <t>C17246</t>
  </si>
  <si>
    <t>VAT</t>
  </si>
  <si>
    <t>C17249</t>
  </si>
  <si>
    <t>VNM</t>
  </si>
  <si>
    <t>C17252</t>
  </si>
  <si>
    <t>VEN</t>
  </si>
  <si>
    <t>C17250</t>
  </si>
  <si>
    <t>C16876</t>
  </si>
  <si>
    <t>MMR</t>
  </si>
  <si>
    <t>C16370</t>
  </si>
  <si>
    <t>NAM</t>
  </si>
  <si>
    <t>C16891</t>
  </si>
  <si>
    <t>NLD</t>
  </si>
  <si>
    <t>C16903</t>
  </si>
  <si>
    <t>NPL</t>
  </si>
  <si>
    <t>C16901</t>
  </si>
  <si>
    <t>NRU</t>
  </si>
  <si>
    <t>C16896</t>
  </si>
  <si>
    <t>NZL</t>
  </si>
  <si>
    <t>C16914</t>
  </si>
  <si>
    <t>NGA</t>
  </si>
  <si>
    <t>C16917</t>
  </si>
  <si>
    <t>NIC</t>
  </si>
  <si>
    <t>C16915</t>
  </si>
  <si>
    <t>NIU</t>
  </si>
  <si>
    <t>C16918</t>
  </si>
  <si>
    <t>NCL</t>
  </si>
  <si>
    <t>C16913</t>
  </si>
  <si>
    <t>NER</t>
  </si>
  <si>
    <t>C16916</t>
  </si>
  <si>
    <t>PRK</t>
  </si>
  <si>
    <t>C16773</t>
  </si>
  <si>
    <t>NOR</t>
  </si>
  <si>
    <t>C16920</t>
  </si>
  <si>
    <t>MNP</t>
  </si>
  <si>
    <t>C17882</t>
  </si>
  <si>
    <t>NFK</t>
  </si>
  <si>
    <t>C16919</t>
  </si>
  <si>
    <t>OMN</t>
  </si>
  <si>
    <t>C16933</t>
  </si>
  <si>
    <t>PNG</t>
  </si>
  <si>
    <t>C16952</t>
  </si>
  <si>
    <t>PRY</t>
  </si>
  <si>
    <t>C16953</t>
  </si>
  <si>
    <t>PAN</t>
  </si>
  <si>
    <t>C16951</t>
  </si>
  <si>
    <t>PAK</t>
  </si>
  <si>
    <t>C16949</t>
  </si>
  <si>
    <t>PSE</t>
  </si>
  <si>
    <t>C20110</t>
  </si>
  <si>
    <t>PLW</t>
  </si>
  <si>
    <t>C17733</t>
  </si>
  <si>
    <t>PER</t>
  </si>
  <si>
    <t>C16972</t>
  </si>
  <si>
    <t>PCN</t>
  </si>
  <si>
    <t>C16993</t>
  </si>
  <si>
    <t>PHL</t>
  </si>
  <si>
    <t>C16978</t>
  </si>
  <si>
    <t>PRT</t>
  </si>
  <si>
    <t>C17006</t>
  </si>
  <si>
    <t>POL</t>
  </si>
  <si>
    <t>C17002</t>
  </si>
  <si>
    <t>QAT</t>
  </si>
  <si>
    <t>C17045</t>
  </si>
  <si>
    <t>PRI</t>
  </si>
  <si>
    <t>C17043</t>
  </si>
  <si>
    <t>REU</t>
  </si>
  <si>
    <t>C17095</t>
  </si>
  <si>
    <t>ROU</t>
  </si>
  <si>
    <t>C17108</t>
  </si>
  <si>
    <t>RWA</t>
  </si>
  <si>
    <t>C17112</t>
  </si>
  <si>
    <t>RUS</t>
  </si>
  <si>
    <t>C17111</t>
  </si>
  <si>
    <t>KNA</t>
  </si>
  <si>
    <t>C17885</t>
  </si>
  <si>
    <t>MAF</t>
  </si>
  <si>
    <t>C83610</t>
  </si>
  <si>
    <t>LCA</t>
  </si>
  <si>
    <t>C17113</t>
  </si>
  <si>
    <t>SHN</t>
  </si>
  <si>
    <t>C17164</t>
  </si>
  <si>
    <t>BLM</t>
  </si>
  <si>
    <t>C83609</t>
  </si>
  <si>
    <t>SPM</t>
  </si>
  <si>
    <t>C17165</t>
  </si>
  <si>
    <t>VCT</t>
  </si>
  <si>
    <t>C17114</t>
  </si>
  <si>
    <t>STP</t>
  </si>
  <si>
    <t>C17116</t>
  </si>
  <si>
    <t>SAU</t>
  </si>
  <si>
    <t>C17117</t>
  </si>
  <si>
    <t>WSM</t>
  </si>
  <si>
    <t>C17740</t>
  </si>
  <si>
    <t>SMR</t>
  </si>
  <si>
    <t>C17115</t>
  </si>
  <si>
    <t>SEN</t>
  </si>
  <si>
    <t>C17121</t>
  </si>
  <si>
    <t>SRB</t>
  </si>
  <si>
    <t>C64377</t>
  </si>
  <si>
    <t>SYC</t>
  </si>
  <si>
    <t>C17129</t>
  </si>
  <si>
    <t>SLE</t>
  </si>
  <si>
    <t>C16646</t>
  </si>
  <si>
    <t>HTI</t>
  </si>
  <si>
    <t>C16660</t>
  </si>
  <si>
    <t>HMD</t>
  </si>
  <si>
    <t>C20106</t>
  </si>
  <si>
    <t>HKG</t>
  </si>
  <si>
    <t>C16695</t>
  </si>
  <si>
    <t>HND</t>
  </si>
  <si>
    <t>C16694</t>
  </si>
  <si>
    <t>HUN</t>
  </si>
  <si>
    <t>C16699</t>
  </si>
  <si>
    <t>ISL</t>
  </si>
  <si>
    <t>C16704</t>
  </si>
  <si>
    <t>IND</t>
  </si>
  <si>
    <t>C16727</t>
  </si>
  <si>
    <t>IDN</t>
  </si>
  <si>
    <t>C16728</t>
  </si>
  <si>
    <t>ITA</t>
  </si>
  <si>
    <t>C16761</t>
  </si>
  <si>
    <t>IRL</t>
  </si>
  <si>
    <t>C16757</t>
  </si>
  <si>
    <t>IRN</t>
  </si>
  <si>
    <t>C16755</t>
  </si>
  <si>
    <t>IMN</t>
  </si>
  <si>
    <t>C44480</t>
  </si>
  <si>
    <t>ISR</t>
  </si>
  <si>
    <t>C16760</t>
  </si>
  <si>
    <t>IRQ</t>
  </si>
  <si>
    <t>C16756</t>
  </si>
  <si>
    <t>KAZ</t>
  </si>
  <si>
    <t>C20107</t>
  </si>
  <si>
    <t>JPN</t>
  </si>
  <si>
    <t>C16764</t>
  </si>
  <si>
    <t>KEN</t>
  </si>
  <si>
    <t>C16769</t>
  </si>
  <si>
    <t>JAM</t>
  </si>
  <si>
    <t>C16763</t>
  </si>
  <si>
    <t>JOR</t>
  </si>
  <si>
    <t>C16765</t>
  </si>
  <si>
    <t>C64374</t>
  </si>
  <si>
    <t>KWT</t>
  </si>
  <si>
    <t>C16775</t>
  </si>
  <si>
    <t>KIR</t>
  </si>
  <si>
    <t>C16639</t>
  </si>
  <si>
    <t>KGZ</t>
  </si>
  <si>
    <t>C16771</t>
  </si>
  <si>
    <t>LAO</t>
  </si>
  <si>
    <t>C16780</t>
  </si>
  <si>
    <t>LVA</t>
  </si>
  <si>
    <t>C16783</t>
  </si>
  <si>
    <t>LBN</t>
  </si>
  <si>
    <t>C16784</t>
  </si>
  <si>
    <t>LSO</t>
  </si>
  <si>
    <t>C16787</t>
  </si>
  <si>
    <t>LTU</t>
  </si>
  <si>
    <t>C16799</t>
  </si>
  <si>
    <t>LIE</t>
  </si>
  <si>
    <t>C16794</t>
  </si>
  <si>
    <t>LBR</t>
  </si>
  <si>
    <t>C16791</t>
  </si>
  <si>
    <t>LBY</t>
  </si>
  <si>
    <t>C16793</t>
  </si>
  <si>
    <t>LUX</t>
  </si>
  <si>
    <t>C16803</t>
  </si>
  <si>
    <t>MWI</t>
  </si>
  <si>
    <t>C16813</t>
  </si>
  <si>
    <t>MYS</t>
  </si>
  <si>
    <t>C16814</t>
  </si>
  <si>
    <t>MDG</t>
  </si>
  <si>
    <t>C16808</t>
  </si>
  <si>
    <t>MDV</t>
  </si>
  <si>
    <t>C16815</t>
  </si>
  <si>
    <t>MAC</t>
  </si>
  <si>
    <t>C16807</t>
  </si>
  <si>
    <t>MTQ</t>
  </si>
  <si>
    <t>C16823</t>
  </si>
  <si>
    <t>MLT</t>
  </si>
  <si>
    <t>C16817</t>
  </si>
  <si>
    <t>MHL</t>
  </si>
  <si>
    <t>C16822</t>
  </si>
  <si>
    <t>MLI</t>
  </si>
  <si>
    <t>C16816</t>
  </si>
  <si>
    <t>MUS</t>
  </si>
  <si>
    <t>C16827</t>
  </si>
  <si>
    <t>MYT</t>
  </si>
  <si>
    <t>C16828</t>
  </si>
  <si>
    <t>MRT</t>
  </si>
  <si>
    <t>C16826</t>
  </si>
  <si>
    <t>MEX</t>
  </si>
  <si>
    <t>C16850</t>
  </si>
  <si>
    <t>MDA</t>
  </si>
  <si>
    <t>C16871</t>
  </si>
  <si>
    <t>MNG</t>
  </si>
  <si>
    <t>C16875</t>
  </si>
  <si>
    <t>MCO</t>
  </si>
  <si>
    <t>C16874</t>
  </si>
  <si>
    <t>MOZ</t>
  </si>
  <si>
    <t>C16882</t>
  </si>
  <si>
    <t>MAR</t>
  </si>
  <si>
    <t>C16878</t>
  </si>
  <si>
    <t>MNE</t>
  </si>
  <si>
    <t>C64378</t>
  </si>
  <si>
    <t>MSR</t>
  </si>
  <si>
    <t>COL</t>
  </si>
  <si>
    <t>C16449</t>
  </si>
  <si>
    <t>CCK</t>
  </si>
  <si>
    <t>C16445</t>
  </si>
  <si>
    <t>COG</t>
  </si>
  <si>
    <t>C16467</t>
  </si>
  <si>
    <t>COM</t>
  </si>
  <si>
    <t>C16458</t>
  </si>
  <si>
    <t>CUB</t>
  </si>
  <si>
    <t>C16477</t>
  </si>
  <si>
    <t>COK</t>
  </si>
  <si>
    <t>C16469</t>
  </si>
  <si>
    <t>CIV</t>
  </si>
  <si>
    <t>C16762</t>
  </si>
  <si>
    <t>CRI</t>
  </si>
  <si>
    <t>C16470</t>
  </si>
  <si>
    <t>HRV</t>
  </si>
  <si>
    <t>C16474</t>
  </si>
  <si>
    <t>CUW</t>
  </si>
  <si>
    <t>C101225</t>
  </si>
  <si>
    <t>CYP</t>
  </si>
  <si>
    <t>C16480</t>
  </si>
  <si>
    <t>CZE</t>
  </si>
  <si>
    <t>C17668</t>
  </si>
  <si>
    <t>DNK</t>
  </si>
  <si>
    <t>C16496</t>
  </si>
  <si>
    <t>COD</t>
  </si>
  <si>
    <t>C17266</t>
  </si>
  <si>
    <t>DMA</t>
  </si>
  <si>
    <t>C16519</t>
  </si>
  <si>
    <t>DJI</t>
  </si>
  <si>
    <t>C16506</t>
  </si>
  <si>
    <t>DOM</t>
  </si>
  <si>
    <t>C16520</t>
  </si>
  <si>
    <t>ECU</t>
  </si>
  <si>
    <t>C16528</t>
  </si>
  <si>
    <t>SLV</t>
  </si>
  <si>
    <t>C16532</t>
  </si>
  <si>
    <t>EGY</t>
  </si>
  <si>
    <t>C16530</t>
  </si>
  <si>
    <t>TLS</t>
  </si>
  <si>
    <t>C17200</t>
  </si>
  <si>
    <t>EST</t>
  </si>
  <si>
    <t>C16562</t>
  </si>
  <si>
    <t>ETH</t>
  </si>
  <si>
    <t>C16563</t>
  </si>
  <si>
    <t>GNQ</t>
  </si>
  <si>
    <t>C16557</t>
  </si>
  <si>
    <t>ERI</t>
  </si>
  <si>
    <t>C16558</t>
  </si>
  <si>
    <t>FLK</t>
  </si>
  <si>
    <t>C17954</t>
  </si>
  <si>
    <t>FRO</t>
  </si>
  <si>
    <t>C16573</t>
  </si>
  <si>
    <t>FJI</t>
  </si>
  <si>
    <t>C16582</t>
  </si>
  <si>
    <t>FIN</t>
  </si>
  <si>
    <t>C16584</t>
  </si>
  <si>
    <t>FSM</t>
  </si>
  <si>
    <t>C17881</t>
  </si>
  <si>
    <t>GUF</t>
  </si>
  <si>
    <t>C16593</t>
  </si>
  <si>
    <t>ATF</t>
  </si>
  <si>
    <t>C20105</t>
  </si>
  <si>
    <t>FRA</t>
  </si>
  <si>
    <t>C16592</t>
  </si>
  <si>
    <t>PYF</t>
  </si>
  <si>
    <t>C16594</t>
  </si>
  <si>
    <t>GMB</t>
  </si>
  <si>
    <t>C16598</t>
  </si>
  <si>
    <t>GAB</t>
  </si>
  <si>
    <t>C16596</t>
  </si>
  <si>
    <t>DEU</t>
  </si>
  <si>
    <t>C16636</t>
  </si>
  <si>
    <t>GEO</t>
  </si>
  <si>
    <t>C16634</t>
  </si>
  <si>
    <t>GIB</t>
  </si>
  <si>
    <t>C16638</t>
  </si>
  <si>
    <t>GHA</t>
  </si>
  <si>
    <t>C26330</t>
  </si>
  <si>
    <t>GUY</t>
  </si>
  <si>
    <t>C16657</t>
  </si>
  <si>
    <t>GNB</t>
  </si>
  <si>
    <t>C16656</t>
  </si>
  <si>
    <t>GLP</t>
  </si>
  <si>
    <t>C16651</t>
  </si>
  <si>
    <t>GIN</t>
  </si>
  <si>
    <t>C16655</t>
  </si>
  <si>
    <t>GRC</t>
  </si>
  <si>
    <t>C16645</t>
  </si>
  <si>
    <t>GGY</t>
  </si>
  <si>
    <t>C64375</t>
  </si>
  <si>
    <t>GRD</t>
  </si>
  <si>
    <t>C16647</t>
  </si>
  <si>
    <t>GTM</t>
  </si>
  <si>
    <t>C16654</t>
  </si>
  <si>
    <t>GUM</t>
  </si>
  <si>
    <t>C16652</t>
  </si>
  <si>
    <t>GRL</t>
  </si>
  <si>
    <t>ALA</t>
  </si>
  <si>
    <t>C44481</t>
  </si>
  <si>
    <t>ALB</t>
  </si>
  <si>
    <t>C16271</t>
  </si>
  <si>
    <t>AFG</t>
  </si>
  <si>
    <t>C16267</t>
  </si>
  <si>
    <t>DZA</t>
  </si>
  <si>
    <t>C16274</t>
  </si>
  <si>
    <t>ASM</t>
  </si>
  <si>
    <t>C17739</t>
  </si>
  <si>
    <t>AIA</t>
  </si>
  <si>
    <t>C20133</t>
  </si>
  <si>
    <t>AND</t>
  </si>
  <si>
    <t>C16289</t>
  </si>
  <si>
    <t>AGO</t>
  </si>
  <si>
    <t>C16292</t>
  </si>
  <si>
    <t>ATA</t>
  </si>
  <si>
    <t>C18007</t>
  </si>
  <si>
    <t>ARG</t>
  </si>
  <si>
    <t>C16305</t>
  </si>
  <si>
    <t>ATG</t>
  </si>
  <si>
    <t>C16303</t>
  </si>
  <si>
    <t>ABW</t>
  </si>
  <si>
    <t>C17884</t>
  </si>
  <si>
    <t>AUS</t>
  </si>
  <si>
    <t>C16311</t>
  </si>
  <si>
    <t>AUT</t>
  </si>
  <si>
    <t>C16312</t>
  </si>
  <si>
    <t>ARM</t>
  </si>
  <si>
    <t>C16306</t>
  </si>
  <si>
    <t>AZE</t>
  </si>
  <si>
    <t>C16316</t>
  </si>
  <si>
    <t>BEL</t>
  </si>
  <si>
    <t>C16329</t>
  </si>
  <si>
    <t>BRB</t>
  </si>
  <si>
    <t>C16324</t>
  </si>
  <si>
    <t>BLR</t>
  </si>
  <si>
    <t>C16372</t>
  </si>
  <si>
    <t>BHS</t>
  </si>
  <si>
    <t>C16321</t>
  </si>
  <si>
    <t>BGD</t>
  </si>
  <si>
    <t>C16323</t>
  </si>
  <si>
    <t>BLZ</t>
  </si>
  <si>
    <t>C16331</t>
  </si>
  <si>
    <t>BHR</t>
  </si>
  <si>
    <t>C16322</t>
  </si>
  <si>
    <t>BEN</t>
  </si>
  <si>
    <t>C16333</t>
  </si>
  <si>
    <t>BMU</t>
  </si>
  <si>
    <t>C16334</t>
  </si>
  <si>
    <t>BTN</t>
  </si>
  <si>
    <t>C16336</t>
  </si>
  <si>
    <t>BES</t>
  </si>
  <si>
    <t>C101224</t>
  </si>
  <si>
    <t>BOL</t>
  </si>
  <si>
    <t>C16359</t>
  </si>
  <si>
    <t>VGB</t>
  </si>
  <si>
    <t>C17653</t>
  </si>
  <si>
    <t>BRN</t>
  </si>
  <si>
    <t>C16367</t>
  </si>
  <si>
    <t>BWA</t>
  </si>
  <si>
    <t>C16363</t>
  </si>
  <si>
    <t>BVT</t>
  </si>
  <si>
    <t>C20104</t>
  </si>
  <si>
    <t>IOT</t>
  </si>
  <si>
    <t>C16365</t>
  </si>
  <si>
    <t>BIH</t>
  </si>
  <si>
    <t>C16361</t>
  </si>
  <si>
    <t>BRA</t>
  </si>
  <si>
    <t>C16364</t>
  </si>
  <si>
    <t>BGR</t>
  </si>
  <si>
    <t>C16368</t>
  </si>
  <si>
    <t>BDI</t>
  </si>
  <si>
    <t>C16371</t>
  </si>
  <si>
    <t>BFA</t>
  </si>
  <si>
    <t>C16369</t>
  </si>
  <si>
    <t>CMR</t>
  </si>
  <si>
    <t>C16379</t>
  </si>
  <si>
    <t>CPV</t>
  </si>
  <si>
    <t>C16382</t>
  </si>
  <si>
    <t>KHM</t>
  </si>
  <si>
    <t>C16378</t>
  </si>
  <si>
    <t>CAN</t>
  </si>
  <si>
    <t>C16380</t>
  </si>
  <si>
    <t>CYM</t>
  </si>
  <si>
    <t>C16391</t>
  </si>
  <si>
    <t>TCD</t>
  </si>
  <si>
    <t>C16412</t>
  </si>
  <si>
    <t>CAF</t>
  </si>
  <si>
    <t>C16409</t>
  </si>
  <si>
    <t>CXR</t>
  </si>
  <si>
    <t>C44482</t>
  </si>
  <si>
    <t>CHL</t>
  </si>
  <si>
    <t>C16427</t>
  </si>
  <si>
    <t>CHN</t>
  </si>
  <si>
    <t>C16428</t>
  </si>
  <si>
    <t>Numeric Code</t>
  </si>
  <si>
    <t>Name</t>
  </si>
  <si>
    <t>AF</t>
  </si>
  <si>
    <t>AFGHANISTAN</t>
  </si>
  <si>
    <t>XQZ</t>
  </si>
  <si>
    <t>QZ</t>
  </si>
  <si>
    <t>AKROTIRI</t>
  </si>
  <si>
    <t>AL</t>
  </si>
  <si>
    <t>ALBANIA</t>
  </si>
  <si>
    <t>DZ</t>
  </si>
  <si>
    <t>ALGERIA</t>
  </si>
  <si>
    <t>AS</t>
  </si>
  <si>
    <t>AMERICAN SAMOA</t>
  </si>
  <si>
    <t>AD</t>
  </si>
  <si>
    <t>ANDORRA</t>
  </si>
  <si>
    <t>AO</t>
  </si>
  <si>
    <t>ANGOLA</t>
  </si>
  <si>
    <t>AI</t>
  </si>
  <si>
    <t>ANGUILLA</t>
  </si>
  <si>
    <t>AQ</t>
  </si>
  <si>
    <t>ANTARCTICA</t>
  </si>
  <si>
    <t>AG</t>
  </si>
  <si>
    <t>ANTIGUA AND BARBUDA</t>
  </si>
  <si>
    <t>AR</t>
  </si>
  <si>
    <t>ARGENTINA</t>
  </si>
  <si>
    <t>AM</t>
  </si>
  <si>
    <t>ARMENIA</t>
  </si>
  <si>
    <t>AW</t>
  </si>
  <si>
    <t>ARUBA</t>
  </si>
  <si>
    <t>XAC</t>
  </si>
  <si>
    <t>XA</t>
  </si>
  <si>
    <t>ASHMORE AND CARTIER ISLANDS</t>
  </si>
  <si>
    <t>AU</t>
  </si>
  <si>
    <t>AUSTRALIA</t>
  </si>
  <si>
    <t>AT</t>
  </si>
  <si>
    <t>AUSTRIA</t>
  </si>
  <si>
    <t>AZ</t>
  </si>
  <si>
    <t>AZERBAIJAN</t>
  </si>
  <si>
    <t>BS</t>
  </si>
  <si>
    <t>BAHAMAS, THE</t>
  </si>
  <si>
    <t>BH</t>
  </si>
  <si>
    <t>BAHRAIN</t>
  </si>
  <si>
    <t>XBK</t>
  </si>
  <si>
    <t>XB</t>
  </si>
  <si>
    <t>BAKER ISLAND</t>
  </si>
  <si>
    <t>BD</t>
  </si>
  <si>
    <t>BANGLADESH</t>
  </si>
  <si>
    <t>BB</t>
  </si>
  <si>
    <t>BARBADOS</t>
  </si>
  <si>
    <t>XBI</t>
  </si>
  <si>
    <t>QS</t>
  </si>
  <si>
    <t>BASSAS DA INDIA</t>
  </si>
  <si>
    <t>BY</t>
  </si>
  <si>
    <t>BELARUS</t>
  </si>
  <si>
    <t>BE</t>
  </si>
  <si>
    <t>BELGIUM</t>
  </si>
  <si>
    <t>BZ</t>
  </si>
  <si>
    <t>BELIZE</t>
  </si>
  <si>
    <t>BJ</t>
  </si>
  <si>
    <t>BENIN</t>
  </si>
  <si>
    <t>BM</t>
  </si>
  <si>
    <t>BERMUDA</t>
  </si>
  <si>
    <t>BT</t>
  </si>
  <si>
    <t>BHUTAN</t>
  </si>
  <si>
    <t>BO</t>
  </si>
  <si>
    <t>BOLIVIA</t>
  </si>
  <si>
    <t>BQ</t>
  </si>
  <si>
    <t>BONAIRE, SINT EUSTATIUS, AND SABA</t>
  </si>
  <si>
    <t>BA</t>
  </si>
  <si>
    <t>BOSNIA AND HERZEGOVINA</t>
  </si>
  <si>
    <t>BW</t>
  </si>
  <si>
    <t>BOTSWANA</t>
  </si>
  <si>
    <t>BV</t>
  </si>
  <si>
    <t>BOUVET ISLAND</t>
  </si>
  <si>
    <t>BR</t>
  </si>
  <si>
    <t>BRAZIL</t>
  </si>
  <si>
    <t>IO</t>
  </si>
  <si>
    <t>BRITISH INDIAN OCEAN TERRITORY</t>
  </si>
  <si>
    <t>BN</t>
  </si>
  <si>
    <t>BRUNEI</t>
  </si>
  <si>
    <t>BG</t>
  </si>
  <si>
    <t>BULGARIA</t>
  </si>
  <si>
    <t>BF</t>
  </si>
  <si>
    <t>BURKINA FASO</t>
  </si>
  <si>
    <t>MM</t>
  </si>
  <si>
    <t>BURMA</t>
  </si>
  <si>
    <t>BI</t>
  </si>
  <si>
    <t>BURUNDI</t>
  </si>
  <si>
    <t>KH</t>
  </si>
  <si>
    <t>CAMBODIA</t>
  </si>
  <si>
    <t>CM</t>
  </si>
  <si>
    <t>CAMEROON</t>
  </si>
  <si>
    <t>CA</t>
  </si>
  <si>
    <t>CANADA</t>
  </si>
  <si>
    <t>CV</t>
  </si>
  <si>
    <t>KY</t>
  </si>
  <si>
    <t>CAYMAN ISLANDS</t>
  </si>
  <si>
    <t>CF</t>
  </si>
  <si>
    <t>CENTRAL AFRICAN REPUBLIC</t>
  </si>
  <si>
    <t>TD</t>
  </si>
  <si>
    <t>CHAD</t>
  </si>
  <si>
    <t>CL</t>
  </si>
  <si>
    <t>CHILE</t>
  </si>
  <si>
    <t>CN</t>
  </si>
  <si>
    <t>CHINA</t>
  </si>
  <si>
    <t>CX</t>
  </si>
  <si>
    <t>CHRISTMAS ISLAND</t>
  </si>
  <si>
    <t>CPT</t>
  </si>
  <si>
    <t>CP</t>
  </si>
  <si>
    <t>CLIPPERTON ISLAND</t>
  </si>
  <si>
    <t>CC</t>
  </si>
  <si>
    <t>COCOS (KEELING) ISLANDS</t>
  </si>
  <si>
    <t>CO</t>
  </si>
  <si>
    <t>COLOMBIA</t>
  </si>
  <si>
    <t>KM</t>
  </si>
  <si>
    <t>COMOROS</t>
  </si>
  <si>
    <t>CG</t>
  </si>
  <si>
    <t>CONGO (BRAZZAVILLE)</t>
  </si>
  <si>
    <t>CD</t>
  </si>
  <si>
    <t>CONGO (KINSHASA)</t>
  </si>
  <si>
    <t>CK</t>
  </si>
  <si>
    <t>COOK ISLANDS</t>
  </si>
  <si>
    <t>XCS</t>
  </si>
  <si>
    <t>XC</t>
  </si>
  <si>
    <t>CORAL SEA ISLANDS</t>
  </si>
  <si>
    <t>CR</t>
  </si>
  <si>
    <t>COSTA RICA</t>
  </si>
  <si>
    <t>CI</t>
  </si>
  <si>
    <t>HR</t>
  </si>
  <si>
    <t>CROATIA</t>
  </si>
  <si>
    <t>CU</t>
  </si>
  <si>
    <t>CUBA</t>
  </si>
  <si>
    <t>CW</t>
  </si>
  <si>
    <t>CURAÇAO</t>
  </si>
  <si>
    <t>CY</t>
  </si>
  <si>
    <t>CYPRUS</t>
  </si>
  <si>
    <t>CZ</t>
  </si>
  <si>
    <t>CZECH REPUBLIC</t>
  </si>
  <si>
    <t>DK</t>
  </si>
  <si>
    <t>DENMARK</t>
  </si>
  <si>
    <t>XXD</t>
  </si>
  <si>
    <t>XD</t>
  </si>
  <si>
    <t>DHEKELIA</t>
  </si>
  <si>
    <t>DGA</t>
  </si>
  <si>
    <t>DG</t>
  </si>
  <si>
    <t>DIEGO GARCIA</t>
  </si>
  <si>
    <t>DJ</t>
  </si>
  <si>
    <t>DJIBOUTI</t>
  </si>
  <si>
    <t>DM</t>
  </si>
  <si>
    <t>DOMINICA</t>
  </si>
  <si>
    <t>DO</t>
  </si>
  <si>
    <t>DOMINICAN REPUBLIC</t>
  </si>
  <si>
    <t>EC</t>
  </si>
  <si>
    <t>ECUADOR</t>
  </si>
  <si>
    <t>EG</t>
  </si>
  <si>
    <t>EGYPT</t>
  </si>
  <si>
    <t>SV</t>
  </si>
  <si>
    <t>EL SALVADOR</t>
  </si>
  <si>
    <t>XAZ</t>
  </si>
  <si>
    <t>ENTITY 1</t>
  </si>
  <si>
    <t>XCR</t>
  </si>
  <si>
    <t>ENTITY 2</t>
  </si>
  <si>
    <t>XCY</t>
  </si>
  <si>
    <t>ENTITY 3</t>
  </si>
  <si>
    <t>XKM</t>
  </si>
  <si>
    <t>ENTITY 4</t>
  </si>
  <si>
    <t>XKN</t>
  </si>
  <si>
    <t>ENTITY 5</t>
  </si>
  <si>
    <t>GQ</t>
  </si>
  <si>
    <t>EQUATORIAL GUINEA</t>
  </si>
  <si>
    <t>ER</t>
  </si>
  <si>
    <t>ERITREA</t>
  </si>
  <si>
    <t>EE</t>
  </si>
  <si>
    <t>ESTONIA</t>
  </si>
  <si>
    <t>ET</t>
  </si>
  <si>
    <t>ETHIOPIA</t>
  </si>
  <si>
    <t>XEU</t>
  </si>
  <si>
    <t>XE</t>
  </si>
  <si>
    <t>EUROPA ISLAND</t>
  </si>
  <si>
    <t>FK</t>
  </si>
  <si>
    <t>FALKLAND ISLANDS (ISLAS MALVINAS)</t>
  </si>
  <si>
    <t>FO</t>
  </si>
  <si>
    <t>FAROE ISLANDS</t>
  </si>
  <si>
    <t>FJ</t>
  </si>
  <si>
    <t>FIJI</t>
  </si>
  <si>
    <t>FI</t>
  </si>
  <si>
    <t>FINLAND</t>
  </si>
  <si>
    <t>FR</t>
  </si>
  <si>
    <t>FRANCE</t>
  </si>
  <si>
    <t>GF</t>
  </si>
  <si>
    <t>FRENCH GUIANA</t>
  </si>
  <si>
    <t>PF</t>
  </si>
  <si>
    <t>FRENCH POLYNESIA</t>
  </si>
  <si>
    <t>TF</t>
  </si>
  <si>
    <t>FRENCH SOUTHERN AND ANTARCTIC LANDS</t>
  </si>
  <si>
    <t>GA</t>
  </si>
  <si>
    <t>GABON</t>
  </si>
  <si>
    <t>GM</t>
  </si>
  <si>
    <t>GAMBIA, THE</t>
  </si>
  <si>
    <t>XGZ</t>
  </si>
  <si>
    <t>XG</t>
  </si>
  <si>
    <t>GAZA STRIP</t>
  </si>
  <si>
    <t>GE</t>
  </si>
  <si>
    <t>GEORGIA</t>
  </si>
  <si>
    <t>DE</t>
  </si>
  <si>
    <t>GERMANY</t>
  </si>
  <si>
    <t>GH</t>
  </si>
  <si>
    <t>GHANA</t>
  </si>
  <si>
    <t>GI</t>
  </si>
  <si>
    <t>GIBRALTAR</t>
  </si>
  <si>
    <t>XGL</t>
  </si>
  <si>
    <t>QX</t>
  </si>
  <si>
    <t>GLORIOSO ISLANDS</t>
  </si>
  <si>
    <t>GR</t>
  </si>
  <si>
    <t>GREECE</t>
  </si>
  <si>
    <t>GL</t>
  </si>
  <si>
    <t>GREENLAND</t>
  </si>
  <si>
    <t>GD</t>
  </si>
  <si>
    <t>GRENADA</t>
  </si>
  <si>
    <t>GP</t>
  </si>
  <si>
    <t>GUADELOUPE</t>
  </si>
  <si>
    <t>GU</t>
  </si>
  <si>
    <t>GUAM</t>
  </si>
  <si>
    <t>AX2</t>
  </si>
  <si>
    <t>A2</t>
  </si>
  <si>
    <t>GUANTANAMO BAY NAVAL BASE</t>
  </si>
  <si>
    <t>GT</t>
  </si>
  <si>
    <t>GUATEMALA</t>
  </si>
  <si>
    <t>GG</t>
  </si>
  <si>
    <t>GUERNSEY</t>
  </si>
  <si>
    <t>GN</t>
  </si>
  <si>
    <t>GUINEA</t>
  </si>
  <si>
    <t>GW</t>
  </si>
  <si>
    <t>GUINEA-BISSAU</t>
  </si>
  <si>
    <t>GY</t>
  </si>
  <si>
    <t>GUYANA</t>
  </si>
  <si>
    <t>HT</t>
  </si>
  <si>
    <t>HAITI</t>
  </si>
  <si>
    <t>HM</t>
  </si>
  <si>
    <t>HEARD ISLAND AND MCDONALD ISLANDS</t>
  </si>
  <si>
    <t>HN</t>
  </si>
  <si>
    <t>HONDURAS</t>
  </si>
  <si>
    <t>HK</t>
  </si>
  <si>
    <t>HONG KONG</t>
  </si>
  <si>
    <t>XHO</t>
  </si>
  <si>
    <t>XH</t>
  </si>
  <si>
    <t>HOWLAND ISLAND</t>
  </si>
  <si>
    <t>HU</t>
  </si>
  <si>
    <t>HUNGARY</t>
  </si>
  <si>
    <t>IS</t>
  </si>
  <si>
    <t>ICELAND</t>
  </si>
  <si>
    <t>IN</t>
  </si>
  <si>
    <t>INDIA</t>
  </si>
  <si>
    <t>ID</t>
  </si>
  <si>
    <t>INDONESIA</t>
  </si>
  <si>
    <t>IR</t>
  </si>
  <si>
    <t>IRAN</t>
  </si>
  <si>
    <t>IQ</t>
  </si>
  <si>
    <t>IRAQ</t>
  </si>
  <si>
    <t>IE</t>
  </si>
  <si>
    <t>IRELAND</t>
  </si>
  <si>
    <t>IM</t>
  </si>
  <si>
    <t>ISLE OF MAN</t>
  </si>
  <si>
    <t>IL</t>
  </si>
  <si>
    <t>ISRAEL</t>
  </si>
  <si>
    <t>IT</t>
  </si>
  <si>
    <t>ITALY</t>
  </si>
  <si>
    <t>JM</t>
  </si>
  <si>
    <t>JAMAICA</t>
  </si>
  <si>
    <t>XJM</t>
  </si>
  <si>
    <t>XJ</t>
  </si>
  <si>
    <t>JAN MAYEN</t>
  </si>
  <si>
    <t>JP</t>
  </si>
  <si>
    <t>JAPAN</t>
  </si>
  <si>
    <t>XJV</t>
  </si>
  <si>
    <t>XQ</t>
  </si>
  <si>
    <t>JARVIS ISLAND</t>
  </si>
  <si>
    <t>JEY</t>
  </si>
  <si>
    <t>JE</t>
  </si>
  <si>
    <t>JERSEY</t>
  </si>
  <si>
    <t>XJA</t>
  </si>
  <si>
    <t>XU</t>
  </si>
  <si>
    <t>JOHNSTON ATOLL</t>
  </si>
  <si>
    <t>JO</t>
  </si>
  <si>
    <t>JORDAN</t>
  </si>
  <si>
    <t>XJN</t>
  </si>
  <si>
    <t>QU</t>
  </si>
  <si>
    <t>JUAN DE NOVA ISLAND</t>
  </si>
  <si>
    <t>KZ</t>
  </si>
  <si>
    <t>KAZAKHSTAN</t>
  </si>
  <si>
    <t>KE</t>
  </si>
  <si>
    <t>KENYA</t>
  </si>
  <si>
    <t>XKR</t>
  </si>
  <si>
    <t>XM</t>
  </si>
  <si>
    <t>KINGMAN REEF</t>
  </si>
  <si>
    <t>KI</t>
  </si>
  <si>
    <t>KIRIBATI</t>
  </si>
  <si>
    <t>KP</t>
  </si>
  <si>
    <t>KOREA, NORTH</t>
  </si>
  <si>
    <t>KR</t>
  </si>
  <si>
    <t>KOREA, SOUTH</t>
  </si>
  <si>
    <t>XKS</t>
  </si>
  <si>
    <t>XK</t>
  </si>
  <si>
    <t>KOSOVO</t>
  </si>
  <si>
    <t>KW</t>
  </si>
  <si>
    <t>KUWAIT</t>
  </si>
  <si>
    <t>KG</t>
  </si>
  <si>
    <t>KYRGYZSTAN</t>
  </si>
  <si>
    <t>LA</t>
  </si>
  <si>
    <t>LAOS</t>
  </si>
  <si>
    <t>LV</t>
  </si>
  <si>
    <t>LATVIA</t>
  </si>
  <si>
    <t>LB</t>
  </si>
  <si>
    <t>LEBANON</t>
  </si>
  <si>
    <t>LS</t>
  </si>
  <si>
    <t>LESOTHO</t>
  </si>
  <si>
    <t>LR</t>
  </si>
  <si>
    <t>LIBERIA</t>
  </si>
  <si>
    <t>LY</t>
  </si>
  <si>
    <t>LIBYA</t>
  </si>
  <si>
    <t>LI</t>
  </si>
  <si>
    <t>LIECHTENSTEIN</t>
  </si>
  <si>
    <t>LT</t>
  </si>
  <si>
    <t>LITHUANIA</t>
  </si>
  <si>
    <t>LU</t>
  </si>
  <si>
    <t>LUXEMBOURG</t>
  </si>
  <si>
    <t>MO</t>
  </si>
  <si>
    <t>MACAU</t>
  </si>
  <si>
    <t>MK</t>
  </si>
  <si>
    <t>MACEDONIA</t>
  </si>
  <si>
    <t>MG</t>
  </si>
  <si>
    <t>MADAGASCAR</t>
  </si>
  <si>
    <t>MW</t>
  </si>
  <si>
    <t>MALAWI</t>
  </si>
  <si>
    <t>MY</t>
  </si>
  <si>
    <t>MALAYSIA</t>
  </si>
  <si>
    <t>MV</t>
  </si>
  <si>
    <t>MALDIVES</t>
  </si>
  <si>
    <t>ML</t>
  </si>
  <si>
    <t>MALI</t>
  </si>
  <si>
    <t>MT</t>
  </si>
  <si>
    <t>MALTA</t>
  </si>
  <si>
    <t>MH</t>
  </si>
  <si>
    <t>MARSHALL ISLANDS</t>
  </si>
  <si>
    <t>MQ</t>
  </si>
  <si>
    <t>MARTINIQUE</t>
  </si>
  <si>
    <t>MR</t>
  </si>
  <si>
    <t>MAURITANIA</t>
  </si>
  <si>
    <t>MU</t>
  </si>
  <si>
    <t>MAURITIUS</t>
  </si>
  <si>
    <t>YT</t>
  </si>
  <si>
    <t>MAYOTTE</t>
  </si>
  <si>
    <t>MX</t>
  </si>
  <si>
    <t>MEXICO</t>
  </si>
  <si>
    <t>FM</t>
  </si>
  <si>
    <t>MICRONESIA, FEDERATED STATES OF</t>
  </si>
  <si>
    <t>XMW</t>
  </si>
  <si>
    <t>QM</t>
  </si>
  <si>
    <t>MIDWAY ISLANDS</t>
  </si>
  <si>
    <t>MD</t>
  </si>
  <si>
    <t>MOLDOVA</t>
  </si>
  <si>
    <t>MC</t>
  </si>
  <si>
    <t>MONACO</t>
  </si>
  <si>
    <t>MN</t>
  </si>
  <si>
    <t>MONGOLIA</t>
  </si>
  <si>
    <t>ME</t>
  </si>
  <si>
    <t>MONTENEGRO</t>
  </si>
  <si>
    <t>MS</t>
  </si>
  <si>
    <t>MONTSERRAT</t>
  </si>
  <si>
    <t>MA</t>
  </si>
  <si>
    <t>MOROCCO</t>
  </si>
  <si>
    <t>MZ</t>
  </si>
  <si>
    <t>MOZAMBIQUE</t>
  </si>
  <si>
    <t>NA</t>
  </si>
  <si>
    <t>NAMIBIA</t>
  </si>
  <si>
    <t>NR</t>
  </si>
  <si>
    <t>NAURU</t>
  </si>
  <si>
    <t>XNV</t>
  </si>
  <si>
    <t>XV</t>
  </si>
  <si>
    <t>NAVASSA ISLAND</t>
  </si>
  <si>
    <t>NP</t>
  </si>
  <si>
    <t>NEPAL</t>
  </si>
  <si>
    <t>NL</t>
  </si>
  <si>
    <t>NETHERLANDS</t>
  </si>
  <si>
    <t>NC</t>
  </si>
  <si>
    <t>NEW CALEDONIA</t>
  </si>
  <si>
    <t>NZ</t>
  </si>
  <si>
    <t>NEW ZEALAND</t>
  </si>
  <si>
    <t>NI</t>
  </si>
  <si>
    <t>NICARAGUA</t>
  </si>
  <si>
    <t>NE</t>
  </si>
  <si>
    <t>NIGER</t>
  </si>
  <si>
    <t>NG</t>
  </si>
  <si>
    <t>NIGERIA</t>
  </si>
  <si>
    <t>NU</t>
  </si>
  <si>
    <t>NIUE</t>
  </si>
  <si>
    <t>NF</t>
  </si>
  <si>
    <t>NORFOLK ISLAND</t>
  </si>
  <si>
    <t>MP</t>
  </si>
  <si>
    <t>NORTHERN MARIANA ISLANDS</t>
  </si>
  <si>
    <t>NO</t>
  </si>
  <si>
    <t>NORWAY</t>
  </si>
  <si>
    <t>OM</t>
  </si>
  <si>
    <t>OMAN</t>
  </si>
  <si>
    <t>PK</t>
  </si>
  <si>
    <t>PAKISTAN</t>
  </si>
  <si>
    <t>PW</t>
  </si>
  <si>
    <t>PALAU</t>
  </si>
  <si>
    <t>PS</t>
  </si>
  <si>
    <t>XPL</t>
  </si>
  <si>
    <t>XL</t>
  </si>
  <si>
    <t>PALMYRA ATOLL</t>
  </si>
  <si>
    <t>PA</t>
  </si>
  <si>
    <t>PANAMA</t>
  </si>
  <si>
    <t>PG</t>
  </si>
  <si>
    <t>PAPUA NEW GUINEA</t>
  </si>
  <si>
    <t>XPR</t>
  </si>
  <si>
    <t>XP</t>
  </si>
  <si>
    <t>PARACEL ISLANDS</t>
  </si>
  <si>
    <t>PY</t>
  </si>
  <si>
    <t>PARAGUAY</t>
  </si>
  <si>
    <t>PE</t>
  </si>
  <si>
    <t>PERU</t>
  </si>
  <si>
    <t>PH</t>
  </si>
  <si>
    <t>PHILIPPINES</t>
  </si>
  <si>
    <t>PN</t>
  </si>
  <si>
    <t>PITCAIRN ISLANDS</t>
  </si>
  <si>
    <t>PL</t>
  </si>
  <si>
    <t>POLAND</t>
  </si>
  <si>
    <t>PT</t>
  </si>
  <si>
    <t>PORTUGAL</t>
  </si>
  <si>
    <t>PR</t>
  </si>
  <si>
    <t>PUERTO RICO</t>
  </si>
  <si>
    <t>QA</t>
  </si>
  <si>
    <t>QATAR</t>
  </si>
  <si>
    <t>RE</t>
  </si>
  <si>
    <t>REUNION</t>
  </si>
  <si>
    <t>RO</t>
  </si>
  <si>
    <t>ROMANIA</t>
  </si>
  <si>
    <t>RU</t>
  </si>
  <si>
    <t>RUSSIA</t>
  </si>
  <si>
    <t>RW</t>
  </si>
  <si>
    <t>RWANDA</t>
  </si>
  <si>
    <t>BL</t>
  </si>
  <si>
    <t>SAINT BARTHELEMY</t>
  </si>
  <si>
    <t>SH</t>
  </si>
  <si>
    <t>SAINT HELENA, ASCENSION, AND TRISTAN DA CUNHA</t>
  </si>
  <si>
    <t>KN</t>
  </si>
  <si>
    <t>SAINT KITTS AND NEVIS</t>
  </si>
  <si>
    <t>LC</t>
  </si>
  <si>
    <t>SAINT LUCIA</t>
  </si>
  <si>
    <t>MF</t>
  </si>
  <si>
    <t>SAINT MARTIN</t>
  </si>
  <si>
    <t>PM</t>
  </si>
  <si>
    <t>SAINT PIERRE AND MIQUELON</t>
  </si>
  <si>
    <t>VC</t>
  </si>
  <si>
    <t>SAINT VINCENT AND THE GRENADINES</t>
  </si>
  <si>
    <t>WS</t>
  </si>
  <si>
    <t>SAMOA</t>
  </si>
  <si>
    <t>SM</t>
  </si>
  <si>
    <t>SAN MARINO</t>
  </si>
  <si>
    <t>ST</t>
  </si>
  <si>
    <t>SAO TOME AND PRINCIPE</t>
  </si>
  <si>
    <t>SA</t>
  </si>
  <si>
    <t>SAUDI ARABIA</t>
  </si>
  <si>
    <t>SN</t>
  </si>
  <si>
    <t>SENEGAL</t>
  </si>
  <si>
    <t>RS</t>
  </si>
  <si>
    <t>SERBIA</t>
  </si>
  <si>
    <t>SC</t>
  </si>
  <si>
    <t>SEYCHELLES</t>
  </si>
  <si>
    <t>SL</t>
  </si>
  <si>
    <t>SIERRA LEONE</t>
  </si>
  <si>
    <t>SG</t>
  </si>
  <si>
    <t>SINGAPORE</t>
  </si>
  <si>
    <t>SX</t>
  </si>
  <si>
    <t>SINT MAARTEN</t>
  </si>
  <si>
    <t>SK</t>
  </si>
  <si>
    <t>SLOVAKIA</t>
  </si>
  <si>
    <t>SI</t>
  </si>
  <si>
    <t>SLOVENIA</t>
  </si>
  <si>
    <t>SB</t>
  </si>
  <si>
    <t>SOLOMON ISLANDS</t>
  </si>
  <si>
    <t>SO</t>
  </si>
  <si>
    <t>SOMALIA</t>
  </si>
  <si>
    <t>ZA</t>
  </si>
  <si>
    <t>SOUTH AFRICA</t>
  </si>
  <si>
    <t>GS</t>
  </si>
  <si>
    <t>SOUTH GEORGIA AND SOUTH SANDWICH ISLANDS</t>
  </si>
  <si>
    <t>SS</t>
  </si>
  <si>
    <t>SOUTH SUDAN</t>
  </si>
  <si>
    <t>ES</t>
  </si>
  <si>
    <t>SPAIN</t>
  </si>
  <si>
    <t>XSP</t>
  </si>
  <si>
    <t>XS</t>
  </si>
  <si>
    <t>SPRATLY ISLANDS</t>
  </si>
  <si>
    <t>LK</t>
  </si>
  <si>
    <t>SRI LANKA</t>
  </si>
  <si>
    <t>SD</t>
  </si>
  <si>
    <t>SUDAN</t>
  </si>
  <si>
    <t>SR</t>
  </si>
  <si>
    <t>SURINAME</t>
  </si>
  <si>
    <t>XSV</t>
  </si>
  <si>
    <t>XR</t>
  </si>
  <si>
    <t>SVALBARD</t>
  </si>
  <si>
    <t>SZ</t>
  </si>
  <si>
    <t>SWAZILAND</t>
  </si>
  <si>
    <t>SE</t>
  </si>
  <si>
    <t>SWEDEN</t>
  </si>
  <si>
    <t>CH</t>
  </si>
  <si>
    <t>SWITZERLAND</t>
  </si>
  <si>
    <t>SY</t>
  </si>
  <si>
    <t>SYRIA</t>
  </si>
  <si>
    <t>TW</t>
  </si>
  <si>
    <t>TAIWAN</t>
  </si>
  <si>
    <t>TJ</t>
  </si>
  <si>
    <t>TAJIKISTAN</t>
  </si>
  <si>
    <t>TZ</t>
  </si>
  <si>
    <t>TANZANIA</t>
  </si>
  <si>
    <t>TH</t>
  </si>
  <si>
    <t>THAILAND</t>
  </si>
  <si>
    <t>TL</t>
  </si>
  <si>
    <t>TIMOR-LESTE</t>
  </si>
  <si>
    <t>TG</t>
  </si>
  <si>
    <t>TOGO</t>
  </si>
  <si>
    <t>TK</t>
  </si>
  <si>
    <t>TOKELAU</t>
  </si>
  <si>
    <t>TO</t>
  </si>
  <si>
    <t>TONGA</t>
  </si>
  <si>
    <t>TT</t>
  </si>
  <si>
    <t>TRINIDAD AND TOBAGO</t>
  </si>
  <si>
    <t>XTR</t>
  </si>
  <si>
    <t>XT</t>
  </si>
  <si>
    <t>TROMELIN ISLAND</t>
  </si>
  <si>
    <t>TN</t>
  </si>
  <si>
    <t>TUNISIA</t>
  </si>
  <si>
    <t>TR</t>
  </si>
  <si>
    <t>TURKEY</t>
  </si>
  <si>
    <t>TM</t>
  </si>
  <si>
    <t>TURKMENISTAN</t>
  </si>
  <si>
    <t>TC</t>
  </si>
  <si>
    <t>TURKS AND CAICOS ISLANDS</t>
  </si>
  <si>
    <t>TV</t>
  </si>
  <si>
    <t>TUVALU</t>
  </si>
  <si>
    <t>UG</t>
  </si>
  <si>
    <t>UGANDA</t>
  </si>
  <si>
    <t>UA</t>
  </si>
  <si>
    <t>UKRAINE</t>
  </si>
  <si>
    <t>AE</t>
  </si>
  <si>
    <t>UNITED ARAB EMIRATES</t>
  </si>
  <si>
    <t>GB</t>
  </si>
  <si>
    <t>UNITED KINGDOM</t>
  </si>
  <si>
    <t>US</t>
  </si>
  <si>
    <t>UNITED STATES</t>
  </si>
  <si>
    <t>AX1</t>
  </si>
  <si>
    <t>A1</t>
  </si>
  <si>
    <t>UNKNOWN</t>
  </si>
  <si>
    <t>UY</t>
  </si>
  <si>
    <t>URUGUAY</t>
  </si>
  <si>
    <t>UZ</t>
  </si>
  <si>
    <t>UZBEKISTAN</t>
  </si>
  <si>
    <t>VU</t>
  </si>
  <si>
    <t>VANUATU</t>
  </si>
  <si>
    <t>VA</t>
  </si>
  <si>
    <t>VATICAN CITY</t>
  </si>
  <si>
    <t>VE</t>
  </si>
  <si>
    <t>VENEZUELA</t>
  </si>
  <si>
    <t>VN</t>
  </si>
  <si>
    <t>VIETNAM</t>
  </si>
  <si>
    <t>VG</t>
  </si>
  <si>
    <t>VIRGIN ISLANDS, BRITISH</t>
  </si>
  <si>
    <t>VI</t>
  </si>
  <si>
    <t>VIRGIN ISLANDS, U.S.</t>
  </si>
  <si>
    <t>XWK</t>
  </si>
  <si>
    <t>QW</t>
  </si>
  <si>
    <t>WAKE ISLAND</t>
  </si>
  <si>
    <t>WF</t>
  </si>
  <si>
    <t>WALLIS AND FUTUNA</t>
  </si>
  <si>
    <t>XWB</t>
  </si>
  <si>
    <t>XW</t>
  </si>
  <si>
    <t>WEST BANK</t>
  </si>
  <si>
    <t>EH</t>
  </si>
  <si>
    <t>WESTERN SAHARA</t>
  </si>
  <si>
    <t>YE</t>
  </si>
  <si>
    <t>YEMEN</t>
  </si>
  <si>
    <t>ZM</t>
  </si>
  <si>
    <t>ZAMBIA</t>
  </si>
  <si>
    <t>ZW</t>
  </si>
  <si>
    <t>ZIMBABWE</t>
  </si>
  <si>
    <t>CABO VERDE</t>
  </si>
  <si>
    <t>CÔTE D’IVOIRE</t>
  </si>
  <si>
    <t>[None Assigned]</t>
  </si>
  <si>
    <t>A3</t>
  </si>
  <si>
    <t>AX3</t>
  </si>
  <si>
    <t>ENTITY 6</t>
  </si>
  <si>
    <t>AX</t>
  </si>
  <si>
    <t>UM</t>
  </si>
  <si>
    <t>SJ</t>
  </si>
  <si>
    <t>NCIt Code</t>
  </si>
  <si>
    <t>ÅLAND ISLANDS</t>
  </si>
  <si>
    <t>BAHAMAS</t>
  </si>
  <si>
    <t>BOLIVIA (PLURINATIONAL STATE OF)</t>
  </si>
  <si>
    <t>BONAIRE, SINT EUSTATIUS AND SABA</t>
  </si>
  <si>
    <t>BRUNEI DARUSSALAM</t>
  </si>
  <si>
    <t>CONGO</t>
  </si>
  <si>
    <t>CONGO, DEMOCRATIC REPUBLIC OF THE</t>
  </si>
  <si>
    <t>FALKLAND ISLANDS (MALVINAS)</t>
  </si>
  <si>
    <t>FRENCH SOUTHERN TERRITORIES</t>
  </si>
  <si>
    <t>GAMBIA</t>
  </si>
  <si>
    <t>HOLY SEE</t>
  </si>
  <si>
    <t>IRAN (ISLAMIC REPUBLIC OF)</t>
  </si>
  <si>
    <t>KOREA, DEMOCRATIC PEOPLE'S REPUBLIC OF</t>
  </si>
  <si>
    <t>KOREA, REPUBLIC OF</t>
  </si>
  <si>
    <t>LAO PEOPLE'S DEMOCRATIC REPUBLIC</t>
  </si>
  <si>
    <t>MACAO</t>
  </si>
  <si>
    <t>MACEDONIA, THE FORMER YUGOSLAV REPUBLIC OF</t>
  </si>
  <si>
    <t>MICRONESIA (FEDERATED STATES OF)</t>
  </si>
  <si>
    <t>MOLDOVA, REPUBLIC OF</t>
  </si>
  <si>
    <t>MYANMAR</t>
  </si>
  <si>
    <t>PALESTINE, STATE OF</t>
  </si>
  <si>
    <t>PITCAIRN</t>
  </si>
  <si>
    <t>RÉUNION</t>
  </si>
  <si>
    <t>RUSSIAN FEDERATION</t>
  </si>
  <si>
    <t>SAINT BARTHÉLEMY</t>
  </si>
  <si>
    <t>SAINT HELENA, ASCENSION AND TRISTAN DA CUNHA</t>
  </si>
  <si>
    <t>SAINT MARTIN (FRENCH PART)</t>
  </si>
  <si>
    <t>SINT MAARTEN (DUTCH PART)</t>
  </si>
  <si>
    <t>SOUTH GEORGIA AND THE SOUTH SANDWICH ISLANDS</t>
  </si>
  <si>
    <t>SVALBARD AND JAN MAYEN</t>
  </si>
  <si>
    <t>SYRIAN ARAB REPUBLIC</t>
  </si>
  <si>
    <t>TAIWAN, PROVINCE OF CHINA</t>
  </si>
  <si>
    <t>TANZANIA, UNITED REPUBLIC OF</t>
  </si>
  <si>
    <t>UNITED KINGDOM OF GREAT BRITAIN AND NORTHERN IRELAND</t>
  </si>
  <si>
    <t>UNITED STATES MINOR OUTLYING ISLANDS</t>
  </si>
  <si>
    <t>UNITED STATES OF AMERICA</t>
  </si>
  <si>
    <t>VENEZUELA (BOLIVARIAN REPUBLIC OF)</t>
  </si>
  <si>
    <t>VIET NAM</t>
  </si>
  <si>
    <t xml:space="preserve">AFGHANISTAN </t>
  </si>
  <si>
    <t xml:space="preserve">ÅLAND ISLANDS </t>
  </si>
  <si>
    <t xml:space="preserve">ALBANIA </t>
  </si>
  <si>
    <t xml:space="preserve">ALGERIA </t>
  </si>
  <si>
    <t xml:space="preserve">AMERICAN SAMOA </t>
  </si>
  <si>
    <t xml:space="preserve">ANDORRA </t>
  </si>
  <si>
    <t xml:space="preserve">ANGOLA </t>
  </si>
  <si>
    <t xml:space="preserve">ANGUILLA </t>
  </si>
  <si>
    <t xml:space="preserve">ANTARCTICA </t>
  </si>
  <si>
    <t xml:space="preserve">ANTIGUA AND BARBUDA </t>
  </si>
  <si>
    <t xml:space="preserve">ARGENTINA </t>
  </si>
  <si>
    <t xml:space="preserve">ARMENIA </t>
  </si>
  <si>
    <t xml:space="preserve">ARUBA </t>
  </si>
  <si>
    <t xml:space="preserve">AUSTRALIA </t>
  </si>
  <si>
    <t xml:space="preserve">AUSTRIA </t>
  </si>
  <si>
    <t xml:space="preserve">AZERBAIJAN </t>
  </si>
  <si>
    <t xml:space="preserve">BAHAMAS </t>
  </si>
  <si>
    <t xml:space="preserve">BAHRAIN </t>
  </si>
  <si>
    <t xml:space="preserve">BANGLADESH </t>
  </si>
  <si>
    <t xml:space="preserve">BARBADOS </t>
  </si>
  <si>
    <t xml:space="preserve">BELARUS </t>
  </si>
  <si>
    <t xml:space="preserve">BELGIUM </t>
  </si>
  <si>
    <t xml:space="preserve">BELIZE </t>
  </si>
  <si>
    <t xml:space="preserve">BENIN </t>
  </si>
  <si>
    <t xml:space="preserve">BERMUDA </t>
  </si>
  <si>
    <t xml:space="preserve">BHUTAN </t>
  </si>
  <si>
    <t xml:space="preserve">BOLIVIA (PLURINATIONAL STATE OF) </t>
  </si>
  <si>
    <t xml:space="preserve">BONAIRE, SINT EUSTATIUS AND SABA </t>
  </si>
  <si>
    <t xml:space="preserve">BOSNIA AND HERZEGOVINA </t>
  </si>
  <si>
    <t xml:space="preserve">BOTSWANA </t>
  </si>
  <si>
    <t xml:space="preserve">BOUVET ISLAND </t>
  </si>
  <si>
    <t xml:space="preserve">BRAZIL </t>
  </si>
  <si>
    <t xml:space="preserve">BRITISH INDIAN OCEAN TERRITORY </t>
  </si>
  <si>
    <t xml:space="preserve">BRUNEI DARUSSALAM </t>
  </si>
  <si>
    <t xml:space="preserve">BULGARIA </t>
  </si>
  <si>
    <t xml:space="preserve">BURKINA FASO </t>
  </si>
  <si>
    <t xml:space="preserve">BURUNDI </t>
  </si>
  <si>
    <t xml:space="preserve">CABO VERDE </t>
  </si>
  <si>
    <t xml:space="preserve">CAMBODIA </t>
  </si>
  <si>
    <t xml:space="preserve">CAMEROON </t>
  </si>
  <si>
    <t xml:space="preserve">CANADA </t>
  </si>
  <si>
    <t xml:space="preserve">CAYMAN ISLANDS </t>
  </si>
  <si>
    <t xml:space="preserve">CENTRAL AFRICAN REPUBLIC </t>
  </si>
  <si>
    <t xml:space="preserve">CHAD </t>
  </si>
  <si>
    <t xml:space="preserve">CHILE </t>
  </si>
  <si>
    <t xml:space="preserve">CHINA </t>
  </si>
  <si>
    <t xml:space="preserve">CHRISTMAS ISLAND </t>
  </si>
  <si>
    <t xml:space="preserve">COCOS (KEELING) ISLANDS </t>
  </si>
  <si>
    <t xml:space="preserve">COLOMBIA </t>
  </si>
  <si>
    <t xml:space="preserve">COMOROS </t>
  </si>
  <si>
    <t xml:space="preserve">CONGO </t>
  </si>
  <si>
    <t xml:space="preserve">CONGO, DEMOCRATIC REPUBLIC OF THE </t>
  </si>
  <si>
    <t xml:space="preserve">COOK ISLANDS </t>
  </si>
  <si>
    <t xml:space="preserve">COSTA RICA </t>
  </si>
  <si>
    <t xml:space="preserve">CÔTE D'IVOIRE </t>
  </si>
  <si>
    <t xml:space="preserve">CROATIA </t>
  </si>
  <si>
    <t xml:space="preserve">CUBA </t>
  </si>
  <si>
    <t xml:space="preserve">CURAÇAO </t>
  </si>
  <si>
    <t xml:space="preserve">CYPRUS </t>
  </si>
  <si>
    <t xml:space="preserve">CZECH REPUBLIC </t>
  </si>
  <si>
    <t xml:space="preserve">DENMARK </t>
  </si>
  <si>
    <t xml:space="preserve">DJIBOUTI </t>
  </si>
  <si>
    <t xml:space="preserve">DOMINICA </t>
  </si>
  <si>
    <t xml:space="preserve">DOMINICAN REPUBLIC </t>
  </si>
  <si>
    <t xml:space="preserve">ECUADOR </t>
  </si>
  <si>
    <t xml:space="preserve">EGYPT </t>
  </si>
  <si>
    <t xml:space="preserve">EL SALVADOR </t>
  </si>
  <si>
    <t xml:space="preserve">EQUATORIAL GUINEA </t>
  </si>
  <si>
    <t xml:space="preserve">ERITREA </t>
  </si>
  <si>
    <t xml:space="preserve">ESTONIA </t>
  </si>
  <si>
    <t xml:space="preserve">ETHIOPIA </t>
  </si>
  <si>
    <t xml:space="preserve">FALKLAND ISLANDS (MALVINAS) </t>
  </si>
  <si>
    <t xml:space="preserve">FAROE ISLANDS </t>
  </si>
  <si>
    <t xml:space="preserve">FIJI </t>
  </si>
  <si>
    <t xml:space="preserve">FINLAND </t>
  </si>
  <si>
    <t xml:space="preserve">FRANCE </t>
  </si>
  <si>
    <t xml:space="preserve">FRENCH GUIANA </t>
  </si>
  <si>
    <t xml:space="preserve">FRENCH POLYNESIA </t>
  </si>
  <si>
    <t xml:space="preserve">FRENCH SOUTHERN TERRITORIES </t>
  </si>
  <si>
    <t xml:space="preserve">GABON </t>
  </si>
  <si>
    <t xml:space="preserve">GAMBIA </t>
  </si>
  <si>
    <t xml:space="preserve">GEORGIA </t>
  </si>
  <si>
    <t xml:space="preserve">GERMANY </t>
  </si>
  <si>
    <t xml:space="preserve">GHANA </t>
  </si>
  <si>
    <t xml:space="preserve">GIBRALTAR </t>
  </si>
  <si>
    <t xml:space="preserve">GREECE </t>
  </si>
  <si>
    <t xml:space="preserve">GREENLAND </t>
  </si>
  <si>
    <t xml:space="preserve">GRENADA </t>
  </si>
  <si>
    <t xml:space="preserve">GUADELOUPE </t>
  </si>
  <si>
    <t xml:space="preserve">GUAM </t>
  </si>
  <si>
    <t xml:space="preserve">GUATEMALA </t>
  </si>
  <si>
    <t xml:space="preserve">GUERNSEY </t>
  </si>
  <si>
    <t xml:space="preserve">GUINEA </t>
  </si>
  <si>
    <t xml:space="preserve">GUINEA-BISSAU </t>
  </si>
  <si>
    <t xml:space="preserve">GUYANA </t>
  </si>
  <si>
    <t xml:space="preserve">HAITI </t>
  </si>
  <si>
    <t xml:space="preserve">HEARD ISLAND AND MCDONALD ISLANDS </t>
  </si>
  <si>
    <t xml:space="preserve">HOLY SEE </t>
  </si>
  <si>
    <t xml:space="preserve">HONDURAS </t>
  </si>
  <si>
    <t xml:space="preserve">HONG KONG </t>
  </si>
  <si>
    <t xml:space="preserve">HUNGARY </t>
  </si>
  <si>
    <t xml:space="preserve">ICELAND </t>
  </si>
  <si>
    <t xml:space="preserve">INDIA </t>
  </si>
  <si>
    <t xml:space="preserve">INDONESIA </t>
  </si>
  <si>
    <t xml:space="preserve">IRAN (ISLAMIC REPUBLIC OF) </t>
  </si>
  <si>
    <t xml:space="preserve">IRAQ </t>
  </si>
  <si>
    <t xml:space="preserve">IRELAND </t>
  </si>
  <si>
    <t xml:space="preserve">ISLE OF MAN </t>
  </si>
  <si>
    <t xml:space="preserve">ISRAEL </t>
  </si>
  <si>
    <t xml:space="preserve">ITALY </t>
  </si>
  <si>
    <t xml:space="preserve">JAMAICA </t>
  </si>
  <si>
    <t xml:space="preserve">JAPAN </t>
  </si>
  <si>
    <t xml:space="preserve">JERSEY </t>
  </si>
  <si>
    <t xml:space="preserve">JORDAN </t>
  </si>
  <si>
    <t xml:space="preserve">KAZAKHSTAN </t>
  </si>
  <si>
    <t xml:space="preserve">KENYA </t>
  </si>
  <si>
    <t xml:space="preserve">KIRIBATI </t>
  </si>
  <si>
    <t xml:space="preserve">KOREA, DEMOCRATIC PEOPLE'S REPUBLIC OF </t>
  </si>
  <si>
    <t xml:space="preserve">KOREA, REPUBLIC OF </t>
  </si>
  <si>
    <t xml:space="preserve">KUWAIT </t>
  </si>
  <si>
    <t xml:space="preserve">KYRGYZSTAN </t>
  </si>
  <si>
    <t xml:space="preserve">LAO PEOPLE'S DEMOCRATIC REPUBLIC </t>
  </si>
  <si>
    <t xml:space="preserve">LATVIA </t>
  </si>
  <si>
    <t xml:space="preserve">LEBANON </t>
  </si>
  <si>
    <t xml:space="preserve">LESOTHO </t>
  </si>
  <si>
    <t xml:space="preserve">LIBERIA </t>
  </si>
  <si>
    <t xml:space="preserve">LIBYA </t>
  </si>
  <si>
    <t xml:space="preserve">LIECHTENSTEIN </t>
  </si>
  <si>
    <t xml:space="preserve">LITHUANIA </t>
  </si>
  <si>
    <t xml:space="preserve">LUXEMBOURG </t>
  </si>
  <si>
    <t xml:space="preserve">MACAO </t>
  </si>
  <si>
    <t xml:space="preserve">MACEDONIA, THE FORMER YUGOSLAV REPUBLIC OF </t>
  </si>
  <si>
    <t xml:space="preserve">MADAGASCAR </t>
  </si>
  <si>
    <t xml:space="preserve">MALAWI </t>
  </si>
  <si>
    <t xml:space="preserve">MALAYSIA </t>
  </si>
  <si>
    <t xml:space="preserve">MALDIVES </t>
  </si>
  <si>
    <t xml:space="preserve">MALI </t>
  </si>
  <si>
    <t xml:space="preserve">MALTA </t>
  </si>
  <si>
    <t xml:space="preserve">MARSHALL ISLANDS </t>
  </si>
  <si>
    <t xml:space="preserve">MARTINIQUE </t>
  </si>
  <si>
    <t xml:space="preserve">MAURITANIA </t>
  </si>
  <si>
    <t xml:space="preserve">MAURITIUS </t>
  </si>
  <si>
    <t xml:space="preserve">MAYOTTE </t>
  </si>
  <si>
    <t xml:space="preserve">MEXICO </t>
  </si>
  <si>
    <t xml:space="preserve">MICRONESIA (FEDERATED STATES OF) </t>
  </si>
  <si>
    <t xml:space="preserve">MOLDOVA, REPUBLIC OF </t>
  </si>
  <si>
    <t xml:space="preserve">MONACO </t>
  </si>
  <si>
    <t xml:space="preserve">MONGOLIA </t>
  </si>
  <si>
    <t xml:space="preserve">MONTENEGRO </t>
  </si>
  <si>
    <t xml:space="preserve">MONTSERRAT </t>
  </si>
  <si>
    <t xml:space="preserve">MOROCCO </t>
  </si>
  <si>
    <t xml:space="preserve">MOZAMBIQUE </t>
  </si>
  <si>
    <t xml:space="preserve">MYANMAR </t>
  </si>
  <si>
    <t xml:space="preserve">NAMIBIA </t>
  </si>
  <si>
    <t xml:space="preserve">NAURU </t>
  </si>
  <si>
    <t xml:space="preserve">NEPAL </t>
  </si>
  <si>
    <t xml:space="preserve">NETHERLANDS </t>
  </si>
  <si>
    <t xml:space="preserve">NEW CALEDONIA </t>
  </si>
  <si>
    <t xml:space="preserve">NEW ZEALAND </t>
  </si>
  <si>
    <t xml:space="preserve">NICARAGUA </t>
  </si>
  <si>
    <t xml:space="preserve">NIGER </t>
  </si>
  <si>
    <t xml:space="preserve">NIGERIA </t>
  </si>
  <si>
    <t xml:space="preserve">NIUE </t>
  </si>
  <si>
    <t xml:space="preserve">NORFOLK ISLAND </t>
  </si>
  <si>
    <t xml:space="preserve">NORTHERN MARIANA ISLANDS </t>
  </si>
  <si>
    <t xml:space="preserve">NORWAY </t>
  </si>
  <si>
    <t xml:space="preserve">OMAN </t>
  </si>
  <si>
    <t xml:space="preserve">PAKISTAN </t>
  </si>
  <si>
    <t xml:space="preserve">PALAU </t>
  </si>
  <si>
    <t xml:space="preserve">PALESTINE, STATE OF </t>
  </si>
  <si>
    <t xml:space="preserve">PANAMA </t>
  </si>
  <si>
    <t xml:space="preserve">PAPUA NEW GUINEA </t>
  </si>
  <si>
    <t xml:space="preserve">PARAGUAY </t>
  </si>
  <si>
    <t xml:space="preserve">PERU </t>
  </si>
  <si>
    <t xml:space="preserve">PHILIPPINES </t>
  </si>
  <si>
    <t xml:space="preserve">PITCAIRN </t>
  </si>
  <si>
    <t xml:space="preserve">POLAND </t>
  </si>
  <si>
    <t xml:space="preserve">PORTUGAL </t>
  </si>
  <si>
    <t xml:space="preserve">PUERTO RICO </t>
  </si>
  <si>
    <t xml:space="preserve">QATAR </t>
  </si>
  <si>
    <t xml:space="preserve">RÉUNION </t>
  </si>
  <si>
    <t xml:space="preserve">ROMANIA </t>
  </si>
  <si>
    <t xml:space="preserve">RUSSIAN FEDERATION </t>
  </si>
  <si>
    <t xml:space="preserve">RWANDA </t>
  </si>
  <si>
    <t xml:space="preserve">SAINT BARTHÉLEMY </t>
  </si>
  <si>
    <t xml:space="preserve">SAINT HELENA, ASCENSION AND TRISTAN DA CUNHA </t>
  </si>
  <si>
    <t xml:space="preserve">SAINT KITTS AND NEVIS </t>
  </si>
  <si>
    <t xml:space="preserve">SAINT LUCIA </t>
  </si>
  <si>
    <t xml:space="preserve">SAINT MARTIN (FRENCH PART) </t>
  </si>
  <si>
    <t xml:space="preserve">SAINT PIERRE AND MIQUELON </t>
  </si>
  <si>
    <t xml:space="preserve">SAINT VINCENT AND THE GRENADINES </t>
  </si>
  <si>
    <t xml:space="preserve">SAMOA </t>
  </si>
  <si>
    <t xml:space="preserve">SAN MARINO </t>
  </si>
  <si>
    <t xml:space="preserve">SAO TOME AND PRINCIPE </t>
  </si>
  <si>
    <t xml:space="preserve">SAUDI ARABIA </t>
  </si>
  <si>
    <t xml:space="preserve">SENEGAL </t>
  </si>
  <si>
    <t xml:space="preserve">SERBIA </t>
  </si>
  <si>
    <t xml:space="preserve">SEYCHELLES </t>
  </si>
  <si>
    <t xml:space="preserve">SIERRA LEONE </t>
  </si>
  <si>
    <t xml:space="preserve">SINGAPORE </t>
  </si>
  <si>
    <t xml:space="preserve">SINT MAARTEN (DUTCH PART) </t>
  </si>
  <si>
    <t xml:space="preserve">SLOVAKIA </t>
  </si>
  <si>
    <t xml:space="preserve">SLOVENIA </t>
  </si>
  <si>
    <t xml:space="preserve">SOLOMON ISLANDS </t>
  </si>
  <si>
    <t xml:space="preserve">SOMALIA </t>
  </si>
  <si>
    <t xml:space="preserve">SOUTH AFRICA </t>
  </si>
  <si>
    <t xml:space="preserve">SOUTH GEORGIA AND THE SOUTH SANDWICH ISLANDS </t>
  </si>
  <si>
    <t xml:space="preserve">SOUTH SUDAN </t>
  </si>
  <si>
    <t xml:space="preserve">SPAIN </t>
  </si>
  <si>
    <t xml:space="preserve">SRI LANKA </t>
  </si>
  <si>
    <t xml:space="preserve">SUDAN </t>
  </si>
  <si>
    <t xml:space="preserve">SURINAME </t>
  </si>
  <si>
    <t xml:space="preserve">SVALBARD AND JAN MAYEN </t>
  </si>
  <si>
    <t xml:space="preserve">SWAZILAND </t>
  </si>
  <si>
    <t xml:space="preserve">SWEDEN </t>
  </si>
  <si>
    <t xml:space="preserve">SWITZERLAND </t>
  </si>
  <si>
    <t xml:space="preserve">SYRIAN ARAB REPUBLIC </t>
  </si>
  <si>
    <t xml:space="preserve">TAIWAN, PROVINCE OF CHINA </t>
  </si>
  <si>
    <t xml:space="preserve">TAJIKISTAN </t>
  </si>
  <si>
    <t xml:space="preserve">TANZANIA, UNITED REPUBLIC OF </t>
  </si>
  <si>
    <t xml:space="preserve">THAILAND </t>
  </si>
  <si>
    <t xml:space="preserve">TIMOR-LESTE </t>
  </si>
  <si>
    <t xml:space="preserve">TOGO </t>
  </si>
  <si>
    <t xml:space="preserve">TOKELAU </t>
  </si>
  <si>
    <t xml:space="preserve">TONGA </t>
  </si>
  <si>
    <t xml:space="preserve">TRINIDAD AND TOBAGO </t>
  </si>
  <si>
    <t xml:space="preserve">TUNISIA </t>
  </si>
  <si>
    <t xml:space="preserve">TURKEY </t>
  </si>
  <si>
    <t xml:space="preserve">TURKMENISTAN </t>
  </si>
  <si>
    <t xml:space="preserve">TURKS AND CAICOS ISLANDS </t>
  </si>
  <si>
    <t xml:space="preserve">TUVALU </t>
  </si>
  <si>
    <t xml:space="preserve">UGANDA </t>
  </si>
  <si>
    <t xml:space="preserve">UKRAINE </t>
  </si>
  <si>
    <t xml:space="preserve">UNITED ARAB EMIRATES </t>
  </si>
  <si>
    <t xml:space="preserve">UNITED KINGDOM OF GREAT BRITAIN AND NORTHERN IRELAND </t>
  </si>
  <si>
    <t xml:space="preserve">UNITED STATES MINOR OUTLYING ISLANDS </t>
  </si>
  <si>
    <t xml:space="preserve">UNITED STATES OF AMERICA </t>
  </si>
  <si>
    <t xml:space="preserve">URUGUAY </t>
  </si>
  <si>
    <t xml:space="preserve">UZBEKISTAN </t>
  </si>
  <si>
    <t xml:space="preserve">VANUATU </t>
  </si>
  <si>
    <t xml:space="preserve">VENEZUELA (BOLIVARIAN REPUBLIC OF) </t>
  </si>
  <si>
    <t xml:space="preserve">VIET NAM </t>
  </si>
  <si>
    <t xml:space="preserve">VIRGIN ISLANDS, BRITISH </t>
  </si>
  <si>
    <t xml:space="preserve">VIRGIN ISLANDS, U.S. </t>
  </si>
  <si>
    <t xml:space="preserve">WALLIS AND FUTUNA </t>
  </si>
  <si>
    <t xml:space="preserve">WESTERN SAHARA </t>
  </si>
  <si>
    <t xml:space="preserve">YEMEN </t>
  </si>
  <si>
    <t xml:space="preserve">ZAMBIA </t>
  </si>
  <si>
    <t xml:space="preserve">ZIMBABWE </t>
  </si>
  <si>
    <t>2 Letter Code</t>
  </si>
  <si>
    <t>3 Letter Code</t>
  </si>
  <si>
    <t>GENC (Geopolitical Entities, Names, and Codes Standard)</t>
  </si>
  <si>
    <t>String Comparison</t>
  </si>
  <si>
    <t>NCIt Concept Code</t>
  </si>
  <si>
    <t>NCIt Preferred Term</t>
  </si>
  <si>
    <t>GENC Name</t>
  </si>
  <si>
    <t>GENC 2 Letter Code</t>
  </si>
  <si>
    <t>GENC 3 Letter Code</t>
  </si>
  <si>
    <t>GENC Number</t>
  </si>
  <si>
    <t>NCIt Subset Code</t>
  </si>
  <si>
    <t>NCIt Subset Name</t>
  </si>
  <si>
    <t>C123773</t>
  </si>
  <si>
    <t>Wake Island</t>
  </si>
  <si>
    <t>C124085</t>
  </si>
  <si>
    <t>Geopolitical Entities, Names and Codes Terminology</t>
  </si>
  <si>
    <t>C123772</t>
  </si>
  <si>
    <t>Unknown GENC</t>
  </si>
  <si>
    <t>Zimbabwe</t>
  </si>
  <si>
    <t>C123771</t>
  </si>
  <si>
    <t>Tromelin Island</t>
  </si>
  <si>
    <t>Zambia</t>
  </si>
  <si>
    <t>Congo, the Democratic Republic of the</t>
  </si>
  <si>
    <t>C123770</t>
  </si>
  <si>
    <t>Svalbard</t>
  </si>
  <si>
    <t>C123774</t>
  </si>
  <si>
    <t>West Bank</t>
  </si>
  <si>
    <t>Yemen</t>
  </si>
  <si>
    <t>Micronesia, Federated States of</t>
  </si>
  <si>
    <t>C123760</t>
  </si>
  <si>
    <t>Jan Mayen</t>
  </si>
  <si>
    <t>Virgin Islands, U.S.</t>
  </si>
  <si>
    <t>C123762</t>
  </si>
  <si>
    <t>Johnston Atoll</t>
  </si>
  <si>
    <t>C123761</t>
  </si>
  <si>
    <t>Jarvis Island</t>
  </si>
  <si>
    <t>C123764</t>
  </si>
  <si>
    <t>Kingman Reef</t>
  </si>
  <si>
    <t>Wallis and Futuna</t>
  </si>
  <si>
    <t>C123763</t>
  </si>
  <si>
    <t>Juan de Nova Island</t>
  </si>
  <si>
    <t>C123766</t>
  </si>
  <si>
    <t>Navassa Island</t>
  </si>
  <si>
    <t>C123768</t>
  </si>
  <si>
    <t>Paracel Islands</t>
  </si>
  <si>
    <t>C123767</t>
  </si>
  <si>
    <t>Palmyra Atoll</t>
  </si>
  <si>
    <t>Venezuela, Bolivian Republic of</t>
  </si>
  <si>
    <t>C123769</t>
  </si>
  <si>
    <t>Spratly Islands</t>
  </si>
  <si>
    <t>Viet Nam</t>
  </si>
  <si>
    <t>Saint Kitts and Nevis</t>
  </si>
  <si>
    <t>Aruba</t>
  </si>
  <si>
    <t>Northern Mariana Islands</t>
  </si>
  <si>
    <t>C123755</t>
  </si>
  <si>
    <t>Glorioso Islands</t>
  </si>
  <si>
    <t>C123754</t>
  </si>
  <si>
    <t>Gaza Strip</t>
  </si>
  <si>
    <t>C123753</t>
  </si>
  <si>
    <t>Europa Island</t>
  </si>
  <si>
    <t>C123752</t>
  </si>
  <si>
    <t>GENC Entity 6</t>
  </si>
  <si>
    <t>C123751</t>
  </si>
  <si>
    <t>GENC Entity 5</t>
  </si>
  <si>
    <t>Saint Martin (French Part)</t>
  </si>
  <si>
    <t>C123750</t>
  </si>
  <si>
    <t>GENC Entity 4</t>
  </si>
  <si>
    <t>C123759</t>
  </si>
  <si>
    <t>Howland Island</t>
  </si>
  <si>
    <t>C123756</t>
  </si>
  <si>
    <t>Guantanamo Bay Naval Base</t>
  </si>
  <si>
    <t>Virgin Islands, British</t>
  </si>
  <si>
    <t>Macedonia, the Former Yugoslav Republic of</t>
  </si>
  <si>
    <t>C123742</t>
  </si>
  <si>
    <t>Baker Island</t>
  </si>
  <si>
    <t>C123741</t>
  </si>
  <si>
    <t>Ashmore and Cartier Islands</t>
  </si>
  <si>
    <t>C123744</t>
  </si>
  <si>
    <t>Clipperton Island</t>
  </si>
  <si>
    <t>C123743</t>
  </si>
  <si>
    <t>Bassas da India</t>
  </si>
  <si>
    <t>C123740</t>
  </si>
  <si>
    <t>Kosovo</t>
  </si>
  <si>
    <t>C123749</t>
  </si>
  <si>
    <t>GENC Entity 3</t>
  </si>
  <si>
    <t>C123746</t>
  </si>
  <si>
    <t>Diego Garcia</t>
  </si>
  <si>
    <t>C123745</t>
  </si>
  <si>
    <t>Coral Sea Islands</t>
  </si>
  <si>
    <t>C123748</t>
  </si>
  <si>
    <t>GENC Entity 2</t>
  </si>
  <si>
    <t>C123747</t>
  </si>
  <si>
    <t>GENC Entity 1</t>
  </si>
  <si>
    <t>Saint Barthelemy</t>
  </si>
  <si>
    <t>C110919</t>
  </si>
  <si>
    <t>Midway Islands, UM</t>
  </si>
  <si>
    <t>Czech Republic</t>
  </si>
  <si>
    <t>Slovakia</t>
  </si>
  <si>
    <t>Nepal</t>
  </si>
  <si>
    <t>Netherlands</t>
  </si>
  <si>
    <t>Lesotho</t>
  </si>
  <si>
    <t>Isle of Man</t>
  </si>
  <si>
    <t>Tunisia</t>
  </si>
  <si>
    <t>Lebanon</t>
  </si>
  <si>
    <t>Latvia</t>
  </si>
  <si>
    <t>Christmas Island</t>
  </si>
  <si>
    <t>Turks and Caicos Islands</t>
  </si>
  <si>
    <t>Tuvalu</t>
  </si>
  <si>
    <t>Lao People's Democratic Republic</t>
  </si>
  <si>
    <t>Turkey</t>
  </si>
  <si>
    <t>Mozambique</t>
  </si>
  <si>
    <t>Turkmenistan</t>
  </si>
  <si>
    <t>Uganda</t>
  </si>
  <si>
    <t>Ukraine</t>
  </si>
  <si>
    <t>Morocco</t>
  </si>
  <si>
    <t>Palau</t>
  </si>
  <si>
    <t>Denmark</t>
  </si>
  <si>
    <t>Cayman Islands</t>
  </si>
  <si>
    <t>Ghana</t>
  </si>
  <si>
    <t>Lithuania</t>
  </si>
  <si>
    <t>Liechtenstein</t>
  </si>
  <si>
    <t>Libya</t>
  </si>
  <si>
    <t>Namibia</t>
  </si>
  <si>
    <t>American Samoa</t>
  </si>
  <si>
    <t>Liberia</t>
  </si>
  <si>
    <t>Nauru</t>
  </si>
  <si>
    <t>Trinidad and Tobago</t>
  </si>
  <si>
    <t>Djibouti</t>
  </si>
  <si>
    <t>Samoa</t>
  </si>
  <si>
    <t>Cyprus</t>
  </si>
  <si>
    <t>Cape Verde</t>
  </si>
  <si>
    <t>Canada</t>
  </si>
  <si>
    <t>Jamaica</t>
  </si>
  <si>
    <t>Cote d'Ivoire</t>
  </si>
  <si>
    <t>CÔTE D'IVOIRE</t>
  </si>
  <si>
    <t>Italy</t>
  </si>
  <si>
    <t>Israel</t>
  </si>
  <si>
    <t>Jordan</t>
  </si>
  <si>
    <t>Japan</t>
  </si>
  <si>
    <t>Holy See (Vatican City State)</t>
  </si>
  <si>
    <t>Uzbekistan</t>
  </si>
  <si>
    <t>Vanuatu</t>
  </si>
  <si>
    <t>Uruguay</t>
  </si>
  <si>
    <t>Cambodia</t>
  </si>
  <si>
    <t>Cameroon</t>
  </si>
  <si>
    <t>Myanmar</t>
  </si>
  <si>
    <t>Ireland</t>
  </si>
  <si>
    <t>Burundi</t>
  </si>
  <si>
    <t>Belarus</t>
  </si>
  <si>
    <t>Kyrgyzstan</t>
  </si>
  <si>
    <t>Korea, Republic of</t>
  </si>
  <si>
    <t>Korea, Democratic People's Republic of</t>
  </si>
  <si>
    <t>United Arab Emirates</t>
  </si>
  <si>
    <t>Reunion</t>
  </si>
  <si>
    <t>Georgia (Republic)</t>
  </si>
  <si>
    <t>Kuwait</t>
  </si>
  <si>
    <t>United Kingdom</t>
  </si>
  <si>
    <t>United States</t>
  </si>
  <si>
    <t>Brazil</t>
  </si>
  <si>
    <t>British Indian Ocean Territory</t>
  </si>
  <si>
    <t>Brunei Darussalam</t>
  </si>
  <si>
    <t>Bulgaria</t>
  </si>
  <si>
    <t>Curacao</t>
  </si>
  <si>
    <t>Bonaire, Sint Eustatius and Saba</t>
  </si>
  <si>
    <t>Burkina Faso</t>
  </si>
  <si>
    <t>Sint Maarten (Dutch Part)</t>
  </si>
  <si>
    <t>Kenya</t>
  </si>
  <si>
    <t>Bosnia and Herzegovina</t>
  </si>
  <si>
    <t>Botswana</t>
  </si>
  <si>
    <t>Grenada</t>
  </si>
  <si>
    <t>Paraguay</t>
  </si>
  <si>
    <t>Papua New Guinea</t>
  </si>
  <si>
    <t>Comoros</t>
  </si>
  <si>
    <t>Panama</t>
  </si>
  <si>
    <t>Heard Island and McDonald Islands</t>
  </si>
  <si>
    <t>French Southern and Antarctic Lands</t>
  </si>
  <si>
    <t>Bolivia, Plurinational State of</t>
  </si>
  <si>
    <t>Kazakhstan</t>
  </si>
  <si>
    <t>Afghanistan</t>
  </si>
  <si>
    <t>Bouvet Island</t>
  </si>
  <si>
    <t>Saudi Arabia</t>
  </si>
  <si>
    <t>Sao Tome and Principe</t>
  </si>
  <si>
    <t>Equatorial Guinea</t>
  </si>
  <si>
    <t>Eritrea</t>
  </si>
  <si>
    <t>South Georgia and the South Sandwich Islands</t>
  </si>
  <si>
    <t>Mexico</t>
  </si>
  <si>
    <t>Saint Lucia</t>
  </si>
  <si>
    <t>Rwanda</t>
  </si>
  <si>
    <t>San Marino</t>
  </si>
  <si>
    <t>Saint Vincent and the Grenadines</t>
  </si>
  <si>
    <t>Colombia</t>
  </si>
  <si>
    <t>Guadeloupe</t>
  </si>
  <si>
    <t>Guam</t>
  </si>
  <si>
    <t>Russian Federation</t>
  </si>
  <si>
    <t>Guatemala</t>
  </si>
  <si>
    <t>Iran, Islamic Republic of</t>
  </si>
  <si>
    <t>Guinea</t>
  </si>
  <si>
    <t>Iraq</t>
  </si>
  <si>
    <t>Guinea-Bissau</t>
  </si>
  <si>
    <t>Guyana</t>
  </si>
  <si>
    <t>Pakistan</t>
  </si>
  <si>
    <t>Kiribati</t>
  </si>
  <si>
    <t>Gibraltar</t>
  </si>
  <si>
    <t>Algeria</t>
  </si>
  <si>
    <t>Germany</t>
  </si>
  <si>
    <t>Albania</t>
  </si>
  <si>
    <t>Cocos (Keeling) Islands</t>
  </si>
  <si>
    <t>Seychelles</t>
  </si>
  <si>
    <t>Oman</t>
  </si>
  <si>
    <t>Senegal</t>
  </si>
  <si>
    <t>Greece</t>
  </si>
  <si>
    <t>Greenland</t>
  </si>
  <si>
    <t>Indonesia</t>
  </si>
  <si>
    <t>India</t>
  </si>
  <si>
    <t>Croatia</t>
  </si>
  <si>
    <t>Cuba</t>
  </si>
  <si>
    <t>Belize</t>
  </si>
  <si>
    <t>Costa Rica</t>
  </si>
  <si>
    <t>Bermuda</t>
  </si>
  <si>
    <t>Benin</t>
  </si>
  <si>
    <t>Ecuador</t>
  </si>
  <si>
    <t>Bhutan</t>
  </si>
  <si>
    <t>Tonga</t>
  </si>
  <si>
    <t>Belgium</t>
  </si>
  <si>
    <t>Egypt</t>
  </si>
  <si>
    <t>El Salvador</t>
  </si>
  <si>
    <t>Moldova, Republic of</t>
  </si>
  <si>
    <t>Montserrat</t>
  </si>
  <si>
    <t>Timor-Leste</t>
  </si>
  <si>
    <t>Monaco</t>
  </si>
  <si>
    <t>Anguilla</t>
  </si>
  <si>
    <t>Mongolia</t>
  </si>
  <si>
    <t>Togo</t>
  </si>
  <si>
    <t>Cook Islands</t>
  </si>
  <si>
    <t>Congo</t>
  </si>
  <si>
    <t>Norway</t>
  </si>
  <si>
    <t>Bangladesh</t>
  </si>
  <si>
    <t>Bahrain</t>
  </si>
  <si>
    <t>Western Sahara</t>
  </si>
  <si>
    <t>Bahamas</t>
  </si>
  <si>
    <t>Dominica</t>
  </si>
  <si>
    <t>Barbados</t>
  </si>
  <si>
    <t>Dominican Republic</t>
  </si>
  <si>
    <t>Haiti</t>
  </si>
  <si>
    <t>Tokelau</t>
  </si>
  <si>
    <t>Romania</t>
  </si>
  <si>
    <t>Norfolk Island</t>
  </si>
  <si>
    <t>Antarctica</t>
  </si>
  <si>
    <t>Nicaragua</t>
  </si>
  <si>
    <t>Niger</t>
  </si>
  <si>
    <t>Nigeria</t>
  </si>
  <si>
    <t>Portugal</t>
  </si>
  <si>
    <t>Niue</t>
  </si>
  <si>
    <t>New Caledonia</t>
  </si>
  <si>
    <t>Poland</t>
  </si>
  <si>
    <t>New Zealand</t>
  </si>
  <si>
    <t>Macau</t>
  </si>
  <si>
    <t>Madagascar</t>
  </si>
  <si>
    <t>Azerbaijan</t>
  </si>
  <si>
    <t>Luxembourg</t>
  </si>
  <si>
    <t>Australia</t>
  </si>
  <si>
    <t>Austria</t>
  </si>
  <si>
    <t>Pitcairn</t>
  </si>
  <si>
    <t>Iceland</t>
  </si>
  <si>
    <t>Chad</t>
  </si>
  <si>
    <t>Spain</t>
  </si>
  <si>
    <t>Hong Kong</t>
  </si>
  <si>
    <t>France</t>
  </si>
  <si>
    <t>Honduras</t>
  </si>
  <si>
    <t>French Polynesia</t>
  </si>
  <si>
    <t>Suriname</t>
  </si>
  <si>
    <t>French Guiana</t>
  </si>
  <si>
    <t>Hungary</t>
  </si>
  <si>
    <t>Central African Republic</t>
  </si>
  <si>
    <t>Sudan</t>
  </si>
  <si>
    <t>South Africa</t>
  </si>
  <si>
    <t>Gabon</t>
  </si>
  <si>
    <t>Armenia</t>
  </si>
  <si>
    <t>The Gambia</t>
  </si>
  <si>
    <t>Swaziland</t>
  </si>
  <si>
    <t>Argentina</t>
  </si>
  <si>
    <t>Antigua and Barbuda</t>
  </si>
  <si>
    <t>Sweden</t>
  </si>
  <si>
    <t>Tanzania, United Republic of</t>
  </si>
  <si>
    <t>Saint Pierre and Miquelon</t>
  </si>
  <si>
    <t>Philippines</t>
  </si>
  <si>
    <t>Fiji</t>
  </si>
  <si>
    <t>Sri Lanka</t>
  </si>
  <si>
    <t>Saint Helena, Ascension and Tristan da Cunha</t>
  </si>
  <si>
    <t>Switzerland</t>
  </si>
  <si>
    <t>Syrian Arab Republic</t>
  </si>
  <si>
    <t>Tajikistan</t>
  </si>
  <si>
    <t>Taiwan</t>
  </si>
  <si>
    <t>Finland</t>
  </si>
  <si>
    <t>Andorra</t>
  </si>
  <si>
    <t>Mauritania</t>
  </si>
  <si>
    <t>Martinique</t>
  </si>
  <si>
    <t>Mauritius</t>
  </si>
  <si>
    <t>Mayotte</t>
  </si>
  <si>
    <t>Peru</t>
  </si>
  <si>
    <t>Thailand</t>
  </si>
  <si>
    <t>Sierra Leone</t>
  </si>
  <si>
    <t>China</t>
  </si>
  <si>
    <t>Chile</t>
  </si>
  <si>
    <t>Singapore</t>
  </si>
  <si>
    <t>Faroe Islands</t>
  </si>
  <si>
    <t>Slovenia</t>
  </si>
  <si>
    <t>Serbia</t>
  </si>
  <si>
    <t>Montenegro</t>
  </si>
  <si>
    <t>Malawi</t>
  </si>
  <si>
    <t>Malaysia</t>
  </si>
  <si>
    <t>Guernsey</t>
  </si>
  <si>
    <t>C49345</t>
  </si>
  <si>
    <t>Dhekelia</t>
  </si>
  <si>
    <t>Maldives</t>
  </si>
  <si>
    <t>Jersey</t>
  </si>
  <si>
    <t>C49344</t>
  </si>
  <si>
    <t>Akrotiri</t>
  </si>
  <si>
    <t>Mali</t>
  </si>
  <si>
    <t>Malta</t>
  </si>
  <si>
    <t>Angola</t>
  </si>
  <si>
    <t>Solomon Islands</t>
  </si>
  <si>
    <t>Qatar</t>
  </si>
  <si>
    <t>Ethiopia</t>
  </si>
  <si>
    <t>Puerto Rico</t>
  </si>
  <si>
    <t>Estonia</t>
  </si>
  <si>
    <t>Falkland Islands (Malvinas)</t>
  </si>
  <si>
    <t>Somalia</t>
  </si>
  <si>
    <t>Marshall Islands</t>
  </si>
  <si>
    <t>South Sudan</t>
  </si>
  <si>
    <r>
      <rPr>
        <b/>
        <sz val="10"/>
        <rFont val="Arial"/>
        <family val="2"/>
      </rPr>
      <t>Geopolitical</t>
    </r>
    <r>
      <rPr>
        <b/>
        <sz val="10"/>
        <color rgb="FF0000CC"/>
        <rFont val="Arial"/>
        <family val="2"/>
      </rPr>
      <t xml:space="preserve"> </t>
    </r>
    <r>
      <rPr>
        <b/>
        <sz val="10"/>
        <rFont val="Arial"/>
        <family val="2"/>
      </rPr>
      <t>Entity</t>
    </r>
  </si>
  <si>
    <t>6-character Code</t>
  </si>
  <si>
    <t>Preferred Name</t>
  </si>
  <si>
    <t>Subdivision Category</t>
  </si>
  <si>
    <t>AF-BDS</t>
  </si>
  <si>
    <t>Badakhshān</t>
  </si>
  <si>
    <t>province</t>
  </si>
  <si>
    <t>AF-BGL</t>
  </si>
  <si>
    <t>Baghlān</t>
  </si>
  <si>
    <t>AF-BAL</t>
  </si>
  <si>
    <t>Balkh</t>
  </si>
  <si>
    <t>AF-BDG</t>
  </si>
  <si>
    <t>Bādghīs</t>
  </si>
  <si>
    <t>AF-BAM</t>
  </si>
  <si>
    <t>Bāmyān</t>
  </si>
  <si>
    <t>AF-DAY</t>
  </si>
  <si>
    <t>Dāykundī</t>
  </si>
  <si>
    <t>AF-FRA</t>
  </si>
  <si>
    <t>Farāh</t>
  </si>
  <si>
    <t>AF-FYB</t>
  </si>
  <si>
    <t>Fāryāb</t>
  </si>
  <si>
    <t>AF-GHA</t>
  </si>
  <si>
    <t>Ghaznī</t>
  </si>
  <si>
    <t>AF-GHO</t>
  </si>
  <si>
    <t>Ghōr</t>
  </si>
  <si>
    <t>AF-HEL</t>
  </si>
  <si>
    <t>Helmand</t>
  </si>
  <si>
    <t>AF-HER</t>
  </si>
  <si>
    <t>Herāt</t>
  </si>
  <si>
    <t>AF-JOW</t>
  </si>
  <si>
    <t>Jowzjān</t>
  </si>
  <si>
    <t>AF-KAN</t>
  </si>
  <si>
    <t>Kandahār</t>
  </si>
  <si>
    <t>AF-KHO</t>
  </si>
  <si>
    <t>Khōst</t>
  </si>
  <si>
    <t>AF-KNR</t>
  </si>
  <si>
    <t>Kunar</t>
  </si>
  <si>
    <t>AF-KDZ</t>
  </si>
  <si>
    <t>Kunduz</t>
  </si>
  <si>
    <t>AF-KAB</t>
  </si>
  <si>
    <t>Kābul</t>
  </si>
  <si>
    <t>AF-KAP</t>
  </si>
  <si>
    <t>Kāpīsā</t>
  </si>
  <si>
    <t>AF-LAG</t>
  </si>
  <si>
    <t>Laghmān</t>
  </si>
  <si>
    <t>AF-LOG</t>
  </si>
  <si>
    <t>Lōgar</t>
  </si>
  <si>
    <t>AF-NAN</t>
  </si>
  <si>
    <t>Nangarhār</t>
  </si>
  <si>
    <t>AF-NIM</t>
  </si>
  <si>
    <t>Nīmrōz</t>
  </si>
  <si>
    <t>AF-NUR</t>
  </si>
  <si>
    <t>Nūristān</t>
  </si>
  <si>
    <t>AF-PKA</t>
  </si>
  <si>
    <t>Paktīkā</t>
  </si>
  <si>
    <t>AF-PIA</t>
  </si>
  <si>
    <t>Paktīā</t>
  </si>
  <si>
    <t>AF-PAN</t>
  </si>
  <si>
    <t>Panjshayr</t>
  </si>
  <si>
    <t>AF-PAR</t>
  </si>
  <si>
    <t>Parwān</t>
  </si>
  <si>
    <t>AF-SAM</t>
  </si>
  <si>
    <t>Samangān</t>
  </si>
  <si>
    <t>AF-SAR</t>
  </si>
  <si>
    <t>Sar-e Pul</t>
  </si>
  <si>
    <t>AF-TAK</t>
  </si>
  <si>
    <t>Takhār</t>
  </si>
  <si>
    <t>AF-URU</t>
  </si>
  <si>
    <t>Uruzgān</t>
  </si>
  <si>
    <t>AF-WAR</t>
  </si>
  <si>
    <t>Wardak</t>
  </si>
  <si>
    <t>AF-ZAB</t>
  </si>
  <si>
    <t>Zābul</t>
  </si>
  <si>
    <t>AL-01</t>
  </si>
  <si>
    <t>Berat</t>
  </si>
  <si>
    <t>county</t>
  </si>
  <si>
    <t>AL-BR</t>
  </si>
  <si>
    <t>district</t>
  </si>
  <si>
    <t>AL-BU</t>
  </si>
  <si>
    <t>Bulqizë</t>
  </si>
  <si>
    <t>AL-DL</t>
  </si>
  <si>
    <t>Delvinë</t>
  </si>
  <si>
    <t>AL-DV</t>
  </si>
  <si>
    <t>Devoll</t>
  </si>
  <si>
    <t>AL-09</t>
  </si>
  <si>
    <t>Dibër</t>
  </si>
  <si>
    <t>AL-DI</t>
  </si>
  <si>
    <t>AL-02</t>
  </si>
  <si>
    <t>Durrës</t>
  </si>
  <si>
    <t>AL-DR</t>
  </si>
  <si>
    <t>AL-03</t>
  </si>
  <si>
    <t>Elbasan</t>
  </si>
  <si>
    <t>AL-EL</t>
  </si>
  <si>
    <t>AL-04</t>
  </si>
  <si>
    <t>Fier</t>
  </si>
  <si>
    <t>AL-FR</t>
  </si>
  <si>
    <t>AL-05</t>
  </si>
  <si>
    <t>Gjirokastër</t>
  </si>
  <si>
    <t>AL-GJ</t>
  </si>
  <si>
    <t>AL-GR</t>
  </si>
  <si>
    <t>Gramsh</t>
  </si>
  <si>
    <t>AL-HA</t>
  </si>
  <si>
    <t>Has</t>
  </si>
  <si>
    <t>AL-KA</t>
  </si>
  <si>
    <t>Kavajë</t>
  </si>
  <si>
    <t>AL-ER</t>
  </si>
  <si>
    <t>Kolonjë</t>
  </si>
  <si>
    <t>AL-06</t>
  </si>
  <si>
    <t>Korçë</t>
  </si>
  <si>
    <t>AL-KO</t>
  </si>
  <si>
    <t>AL-KR</t>
  </si>
  <si>
    <t>Krujë</t>
  </si>
  <si>
    <t>AL-07</t>
  </si>
  <si>
    <t>Kukës</t>
  </si>
  <si>
    <t>AL-KU</t>
  </si>
  <si>
    <t>AL-KB</t>
  </si>
  <si>
    <t>Kurbin</t>
  </si>
  <si>
    <t>AL-KC</t>
  </si>
  <si>
    <t>Kuçovë</t>
  </si>
  <si>
    <t>AL-08</t>
  </si>
  <si>
    <t>Lezhë</t>
  </si>
  <si>
    <t>AL-LE</t>
  </si>
  <si>
    <t>AL-LB</t>
  </si>
  <si>
    <t>Librazhd</t>
  </si>
  <si>
    <t>AL-LU</t>
  </si>
  <si>
    <t>Lushnjë</t>
  </si>
  <si>
    <t>AL-MK</t>
  </si>
  <si>
    <t>Mallakastër</t>
  </si>
  <si>
    <t>AL-MM</t>
  </si>
  <si>
    <t>Malësi e Madhe</t>
  </si>
  <si>
    <t>AL-MT</t>
  </si>
  <si>
    <t>Mat</t>
  </si>
  <si>
    <t>AL-MR</t>
  </si>
  <si>
    <t>Mirditë</t>
  </si>
  <si>
    <t>AL-PQ</t>
  </si>
  <si>
    <t>Peqin</t>
  </si>
  <si>
    <t>AL-PG</t>
  </si>
  <si>
    <t>Pogradec</t>
  </si>
  <si>
    <t>AL-PU</t>
  </si>
  <si>
    <t>Pukë</t>
  </si>
  <si>
    <t>AL-PR</t>
  </si>
  <si>
    <t>Përmet</t>
  </si>
  <si>
    <t>AL-SR</t>
  </si>
  <si>
    <t>Sarandë</t>
  </si>
  <si>
    <t>AL-10</t>
  </si>
  <si>
    <t>Shkodër</t>
  </si>
  <si>
    <t>AL-SH</t>
  </si>
  <si>
    <t>AL-SK</t>
  </si>
  <si>
    <t>Skrapar</t>
  </si>
  <si>
    <t>AL-TE</t>
  </si>
  <si>
    <t>Tepelenë</t>
  </si>
  <si>
    <t>AL-11</t>
  </si>
  <si>
    <t>Tiranë</t>
  </si>
  <si>
    <t>AL-TR</t>
  </si>
  <si>
    <t>AL-TP</t>
  </si>
  <si>
    <t>Tropojë</t>
  </si>
  <si>
    <t>AL-12</t>
  </si>
  <si>
    <t>Vlorë</t>
  </si>
  <si>
    <t>AL-VL</t>
  </si>
  <si>
    <t>DZ-01</t>
  </si>
  <si>
    <t>Adrar</t>
  </si>
  <si>
    <t>DZ-16</t>
  </si>
  <si>
    <t>Alger</t>
  </si>
  <si>
    <t>DZ-23</t>
  </si>
  <si>
    <t>Annaba</t>
  </si>
  <si>
    <t>DZ-44</t>
  </si>
  <si>
    <t>Aïn Defla</t>
  </si>
  <si>
    <t>DZ-46</t>
  </si>
  <si>
    <t>Aïn Témouchent</t>
  </si>
  <si>
    <t>DZ-05</t>
  </si>
  <si>
    <t>Batna</t>
  </si>
  <si>
    <t>DZ-07</t>
  </si>
  <si>
    <t>Biskra</t>
  </si>
  <si>
    <t>DZ-09</t>
  </si>
  <si>
    <t>Blida</t>
  </si>
  <si>
    <t>DZ-34</t>
  </si>
  <si>
    <t>Bordj Bou Arréridj</t>
  </si>
  <si>
    <t>DZ-10</t>
  </si>
  <si>
    <t>Bouira</t>
  </si>
  <si>
    <t>DZ-35</t>
  </si>
  <si>
    <t>Boumerdès</t>
  </si>
  <si>
    <t>DZ-08</t>
  </si>
  <si>
    <t>Béchar</t>
  </si>
  <si>
    <t>DZ-06</t>
  </si>
  <si>
    <t>Béjaïa</t>
  </si>
  <si>
    <t>DZ-02</t>
  </si>
  <si>
    <t>Chlef</t>
  </si>
  <si>
    <t>DZ-25</t>
  </si>
  <si>
    <t>Constantine</t>
  </si>
  <si>
    <t>DZ-17</t>
  </si>
  <si>
    <t>Djelfa</t>
  </si>
  <si>
    <t>DZ-32</t>
  </si>
  <si>
    <t>El Bayadh</t>
  </si>
  <si>
    <t>DZ-39</t>
  </si>
  <si>
    <t>El Oued</t>
  </si>
  <si>
    <t>DZ-36</t>
  </si>
  <si>
    <t>El Tarf</t>
  </si>
  <si>
    <t>DZ-47</t>
  </si>
  <si>
    <t>Ghardaïa</t>
  </si>
  <si>
    <t>DZ-24</t>
  </si>
  <si>
    <t>Guelma</t>
  </si>
  <si>
    <t>DZ-33</t>
  </si>
  <si>
    <t>Illizi</t>
  </si>
  <si>
    <t>DZ-18</t>
  </si>
  <si>
    <t>Jijel</t>
  </si>
  <si>
    <t>DZ-40</t>
  </si>
  <si>
    <t>Khenchela</t>
  </si>
  <si>
    <t>DZ-03</t>
  </si>
  <si>
    <t>Laghouat</t>
  </si>
  <si>
    <t>DZ-29</t>
  </si>
  <si>
    <t>Mascara</t>
  </si>
  <si>
    <t>DZ-43</t>
  </si>
  <si>
    <t>Mila</t>
  </si>
  <si>
    <t>DZ-27</t>
  </si>
  <si>
    <t>Mostaganem</t>
  </si>
  <si>
    <t>DZ-28</t>
  </si>
  <si>
    <t>Msila</t>
  </si>
  <si>
    <t>DZ-26</t>
  </si>
  <si>
    <t>Médéa</t>
  </si>
  <si>
    <t>DZ-45</t>
  </si>
  <si>
    <t>Naama</t>
  </si>
  <si>
    <t>DZ-31</t>
  </si>
  <si>
    <t>Oran</t>
  </si>
  <si>
    <t>DZ-30</t>
  </si>
  <si>
    <t>Ouargla</t>
  </si>
  <si>
    <t>DZ-04</t>
  </si>
  <si>
    <t>Oum el Bouaghi</t>
  </si>
  <si>
    <t>DZ-48</t>
  </si>
  <si>
    <t>Relizane</t>
  </si>
  <si>
    <t>DZ-20</t>
  </si>
  <si>
    <t>Saïda</t>
  </si>
  <si>
    <t>DZ-22</t>
  </si>
  <si>
    <t>Sidi Bel Abbès</t>
  </si>
  <si>
    <t>DZ-21</t>
  </si>
  <si>
    <t>Skikda</t>
  </si>
  <si>
    <t>DZ-41</t>
  </si>
  <si>
    <t>Souk Ahras</t>
  </si>
  <si>
    <t>DZ-19</t>
  </si>
  <si>
    <t>Sétif</t>
  </si>
  <si>
    <t>DZ-11</t>
  </si>
  <si>
    <t>Tamanghasset</t>
  </si>
  <si>
    <t>DZ-14</t>
  </si>
  <si>
    <t>Tiaret</t>
  </si>
  <si>
    <t>DZ-37</t>
  </si>
  <si>
    <t>Tindouf</t>
  </si>
  <si>
    <t>DZ-42</t>
  </si>
  <si>
    <t>Tipaza</t>
  </si>
  <si>
    <t>DZ-38</t>
  </si>
  <si>
    <t>Tissemsilt</t>
  </si>
  <si>
    <t>DZ-15</t>
  </si>
  <si>
    <t>Tizi Ouzou</t>
  </si>
  <si>
    <t>DZ-13</t>
  </si>
  <si>
    <t>Tlemcen</t>
  </si>
  <si>
    <t>DZ-12</t>
  </si>
  <si>
    <t>Tébessa</t>
  </si>
  <si>
    <t>AD-07</t>
  </si>
  <si>
    <t>Andorra la Vella</t>
  </si>
  <si>
    <t>parish</t>
  </si>
  <si>
    <t>AD-02</t>
  </si>
  <si>
    <t>Canillo</t>
  </si>
  <si>
    <t>AD-03</t>
  </si>
  <si>
    <t>Encamp</t>
  </si>
  <si>
    <t>AD-08</t>
  </si>
  <si>
    <t>Escaldes-Engordany</t>
  </si>
  <si>
    <t>AD-04</t>
  </si>
  <si>
    <t>La Massana</t>
  </si>
  <si>
    <t>AD-05</t>
  </si>
  <si>
    <t>Ordino</t>
  </si>
  <si>
    <t>AD-06</t>
  </si>
  <si>
    <t>Sant Julià de Lòria</t>
  </si>
  <si>
    <t>AO-BGO</t>
  </si>
  <si>
    <t>Bengo</t>
  </si>
  <si>
    <t>AO-BGU</t>
  </si>
  <si>
    <t>Benguela</t>
  </si>
  <si>
    <t>AO-BIE</t>
  </si>
  <si>
    <t>Bié</t>
  </si>
  <si>
    <t>AO-CAB</t>
  </si>
  <si>
    <t>Cabinda</t>
  </si>
  <si>
    <t>AO-CCU</t>
  </si>
  <si>
    <t>Cuando-Cubango</t>
  </si>
  <si>
    <t>AO-CNO</t>
  </si>
  <si>
    <t>Cuanza Norte</t>
  </si>
  <si>
    <t>AO-CUS</t>
  </si>
  <si>
    <t>Cuanza Sul</t>
  </si>
  <si>
    <t>AO-CNN</t>
  </si>
  <si>
    <t>Cunene</t>
  </si>
  <si>
    <t>AO-HUA</t>
  </si>
  <si>
    <t>Huambo</t>
  </si>
  <si>
    <t>AO-HUI</t>
  </si>
  <si>
    <t>Huíla</t>
  </si>
  <si>
    <t>AO-LUA</t>
  </si>
  <si>
    <t>Luanda</t>
  </si>
  <si>
    <t>AO-LNO</t>
  </si>
  <si>
    <t>Lunda Norte</t>
  </si>
  <si>
    <t>AO-LSU</t>
  </si>
  <si>
    <t>Lunda Sul</t>
  </si>
  <si>
    <t>AO-MAL</t>
  </si>
  <si>
    <t>Malange</t>
  </si>
  <si>
    <t>AO-MOX</t>
  </si>
  <si>
    <t>Moxico</t>
  </si>
  <si>
    <t>AO-NAM</t>
  </si>
  <si>
    <t>Namibe</t>
  </si>
  <si>
    <t>AO-UIG</t>
  </si>
  <si>
    <t>Uíge</t>
  </si>
  <si>
    <t>AO-ZAI</t>
  </si>
  <si>
    <t>Zaire</t>
  </si>
  <si>
    <t>AG-10</t>
  </si>
  <si>
    <t>Barbuda</t>
  </si>
  <si>
    <t>dependency</t>
  </si>
  <si>
    <t>AG-11</t>
  </si>
  <si>
    <t>Redonda</t>
  </si>
  <si>
    <t>AG-03</t>
  </si>
  <si>
    <t>Saint George</t>
  </si>
  <si>
    <t>AG-04</t>
  </si>
  <si>
    <t>Saint John's</t>
  </si>
  <si>
    <t>AG-05</t>
  </si>
  <si>
    <t>Saint Mary</t>
  </si>
  <si>
    <t>AG-06</t>
  </si>
  <si>
    <t>Saint Paul</t>
  </si>
  <si>
    <t>AG-07</t>
  </si>
  <si>
    <t>Saint Peter</t>
  </si>
  <si>
    <t>AG-08</t>
  </si>
  <si>
    <t>Saint Philip</t>
  </si>
  <si>
    <t>AR-B</t>
  </si>
  <si>
    <t>Buenos Aires</t>
  </si>
  <si>
    <t>AR-K</t>
  </si>
  <si>
    <t>Catamarca</t>
  </si>
  <si>
    <t>AR-H</t>
  </si>
  <si>
    <t>Chaco</t>
  </si>
  <si>
    <t>AR-U</t>
  </si>
  <si>
    <t>Chubut</t>
  </si>
  <si>
    <t>AR-C</t>
  </si>
  <si>
    <t>Ciudad Autónoma de Buenos Aires</t>
  </si>
  <si>
    <t>city</t>
  </si>
  <si>
    <t>AR-W</t>
  </si>
  <si>
    <t>Corrientes</t>
  </si>
  <si>
    <t>AR-X</t>
  </si>
  <si>
    <t>Córdoba</t>
  </si>
  <si>
    <t>AR-E</t>
  </si>
  <si>
    <t>Entre Ríos</t>
  </si>
  <si>
    <t>AR-P</t>
  </si>
  <si>
    <t>Formosa</t>
  </si>
  <si>
    <t>AR-Y</t>
  </si>
  <si>
    <t>Jujuy</t>
  </si>
  <si>
    <t>AR-L</t>
  </si>
  <si>
    <t>La Pampa</t>
  </si>
  <si>
    <t>AR-F</t>
  </si>
  <si>
    <t>La Rioja</t>
  </si>
  <si>
    <t>AR-M</t>
  </si>
  <si>
    <t>Mendoza</t>
  </si>
  <si>
    <t>AR-N</t>
  </si>
  <si>
    <t>Misiones</t>
  </si>
  <si>
    <t>AR-Q</t>
  </si>
  <si>
    <t>Neuquén</t>
  </si>
  <si>
    <t>AR-R</t>
  </si>
  <si>
    <t>Río Negro</t>
  </si>
  <si>
    <t>AR-A</t>
  </si>
  <si>
    <t>Salta</t>
  </si>
  <si>
    <t>AR-J</t>
  </si>
  <si>
    <t>San Juan</t>
  </si>
  <si>
    <t>AR-D</t>
  </si>
  <si>
    <t>San Luis</t>
  </si>
  <si>
    <t>AR-Z</t>
  </si>
  <si>
    <t>Santa Cruz</t>
  </si>
  <si>
    <t>AR-S</t>
  </si>
  <si>
    <t>Santa Fe</t>
  </si>
  <si>
    <t>AR-G</t>
  </si>
  <si>
    <t>Santiago del Estero</t>
  </si>
  <si>
    <t>AR-V</t>
  </si>
  <si>
    <t>Tierra del Fuego</t>
  </si>
  <si>
    <t>AR-T</t>
  </si>
  <si>
    <t>Tucumán</t>
  </si>
  <si>
    <t>AM-AG</t>
  </si>
  <si>
    <t>Aragac̣otn</t>
  </si>
  <si>
    <t>region</t>
  </si>
  <si>
    <t>AM-AR</t>
  </si>
  <si>
    <t>Ararat</t>
  </si>
  <si>
    <t>AM-AV</t>
  </si>
  <si>
    <t>Armavir</t>
  </si>
  <si>
    <t>AM-ER</t>
  </si>
  <si>
    <t>Erevan</t>
  </si>
  <si>
    <t>AM-GR</t>
  </si>
  <si>
    <t>Geġark'unik'</t>
  </si>
  <si>
    <t>AM-KT</t>
  </si>
  <si>
    <t>Kotayk'</t>
  </si>
  <si>
    <t>AM-LO</t>
  </si>
  <si>
    <t>Loṙy</t>
  </si>
  <si>
    <t>AM-SU</t>
  </si>
  <si>
    <t>Syunik'</t>
  </si>
  <si>
    <t>AM-TV</t>
  </si>
  <si>
    <t>Tavuš</t>
  </si>
  <si>
    <t>AM-VD</t>
  </si>
  <si>
    <t>Vayoć Jor</t>
  </si>
  <si>
    <t>AM-SH</t>
  </si>
  <si>
    <t>Širak</t>
  </si>
  <si>
    <t>AU-ACT</t>
  </si>
  <si>
    <t>Australian Capital Territory</t>
  </si>
  <si>
    <t>territory</t>
  </si>
  <si>
    <t>AU-NSW</t>
  </si>
  <si>
    <t>New South Wales</t>
  </si>
  <si>
    <t>state</t>
  </si>
  <si>
    <t>AU-NT</t>
  </si>
  <si>
    <t>Northern Territory</t>
  </si>
  <si>
    <t>AU-QLD</t>
  </si>
  <si>
    <t>Queensland</t>
  </si>
  <si>
    <t>AU-SA</t>
  </si>
  <si>
    <t>South Australia</t>
  </si>
  <si>
    <t>AU-TAS</t>
  </si>
  <si>
    <t>Tasmania</t>
  </si>
  <si>
    <t>AU-VIC</t>
  </si>
  <si>
    <t>Victoria</t>
  </si>
  <si>
    <t>AU-WA</t>
  </si>
  <si>
    <t>Western Australia</t>
  </si>
  <si>
    <t>AT-1</t>
  </si>
  <si>
    <t>Burgenland</t>
  </si>
  <si>
    <t>federal Land</t>
  </si>
  <si>
    <t>AT-2</t>
  </si>
  <si>
    <t>Kärnten</t>
  </si>
  <si>
    <t>AT-3</t>
  </si>
  <si>
    <t>Niederösterreich</t>
  </si>
  <si>
    <t>AT-4</t>
  </si>
  <si>
    <t>Oberösterreich</t>
  </si>
  <si>
    <t>AT-5</t>
  </si>
  <si>
    <t>Salzburg</t>
  </si>
  <si>
    <t>AT-6</t>
  </si>
  <si>
    <t>Steiermark</t>
  </si>
  <si>
    <t>AT-7</t>
  </si>
  <si>
    <t>Tirol</t>
  </si>
  <si>
    <t>AT-8</t>
  </si>
  <si>
    <t>Vorarlberg</t>
  </si>
  <si>
    <t>AT-9</t>
  </si>
  <si>
    <t>Wien</t>
  </si>
  <si>
    <t>AZ-ABS</t>
  </si>
  <si>
    <t>Abşeron</t>
  </si>
  <si>
    <t>rayon</t>
  </si>
  <si>
    <t>AZ-AST</t>
  </si>
  <si>
    <t>Astara</t>
  </si>
  <si>
    <t>AZ-AGC</t>
  </si>
  <si>
    <t>Ağcabәdi</t>
  </si>
  <si>
    <t>AZ-AGM</t>
  </si>
  <si>
    <t>Ağdam</t>
  </si>
  <si>
    <t>AZ-AGS</t>
  </si>
  <si>
    <t>Ağdaş</t>
  </si>
  <si>
    <t>AZ-AGA</t>
  </si>
  <si>
    <t>Ağstafa</t>
  </si>
  <si>
    <t>AZ-AGU</t>
  </si>
  <si>
    <t>Ağsu</t>
  </si>
  <si>
    <t>AZ-BAB</t>
  </si>
  <si>
    <t>Babək</t>
  </si>
  <si>
    <t>AZ-BA</t>
  </si>
  <si>
    <t>Bakı</t>
  </si>
  <si>
    <t>municipality</t>
  </si>
  <si>
    <t>AZ-BAL</t>
  </si>
  <si>
    <t>Balakən</t>
  </si>
  <si>
    <t>AZ-BEY</t>
  </si>
  <si>
    <t>Beyləqan</t>
  </si>
  <si>
    <t>AZ-BIL</t>
  </si>
  <si>
    <t>Biləsuvar</t>
  </si>
  <si>
    <t>AZ-BAR</t>
  </si>
  <si>
    <t>Bərdə</t>
  </si>
  <si>
    <t>AZ-CUL</t>
  </si>
  <si>
    <t>Culfa</t>
  </si>
  <si>
    <t>AZ-CAB</t>
  </si>
  <si>
    <t>Cəbrayıl</t>
  </si>
  <si>
    <t>AZ-CAL</t>
  </si>
  <si>
    <t>Cəlilabad</t>
  </si>
  <si>
    <t>AZ-DAS</t>
  </si>
  <si>
    <t>Daşkəsən</t>
  </si>
  <si>
    <t>AZ-FUZ</t>
  </si>
  <si>
    <t>Füzuli</t>
  </si>
  <si>
    <t>AZ-GOR</t>
  </si>
  <si>
    <t>Goranboy</t>
  </si>
  <si>
    <t>AZ-GYG</t>
  </si>
  <si>
    <t>Göygöl</t>
  </si>
  <si>
    <t>AZ-GOY</t>
  </si>
  <si>
    <t>Göyçay</t>
  </si>
  <si>
    <t>AZ-GAD</t>
  </si>
  <si>
    <t>Gədəbəy</t>
  </si>
  <si>
    <t>AZ-GA</t>
  </si>
  <si>
    <t>Gәncә</t>
  </si>
  <si>
    <t>AZ-HAC</t>
  </si>
  <si>
    <t>Hacıqabul</t>
  </si>
  <si>
    <t>AZ-KUR</t>
  </si>
  <si>
    <t>Kürdəmir</t>
  </si>
  <si>
    <t>AZ-KAN</t>
  </si>
  <si>
    <t>Kǝngǝrli</t>
  </si>
  <si>
    <t>AZ-KAL</t>
  </si>
  <si>
    <t>Kəlbəcər</t>
  </si>
  <si>
    <t>AZ-LAC</t>
  </si>
  <si>
    <t>Laçın</t>
  </si>
  <si>
    <t>AZ-LER</t>
  </si>
  <si>
    <t>Lerik</t>
  </si>
  <si>
    <t>AZ-LAN</t>
  </si>
  <si>
    <t>Lənkəran</t>
  </si>
  <si>
    <t>AZ-LA</t>
  </si>
  <si>
    <t>Lәnkәran</t>
  </si>
  <si>
    <t>AZ-MAS</t>
  </si>
  <si>
    <t>Masallı</t>
  </si>
  <si>
    <t>AZ-MI</t>
  </si>
  <si>
    <t>Mingәçevir</t>
  </si>
  <si>
    <t>AZ-NA</t>
  </si>
  <si>
    <t>Naftalan</t>
  </si>
  <si>
    <t>AZ-NV</t>
  </si>
  <si>
    <t>Naxçıvan</t>
  </si>
  <si>
    <t>AZ-NX</t>
  </si>
  <si>
    <t>autonomous republic</t>
  </si>
  <si>
    <t>AZ-NEF</t>
  </si>
  <si>
    <t>Neftçala</t>
  </si>
  <si>
    <t>AZ-ORD</t>
  </si>
  <si>
    <t>Ordubad</t>
  </si>
  <si>
    <t>AZ-OGU</t>
  </si>
  <si>
    <t>Oğuz</t>
  </si>
  <si>
    <t>AZ-QAX</t>
  </si>
  <si>
    <t>Qax</t>
  </si>
  <si>
    <t>AZ-QAZ</t>
  </si>
  <si>
    <t>Qazax</t>
  </si>
  <si>
    <t>AZ-QOB</t>
  </si>
  <si>
    <t>Qobustan</t>
  </si>
  <si>
    <t>AZ-QBA</t>
  </si>
  <si>
    <t>Quba</t>
  </si>
  <si>
    <t>AZ-QBI</t>
  </si>
  <si>
    <t>Qubadlı</t>
  </si>
  <si>
    <t>AZ-QUS</t>
  </si>
  <si>
    <t>Qusar</t>
  </si>
  <si>
    <t>AZ-QAB</t>
  </si>
  <si>
    <t>Qәbәlә</t>
  </si>
  <si>
    <t>AZ-SAT</t>
  </si>
  <si>
    <t>Saatlı</t>
  </si>
  <si>
    <t>AZ-SAB</t>
  </si>
  <si>
    <t>Sabirabad</t>
  </si>
  <si>
    <t>AZ-SAL</t>
  </si>
  <si>
    <t>Salyan</t>
  </si>
  <si>
    <t>AZ-SMX</t>
  </si>
  <si>
    <t>Samux</t>
  </si>
  <si>
    <t>AZ-SIY</t>
  </si>
  <si>
    <t>Siyәzәn</t>
  </si>
  <si>
    <t>AZ-SM</t>
  </si>
  <si>
    <t>Sumqayıt</t>
  </si>
  <si>
    <t>AZ-SAD</t>
  </si>
  <si>
    <t>Sәdәrәk</t>
  </si>
  <si>
    <t>AZ-TOV</t>
  </si>
  <si>
    <t>Tovuz</t>
  </si>
  <si>
    <t>AZ-TAR</t>
  </si>
  <si>
    <t>Tәrtәr</t>
  </si>
  <si>
    <t>AZ-UCA</t>
  </si>
  <si>
    <t>Ucar</t>
  </si>
  <si>
    <t>AZ-XA</t>
  </si>
  <si>
    <t>Xankәndi</t>
  </si>
  <si>
    <t>AZ-XAC</t>
  </si>
  <si>
    <t>Xaçmaz</t>
  </si>
  <si>
    <t>AZ-XCI</t>
  </si>
  <si>
    <t>Xocalı</t>
  </si>
  <si>
    <t>AZ-XVD</t>
  </si>
  <si>
    <t>Xocavәnd</t>
  </si>
  <si>
    <t>AZ-XIZ</t>
  </si>
  <si>
    <t>Xızı</t>
  </si>
  <si>
    <t>AZ-YAR</t>
  </si>
  <si>
    <t>Yardımlı</t>
  </si>
  <si>
    <t>AZ-YE</t>
  </si>
  <si>
    <t>Yevlax</t>
  </si>
  <si>
    <t>AZ-YEV</t>
  </si>
  <si>
    <t>AZ-ZAQ</t>
  </si>
  <si>
    <t>Zaqatala</t>
  </si>
  <si>
    <t>AZ-ZAN</t>
  </si>
  <si>
    <t>Zәngilan</t>
  </si>
  <si>
    <t>AZ-ZAR</t>
  </si>
  <si>
    <t>Zәrdab</t>
  </si>
  <si>
    <t>AZ-IMI</t>
  </si>
  <si>
    <t>İmişli</t>
  </si>
  <si>
    <t>AZ-ISM</t>
  </si>
  <si>
    <t>İsmayıllı</t>
  </si>
  <si>
    <t>AZ-SBN</t>
  </si>
  <si>
    <t>Şabran</t>
  </si>
  <si>
    <t>AZ-SAH</t>
  </si>
  <si>
    <t>Şahbuz</t>
  </si>
  <si>
    <t>AZ-SMI</t>
  </si>
  <si>
    <t>Şamaxı</t>
  </si>
  <si>
    <t>AZ-SR</t>
  </si>
  <si>
    <t>Şirvan</t>
  </si>
  <si>
    <t>AZ-SUS</t>
  </si>
  <si>
    <t>Şuşa</t>
  </si>
  <si>
    <t>AZ-SA</t>
  </si>
  <si>
    <t>Şәki</t>
  </si>
  <si>
    <t>AZ-SAK</t>
  </si>
  <si>
    <t>AZ-SKR</t>
  </si>
  <si>
    <t>Şәmkir</t>
  </si>
  <si>
    <t>AZ-SAR</t>
  </si>
  <si>
    <t>Şәrur</t>
  </si>
  <si>
    <t>BS-AK</t>
  </si>
  <si>
    <t>Acklins</t>
  </si>
  <si>
    <t>BS-BY</t>
  </si>
  <si>
    <t>Berry Islands</t>
  </si>
  <si>
    <t>BS-BI</t>
  </si>
  <si>
    <t>Bimini</t>
  </si>
  <si>
    <t>BS-BP</t>
  </si>
  <si>
    <t>Black Point</t>
  </si>
  <si>
    <t>BS-CI</t>
  </si>
  <si>
    <t>Cat Island</t>
  </si>
  <si>
    <t>BS-CO</t>
  </si>
  <si>
    <t>Central Abaco</t>
  </si>
  <si>
    <t>BS-CS</t>
  </si>
  <si>
    <t>Central Andros</t>
  </si>
  <si>
    <t>BS-CE</t>
  </si>
  <si>
    <t>Central Eleuthera</t>
  </si>
  <si>
    <t>BS-FP</t>
  </si>
  <si>
    <t>City of Freeport</t>
  </si>
  <si>
    <t>BS-CK</t>
  </si>
  <si>
    <t>Crooked Island and Long Cay</t>
  </si>
  <si>
    <t>BS-EG</t>
  </si>
  <si>
    <t>East Grand Bahama</t>
  </si>
  <si>
    <t>BS-EX</t>
  </si>
  <si>
    <t>Exuma</t>
  </si>
  <si>
    <t>BS-GC</t>
  </si>
  <si>
    <t>Grand Cay</t>
  </si>
  <si>
    <t>BS-HI</t>
  </si>
  <si>
    <t>Harbour Island</t>
  </si>
  <si>
    <t>BS-HT</t>
  </si>
  <si>
    <t>Hope Town</t>
  </si>
  <si>
    <t>BS-IN</t>
  </si>
  <si>
    <t>Inagua</t>
  </si>
  <si>
    <t>BS-LI</t>
  </si>
  <si>
    <t>Long Island</t>
  </si>
  <si>
    <t>BS-MC</t>
  </si>
  <si>
    <t>Mangrove Cay</t>
  </si>
  <si>
    <t>BS-MG</t>
  </si>
  <si>
    <t>Mayaguana</t>
  </si>
  <si>
    <t>BS-MI</t>
  </si>
  <si>
    <t>Moores Island</t>
  </si>
  <si>
    <t>BS-NO</t>
  </si>
  <si>
    <t>North Abaco</t>
  </si>
  <si>
    <t>BS-NS</t>
  </si>
  <si>
    <t>North Andros</t>
  </si>
  <si>
    <t>BS-NE</t>
  </si>
  <si>
    <t>North Eleuthera</t>
  </si>
  <si>
    <t>BS-RI</t>
  </si>
  <si>
    <t>Ragged Island</t>
  </si>
  <si>
    <t>BS-RC</t>
  </si>
  <si>
    <t>Rum Cay</t>
  </si>
  <si>
    <t>BS-SS</t>
  </si>
  <si>
    <t>San Salvador</t>
  </si>
  <si>
    <t>BS-SO</t>
  </si>
  <si>
    <t>South Abaco</t>
  </si>
  <si>
    <t>BS-SA</t>
  </si>
  <si>
    <t>South Andros</t>
  </si>
  <si>
    <t>BS-SE</t>
  </si>
  <si>
    <t>South Eleuthera</t>
  </si>
  <si>
    <t>BS-SW</t>
  </si>
  <si>
    <t>Spanish Wells</t>
  </si>
  <si>
    <t>BS-WG</t>
  </si>
  <si>
    <t>West Grand Bahama</t>
  </si>
  <si>
    <t>BH-14</t>
  </si>
  <si>
    <t>Al Janūbīyah</t>
  </si>
  <si>
    <t>governorate</t>
  </si>
  <si>
    <t>BH-13</t>
  </si>
  <si>
    <t>Al Manāmah</t>
  </si>
  <si>
    <t>BH-15</t>
  </si>
  <si>
    <t>Al Muḩarraq</t>
  </si>
  <si>
    <t>BH-16</t>
  </si>
  <si>
    <t>Al Wusţá</t>
  </si>
  <si>
    <t>BH-17</t>
  </si>
  <si>
    <t>Ash Shamālīyah</t>
  </si>
  <si>
    <t>BD-05</t>
  </si>
  <si>
    <t>Bagerhat</t>
  </si>
  <si>
    <t>BD-01</t>
  </si>
  <si>
    <t>Bandarban</t>
  </si>
  <si>
    <t>BD-02</t>
  </si>
  <si>
    <t>Barguna</t>
  </si>
  <si>
    <t>BD-06</t>
  </si>
  <si>
    <t>Barisal</t>
  </si>
  <si>
    <t>BD-A</t>
  </si>
  <si>
    <t>division</t>
  </si>
  <si>
    <t>BD-07</t>
  </si>
  <si>
    <t>Bhola</t>
  </si>
  <si>
    <t>BD-03</t>
  </si>
  <si>
    <t>Bogra</t>
  </si>
  <si>
    <t>BD-04</t>
  </si>
  <si>
    <t>Brahmanbaria</t>
  </si>
  <si>
    <t>BD-09</t>
  </si>
  <si>
    <t>Chandpur</t>
  </si>
  <si>
    <t>BD-10</t>
  </si>
  <si>
    <t>Chittagong</t>
  </si>
  <si>
    <t>BD-B</t>
  </si>
  <si>
    <t>BD-12</t>
  </si>
  <si>
    <t>Chuadanga</t>
  </si>
  <si>
    <t>BD-08</t>
  </si>
  <si>
    <t>Comilla</t>
  </si>
  <si>
    <t>BD-11</t>
  </si>
  <si>
    <t>Cox's Bazar</t>
  </si>
  <si>
    <t>BD-13</t>
  </si>
  <si>
    <t>Dhaka</t>
  </si>
  <si>
    <t>BD-C</t>
  </si>
  <si>
    <t>BD-14</t>
  </si>
  <si>
    <t>Dinajpur</t>
  </si>
  <si>
    <t>BD-15</t>
  </si>
  <si>
    <t>Faridpur</t>
  </si>
  <si>
    <t>BD-16</t>
  </si>
  <si>
    <t>Feni</t>
  </si>
  <si>
    <t>BD-19</t>
  </si>
  <si>
    <t>Gaibandha</t>
  </si>
  <si>
    <t>BD-18</t>
  </si>
  <si>
    <t>Gazipur</t>
  </si>
  <si>
    <t>BD-17</t>
  </si>
  <si>
    <t>Gopalganj</t>
  </si>
  <si>
    <t>BD-20</t>
  </si>
  <si>
    <t>Habiganj</t>
  </si>
  <si>
    <t>BD-24</t>
  </si>
  <si>
    <t>Jaipurhat</t>
  </si>
  <si>
    <t>BD-21</t>
  </si>
  <si>
    <t>Jamalpur</t>
  </si>
  <si>
    <t>BD-22</t>
  </si>
  <si>
    <t>Jessore</t>
  </si>
  <si>
    <t>BD-25</t>
  </si>
  <si>
    <t>Jhalakati</t>
  </si>
  <si>
    <t>BD-23</t>
  </si>
  <si>
    <t>Jhenaidah</t>
  </si>
  <si>
    <t>BD-29</t>
  </si>
  <si>
    <t>Khagrachari</t>
  </si>
  <si>
    <t>BD-27</t>
  </si>
  <si>
    <t>Khulna</t>
  </si>
  <si>
    <t>BD-D</t>
  </si>
  <si>
    <t>BD-26</t>
  </si>
  <si>
    <t>Kishoreganj</t>
  </si>
  <si>
    <t>BD-28</t>
  </si>
  <si>
    <t>Kurigram</t>
  </si>
  <si>
    <t>BD-30</t>
  </si>
  <si>
    <t>Kushtia</t>
  </si>
  <si>
    <t>BD-31</t>
  </si>
  <si>
    <t>Lakshmipur</t>
  </si>
  <si>
    <t>BD-32</t>
  </si>
  <si>
    <t>Lalmonirhat</t>
  </si>
  <si>
    <t>BD-36</t>
  </si>
  <si>
    <t>Madaripur</t>
  </si>
  <si>
    <t>BD-37</t>
  </si>
  <si>
    <t>Magura</t>
  </si>
  <si>
    <t>BD-33</t>
  </si>
  <si>
    <t>Manikganj</t>
  </si>
  <si>
    <t>BD-39</t>
  </si>
  <si>
    <t>Meherpur</t>
  </si>
  <si>
    <t>BD-38</t>
  </si>
  <si>
    <t>Moulvibazar</t>
  </si>
  <si>
    <t>BD-35</t>
  </si>
  <si>
    <t>Munshiganj</t>
  </si>
  <si>
    <t>BD-34</t>
  </si>
  <si>
    <t>Mymensingh</t>
  </si>
  <si>
    <t>BD-48</t>
  </si>
  <si>
    <t>Naogaon</t>
  </si>
  <si>
    <t>BD-43</t>
  </si>
  <si>
    <t>Narail</t>
  </si>
  <si>
    <t>BD-40</t>
  </si>
  <si>
    <t>Narayanganj</t>
  </si>
  <si>
    <t>BD-42</t>
  </si>
  <si>
    <t>Narsingdi</t>
  </si>
  <si>
    <t>BD-44</t>
  </si>
  <si>
    <t>Natore</t>
  </si>
  <si>
    <t>BD-45</t>
  </si>
  <si>
    <t>Nawabganj</t>
  </si>
  <si>
    <t>BD-41</t>
  </si>
  <si>
    <t>Netrakona</t>
  </si>
  <si>
    <t>BD-46</t>
  </si>
  <si>
    <t>Nilphamari</t>
  </si>
  <si>
    <t>BD-47</t>
  </si>
  <si>
    <t>Noakhali</t>
  </si>
  <si>
    <t>BD-49</t>
  </si>
  <si>
    <t>Pabna</t>
  </si>
  <si>
    <t>BD-52</t>
  </si>
  <si>
    <t>Panchagarh</t>
  </si>
  <si>
    <t>BD-51</t>
  </si>
  <si>
    <t>Patuakhali</t>
  </si>
  <si>
    <t>BD-50</t>
  </si>
  <si>
    <t>Pirojpur</t>
  </si>
  <si>
    <t>BD-53</t>
  </si>
  <si>
    <t>Rajbari</t>
  </si>
  <si>
    <t>BD-54</t>
  </si>
  <si>
    <t>Rajshahi</t>
  </si>
  <si>
    <t>BD-E</t>
  </si>
  <si>
    <t>BD-56</t>
  </si>
  <si>
    <t>Rangamati</t>
  </si>
  <si>
    <t>BD-55</t>
  </si>
  <si>
    <t>Rangpur</t>
  </si>
  <si>
    <t>BD-F</t>
  </si>
  <si>
    <t>BD-58</t>
  </si>
  <si>
    <t>Satkhira</t>
  </si>
  <si>
    <t>BD-62</t>
  </si>
  <si>
    <t>Shariatpur</t>
  </si>
  <si>
    <t>BD-57</t>
  </si>
  <si>
    <t>Sherpur</t>
  </si>
  <si>
    <t>BD-59</t>
  </si>
  <si>
    <t>Sirajganj</t>
  </si>
  <si>
    <t>BD-61</t>
  </si>
  <si>
    <t>Sunamganj</t>
  </si>
  <si>
    <t>BD-60</t>
  </si>
  <si>
    <t>Sylhet</t>
  </si>
  <si>
    <t>BD-G</t>
  </si>
  <si>
    <t>BD-63</t>
  </si>
  <si>
    <t>Tangail</t>
  </si>
  <si>
    <t>BD-64</t>
  </si>
  <si>
    <t>Thakurgaon</t>
  </si>
  <si>
    <t>BB-01</t>
  </si>
  <si>
    <t>Christ Church</t>
  </si>
  <si>
    <t>BB-02</t>
  </si>
  <si>
    <t>Saint Andrew</t>
  </si>
  <si>
    <t>BB-03</t>
  </si>
  <si>
    <t>BB-04</t>
  </si>
  <si>
    <t>Saint James</t>
  </si>
  <si>
    <t>BB-05</t>
  </si>
  <si>
    <t>Saint John</t>
  </si>
  <si>
    <t>BB-06</t>
  </si>
  <si>
    <t>Saint Joseph</t>
  </si>
  <si>
    <t>BB-07</t>
  </si>
  <si>
    <t>Saint Lucy</t>
  </si>
  <si>
    <t>BB-08</t>
  </si>
  <si>
    <t>Saint Michael</t>
  </si>
  <si>
    <t>BB-09</t>
  </si>
  <si>
    <t>BB-10</t>
  </si>
  <si>
    <t>BB-11</t>
  </si>
  <si>
    <t>Saint Thomas</t>
  </si>
  <si>
    <t>BY-BR</t>
  </si>
  <si>
    <t>Brestskaya oblast'</t>
  </si>
  <si>
    <t>oblasts</t>
  </si>
  <si>
    <t>Brestskaya voblasts'</t>
  </si>
  <si>
    <t>BY-HO</t>
  </si>
  <si>
    <t>Gomel'skaya oblast'</t>
  </si>
  <si>
    <t>BY-HM</t>
  </si>
  <si>
    <t>Gorod Minsk</t>
  </si>
  <si>
    <t>BY-HR</t>
  </si>
  <si>
    <t>Grodnenskaya oblast'</t>
  </si>
  <si>
    <t>Homyel'skaya voblasts'</t>
  </si>
  <si>
    <t>Horad Minsk</t>
  </si>
  <si>
    <t>Hrodzenskaya voblasts'</t>
  </si>
  <si>
    <t>BY-MA</t>
  </si>
  <si>
    <t>Mahilyowskaya voblasts'</t>
  </si>
  <si>
    <t>BY-MI</t>
  </si>
  <si>
    <t>Minskaya oblast'</t>
  </si>
  <si>
    <t>Minskaya voblasts'</t>
  </si>
  <si>
    <t>Mogilevskaya oblast'</t>
  </si>
  <si>
    <t>BY-VI</t>
  </si>
  <si>
    <t>Vitebskaya oblast'</t>
  </si>
  <si>
    <t>Vitsyebskaya voblasts'</t>
  </si>
  <si>
    <t>BE-VAN</t>
  </si>
  <si>
    <t>Antwerpen</t>
  </si>
  <si>
    <t>BE-WBR</t>
  </si>
  <si>
    <t>Brabant wallon</t>
  </si>
  <si>
    <t>BE-BRU</t>
  </si>
  <si>
    <t>Brussels Hoofdstedelijk Gewest</t>
  </si>
  <si>
    <t>Bruxelles-Capitale, Région de</t>
  </si>
  <si>
    <t>BE-WHT</t>
  </si>
  <si>
    <t>Hainaut</t>
  </si>
  <si>
    <t>BE-VLI</t>
  </si>
  <si>
    <t>Limburg</t>
  </si>
  <si>
    <t>BE-WLG</t>
  </si>
  <si>
    <t>Liège</t>
  </si>
  <si>
    <t>BE-WLX</t>
  </si>
  <si>
    <t>BE-WNA</t>
  </si>
  <si>
    <t>Namur</t>
  </si>
  <si>
    <t>BE-VOV</t>
  </si>
  <si>
    <t>Oost-Vlaanderen</t>
  </si>
  <si>
    <t>BE-VBR</t>
  </si>
  <si>
    <t>Vlaams Brabant</t>
  </si>
  <si>
    <t>BE-VLG</t>
  </si>
  <si>
    <t>Vlaamse Gewest</t>
  </si>
  <si>
    <t>BE-VWV</t>
  </si>
  <si>
    <t>West-Vlaanderen</t>
  </si>
  <si>
    <t>BE-WAL</t>
  </si>
  <si>
    <t>wallonne, Région</t>
  </si>
  <si>
    <t>BZ-BZ</t>
  </si>
  <si>
    <t>BZ-CY</t>
  </si>
  <si>
    <t>Cayo</t>
  </si>
  <si>
    <t>BZ-CZL</t>
  </si>
  <si>
    <t>Corozal</t>
  </si>
  <si>
    <t>BZ-OW</t>
  </si>
  <si>
    <t>Orange Walk</t>
  </si>
  <si>
    <t>BZ-SC</t>
  </si>
  <si>
    <t>Stann Creek</t>
  </si>
  <si>
    <t>BZ-TOL</t>
  </si>
  <si>
    <t>Toledo</t>
  </si>
  <si>
    <t>BJ-AL</t>
  </si>
  <si>
    <t>Alibori</t>
  </si>
  <si>
    <t>department</t>
  </si>
  <si>
    <t>BJ-AK</t>
  </si>
  <si>
    <t>Atakora</t>
  </si>
  <si>
    <t>BJ-AQ</t>
  </si>
  <si>
    <t>Atlantique</t>
  </si>
  <si>
    <t>BJ-BO</t>
  </si>
  <si>
    <t>Borgou</t>
  </si>
  <si>
    <t>BJ-CO</t>
  </si>
  <si>
    <t>Collines</t>
  </si>
  <si>
    <t>BJ-DO</t>
  </si>
  <si>
    <t>Donga</t>
  </si>
  <si>
    <t>BJ-KO</t>
  </si>
  <si>
    <t>Kouffo</t>
  </si>
  <si>
    <t>BJ-LI</t>
  </si>
  <si>
    <t>Littoral</t>
  </si>
  <si>
    <t>BJ-MO</t>
  </si>
  <si>
    <t>Mono</t>
  </si>
  <si>
    <t>BJ-OU</t>
  </si>
  <si>
    <t>Ouémé</t>
  </si>
  <si>
    <t>BJ-PL</t>
  </si>
  <si>
    <t>Plateau</t>
  </si>
  <si>
    <t>BJ-ZO</t>
  </si>
  <si>
    <t>Zou</t>
  </si>
  <si>
    <t>BT-33</t>
  </si>
  <si>
    <t>Bumthang</t>
  </si>
  <si>
    <t>BT-12</t>
  </si>
  <si>
    <t>Chhukha</t>
  </si>
  <si>
    <t>BT-22</t>
  </si>
  <si>
    <t>Dagana</t>
  </si>
  <si>
    <t>BT-GA</t>
  </si>
  <si>
    <t>Gasa</t>
  </si>
  <si>
    <t>BT-13</t>
  </si>
  <si>
    <t>Ha</t>
  </si>
  <si>
    <t>BT-44</t>
  </si>
  <si>
    <t>Lhuentse</t>
  </si>
  <si>
    <t>BT-42</t>
  </si>
  <si>
    <t>Monggar</t>
  </si>
  <si>
    <t>BT-11</t>
  </si>
  <si>
    <t>Paro</t>
  </si>
  <si>
    <t>BT-43</t>
  </si>
  <si>
    <t>Pemagatshel</t>
  </si>
  <si>
    <t>BT-23</t>
  </si>
  <si>
    <t>Punakha</t>
  </si>
  <si>
    <t>BT-45</t>
  </si>
  <si>
    <t>Samdrup Jongkha</t>
  </si>
  <si>
    <t>BT-14</t>
  </si>
  <si>
    <t>Samtse</t>
  </si>
  <si>
    <t>BT-31</t>
  </si>
  <si>
    <t>Sarpang</t>
  </si>
  <si>
    <t>BT-15</t>
  </si>
  <si>
    <t>Thimphu</t>
  </si>
  <si>
    <t>BT-TY</t>
  </si>
  <si>
    <t>Trashi Yangtse</t>
  </si>
  <si>
    <t>BT-41</t>
  </si>
  <si>
    <t>Trashigang</t>
  </si>
  <si>
    <t>BT-32</t>
  </si>
  <si>
    <t>Trongsa</t>
  </si>
  <si>
    <t>BT-21</t>
  </si>
  <si>
    <t>Tsirang</t>
  </si>
  <si>
    <t>BT-24</t>
  </si>
  <si>
    <t>Wangdue Phodrang</t>
  </si>
  <si>
    <t>BT-34</t>
  </si>
  <si>
    <t>Zhemgang</t>
  </si>
  <si>
    <t>BOLIVIA, PLURINATIONAL STATE OF</t>
  </si>
  <si>
    <t>BO-H</t>
  </si>
  <si>
    <t>Chuquisaca</t>
  </si>
  <si>
    <t>BO-C</t>
  </si>
  <si>
    <t>Cochabamba</t>
  </si>
  <si>
    <t>BO-B</t>
  </si>
  <si>
    <t>El Beni</t>
  </si>
  <si>
    <t>BO-L</t>
  </si>
  <si>
    <t>La Paz</t>
  </si>
  <si>
    <t>BO-O</t>
  </si>
  <si>
    <t>Oruro</t>
  </si>
  <si>
    <t>BO-N</t>
  </si>
  <si>
    <t>Pando</t>
  </si>
  <si>
    <t>BO-P</t>
  </si>
  <si>
    <t>Potosí</t>
  </si>
  <si>
    <t>BO-S</t>
  </si>
  <si>
    <t>BO-T</t>
  </si>
  <si>
    <t>Tarija</t>
  </si>
  <si>
    <t>BQ-BO</t>
  </si>
  <si>
    <t>Bonaire</t>
  </si>
  <si>
    <t>special municipality</t>
  </si>
  <si>
    <t>Boneiru</t>
  </si>
  <si>
    <t>BQ-SA</t>
  </si>
  <si>
    <t>Saba</t>
  </si>
  <si>
    <t>BQ-SE</t>
  </si>
  <si>
    <t>Sint Eustatius</t>
  </si>
  <si>
    <t>BA-05</t>
  </si>
  <si>
    <t>Bosansko-podrinjska županija</t>
  </si>
  <si>
    <t>canton</t>
  </si>
  <si>
    <t>Bosansko-podrinjski kanton</t>
  </si>
  <si>
    <t>BA-BRC</t>
  </si>
  <si>
    <t>Brčko distrikt</t>
  </si>
  <si>
    <t>district with special status</t>
  </si>
  <si>
    <t>BA-BIH</t>
  </si>
  <si>
    <t>Federacija Bosne i Hercegovine</t>
  </si>
  <si>
    <t>entity</t>
  </si>
  <si>
    <t>BA-07</t>
  </si>
  <si>
    <t>Hercegovačko-neretvanska županija</t>
  </si>
  <si>
    <t>Hercegovačko-neretvanski kanton</t>
  </si>
  <si>
    <t>BA-09</t>
  </si>
  <si>
    <t>Kanton Sarajevo</t>
  </si>
  <si>
    <t>BA-10</t>
  </si>
  <si>
    <t>Kanton br. 10</t>
  </si>
  <si>
    <t>Kanton br. 10 (Livanjski kanton)</t>
  </si>
  <si>
    <t>BA-02</t>
  </si>
  <si>
    <t>Posavska županija</t>
  </si>
  <si>
    <t>Posavski kanton</t>
  </si>
  <si>
    <t>BA-SRP</t>
  </si>
  <si>
    <t>Republika Srpska</t>
  </si>
  <si>
    <t>Sarajevska županija</t>
  </si>
  <si>
    <t>BA-06</t>
  </si>
  <si>
    <t>Srednjobosanska županija</t>
  </si>
  <si>
    <t>Srednjobosanski kanton</t>
  </si>
  <si>
    <t>BA-03</t>
  </si>
  <si>
    <t>Tuzlanska županija</t>
  </si>
  <si>
    <t>Tuzlanski kanton</t>
  </si>
  <si>
    <t>BA-01</t>
  </si>
  <si>
    <t>Unsko-sanska županija</t>
  </si>
  <si>
    <t>Unsko-sanski kanton</t>
  </si>
  <si>
    <t>BA-08</t>
  </si>
  <si>
    <t>Zapadnohercegovačka županija</t>
  </si>
  <si>
    <t>Zapadnohercegovački kanton</t>
  </si>
  <si>
    <t>BA-04</t>
  </si>
  <si>
    <t>Zeničko-dobojska županija</t>
  </si>
  <si>
    <t>Zeničko-dobojski kanton</t>
  </si>
  <si>
    <t>Županija br. 10 (Hercegbosanska županija)</t>
  </si>
  <si>
    <t>BW-CE</t>
  </si>
  <si>
    <t>Central</t>
  </si>
  <si>
    <t>BW-GH</t>
  </si>
  <si>
    <t>Ghanzi</t>
  </si>
  <si>
    <t>BW-KG</t>
  </si>
  <si>
    <t>Kgalagadi</t>
  </si>
  <si>
    <t>BW-KL</t>
  </si>
  <si>
    <t>Kgatleng</t>
  </si>
  <si>
    <t>BW-KW</t>
  </si>
  <si>
    <t>Kweneng</t>
  </si>
  <si>
    <t>BW-NE</t>
  </si>
  <si>
    <t>North-East</t>
  </si>
  <si>
    <t>BW-NW</t>
  </si>
  <si>
    <t>North-West</t>
  </si>
  <si>
    <t>BW-SE</t>
  </si>
  <si>
    <t>South-East</t>
  </si>
  <si>
    <t>BW-SO</t>
  </si>
  <si>
    <t>Southern</t>
  </si>
  <si>
    <t>BR-AC</t>
  </si>
  <si>
    <t>Acre</t>
  </si>
  <si>
    <t>BR-AL</t>
  </si>
  <si>
    <t>Alagoas</t>
  </si>
  <si>
    <t>BR-AP</t>
  </si>
  <si>
    <t>Amapá</t>
  </si>
  <si>
    <t>BR-AM</t>
  </si>
  <si>
    <t>Amazonas</t>
  </si>
  <si>
    <t>BR-BA</t>
  </si>
  <si>
    <t>Bahia</t>
  </si>
  <si>
    <t>BR-CE</t>
  </si>
  <si>
    <t>Ceará</t>
  </si>
  <si>
    <t>BR-DF</t>
  </si>
  <si>
    <t>Distrito Federal</t>
  </si>
  <si>
    <t>federal district</t>
  </si>
  <si>
    <t>BR-ES</t>
  </si>
  <si>
    <t>Espírito Santo</t>
  </si>
  <si>
    <t>BR-GO</t>
  </si>
  <si>
    <t>Goiás</t>
  </si>
  <si>
    <t>BR-MA</t>
  </si>
  <si>
    <t>Maranhão</t>
  </si>
  <si>
    <t>BR-MT</t>
  </si>
  <si>
    <t>Mato Grosso</t>
  </si>
  <si>
    <t>BR-MS</t>
  </si>
  <si>
    <t>Mato Grosso do Sul</t>
  </si>
  <si>
    <t>BR-MG</t>
  </si>
  <si>
    <t>Minas Gerais</t>
  </si>
  <si>
    <t>BR-PR</t>
  </si>
  <si>
    <t>Paraná</t>
  </si>
  <si>
    <t>BR-PB</t>
  </si>
  <si>
    <t>Paraíba</t>
  </si>
  <si>
    <t>BR-PA</t>
  </si>
  <si>
    <t>Pará</t>
  </si>
  <si>
    <t>BR-PE</t>
  </si>
  <si>
    <t>Pernambuco</t>
  </si>
  <si>
    <t>BR-PI</t>
  </si>
  <si>
    <t>Piauí</t>
  </si>
  <si>
    <t>BR-RN</t>
  </si>
  <si>
    <t>Rio Grande do Norte</t>
  </si>
  <si>
    <t>BR-RS</t>
  </si>
  <si>
    <t>Rio Grande do Sul</t>
  </si>
  <si>
    <t>BR-RJ</t>
  </si>
  <si>
    <t>Rio de Janeiro</t>
  </si>
  <si>
    <t>BR-RO</t>
  </si>
  <si>
    <t>Rondônia</t>
  </si>
  <si>
    <t>BR-RR</t>
  </si>
  <si>
    <t>Roraima</t>
  </si>
  <si>
    <t>BR-SC</t>
  </si>
  <si>
    <t>Santa Catarina</t>
  </si>
  <si>
    <t>BR-SE</t>
  </si>
  <si>
    <t>Sergipe</t>
  </si>
  <si>
    <t>BR-SP</t>
  </si>
  <si>
    <t>São Paulo</t>
  </si>
  <si>
    <t>BR-TO</t>
  </si>
  <si>
    <t>Tocantins</t>
  </si>
  <si>
    <t>BN-BE</t>
  </si>
  <si>
    <t>Belait</t>
  </si>
  <si>
    <t>BN-BM</t>
  </si>
  <si>
    <t>Brunei-Muara</t>
  </si>
  <si>
    <t>BN-TE</t>
  </si>
  <si>
    <t>Temburong</t>
  </si>
  <si>
    <t>BN-TU</t>
  </si>
  <si>
    <t>Tutong</t>
  </si>
  <si>
    <t>BG-01</t>
  </si>
  <si>
    <t>Blagoevgrad</t>
  </si>
  <si>
    <t>BG-02</t>
  </si>
  <si>
    <t>Burgas</t>
  </si>
  <si>
    <t>BG-08</t>
  </si>
  <si>
    <t>Dobrich</t>
  </si>
  <si>
    <t>BG-07</t>
  </si>
  <si>
    <t>Gabrovo</t>
  </si>
  <si>
    <t>BG-26</t>
  </si>
  <si>
    <t>Haskovo</t>
  </si>
  <si>
    <t>BG-09</t>
  </si>
  <si>
    <t>Kardzhali</t>
  </si>
  <si>
    <t>BG-10</t>
  </si>
  <si>
    <t>Kyustendil</t>
  </si>
  <si>
    <t>BG-11</t>
  </si>
  <si>
    <t>Lovech</t>
  </si>
  <si>
    <t>BG-12</t>
  </si>
  <si>
    <t>Montana</t>
  </si>
  <si>
    <t>BG-13</t>
  </si>
  <si>
    <t>Pazardzhik</t>
  </si>
  <si>
    <t>BG-14</t>
  </si>
  <si>
    <t>Pernik</t>
  </si>
  <si>
    <t>BG-15</t>
  </si>
  <si>
    <t>Pleven</t>
  </si>
  <si>
    <t>BG-16</t>
  </si>
  <si>
    <t>Plovdiv</t>
  </si>
  <si>
    <t>BG-17</t>
  </si>
  <si>
    <t>Razgrad</t>
  </si>
  <si>
    <t>BG-18</t>
  </si>
  <si>
    <t>Ruse</t>
  </si>
  <si>
    <t>BG-27</t>
  </si>
  <si>
    <t>Shumen</t>
  </si>
  <si>
    <t>BG-19</t>
  </si>
  <si>
    <t>Silistra</t>
  </si>
  <si>
    <t>BG-20</t>
  </si>
  <si>
    <t>Sliven</t>
  </si>
  <si>
    <t>BG-21</t>
  </si>
  <si>
    <t>Smolyan</t>
  </si>
  <si>
    <t>BG-23</t>
  </si>
  <si>
    <t>Sofia</t>
  </si>
  <si>
    <t>BG-22</t>
  </si>
  <si>
    <t>Sofia-Grad</t>
  </si>
  <si>
    <t>BG-24</t>
  </si>
  <si>
    <t>Stara Zagora</t>
  </si>
  <si>
    <t>BG-25</t>
  </si>
  <si>
    <t>Targovishte</t>
  </si>
  <si>
    <t>BG-03</t>
  </si>
  <si>
    <t>Varna</t>
  </si>
  <si>
    <t>BG-04</t>
  </si>
  <si>
    <t>Veliko Tarnovo</t>
  </si>
  <si>
    <t>BG-05</t>
  </si>
  <si>
    <t>Vidin</t>
  </si>
  <si>
    <t>BG-06</t>
  </si>
  <si>
    <t>Vratsa</t>
  </si>
  <si>
    <t>BG-28</t>
  </si>
  <si>
    <t>Yambol</t>
  </si>
  <si>
    <t>BF-BAL</t>
  </si>
  <si>
    <t>Balé</t>
  </si>
  <si>
    <t>BF-BAM</t>
  </si>
  <si>
    <t>Bam</t>
  </si>
  <si>
    <t>BF-BAN</t>
  </si>
  <si>
    <t>Banwa</t>
  </si>
  <si>
    <t>BF-BAZ</t>
  </si>
  <si>
    <t>Bazèga</t>
  </si>
  <si>
    <t>BF-01</t>
  </si>
  <si>
    <t>Boucle du Mouhoun</t>
  </si>
  <si>
    <t>BF-BGR</t>
  </si>
  <si>
    <t>Bougouriba</t>
  </si>
  <si>
    <t>BF-BLG</t>
  </si>
  <si>
    <t>Boulgou</t>
  </si>
  <si>
    <t>BF-BLK</t>
  </si>
  <si>
    <t>Boulkiemdé</t>
  </si>
  <si>
    <t>BF-02</t>
  </si>
  <si>
    <t>Cascades</t>
  </si>
  <si>
    <t>BF-03</t>
  </si>
  <si>
    <t>Centre</t>
  </si>
  <si>
    <t>BF-04</t>
  </si>
  <si>
    <t>Centre-Est</t>
  </si>
  <si>
    <t>BF-05</t>
  </si>
  <si>
    <t>Centre-Nord</t>
  </si>
  <si>
    <t>BF-06</t>
  </si>
  <si>
    <t>Centre-Ouest</t>
  </si>
  <si>
    <t>BF-07</t>
  </si>
  <si>
    <t>Centre-Sud</t>
  </si>
  <si>
    <t>BF-COM</t>
  </si>
  <si>
    <t>Comoé</t>
  </si>
  <si>
    <t>BF-08</t>
  </si>
  <si>
    <t>Est</t>
  </si>
  <si>
    <t>BF-GAN</t>
  </si>
  <si>
    <t>Ganzourgou</t>
  </si>
  <si>
    <t>BF-GNA</t>
  </si>
  <si>
    <t>Gnagna</t>
  </si>
  <si>
    <t>BF-GOU</t>
  </si>
  <si>
    <t>Gourma</t>
  </si>
  <si>
    <t>BF-09</t>
  </si>
  <si>
    <t>Hauts-Bassins</t>
  </si>
  <si>
    <t>BF-HOU</t>
  </si>
  <si>
    <t>Houet</t>
  </si>
  <si>
    <t>BF-IOB</t>
  </si>
  <si>
    <t>Ioba</t>
  </si>
  <si>
    <t>BF-KAD</t>
  </si>
  <si>
    <t>Kadiogo</t>
  </si>
  <si>
    <t>BF-KMD</t>
  </si>
  <si>
    <t>Komondjari</t>
  </si>
  <si>
    <t>BF-KMP</t>
  </si>
  <si>
    <t>Kompienga</t>
  </si>
  <si>
    <t>BF-KOS</t>
  </si>
  <si>
    <t>Kossi</t>
  </si>
  <si>
    <t>BF-KOP</t>
  </si>
  <si>
    <t>Koulpélogo</t>
  </si>
  <si>
    <t>BF-KOT</t>
  </si>
  <si>
    <t>Kouritenga</t>
  </si>
  <si>
    <t>BF-KOW</t>
  </si>
  <si>
    <t>Kourwéogo</t>
  </si>
  <si>
    <t>BF-KEN</t>
  </si>
  <si>
    <t>Kénédougou</t>
  </si>
  <si>
    <t>BF-LOR</t>
  </si>
  <si>
    <t>Loroum</t>
  </si>
  <si>
    <t>BF-LER</t>
  </si>
  <si>
    <t>Léraba</t>
  </si>
  <si>
    <t>BF-MOU</t>
  </si>
  <si>
    <t>Mouhoun</t>
  </si>
  <si>
    <t>BF-NAO</t>
  </si>
  <si>
    <t>Nahouri</t>
  </si>
  <si>
    <t>BF-NAM</t>
  </si>
  <si>
    <t>Namentenga</t>
  </si>
  <si>
    <t>BF-NAY</t>
  </si>
  <si>
    <t>Nayala</t>
  </si>
  <si>
    <t>BF-10</t>
  </si>
  <si>
    <t>Nord</t>
  </si>
  <si>
    <t>BF-NOU</t>
  </si>
  <si>
    <t>Noumbiel</t>
  </si>
  <si>
    <t>BF-OUB</t>
  </si>
  <si>
    <t>Oubritenga</t>
  </si>
  <si>
    <t>BF-OUD</t>
  </si>
  <si>
    <t>Oudalan</t>
  </si>
  <si>
    <t>BF-PAS</t>
  </si>
  <si>
    <t>Passoré</t>
  </si>
  <si>
    <t>BF-11</t>
  </si>
  <si>
    <t>Plateau-Central</t>
  </si>
  <si>
    <t>BF-PON</t>
  </si>
  <si>
    <t>Poni</t>
  </si>
  <si>
    <t>BF-12</t>
  </si>
  <si>
    <t>Sahel</t>
  </si>
  <si>
    <t>BF-SNG</t>
  </si>
  <si>
    <t>Sanguié</t>
  </si>
  <si>
    <t>BF-SMT</t>
  </si>
  <si>
    <t>Sanmatenga</t>
  </si>
  <si>
    <t>BF-SIS</t>
  </si>
  <si>
    <t>Sissili</t>
  </si>
  <si>
    <t>BF-SOM</t>
  </si>
  <si>
    <t>Soum</t>
  </si>
  <si>
    <t>BF-SOR</t>
  </si>
  <si>
    <t>Sourou</t>
  </si>
  <si>
    <t>BF-13</t>
  </si>
  <si>
    <t>Sud-Ouest</t>
  </si>
  <si>
    <t>BF-SEN</t>
  </si>
  <si>
    <t>Séno</t>
  </si>
  <si>
    <t>BF-TAP</t>
  </si>
  <si>
    <t>Tapoa</t>
  </si>
  <si>
    <t>BF-TUI</t>
  </si>
  <si>
    <t>Tui</t>
  </si>
  <si>
    <t>BF-YAG</t>
  </si>
  <si>
    <t>Yagha</t>
  </si>
  <si>
    <t>BF-YAT</t>
  </si>
  <si>
    <t>Yatenga</t>
  </si>
  <si>
    <t>BF-ZIR</t>
  </si>
  <si>
    <t>Ziro</t>
  </si>
  <si>
    <t>BF-ZON</t>
  </si>
  <si>
    <t>Zondoma</t>
  </si>
  <si>
    <t>BF-ZOU</t>
  </si>
  <si>
    <t>Zoundwéogo</t>
  </si>
  <si>
    <t>BI-BB</t>
  </si>
  <si>
    <t>Bubanza</t>
  </si>
  <si>
    <t>BI-BM</t>
  </si>
  <si>
    <t>Bujumbura Mairie</t>
  </si>
  <si>
    <t>BI-BL</t>
  </si>
  <si>
    <t>Bujumbura Rural</t>
  </si>
  <si>
    <t>BI-BR</t>
  </si>
  <si>
    <t>Bururi</t>
  </si>
  <si>
    <t>BI-CA</t>
  </si>
  <si>
    <t>Cankuzo</t>
  </si>
  <si>
    <t>BI-CI</t>
  </si>
  <si>
    <t>Cibitoke</t>
  </si>
  <si>
    <t>BI-GI</t>
  </si>
  <si>
    <t>Gitega</t>
  </si>
  <si>
    <t>BI-KR</t>
  </si>
  <si>
    <t>Karuzi</t>
  </si>
  <si>
    <t>BI-KY</t>
  </si>
  <si>
    <t>Kayanza</t>
  </si>
  <si>
    <t>BI-KI</t>
  </si>
  <si>
    <t>Kirundo</t>
  </si>
  <si>
    <t>BI-MA</t>
  </si>
  <si>
    <t>Makamba</t>
  </si>
  <si>
    <t>BI-MU</t>
  </si>
  <si>
    <t>Muramvya</t>
  </si>
  <si>
    <t>BI-MY</t>
  </si>
  <si>
    <t>Muyinga</t>
  </si>
  <si>
    <t>BI-MW</t>
  </si>
  <si>
    <t>Mwaro</t>
  </si>
  <si>
    <t>BI-NG</t>
  </si>
  <si>
    <t>Ngozi</t>
  </si>
  <si>
    <t>BI-RT</t>
  </si>
  <si>
    <t>Rutana</t>
  </si>
  <si>
    <t>BI-RY</t>
  </si>
  <si>
    <t>Ruyigi</t>
  </si>
  <si>
    <t>KH-2</t>
  </si>
  <si>
    <t>Baat Dambang</t>
  </si>
  <si>
    <t>KH-1</t>
  </si>
  <si>
    <t>Banteay Mean Chey</t>
  </si>
  <si>
    <t>KH-3</t>
  </si>
  <si>
    <t>Kampong Chaam</t>
  </si>
  <si>
    <t>KH-4</t>
  </si>
  <si>
    <t>Kampong Chhnang</t>
  </si>
  <si>
    <t>KH-5</t>
  </si>
  <si>
    <t>Kampong Spueu</t>
  </si>
  <si>
    <t>KH-6</t>
  </si>
  <si>
    <t>Kampong Thum</t>
  </si>
  <si>
    <t>KH-7</t>
  </si>
  <si>
    <t>Kampot</t>
  </si>
  <si>
    <t>KH-8</t>
  </si>
  <si>
    <t>Kandaal</t>
  </si>
  <si>
    <t>KH-9</t>
  </si>
  <si>
    <t>Kaoh Kong</t>
  </si>
  <si>
    <t>KH-10</t>
  </si>
  <si>
    <t>Kracheh</t>
  </si>
  <si>
    <t>KH-23</t>
  </si>
  <si>
    <t>Krong Kaeb</t>
  </si>
  <si>
    <t>autonomous municipality</t>
  </si>
  <si>
    <t>KH-24</t>
  </si>
  <si>
    <t>Krong Pailin</t>
  </si>
  <si>
    <t>KH-18</t>
  </si>
  <si>
    <t>Krong Preah Sihanouk</t>
  </si>
  <si>
    <t>KH-11</t>
  </si>
  <si>
    <t>Mondol Kiri</t>
  </si>
  <si>
    <t>KH-22</t>
  </si>
  <si>
    <t>Otdar Mean Chey</t>
  </si>
  <si>
    <t>KH-12</t>
  </si>
  <si>
    <t>Phnom Penh</t>
  </si>
  <si>
    <t>KH-15</t>
  </si>
  <si>
    <t>Pousaat</t>
  </si>
  <si>
    <t>KH-13</t>
  </si>
  <si>
    <t>Preah Vihear</t>
  </si>
  <si>
    <t>KH-14</t>
  </si>
  <si>
    <t>Prey Veaeng</t>
  </si>
  <si>
    <t>KH-16</t>
  </si>
  <si>
    <t>Rotanak Kiri</t>
  </si>
  <si>
    <t>KH-17</t>
  </si>
  <si>
    <t>Siem Reab</t>
  </si>
  <si>
    <t>KH-19</t>
  </si>
  <si>
    <t>Stueng Traeng</t>
  </si>
  <si>
    <t>KH-20</t>
  </si>
  <si>
    <t>Svaay Rieng</t>
  </si>
  <si>
    <t>KH-21</t>
  </si>
  <si>
    <t>Taakaev</t>
  </si>
  <si>
    <t>CM-AD</t>
  </si>
  <si>
    <t>Adamaoua</t>
  </si>
  <si>
    <t>CM-CE</t>
  </si>
  <si>
    <t>CM-ES</t>
  </si>
  <si>
    <t>East</t>
  </si>
  <si>
    <t>CM-EN</t>
  </si>
  <si>
    <t>Extrême-Nord</t>
  </si>
  <si>
    <t>Far North</t>
  </si>
  <si>
    <t>CM-LT</t>
  </si>
  <si>
    <t>CM-NO</t>
  </si>
  <si>
    <t>CM-NW</t>
  </si>
  <si>
    <t>Nord-Ouest</t>
  </si>
  <si>
    <t>North</t>
  </si>
  <si>
    <t>CM-OU</t>
  </si>
  <si>
    <t>Ouest</t>
  </si>
  <si>
    <t>CM-SU</t>
  </si>
  <si>
    <t>South</t>
  </si>
  <si>
    <t>CM-SW</t>
  </si>
  <si>
    <t>South-West</t>
  </si>
  <si>
    <t>Sud</t>
  </si>
  <si>
    <t>West</t>
  </si>
  <si>
    <t>CA-AB</t>
  </si>
  <si>
    <t>Alberta</t>
  </si>
  <si>
    <t>CA-BC</t>
  </si>
  <si>
    <t>British Columbia</t>
  </si>
  <si>
    <t>Colombie-Britannique</t>
  </si>
  <si>
    <t>CA-MB</t>
  </si>
  <si>
    <t>Manitoba</t>
  </si>
  <si>
    <t>CA-NB</t>
  </si>
  <si>
    <t>New Brunswick</t>
  </si>
  <si>
    <t>CA-NL</t>
  </si>
  <si>
    <t>Newfoundland and Labrador</t>
  </si>
  <si>
    <t>CA-NT</t>
  </si>
  <si>
    <t>Northwest Territories</t>
  </si>
  <si>
    <t>Nouveau-Brunswick</t>
  </si>
  <si>
    <t>CA-NS</t>
  </si>
  <si>
    <t>Nouvelle-Écosse</t>
  </si>
  <si>
    <t>Nova Scotia</t>
  </si>
  <si>
    <t>CA-NU</t>
  </si>
  <si>
    <t>Nunavut</t>
  </si>
  <si>
    <t>CA-ON</t>
  </si>
  <si>
    <t>Ontario</t>
  </si>
  <si>
    <t>CA-PE</t>
  </si>
  <si>
    <t>Prince Edward Island</t>
  </si>
  <si>
    <t>CA-QC</t>
  </si>
  <si>
    <t>Quebec</t>
  </si>
  <si>
    <t>Québec</t>
  </si>
  <si>
    <t>CA-SK</t>
  </si>
  <si>
    <t>Saskatchewan</t>
  </si>
  <si>
    <t>Terre-Neuve-et-Labrador</t>
  </si>
  <si>
    <t>CA-YT</t>
  </si>
  <si>
    <t>Territoire du Yukon</t>
  </si>
  <si>
    <t>Territoires du Nord-Ouest</t>
  </si>
  <si>
    <t>Yukon Territory</t>
  </si>
  <si>
    <t>Île-du-Prince-Édouard</t>
  </si>
  <si>
    <t>CAPE VERDE</t>
  </si>
  <si>
    <t>CV-BV</t>
  </si>
  <si>
    <t>Boa Vista</t>
  </si>
  <si>
    <t>CV-BR</t>
  </si>
  <si>
    <t>Brava</t>
  </si>
  <si>
    <t>CV-B</t>
  </si>
  <si>
    <t>Ilhas de Barlavento</t>
  </si>
  <si>
    <t>geographical region</t>
  </si>
  <si>
    <t>CV-S</t>
  </si>
  <si>
    <t>Ilhas de Sotavento</t>
  </si>
  <si>
    <t>CV-MA</t>
  </si>
  <si>
    <t>Maio</t>
  </si>
  <si>
    <t>CV-MO</t>
  </si>
  <si>
    <t>Mosteiros</t>
  </si>
  <si>
    <t>CV-PA</t>
  </si>
  <si>
    <t>Paul</t>
  </si>
  <si>
    <t>CV-PN</t>
  </si>
  <si>
    <t>Porto Novo</t>
  </si>
  <si>
    <t>CV-PR</t>
  </si>
  <si>
    <t>Praia</t>
  </si>
  <si>
    <t>CV-RB</t>
  </si>
  <si>
    <t>Ribeira Brava</t>
  </si>
  <si>
    <t>CV-RG</t>
  </si>
  <si>
    <t>Ribeira Grande</t>
  </si>
  <si>
    <t>CV-RS</t>
  </si>
  <si>
    <t>Ribeira Grande de Santiago</t>
  </si>
  <si>
    <t>CV-SL</t>
  </si>
  <si>
    <t>Sal</t>
  </si>
  <si>
    <t>CV-CA</t>
  </si>
  <si>
    <t>CV-CF</t>
  </si>
  <si>
    <t>Santa Catarina do Fogo</t>
  </si>
  <si>
    <t>CV-CR</t>
  </si>
  <si>
    <t>CV-SD</t>
  </si>
  <si>
    <t>São Domingos</t>
  </si>
  <si>
    <t>CV-SF</t>
  </si>
  <si>
    <t>São Filipe</t>
  </si>
  <si>
    <t>CV-SM</t>
  </si>
  <si>
    <t>São Miguel</t>
  </si>
  <si>
    <t>CV-SS</t>
  </si>
  <si>
    <t>São Salvador do Mundo</t>
  </si>
  <si>
    <t>CV-SV</t>
  </si>
  <si>
    <t>São Vicente</t>
  </si>
  <si>
    <t>CV-TA</t>
  </si>
  <si>
    <t>Tarrafal</t>
  </si>
  <si>
    <t>CV-TS</t>
  </si>
  <si>
    <t>Tarrafal de São Nicolau</t>
  </si>
  <si>
    <t>CF-BB</t>
  </si>
  <si>
    <t>Bamingui-Bangoran</t>
  </si>
  <si>
    <t>prefecture</t>
  </si>
  <si>
    <t>Bamïngï-Bangoran</t>
  </si>
  <si>
    <t>CF-BGF</t>
  </si>
  <si>
    <t>Bangui</t>
  </si>
  <si>
    <t>commune</t>
  </si>
  <si>
    <t>Bangî</t>
  </si>
  <si>
    <t>CF-BK</t>
  </si>
  <si>
    <t>Basse-Kotto</t>
  </si>
  <si>
    <t>Do-Kötö</t>
  </si>
  <si>
    <t>CF-KB</t>
  </si>
  <si>
    <t>Gribingui</t>
  </si>
  <si>
    <t>economic prefecture</t>
  </si>
  <si>
    <t>Gïrïbïngï</t>
  </si>
  <si>
    <t>CF-HM</t>
  </si>
  <si>
    <t>Haut-Mbomou</t>
  </si>
  <si>
    <t>CF-HK</t>
  </si>
  <si>
    <t>Haute-Kotto</t>
  </si>
  <si>
    <t>CF-HS</t>
  </si>
  <si>
    <t>Haute-Sangha / Mambéré-Kadéï</t>
  </si>
  <si>
    <t>CF-KG</t>
  </si>
  <si>
    <t>Kemö-Gïrïbïngï</t>
  </si>
  <si>
    <t>Kémo-Gribingui</t>
  </si>
  <si>
    <t>CF-LB</t>
  </si>
  <si>
    <t>Lobaye</t>
  </si>
  <si>
    <t>Lobâye</t>
  </si>
  <si>
    <t>CF-MB</t>
  </si>
  <si>
    <t>Mbomou</t>
  </si>
  <si>
    <t>Mbömü</t>
  </si>
  <si>
    <t>CF-NM</t>
  </si>
  <si>
    <t>Nana-Mambéré</t>
  </si>
  <si>
    <t>Nanä-Mbaere</t>
  </si>
  <si>
    <t>CF-MP</t>
  </si>
  <si>
    <t>Ombella-Mpoko</t>
  </si>
  <si>
    <t>CF-UK</t>
  </si>
  <si>
    <t>Ouaka</t>
  </si>
  <si>
    <t>CF-AC</t>
  </si>
  <si>
    <t>Ouham</t>
  </si>
  <si>
    <t>CF-OP</t>
  </si>
  <si>
    <t>Ouham-Pendé</t>
  </si>
  <si>
    <t>CF-SE</t>
  </si>
  <si>
    <t>Sangha</t>
  </si>
  <si>
    <t>Sangä</t>
  </si>
  <si>
    <t>Tö-Kötö</t>
  </si>
  <si>
    <t>Tö-Mbömü</t>
  </si>
  <si>
    <t>Tö-Sangä / Mbaere-Kadeï</t>
  </si>
  <si>
    <t>CF-VK</t>
  </si>
  <si>
    <t>Vakaga</t>
  </si>
  <si>
    <t>Wâmo</t>
  </si>
  <si>
    <t>Wâmo-Pendë</t>
  </si>
  <si>
    <t>Wäkä</t>
  </si>
  <si>
    <t>Ömbëlä-Pökö</t>
  </si>
  <si>
    <t>TD-BA</t>
  </si>
  <si>
    <t>Al Baṭḩah</t>
  </si>
  <si>
    <t>TD-LC</t>
  </si>
  <si>
    <t>Al Buḩayrah</t>
  </si>
  <si>
    <t>TD-BG</t>
  </si>
  <si>
    <t>Bahr el Gazel</t>
  </si>
  <si>
    <t>Baḩr al Ghazāl</t>
  </si>
  <si>
    <t>Batha</t>
  </si>
  <si>
    <t>TD-BO</t>
  </si>
  <si>
    <t>Borkou</t>
  </si>
  <si>
    <t>Būrkū</t>
  </si>
  <si>
    <t>TD-CB</t>
  </si>
  <si>
    <t>Chari-Baguirmi</t>
  </si>
  <si>
    <t>TD-EN</t>
  </si>
  <si>
    <t>Ennedi</t>
  </si>
  <si>
    <t>TD-GR</t>
  </si>
  <si>
    <t>Guéra</t>
  </si>
  <si>
    <t>TD-HL</t>
  </si>
  <si>
    <t>Hadjer Lamis</t>
  </si>
  <si>
    <t>Innīdī</t>
  </si>
  <si>
    <t>TD-KA</t>
  </si>
  <si>
    <t>Kanem</t>
  </si>
  <si>
    <t>Kānim</t>
  </si>
  <si>
    <t>Lac</t>
  </si>
  <si>
    <t>TD-LO</t>
  </si>
  <si>
    <t>Logone-Occidental</t>
  </si>
  <si>
    <t>TD-LR</t>
  </si>
  <si>
    <t>Logone-Oriental</t>
  </si>
  <si>
    <t>Lūqūn al Gharbī</t>
  </si>
  <si>
    <t>Lūqūn ash Sharqī</t>
  </si>
  <si>
    <t>TD-ND</t>
  </si>
  <si>
    <t>Madīnat Injamīnā</t>
  </si>
  <si>
    <t>TD-MA</t>
  </si>
  <si>
    <t>Mandoul</t>
  </si>
  <si>
    <t>TD-ME</t>
  </si>
  <si>
    <t>Mayo-Kébbi-Est</t>
  </si>
  <si>
    <t>TD-MO</t>
  </si>
  <si>
    <t>Mayo-Kébbi-Ouest</t>
  </si>
  <si>
    <t>TD-MC</t>
  </si>
  <si>
    <t>Moyen-Chari</t>
  </si>
  <si>
    <t>Māndūl</t>
  </si>
  <si>
    <t>Māyū Kībbī al Gharbī</t>
  </si>
  <si>
    <t>Māyū Kībbī ash Sharqī</t>
  </si>
  <si>
    <t>TD-OD</t>
  </si>
  <si>
    <t>Ouaddaï</t>
  </si>
  <si>
    <t>Qīrā</t>
  </si>
  <si>
    <t>TD-SA</t>
  </si>
  <si>
    <t>Salamat</t>
  </si>
  <si>
    <t>Salāmāt</t>
  </si>
  <si>
    <t>Shārī Bāqirmī</t>
  </si>
  <si>
    <t>Shārī al Awsaṭ</t>
  </si>
  <si>
    <t>TD-SI</t>
  </si>
  <si>
    <t>Sila</t>
  </si>
  <si>
    <t>Sīlā</t>
  </si>
  <si>
    <t>TD-TA</t>
  </si>
  <si>
    <t>Tandjilé</t>
  </si>
  <si>
    <t>TD-TI</t>
  </si>
  <si>
    <t>Tibastī</t>
  </si>
  <si>
    <t>Tibesti</t>
  </si>
  <si>
    <t>Tānjilī</t>
  </si>
  <si>
    <t>Ville de Ndjamena</t>
  </si>
  <si>
    <t>Waddāy</t>
  </si>
  <si>
    <t>TD-WF</t>
  </si>
  <si>
    <t>Wadi Fira</t>
  </si>
  <si>
    <t>Wādī Fīrā</t>
  </si>
  <si>
    <t>Ḥajjar Lamīs</t>
  </si>
  <si>
    <t>CL-AI</t>
  </si>
  <si>
    <t>Aisén del General Carlos Ibáñez del Campo</t>
  </si>
  <si>
    <t>CL-AN</t>
  </si>
  <si>
    <t>Antofagasta</t>
  </si>
  <si>
    <t>CL-AR</t>
  </si>
  <si>
    <t>Araucanía</t>
  </si>
  <si>
    <t>CL-AP</t>
  </si>
  <si>
    <t>Arica y Parinacota</t>
  </si>
  <si>
    <t>CL-AT</t>
  </si>
  <si>
    <t>Atacama</t>
  </si>
  <si>
    <t>CL-BI</t>
  </si>
  <si>
    <t>Bío-Bío</t>
  </si>
  <si>
    <t>CL-CO</t>
  </si>
  <si>
    <t>Coquimbo</t>
  </si>
  <si>
    <t>CL-LI</t>
  </si>
  <si>
    <t>Libertador General Bernardo O'Higgins</t>
  </si>
  <si>
    <t>CL-LL</t>
  </si>
  <si>
    <t>Los Lagos</t>
  </si>
  <si>
    <t>CL-LR</t>
  </si>
  <si>
    <t>Los Ríos</t>
  </si>
  <si>
    <t>CL-MA</t>
  </si>
  <si>
    <t>Magallanes</t>
  </si>
  <si>
    <t>CL-ML</t>
  </si>
  <si>
    <t>Maule</t>
  </si>
  <si>
    <t>CL-RM</t>
  </si>
  <si>
    <t>Región Metropolitana de Santiago</t>
  </si>
  <si>
    <t>CL-TA</t>
  </si>
  <si>
    <t>Tarapacá</t>
  </si>
  <si>
    <t>CL-VS</t>
  </si>
  <si>
    <t>Valparaíso</t>
  </si>
  <si>
    <t>CN-34</t>
  </si>
  <si>
    <t>Anhui</t>
  </si>
  <si>
    <t>CN-92</t>
  </si>
  <si>
    <t>Aomen (see also separate entry under MO)</t>
  </si>
  <si>
    <t>special administrative region</t>
  </si>
  <si>
    <t>CN-11</t>
  </si>
  <si>
    <t>Beijing</t>
  </si>
  <si>
    <t>CN-50</t>
  </si>
  <si>
    <t>Chongqing</t>
  </si>
  <si>
    <t>CN-35</t>
  </si>
  <si>
    <t>Fujian</t>
  </si>
  <si>
    <t>CN-62</t>
  </si>
  <si>
    <t>Gansu</t>
  </si>
  <si>
    <t>CN-44</t>
  </si>
  <si>
    <t>Guangdong</t>
  </si>
  <si>
    <t>CN-45</t>
  </si>
  <si>
    <t>Guangxi</t>
  </si>
  <si>
    <t>autonomous region</t>
  </si>
  <si>
    <t>CN-52</t>
  </si>
  <si>
    <t>Guizhou</t>
  </si>
  <si>
    <t>CN-46</t>
  </si>
  <si>
    <t>Hainan</t>
  </si>
  <si>
    <t>CN-13</t>
  </si>
  <si>
    <t>Hebei</t>
  </si>
  <si>
    <t>CN-23</t>
  </si>
  <si>
    <t>Heilongjiang</t>
  </si>
  <si>
    <t>CN-41</t>
  </si>
  <si>
    <t>Henan</t>
  </si>
  <si>
    <t>CN-91</t>
  </si>
  <si>
    <t>CN-42</t>
  </si>
  <si>
    <t>Hubei</t>
  </si>
  <si>
    <t>CN-43</t>
  </si>
  <si>
    <t>Hunan</t>
  </si>
  <si>
    <t>CN-32</t>
  </si>
  <si>
    <t>Jiangsu</t>
  </si>
  <si>
    <t>CN-36</t>
  </si>
  <si>
    <t>Jiangxi</t>
  </si>
  <si>
    <t>CN-22</t>
  </si>
  <si>
    <t>Jilin</t>
  </si>
  <si>
    <t>CN-21</t>
  </si>
  <si>
    <t>Liaoning</t>
  </si>
  <si>
    <t>Macao</t>
  </si>
  <si>
    <t>CN-15</t>
  </si>
  <si>
    <t>Nei Mongol</t>
  </si>
  <si>
    <t>CN-64</t>
  </si>
  <si>
    <t>Ningxia</t>
  </si>
  <si>
    <t>CN-63</t>
  </si>
  <si>
    <t>Qinghai</t>
  </si>
  <si>
    <t>CN-61</t>
  </si>
  <si>
    <t>Shaanxi</t>
  </si>
  <si>
    <t>CN-37</t>
  </si>
  <si>
    <t>Shandong</t>
  </si>
  <si>
    <t>CN-31</t>
  </si>
  <si>
    <t>Shanghai</t>
  </si>
  <si>
    <t>CN-14</t>
  </si>
  <si>
    <t>Shanxi</t>
  </si>
  <si>
    <t>CN-51</t>
  </si>
  <si>
    <t>Sichuan</t>
  </si>
  <si>
    <t>CN-71</t>
  </si>
  <si>
    <t>Taiwan (see also separate entry under TW)</t>
  </si>
  <si>
    <t>CN-12</t>
  </si>
  <si>
    <t>Tianjin</t>
  </si>
  <si>
    <t>Xianggang (see also separate entry under HK)</t>
  </si>
  <si>
    <t>CN-65</t>
  </si>
  <si>
    <t>Xinjiang</t>
  </si>
  <si>
    <t>CN-54</t>
  </si>
  <si>
    <t>Xizang</t>
  </si>
  <si>
    <t>CN-53</t>
  </si>
  <si>
    <t>Yunnan</t>
  </si>
  <si>
    <t>CN-33</t>
  </si>
  <si>
    <t>Zhejiang</t>
  </si>
  <si>
    <t>CO-AMA</t>
  </si>
  <si>
    <t>CO-ANT</t>
  </si>
  <si>
    <t>Antioquia</t>
  </si>
  <si>
    <t>CO-ARA</t>
  </si>
  <si>
    <t>Arauca</t>
  </si>
  <si>
    <t>CO-ATL</t>
  </si>
  <si>
    <t>Atlántico</t>
  </si>
  <si>
    <t>CO-BOL</t>
  </si>
  <si>
    <t>Bolívar</t>
  </si>
  <si>
    <t>CO-BOY</t>
  </si>
  <si>
    <t>Boyacá</t>
  </si>
  <si>
    <t>CO-CAL</t>
  </si>
  <si>
    <t>Caldas</t>
  </si>
  <si>
    <t>CO-CAQ</t>
  </si>
  <si>
    <t>Caquetá</t>
  </si>
  <si>
    <t>CO-CAS</t>
  </si>
  <si>
    <t>Casanare</t>
  </si>
  <si>
    <t>CO-CAU</t>
  </si>
  <si>
    <t>Cauca</t>
  </si>
  <si>
    <t>CO-CES</t>
  </si>
  <si>
    <t>Cesar</t>
  </si>
  <si>
    <t>CO-CHO</t>
  </si>
  <si>
    <t>Chocó</t>
  </si>
  <si>
    <t>CO-CUN</t>
  </si>
  <si>
    <t>Cundinamarca</t>
  </si>
  <si>
    <t>CO-COR</t>
  </si>
  <si>
    <t>CO-DC</t>
  </si>
  <si>
    <t>Distrito Capital de Bogotá</t>
  </si>
  <si>
    <t>capital district</t>
  </si>
  <si>
    <t>CO-GUA</t>
  </si>
  <si>
    <t>Guainía</t>
  </si>
  <si>
    <t>CO-GUV</t>
  </si>
  <si>
    <t>Guaviare</t>
  </si>
  <si>
    <t>CO-HUI</t>
  </si>
  <si>
    <t>Huila</t>
  </si>
  <si>
    <t>CO-LAG</t>
  </si>
  <si>
    <t>La Guajira</t>
  </si>
  <si>
    <t>CO-MAG</t>
  </si>
  <si>
    <t>Magdalena</t>
  </si>
  <si>
    <t>CO-MET</t>
  </si>
  <si>
    <t>Meta</t>
  </si>
  <si>
    <t>CO-NAR</t>
  </si>
  <si>
    <t>Nariño</t>
  </si>
  <si>
    <t>CO-NSA</t>
  </si>
  <si>
    <t>Norte de Santander</t>
  </si>
  <si>
    <t>CO-PUT</t>
  </si>
  <si>
    <t>Putumayo</t>
  </si>
  <si>
    <t>CO-QUI</t>
  </si>
  <si>
    <t>Quindío</t>
  </si>
  <si>
    <t>CO-RIS</t>
  </si>
  <si>
    <t>Risaralda</t>
  </si>
  <si>
    <t>CO-SAP</t>
  </si>
  <si>
    <t>San Andrés, Providencia y Santa Catalina</t>
  </si>
  <si>
    <t>CO-SAN</t>
  </si>
  <si>
    <t>Santander</t>
  </si>
  <si>
    <t>CO-SUC</t>
  </si>
  <si>
    <t>Sucre</t>
  </si>
  <si>
    <t>CO-TOL</t>
  </si>
  <si>
    <t>Tolima</t>
  </si>
  <si>
    <t>CO-VAC</t>
  </si>
  <si>
    <t>Valle del Cauca</t>
  </si>
  <si>
    <t>CO-VAU</t>
  </si>
  <si>
    <t>Vaupés</t>
  </si>
  <si>
    <t>CO-VID</t>
  </si>
  <si>
    <t>Vichada</t>
  </si>
  <si>
    <t>KM-G</t>
  </si>
  <si>
    <t>Andjazîdja (Anjazījah)</t>
  </si>
  <si>
    <t>island</t>
  </si>
  <si>
    <t>KM-A</t>
  </si>
  <si>
    <t>Andjouân (Anjwān)</t>
  </si>
  <si>
    <t>Anjouan</t>
  </si>
  <si>
    <t>Grande Comore</t>
  </si>
  <si>
    <t>KM-M</t>
  </si>
  <si>
    <t>Mohéli</t>
  </si>
  <si>
    <t>Moûhîlî (Mūhīlī)</t>
  </si>
  <si>
    <t>Mwali</t>
  </si>
  <si>
    <t>Ndzuwani</t>
  </si>
  <si>
    <t>Ngazidja</t>
  </si>
  <si>
    <t>CG-11</t>
  </si>
  <si>
    <t>Bouenza</t>
  </si>
  <si>
    <t>CG-BZV</t>
  </si>
  <si>
    <t>Brazzaville</t>
  </si>
  <si>
    <t>capital</t>
  </si>
  <si>
    <t>CG-8</t>
  </si>
  <si>
    <t>Cuvette</t>
  </si>
  <si>
    <t>CG-15</t>
  </si>
  <si>
    <t>Cuvette-Ouest</t>
  </si>
  <si>
    <t>CG-5</t>
  </si>
  <si>
    <t>Kouilou</t>
  </si>
  <si>
    <t>CG-7</t>
  </si>
  <si>
    <t>Likouala</t>
  </si>
  <si>
    <t>CG-2</t>
  </si>
  <si>
    <t>Lékoumou</t>
  </si>
  <si>
    <t>CG-9</t>
  </si>
  <si>
    <t>Niari</t>
  </si>
  <si>
    <t>CG-14</t>
  </si>
  <si>
    <t>Plateaux</t>
  </si>
  <si>
    <t>CG-12</t>
  </si>
  <si>
    <t>Pool</t>
  </si>
  <si>
    <t>CG-13</t>
  </si>
  <si>
    <t>CD-BN</t>
  </si>
  <si>
    <t>Bandundu</t>
  </si>
  <si>
    <t>CD-BC</t>
  </si>
  <si>
    <t>Bas-Congo</t>
  </si>
  <si>
    <t>CD-KW</t>
  </si>
  <si>
    <t>Kasai-Occidental</t>
  </si>
  <si>
    <t>CD-KE</t>
  </si>
  <si>
    <t>Kasai-Oriental</t>
  </si>
  <si>
    <t>CD-KA</t>
  </si>
  <si>
    <t>Katanga</t>
  </si>
  <si>
    <t>CD-KN</t>
  </si>
  <si>
    <t>Kinshasa</t>
  </si>
  <si>
    <t>CD-MA</t>
  </si>
  <si>
    <t>Maniema</t>
  </si>
  <si>
    <t>CD-NK</t>
  </si>
  <si>
    <t>Nord-Kivu</t>
  </si>
  <si>
    <t>CD-OR</t>
  </si>
  <si>
    <t>Orientale</t>
  </si>
  <si>
    <t>CD-SK</t>
  </si>
  <si>
    <t>Sud-Kivu</t>
  </si>
  <si>
    <t>CD-EQ</t>
  </si>
  <si>
    <t>Équateur</t>
  </si>
  <si>
    <t>CR-A</t>
  </si>
  <si>
    <t>Alajuela</t>
  </si>
  <si>
    <t>CR-C</t>
  </si>
  <si>
    <t>Cartago</t>
  </si>
  <si>
    <t>CR-G</t>
  </si>
  <si>
    <t>Guanacaste</t>
  </si>
  <si>
    <t>CR-H</t>
  </si>
  <si>
    <t>Heredia</t>
  </si>
  <si>
    <t>CR-L</t>
  </si>
  <si>
    <t>Limón</t>
  </si>
  <si>
    <t>CR-P</t>
  </si>
  <si>
    <t>Puntarenas</t>
  </si>
  <si>
    <t>CR-SJ</t>
  </si>
  <si>
    <t>San José</t>
  </si>
  <si>
    <t>HR-07</t>
  </si>
  <si>
    <t>Bjelovarsko-bilogorska županija</t>
  </si>
  <si>
    <t>HR-12</t>
  </si>
  <si>
    <t>Brodsko-posavska županija</t>
  </si>
  <si>
    <t>HR-19</t>
  </si>
  <si>
    <t>Dubrovačko-neretvanska županija</t>
  </si>
  <si>
    <t>HR-21</t>
  </si>
  <si>
    <t>Grad Zagreb</t>
  </si>
  <si>
    <t>HR-18</t>
  </si>
  <si>
    <t>Istarska županija</t>
  </si>
  <si>
    <t>HR-04</t>
  </si>
  <si>
    <t>Karlovačka županija</t>
  </si>
  <si>
    <t>HR-06</t>
  </si>
  <si>
    <t>Koprivničko-križevačka županija</t>
  </si>
  <si>
    <t>HR-02</t>
  </si>
  <si>
    <t>Krapinsko-zagorska županija</t>
  </si>
  <si>
    <t>HR-09</t>
  </si>
  <si>
    <t>Ličko-senjska županija</t>
  </si>
  <si>
    <t>HR-20</t>
  </si>
  <si>
    <t>Međimurska županija</t>
  </si>
  <si>
    <t>HR-14</t>
  </si>
  <si>
    <t>Osječko-baranjska županija</t>
  </si>
  <si>
    <t>HR-11</t>
  </si>
  <si>
    <t>Požeško-slavonska županija</t>
  </si>
  <si>
    <t>HR-08</t>
  </si>
  <si>
    <t>Primorsko-goranska županija</t>
  </si>
  <si>
    <t>HR-03</t>
  </si>
  <si>
    <t>Sisačko-moslavačka županija</t>
  </si>
  <si>
    <t>HR-17</t>
  </si>
  <si>
    <t>Splitsko-dalmatinska županija</t>
  </si>
  <si>
    <t>HR-05</t>
  </si>
  <si>
    <t>Varaždinska županija</t>
  </si>
  <si>
    <t>HR-10</t>
  </si>
  <si>
    <t>Virovitičko-podravska županija</t>
  </si>
  <si>
    <t>HR-16</t>
  </si>
  <si>
    <t>Vukovarsko-srijemska županija</t>
  </si>
  <si>
    <t>HR-13</t>
  </si>
  <si>
    <t>Zadarska županija</t>
  </si>
  <si>
    <t>HR-01</t>
  </si>
  <si>
    <t>Zagrebačka županija</t>
  </si>
  <si>
    <t>HR-15</t>
  </si>
  <si>
    <t>Šibensko-kninska županija</t>
  </si>
  <si>
    <t>CU-09</t>
  </si>
  <si>
    <t>Camagüey</t>
  </si>
  <si>
    <t>CU-08</t>
  </si>
  <si>
    <t>Ciego de Ávila</t>
  </si>
  <si>
    <t>CU-06</t>
  </si>
  <si>
    <t>Cienfuegos</t>
  </si>
  <si>
    <t>CU-03</t>
  </si>
  <si>
    <t>Ciudad de La Habana</t>
  </si>
  <si>
    <t>CU-12</t>
  </si>
  <si>
    <t>Granma</t>
  </si>
  <si>
    <t>CU-14</t>
  </si>
  <si>
    <t>Guantánamo</t>
  </si>
  <si>
    <t>CU-11</t>
  </si>
  <si>
    <t>Holguín</t>
  </si>
  <si>
    <t>CU-99</t>
  </si>
  <si>
    <t>Isla de la Juventud</t>
  </si>
  <si>
    <t>CU-02</t>
  </si>
  <si>
    <t>La Habana</t>
  </si>
  <si>
    <t>CU-10</t>
  </si>
  <si>
    <t>Las Tunas</t>
  </si>
  <si>
    <t>CU-04</t>
  </si>
  <si>
    <t>Matanzas</t>
  </si>
  <si>
    <t>CU-01</t>
  </si>
  <si>
    <t>Pinar del Río</t>
  </si>
  <si>
    <t>CU-07</t>
  </si>
  <si>
    <t>Sancti Spíritus</t>
  </si>
  <si>
    <t>CU-13</t>
  </si>
  <si>
    <t>Santiago de Cuba</t>
  </si>
  <si>
    <t>CU-05</t>
  </si>
  <si>
    <t>Villa Clara</t>
  </si>
  <si>
    <t>CY-04</t>
  </si>
  <si>
    <t>Ammochostos</t>
  </si>
  <si>
    <t>CY-05</t>
  </si>
  <si>
    <t>Baf</t>
  </si>
  <si>
    <t>Gazimaǧusa</t>
  </si>
  <si>
    <t>CY-06</t>
  </si>
  <si>
    <t>Girne</t>
  </si>
  <si>
    <t>Keryneia</t>
  </si>
  <si>
    <t>CY-03</t>
  </si>
  <si>
    <t>Larnaka</t>
  </si>
  <si>
    <t>CY-01</t>
  </si>
  <si>
    <t>Lefkosia</t>
  </si>
  <si>
    <t>Lefkoşa</t>
  </si>
  <si>
    <t>CY-02</t>
  </si>
  <si>
    <t>Lemesos</t>
  </si>
  <si>
    <t>Leymosun</t>
  </si>
  <si>
    <t>Pafos</t>
  </si>
  <si>
    <t>CZ-201</t>
  </si>
  <si>
    <t>Benešov</t>
  </si>
  <si>
    <t>CZ-202</t>
  </si>
  <si>
    <t>Beroun</t>
  </si>
  <si>
    <t>CZ-621</t>
  </si>
  <si>
    <t>Blansko</t>
  </si>
  <si>
    <t>CZ-622</t>
  </si>
  <si>
    <t>Brno-město</t>
  </si>
  <si>
    <t>CZ-623</t>
  </si>
  <si>
    <t>Brno-venkov</t>
  </si>
  <si>
    <t>CZ-801</t>
  </si>
  <si>
    <t>Bruntál</t>
  </si>
  <si>
    <t>CZ-624</t>
  </si>
  <si>
    <t>Břeclav</t>
  </si>
  <si>
    <t>CZ-411</t>
  </si>
  <si>
    <t>Cheb</t>
  </si>
  <si>
    <t>CZ-422</t>
  </si>
  <si>
    <t>Chomutov</t>
  </si>
  <si>
    <t>CZ-531</t>
  </si>
  <si>
    <t>Chrudim</t>
  </si>
  <si>
    <t>CZ-321</t>
  </si>
  <si>
    <t>Domažlice</t>
  </si>
  <si>
    <t>CZ-421</t>
  </si>
  <si>
    <t>Děčín</t>
  </si>
  <si>
    <t>CZ-802</t>
  </si>
  <si>
    <t>Frýdek Místek</t>
  </si>
  <si>
    <t>CZ-611</t>
  </si>
  <si>
    <t>Havlíčkův Brod</t>
  </si>
  <si>
    <t>CZ-625</t>
  </si>
  <si>
    <t>Hodonín</t>
  </si>
  <si>
    <t>CZ-521</t>
  </si>
  <si>
    <t>Hradec Králové</t>
  </si>
  <si>
    <t>CZ-512</t>
  </si>
  <si>
    <t>Jablonec nad Nisou</t>
  </si>
  <si>
    <t>CZ-711</t>
  </si>
  <si>
    <t>Jeseník</t>
  </si>
  <si>
    <t>CZ-612</t>
  </si>
  <si>
    <t>Jihlava</t>
  </si>
  <si>
    <t>CZ-JM</t>
  </si>
  <si>
    <t>Jihomoravský kraj</t>
  </si>
  <si>
    <t>CZ-JC</t>
  </si>
  <si>
    <t>Jihočeský kraj</t>
  </si>
  <si>
    <t>CZ-313</t>
  </si>
  <si>
    <t>Jindřichův Hradec</t>
  </si>
  <si>
    <t>CZ-522</t>
  </si>
  <si>
    <t>Jičín</t>
  </si>
  <si>
    <t>CZ-KA</t>
  </si>
  <si>
    <t>Karlovarský kraj</t>
  </si>
  <si>
    <t>CZ-412</t>
  </si>
  <si>
    <t>Karlovy Vary</t>
  </si>
  <si>
    <t>CZ-803</t>
  </si>
  <si>
    <t>Karviná</t>
  </si>
  <si>
    <t>CZ-203</t>
  </si>
  <si>
    <t>Kladno</t>
  </si>
  <si>
    <t>CZ-322</t>
  </si>
  <si>
    <t>Klatovy</t>
  </si>
  <si>
    <t>CZ-204</t>
  </si>
  <si>
    <t>Kolín</t>
  </si>
  <si>
    <t>CZ-721</t>
  </si>
  <si>
    <t>Kromĕříž</t>
  </si>
  <si>
    <t>CZ-KR</t>
  </si>
  <si>
    <t>Královéhradecký kraj</t>
  </si>
  <si>
    <t>CZ-205</t>
  </si>
  <si>
    <t>Kutná Hora</t>
  </si>
  <si>
    <t>CZ-513</t>
  </si>
  <si>
    <t>Liberec</t>
  </si>
  <si>
    <t>CZ-LI</t>
  </si>
  <si>
    <t>Liberecký kraj</t>
  </si>
  <si>
    <t>CZ-423</t>
  </si>
  <si>
    <t>Litoměřice</t>
  </si>
  <si>
    <t>CZ-424</t>
  </si>
  <si>
    <t>Louny</t>
  </si>
  <si>
    <t>CZ-207</t>
  </si>
  <si>
    <t>Mladá Boleslav</t>
  </si>
  <si>
    <t>CZ-MO</t>
  </si>
  <si>
    <t>Moravskoslezský kraj</t>
  </si>
  <si>
    <t>CZ-425</t>
  </si>
  <si>
    <t>Most</t>
  </si>
  <si>
    <t>CZ-206</t>
  </si>
  <si>
    <t>Mělník</t>
  </si>
  <si>
    <t>CZ-804</t>
  </si>
  <si>
    <t>Nový Jičín</t>
  </si>
  <si>
    <t>CZ-208</t>
  </si>
  <si>
    <t>Nymburk</t>
  </si>
  <si>
    <t>CZ-523</t>
  </si>
  <si>
    <t>Náchod</t>
  </si>
  <si>
    <t>CZ-712</t>
  </si>
  <si>
    <t>Olomouc</t>
  </si>
  <si>
    <t>CZ-OL</t>
  </si>
  <si>
    <t>Olomoucký kraj</t>
  </si>
  <si>
    <t>CZ-805</t>
  </si>
  <si>
    <t>Opava</t>
  </si>
  <si>
    <t>CZ-806</t>
  </si>
  <si>
    <t>Ostrava město</t>
  </si>
  <si>
    <t>CZ-532</t>
  </si>
  <si>
    <t>Pardubice</t>
  </si>
  <si>
    <t>CZ-PA</t>
  </si>
  <si>
    <t>Pardubický kraj</t>
  </si>
  <si>
    <t>CZ-613</t>
  </si>
  <si>
    <t>Pelhřimov</t>
  </si>
  <si>
    <t>CZ-324</t>
  </si>
  <si>
    <t>Plzeň jih</t>
  </si>
  <si>
    <t>CZ-323</t>
  </si>
  <si>
    <t>Plzeň město</t>
  </si>
  <si>
    <t>CZ-325</t>
  </si>
  <si>
    <t>Plzeň sever</t>
  </si>
  <si>
    <t>CZ-PL</t>
  </si>
  <si>
    <t>Plzeňský kraj</t>
  </si>
  <si>
    <t>CZ-315</t>
  </si>
  <si>
    <t>Prachatice</t>
  </si>
  <si>
    <t>CZ-101</t>
  </si>
  <si>
    <t>Praha 1</t>
  </si>
  <si>
    <t>CZ-10A</t>
  </si>
  <si>
    <t>Praha 10</t>
  </si>
  <si>
    <t>CZ-10B</t>
  </si>
  <si>
    <t>Praha 11</t>
  </si>
  <si>
    <t>CZ-10C</t>
  </si>
  <si>
    <t>Praha 12</t>
  </si>
  <si>
    <t>CZ-10D</t>
  </si>
  <si>
    <t>Praha 13</t>
  </si>
  <si>
    <t>CZ-10E</t>
  </si>
  <si>
    <t>Praha 14</t>
  </si>
  <si>
    <t>CZ-10F</t>
  </si>
  <si>
    <t>Praha 15</t>
  </si>
  <si>
    <t>CZ-102</t>
  </si>
  <si>
    <t>Praha 2</t>
  </si>
  <si>
    <t>CZ-103</t>
  </si>
  <si>
    <t>Praha 3</t>
  </si>
  <si>
    <t>CZ-104</t>
  </si>
  <si>
    <t>Praha 4</t>
  </si>
  <si>
    <t>CZ-105</t>
  </si>
  <si>
    <t>Praha 5</t>
  </si>
  <si>
    <t>CZ-106</t>
  </si>
  <si>
    <t>Praha 6</t>
  </si>
  <si>
    <t>CZ-107</t>
  </si>
  <si>
    <t>Praha 7</t>
  </si>
  <si>
    <t>CZ-108</t>
  </si>
  <si>
    <t>Praha 8</t>
  </si>
  <si>
    <t>CZ-109</t>
  </si>
  <si>
    <t>Praha 9</t>
  </si>
  <si>
    <t>CZ-209</t>
  </si>
  <si>
    <t>Praha východ</t>
  </si>
  <si>
    <t>CZ-20A</t>
  </si>
  <si>
    <t>Praha západ</t>
  </si>
  <si>
    <t>CZ-PR</t>
  </si>
  <si>
    <t>Praha, hlavní mešto</t>
  </si>
  <si>
    <t>CZ-713</t>
  </si>
  <si>
    <t>Prostĕjov</t>
  </si>
  <si>
    <t>CZ-314</t>
  </si>
  <si>
    <t>Písek</t>
  </si>
  <si>
    <t>CZ-714</t>
  </si>
  <si>
    <t>Přerov</t>
  </si>
  <si>
    <t>CZ-20B</t>
  </si>
  <si>
    <t>Příbram</t>
  </si>
  <si>
    <t>CZ-20C</t>
  </si>
  <si>
    <t>Rakovník</t>
  </si>
  <si>
    <t>CZ-326</t>
  </si>
  <si>
    <t>Rokycany</t>
  </si>
  <si>
    <t>CZ-524</t>
  </si>
  <si>
    <t>Rychnov nad Kněžnou</t>
  </si>
  <si>
    <t>CZ-514</t>
  </si>
  <si>
    <t>Semily</t>
  </si>
  <si>
    <t>CZ-413</t>
  </si>
  <si>
    <t>Sokolov</t>
  </si>
  <si>
    <t>CZ-316</t>
  </si>
  <si>
    <t>Strakonice</t>
  </si>
  <si>
    <t>CZ-ST</t>
  </si>
  <si>
    <t>Středočeský kraj</t>
  </si>
  <si>
    <t>CZ-533</t>
  </si>
  <si>
    <t>Svitavy</t>
  </si>
  <si>
    <t>CZ-327</t>
  </si>
  <si>
    <t>Tachov</t>
  </si>
  <si>
    <t>CZ-426</t>
  </si>
  <si>
    <t>Teplice</t>
  </si>
  <si>
    <t>CZ-525</t>
  </si>
  <si>
    <t>Trutnov</t>
  </si>
  <si>
    <t>CZ-317</t>
  </si>
  <si>
    <t>Tábor</t>
  </si>
  <si>
    <t>CZ-614</t>
  </si>
  <si>
    <t>Třebíč</t>
  </si>
  <si>
    <t>CZ-722</t>
  </si>
  <si>
    <t>Uherské Hradištĕ</t>
  </si>
  <si>
    <t>CZ-723</t>
  </si>
  <si>
    <t>Vsetín</t>
  </si>
  <si>
    <t>CZ-VY</t>
  </si>
  <si>
    <t>Vysočina</t>
  </si>
  <si>
    <t>CZ-626</t>
  </si>
  <si>
    <t>Vyškov</t>
  </si>
  <si>
    <t>CZ-724</t>
  </si>
  <si>
    <t>Zlín</t>
  </si>
  <si>
    <t>CZ-ZL</t>
  </si>
  <si>
    <t>Zlínský kraj</t>
  </si>
  <si>
    <t>CZ-627</t>
  </si>
  <si>
    <t>Znojmo</t>
  </si>
  <si>
    <t>CZ-US</t>
  </si>
  <si>
    <t>Ústecký kraj</t>
  </si>
  <si>
    <t>CZ-427</t>
  </si>
  <si>
    <t>Ústí nad Labem</t>
  </si>
  <si>
    <t>CZ-534</t>
  </si>
  <si>
    <t>Ústí nad Orlicí</t>
  </si>
  <si>
    <t>CZ-511</t>
  </si>
  <si>
    <t>Česká Lípa</t>
  </si>
  <si>
    <t>CZ-311</t>
  </si>
  <si>
    <t>České Budějovice</t>
  </si>
  <si>
    <t>CZ-312</t>
  </si>
  <si>
    <t>Český Krumlov</t>
  </si>
  <si>
    <t>CZ-715</t>
  </si>
  <si>
    <t>Šumperk</t>
  </si>
  <si>
    <t>CZ-615</t>
  </si>
  <si>
    <t>Žd'ár nad Sázavou</t>
  </si>
  <si>
    <t>CI-06</t>
  </si>
  <si>
    <t>18 Montagnes (Région des)</t>
  </si>
  <si>
    <t>CI-16</t>
  </si>
  <si>
    <t>Agnébi (Région de l')</t>
  </si>
  <si>
    <t>CI-17</t>
  </si>
  <si>
    <t>Bafing (Région du)</t>
  </si>
  <si>
    <t>CI-09</t>
  </si>
  <si>
    <t>Bas-Sassandra (Région du)</t>
  </si>
  <si>
    <t>CI-10</t>
  </si>
  <si>
    <t>Denguélé (Région du)</t>
  </si>
  <si>
    <t>CI-18</t>
  </si>
  <si>
    <t>Fromager (Région du)</t>
  </si>
  <si>
    <t>CI-02</t>
  </si>
  <si>
    <t>Haut-Sassandra (Région du)</t>
  </si>
  <si>
    <t>CI-07</t>
  </si>
  <si>
    <t>Lacs (Région des)</t>
  </si>
  <si>
    <t>CI-01</t>
  </si>
  <si>
    <t>Lagunes (Région des)</t>
  </si>
  <si>
    <t>CI-12</t>
  </si>
  <si>
    <t>Marahoué (Région de la)</t>
  </si>
  <si>
    <t>CI-19</t>
  </si>
  <si>
    <t>Moyen-Cavally (Région du)</t>
  </si>
  <si>
    <t>CI-05</t>
  </si>
  <si>
    <t>Moyen-Comoé (Région du)</t>
  </si>
  <si>
    <t>CI-11</t>
  </si>
  <si>
    <t>Nzi-Comoé (Région)</t>
  </si>
  <si>
    <t>CI-03</t>
  </si>
  <si>
    <t>Savanes (Région des)</t>
  </si>
  <si>
    <t>CI-15</t>
  </si>
  <si>
    <t>Sud-Bandama (Région du)</t>
  </si>
  <si>
    <t>CI-13</t>
  </si>
  <si>
    <t>Sud-Comoé (Région du)</t>
  </si>
  <si>
    <t>CI-04</t>
  </si>
  <si>
    <t>Vallée du Bandama (Région de la)</t>
  </si>
  <si>
    <t>CI-14</t>
  </si>
  <si>
    <t>Worodougou (Région du)</t>
  </si>
  <si>
    <t>CI-08</t>
  </si>
  <si>
    <t>Zanzan (Région du)</t>
  </si>
  <si>
    <t>DK-84</t>
  </si>
  <si>
    <t>Region Hovedstaden</t>
  </si>
  <si>
    <t>DK-82</t>
  </si>
  <si>
    <t>Region Midtjylland</t>
  </si>
  <si>
    <t>DK-81</t>
  </si>
  <si>
    <t>Region Nordjylland</t>
  </si>
  <si>
    <t>DK-85</t>
  </si>
  <si>
    <t>Region Sjælland</t>
  </si>
  <si>
    <t>DK-83</t>
  </si>
  <si>
    <t>Region Syddanmark</t>
  </si>
  <si>
    <t>DJ-AS</t>
  </si>
  <si>
    <t>'Alī Sābiḩ</t>
  </si>
  <si>
    <t>DJ-AR</t>
  </si>
  <si>
    <t>'Artā</t>
  </si>
  <si>
    <t>Ali Sabieh</t>
  </si>
  <si>
    <t>Arta</t>
  </si>
  <si>
    <t>DJ-DI</t>
  </si>
  <si>
    <t>Dikhil</t>
  </si>
  <si>
    <t>Dikhīl</t>
  </si>
  <si>
    <t>DJ-DJ</t>
  </si>
  <si>
    <t>Jībūtī</t>
  </si>
  <si>
    <t>DJ-OB</t>
  </si>
  <si>
    <t>Obock</t>
  </si>
  <si>
    <t>DJ-TA</t>
  </si>
  <si>
    <t>Tadjourah</t>
  </si>
  <si>
    <t>Tājūrah</t>
  </si>
  <si>
    <t>Ūbūk</t>
  </si>
  <si>
    <t>DM-02</t>
  </si>
  <si>
    <t>DM-03</t>
  </si>
  <si>
    <t>Saint David</t>
  </si>
  <si>
    <t>DM-04</t>
  </si>
  <si>
    <t>DM-05</t>
  </si>
  <si>
    <t>DM-06</t>
  </si>
  <si>
    <t>DM-07</t>
  </si>
  <si>
    <t>Saint Luke</t>
  </si>
  <si>
    <t>DM-08</t>
  </si>
  <si>
    <t>Saint Mark</t>
  </si>
  <si>
    <t>DM-09</t>
  </si>
  <si>
    <t>Saint Patrick</t>
  </si>
  <si>
    <t>DM-10</t>
  </si>
  <si>
    <t>DM-11</t>
  </si>
  <si>
    <t>DO-02</t>
  </si>
  <si>
    <t>Azua</t>
  </si>
  <si>
    <t>DO-03</t>
  </si>
  <si>
    <t>Bahoruco</t>
  </si>
  <si>
    <t>DO-04</t>
  </si>
  <si>
    <t>Barahona</t>
  </si>
  <si>
    <t>DO-05</t>
  </si>
  <si>
    <t>Dajabón</t>
  </si>
  <si>
    <t>DO-01</t>
  </si>
  <si>
    <t>Distrito Nacional (Santo Domingo)</t>
  </si>
  <si>
    <t>DO-06</t>
  </si>
  <si>
    <t>Duarte</t>
  </si>
  <si>
    <t>DO-08</t>
  </si>
  <si>
    <t>El Seybo</t>
  </si>
  <si>
    <t>DO-09</t>
  </si>
  <si>
    <t>Espaillat</t>
  </si>
  <si>
    <t>DO-30</t>
  </si>
  <si>
    <t>Hato Mayor</t>
  </si>
  <si>
    <t>DO-10</t>
  </si>
  <si>
    <t>Independencia</t>
  </si>
  <si>
    <t>DO-11</t>
  </si>
  <si>
    <t>La Altagracia</t>
  </si>
  <si>
    <t>DO-07</t>
  </si>
  <si>
    <t>La Estrelleta</t>
  </si>
  <si>
    <t>DO-12</t>
  </si>
  <si>
    <t>La Romana</t>
  </si>
  <si>
    <t>DO-13</t>
  </si>
  <si>
    <t>La Vega</t>
  </si>
  <si>
    <t>DO-14</t>
  </si>
  <si>
    <t>María Trinidad Sánchez</t>
  </si>
  <si>
    <t>DO-28</t>
  </si>
  <si>
    <t>Monseñor Nouel</t>
  </si>
  <si>
    <t>DO-15</t>
  </si>
  <si>
    <t>Monte Cristi</t>
  </si>
  <si>
    <t>DO-29</t>
  </si>
  <si>
    <t>Monte Plata</t>
  </si>
  <si>
    <t>DO-16</t>
  </si>
  <si>
    <t>Pedernales</t>
  </si>
  <si>
    <t>DO-17</t>
  </si>
  <si>
    <t>Peravia</t>
  </si>
  <si>
    <t>DO-18</t>
  </si>
  <si>
    <t>Puerto Plata</t>
  </si>
  <si>
    <t>DO-19</t>
  </si>
  <si>
    <t>Salcedo</t>
  </si>
  <si>
    <t>DO-20</t>
  </si>
  <si>
    <t>Samaná</t>
  </si>
  <si>
    <t>DO-21</t>
  </si>
  <si>
    <t>San Cristóbal</t>
  </si>
  <si>
    <t>DO-31</t>
  </si>
  <si>
    <t>San José de Ocoa</t>
  </si>
  <si>
    <t>DO-22</t>
  </si>
  <si>
    <t>DO-23</t>
  </si>
  <si>
    <t>San Pedro de Macorís</t>
  </si>
  <si>
    <t>DO-25</t>
  </si>
  <si>
    <t>Santiago</t>
  </si>
  <si>
    <t>DO-26</t>
  </si>
  <si>
    <t>Santiago Rodríguez</t>
  </si>
  <si>
    <t>DO-32</t>
  </si>
  <si>
    <t>Santo Domingo</t>
  </si>
  <si>
    <t>DO-24</t>
  </si>
  <si>
    <t>Sánchez Ramírez</t>
  </si>
  <si>
    <t>DO-27</t>
  </si>
  <si>
    <t>Valverde</t>
  </si>
  <si>
    <t>EC-A</t>
  </si>
  <si>
    <t>Azuay</t>
  </si>
  <si>
    <t>EC-B</t>
  </si>
  <si>
    <t>EC-C</t>
  </si>
  <si>
    <t>Carchi</t>
  </si>
  <si>
    <t>EC-F</t>
  </si>
  <si>
    <t>Cañar</t>
  </si>
  <si>
    <t>EC-H</t>
  </si>
  <si>
    <t>Chimborazo</t>
  </si>
  <si>
    <t>EC-X</t>
  </si>
  <si>
    <t>Cotopaxi</t>
  </si>
  <si>
    <t>EC-O</t>
  </si>
  <si>
    <t>El Oro</t>
  </si>
  <si>
    <t>EC-E</t>
  </si>
  <si>
    <t>Esmeraldas</t>
  </si>
  <si>
    <t>EC-W</t>
  </si>
  <si>
    <t>Galápagos</t>
  </si>
  <si>
    <t>EC-G</t>
  </si>
  <si>
    <t>Guayas</t>
  </si>
  <si>
    <t>EC-I</t>
  </si>
  <si>
    <t>Imbabura</t>
  </si>
  <si>
    <t>EC-L</t>
  </si>
  <si>
    <t>Loja</t>
  </si>
  <si>
    <t>EC-R</t>
  </si>
  <si>
    <t>EC-M</t>
  </si>
  <si>
    <t>Manabí</t>
  </si>
  <si>
    <t>EC-S</t>
  </si>
  <si>
    <t>Morona-Santiago</t>
  </si>
  <si>
    <t>EC-N</t>
  </si>
  <si>
    <t>Napo</t>
  </si>
  <si>
    <t>EC-D</t>
  </si>
  <si>
    <t>Orellana</t>
  </si>
  <si>
    <t>EC-Y</t>
  </si>
  <si>
    <t>Pastaza</t>
  </si>
  <si>
    <t>EC-P</t>
  </si>
  <si>
    <t>Pichincha</t>
  </si>
  <si>
    <t>EC-SE</t>
  </si>
  <si>
    <t>Santa Elena</t>
  </si>
  <si>
    <t>EC-SD</t>
  </si>
  <si>
    <t>Santo Domingo de los Tsáchilas</t>
  </si>
  <si>
    <t>EC-U</t>
  </si>
  <si>
    <t>Sucumbíos</t>
  </si>
  <si>
    <t>EC-T</t>
  </si>
  <si>
    <t>Tungurahua</t>
  </si>
  <si>
    <t>EC-Z</t>
  </si>
  <si>
    <t>Zamora-Chinchipe</t>
  </si>
  <si>
    <t>EG-DK</t>
  </si>
  <si>
    <t>Ad Daqahlīyah</t>
  </si>
  <si>
    <t>EG-BA</t>
  </si>
  <si>
    <t>Al Baḩr al Aḩmar</t>
  </si>
  <si>
    <t>EG-BH</t>
  </si>
  <si>
    <t>Al Buḩayrah</t>
  </si>
  <si>
    <t>EG-FYM</t>
  </si>
  <si>
    <t>Al Fayyūm</t>
  </si>
  <si>
    <t>EG-GH</t>
  </si>
  <si>
    <t>Al Gharbīyah</t>
  </si>
  <si>
    <t>EG-ALX</t>
  </si>
  <si>
    <t>Al Iskandarīyah</t>
  </si>
  <si>
    <t>EG-IS</t>
  </si>
  <si>
    <t>Al Ismā'īlīyah</t>
  </si>
  <si>
    <t>EG-GZ</t>
  </si>
  <si>
    <t>Al Jīzah</t>
  </si>
  <si>
    <t>EG-MN</t>
  </si>
  <si>
    <t>Al Minyā</t>
  </si>
  <si>
    <t>EG-MNF</t>
  </si>
  <si>
    <t>Al Minūfīyah</t>
  </si>
  <si>
    <t>EG-KB</t>
  </si>
  <si>
    <t>Al Qalyūbīyah</t>
  </si>
  <si>
    <t>EG-C</t>
  </si>
  <si>
    <t>Al Qāhirah</t>
  </si>
  <si>
    <t>EG-LX</t>
  </si>
  <si>
    <t>Al Uqşur</t>
  </si>
  <si>
    <t>EG-WAD</t>
  </si>
  <si>
    <t>Al Wādī al Jadīd</t>
  </si>
  <si>
    <t>EG-SUZ</t>
  </si>
  <si>
    <t>As Suways</t>
  </si>
  <si>
    <t>EG-SU</t>
  </si>
  <si>
    <t>As Sādis min Uktūbar</t>
  </si>
  <si>
    <t>EG-SHR</t>
  </si>
  <si>
    <t>Ash Sharqīyah</t>
  </si>
  <si>
    <t>EG-ASN</t>
  </si>
  <si>
    <t>Aswān</t>
  </si>
  <si>
    <t>EG-AST</t>
  </si>
  <si>
    <t>Asyūţ</t>
  </si>
  <si>
    <t>EG-BNS</t>
  </si>
  <si>
    <t>Banī Suwayf</t>
  </si>
  <si>
    <t>EG-PTS</t>
  </si>
  <si>
    <t>Būr Sa'd</t>
  </si>
  <si>
    <t>EG-DT</t>
  </si>
  <si>
    <t>Dumyāţ</t>
  </si>
  <si>
    <t>EG-HU</t>
  </si>
  <si>
    <t>Ḩulwān</t>
  </si>
  <si>
    <t>EG-JS</t>
  </si>
  <si>
    <t>Janūb Sīnā'</t>
  </si>
  <si>
    <t>EG-KFS</t>
  </si>
  <si>
    <t>Kafr ash Shaykh</t>
  </si>
  <si>
    <t>EG-MT</t>
  </si>
  <si>
    <t>Maţrūḩ</t>
  </si>
  <si>
    <t>EG-KN</t>
  </si>
  <si>
    <t>Qinā</t>
  </si>
  <si>
    <t>EG-SIN</t>
  </si>
  <si>
    <t>Shamāl Sīnā'</t>
  </si>
  <si>
    <t>EG-SHG</t>
  </si>
  <si>
    <t>Sūhāj</t>
  </si>
  <si>
    <t>SV-AH</t>
  </si>
  <si>
    <t>Ahuachapán</t>
  </si>
  <si>
    <t>SV-CA</t>
  </si>
  <si>
    <t>Cabañas</t>
  </si>
  <si>
    <t>SV-CH</t>
  </si>
  <si>
    <t>Chalatenango</t>
  </si>
  <si>
    <t>SV-CU</t>
  </si>
  <si>
    <t>Cuscatlán</t>
  </si>
  <si>
    <t>SV-LI</t>
  </si>
  <si>
    <t>La Libertad</t>
  </si>
  <si>
    <t>SV-PA</t>
  </si>
  <si>
    <t>SV-UN</t>
  </si>
  <si>
    <t>La Unión</t>
  </si>
  <si>
    <t>SV-MO</t>
  </si>
  <si>
    <t>Morazán</t>
  </si>
  <si>
    <t>SV-SM</t>
  </si>
  <si>
    <t>San Miguel</t>
  </si>
  <si>
    <t>SV-SS</t>
  </si>
  <si>
    <t>SV-SV</t>
  </si>
  <si>
    <t>San Vicente</t>
  </si>
  <si>
    <t>SV-SA</t>
  </si>
  <si>
    <t>Santa Ana</t>
  </si>
  <si>
    <t>SV-SO</t>
  </si>
  <si>
    <t>Sonsonate</t>
  </si>
  <si>
    <t>SV-US</t>
  </si>
  <si>
    <t>Usulután</t>
  </si>
  <si>
    <t>GQ-AN</t>
  </si>
  <si>
    <t>Annobon</t>
  </si>
  <si>
    <t>Annobón</t>
  </si>
  <si>
    <t>Ano Bom</t>
  </si>
  <si>
    <t>GQ-BN</t>
  </si>
  <si>
    <t>Bioko Nord</t>
  </si>
  <si>
    <t>Bioko Norte</t>
  </si>
  <si>
    <t>GQ-BS</t>
  </si>
  <si>
    <t>Bioko Sud</t>
  </si>
  <si>
    <t>Bioko Sul</t>
  </si>
  <si>
    <t>Bioko Sur</t>
  </si>
  <si>
    <t>GQ-CS</t>
  </si>
  <si>
    <t>Centro Sud</t>
  </si>
  <si>
    <t>Centro Sul</t>
  </si>
  <si>
    <t>Centro Sur</t>
  </si>
  <si>
    <t>GQ-KN</t>
  </si>
  <si>
    <t>Kié-Ntem</t>
  </si>
  <si>
    <t>GQ-LI</t>
  </si>
  <si>
    <t>Litoral</t>
  </si>
  <si>
    <t>GQ-C</t>
  </si>
  <si>
    <t>Região Continental</t>
  </si>
  <si>
    <t>GQ-I</t>
  </si>
  <si>
    <t>Região Insular</t>
  </si>
  <si>
    <t>Región Continental</t>
  </si>
  <si>
    <t>Región Insular</t>
  </si>
  <si>
    <t>Région Continentale</t>
  </si>
  <si>
    <t>Région Insulaire</t>
  </si>
  <si>
    <t>GQ-WN</t>
  </si>
  <si>
    <t>Wele-Nzas</t>
  </si>
  <si>
    <t>Wele-Nzás</t>
  </si>
  <si>
    <t>ER-AN</t>
  </si>
  <si>
    <t>Anseba</t>
  </si>
  <si>
    <t>ER-DU</t>
  </si>
  <si>
    <t>Debub</t>
  </si>
  <si>
    <t>ER-DK</t>
  </si>
  <si>
    <t>Debubawi Keyih Bahri</t>
  </si>
  <si>
    <t>ER-GB</t>
  </si>
  <si>
    <t>Gash-Barka</t>
  </si>
  <si>
    <t>ER-MA</t>
  </si>
  <si>
    <t>Maakel</t>
  </si>
  <si>
    <t>ER-SK</t>
  </si>
  <si>
    <t>Semenawi Keyih Bahri</t>
  </si>
  <si>
    <t>EE-37</t>
  </si>
  <si>
    <t>Harjumaa</t>
  </si>
  <si>
    <t>EE-39</t>
  </si>
  <si>
    <t>Hiiumaa</t>
  </si>
  <si>
    <t>EE-44</t>
  </si>
  <si>
    <t>Ida-Virumaa</t>
  </si>
  <si>
    <t>EE-51</t>
  </si>
  <si>
    <t>Järvamaa</t>
  </si>
  <si>
    <t>EE-49</t>
  </si>
  <si>
    <t>Jõgevamaa</t>
  </si>
  <si>
    <t>EE-59</t>
  </si>
  <si>
    <t>Lääne-Virumaa</t>
  </si>
  <si>
    <t>EE-57</t>
  </si>
  <si>
    <t>Läänemaa</t>
  </si>
  <si>
    <t>EE-67</t>
  </si>
  <si>
    <t>Pärnumaa</t>
  </si>
  <si>
    <t>EE-65</t>
  </si>
  <si>
    <t>Põlvamaa</t>
  </si>
  <si>
    <t>EE-70</t>
  </si>
  <si>
    <t>Raplamaa</t>
  </si>
  <si>
    <t>EE-74</t>
  </si>
  <si>
    <t>Saaremaa</t>
  </si>
  <si>
    <t>EE-78</t>
  </si>
  <si>
    <t>Tartumaa</t>
  </si>
  <si>
    <t>EE-82</t>
  </si>
  <si>
    <t>Valgamaa</t>
  </si>
  <si>
    <t>EE-84</t>
  </si>
  <si>
    <t>Viljandimaa</t>
  </si>
  <si>
    <t>EE-86</t>
  </si>
  <si>
    <t>Võrumaa</t>
  </si>
  <si>
    <t>ET-AA</t>
  </si>
  <si>
    <t>Addis Ababa</t>
  </si>
  <si>
    <t>administration</t>
  </si>
  <si>
    <t>ET-AF</t>
  </si>
  <si>
    <t>Afar</t>
  </si>
  <si>
    <t>ET-AM</t>
  </si>
  <si>
    <t>Amara</t>
  </si>
  <si>
    <t>ET-BE</t>
  </si>
  <si>
    <t>Benshangul-Gumaz</t>
  </si>
  <si>
    <t>Bīnshangul Gumuz</t>
  </si>
  <si>
    <t>ET-DD</t>
  </si>
  <si>
    <t>Dire Dawa</t>
  </si>
  <si>
    <t>Dirē Dawa</t>
  </si>
  <si>
    <t>ET-GA</t>
  </si>
  <si>
    <t>Gambela Peoples</t>
  </si>
  <si>
    <t>Gambēla Hizboch</t>
  </si>
  <si>
    <t>ET-HA</t>
  </si>
  <si>
    <t>Harari People</t>
  </si>
  <si>
    <t>Hārerī Hizb</t>
  </si>
  <si>
    <t>ET-OR</t>
  </si>
  <si>
    <t>Oromia</t>
  </si>
  <si>
    <t>Oromīya</t>
  </si>
  <si>
    <t>ET-SO</t>
  </si>
  <si>
    <t>Somali</t>
  </si>
  <si>
    <t>ET-SN</t>
  </si>
  <si>
    <t>Southern Nations, Nationalities and Peoples</t>
  </si>
  <si>
    <t>Sumalē</t>
  </si>
  <si>
    <t>ET-TI</t>
  </si>
  <si>
    <t>Tigrai</t>
  </si>
  <si>
    <t>Tigray</t>
  </si>
  <si>
    <t>YeDebub Bihēroch Bihēreseboch na Hizboch</t>
  </si>
  <si>
    <t>Ādīs Ābeba</t>
  </si>
  <si>
    <t>Āfar</t>
  </si>
  <si>
    <t>Āmara</t>
  </si>
  <si>
    <t>FJ-C</t>
  </si>
  <si>
    <t>FJ-E</t>
  </si>
  <si>
    <t>Eastern</t>
  </si>
  <si>
    <t>FJ-N</t>
  </si>
  <si>
    <t>Northern</t>
  </si>
  <si>
    <t>FJ-R</t>
  </si>
  <si>
    <t>Rotuma</t>
  </si>
  <si>
    <t>FJ-W</t>
  </si>
  <si>
    <t>Western</t>
  </si>
  <si>
    <t>FI-01</t>
  </si>
  <si>
    <t>Ahvenanmaan maakunta</t>
  </si>
  <si>
    <t>FI-11</t>
  </si>
  <si>
    <t>Birkaland</t>
  </si>
  <si>
    <t>FI-19</t>
  </si>
  <si>
    <t>Egentliga Finland</t>
  </si>
  <si>
    <t>FI-06</t>
  </si>
  <si>
    <t>Egentliga Tavastland</t>
  </si>
  <si>
    <t>FI-02</t>
  </si>
  <si>
    <t>Etelä-Karjala</t>
  </si>
  <si>
    <t>FI-03</t>
  </si>
  <si>
    <t>Etelä-Pohjanmaa</t>
  </si>
  <si>
    <t>FI-04</t>
  </si>
  <si>
    <t>Etelä-Savo</t>
  </si>
  <si>
    <t>FI-05</t>
  </si>
  <si>
    <t>Kainuu</t>
  </si>
  <si>
    <t>Kajanaland</t>
  </si>
  <si>
    <t>Kanta-Häme</t>
  </si>
  <si>
    <t>FI-07</t>
  </si>
  <si>
    <t>Keski-Pohjanmaa</t>
  </si>
  <si>
    <t>FI-08</t>
  </si>
  <si>
    <t>Keski-Suomi</t>
  </si>
  <si>
    <t>FI-09</t>
  </si>
  <si>
    <t>Kymenlaakso</t>
  </si>
  <si>
    <t>Kymmenedalen</t>
  </si>
  <si>
    <t>Landskapet Åland</t>
  </si>
  <si>
    <t>FI-10</t>
  </si>
  <si>
    <t>Lappi</t>
  </si>
  <si>
    <t>Lappland</t>
  </si>
  <si>
    <t>Mellersta Finland</t>
  </si>
  <si>
    <t>Mellersta Österbotten</t>
  </si>
  <si>
    <t>FI-13</t>
  </si>
  <si>
    <t>Norra Karelen</t>
  </si>
  <si>
    <t>FI-15</t>
  </si>
  <si>
    <t>Norra Savolax</t>
  </si>
  <si>
    <t>FI-14</t>
  </si>
  <si>
    <t>Norra Österbotten</t>
  </si>
  <si>
    <t>FI-18</t>
  </si>
  <si>
    <t>Nyland</t>
  </si>
  <si>
    <t>Pirkanmaa</t>
  </si>
  <si>
    <t>FI-12</t>
  </si>
  <si>
    <t>Pohjanmaa</t>
  </si>
  <si>
    <t>Pohjois-Karjala</t>
  </si>
  <si>
    <t>Pohjois-Pohjanmaa</t>
  </si>
  <si>
    <t>Pohjois-Savo</t>
  </si>
  <si>
    <t>FI-16</t>
  </si>
  <si>
    <t>Päijänne-Tavastland</t>
  </si>
  <si>
    <t>Päijät-Häme</t>
  </si>
  <si>
    <t>FI-17</t>
  </si>
  <si>
    <t>Satakunda</t>
  </si>
  <si>
    <t>Satakunta</t>
  </si>
  <si>
    <t>Södra Karelen</t>
  </si>
  <si>
    <t>Södra Savolax</t>
  </si>
  <si>
    <t>Södra Österbotten</t>
  </si>
  <si>
    <t>Uusimaa</t>
  </si>
  <si>
    <t>Varsinais-Suomi</t>
  </si>
  <si>
    <t>Österbotten</t>
  </si>
  <si>
    <t>FR-01</t>
  </si>
  <si>
    <t>Ain</t>
  </si>
  <si>
    <t>metropolitan department</t>
  </si>
  <si>
    <t>FR-02</t>
  </si>
  <si>
    <t>Aisne</t>
  </si>
  <si>
    <t>FR-03</t>
  </si>
  <si>
    <t>Allier</t>
  </si>
  <si>
    <t>FR-06</t>
  </si>
  <si>
    <t>Alpes-Maritimes</t>
  </si>
  <si>
    <t>FR-04</t>
  </si>
  <si>
    <t>Alpes-de-Haute-Provence</t>
  </si>
  <si>
    <t>FR-A</t>
  </si>
  <si>
    <t>Alsace</t>
  </si>
  <si>
    <t>metropolitan region</t>
  </si>
  <si>
    <t>FR-B</t>
  </si>
  <si>
    <t>Aquitaine</t>
  </si>
  <si>
    <t>FR-08</t>
  </si>
  <si>
    <t>Ardennes</t>
  </si>
  <si>
    <t>FR-07</t>
  </si>
  <si>
    <t>Ardèche</t>
  </si>
  <si>
    <t>FR-09</t>
  </si>
  <si>
    <t>Ariège</t>
  </si>
  <si>
    <t>FR-10</t>
  </si>
  <si>
    <t>Aube</t>
  </si>
  <si>
    <t>FR-11</t>
  </si>
  <si>
    <t>Aude</t>
  </si>
  <si>
    <t>FR-C</t>
  </si>
  <si>
    <t>Auvergne</t>
  </si>
  <si>
    <t>FR-12</t>
  </si>
  <si>
    <t>Aveyron</t>
  </si>
  <si>
    <t>FR-67</t>
  </si>
  <si>
    <t>Bas-Rhin</t>
  </si>
  <si>
    <t>FR-P</t>
  </si>
  <si>
    <t>Basse-Normandie</t>
  </si>
  <si>
    <t>FR-13</t>
  </si>
  <si>
    <t>Bouches-du-Rhône</t>
  </si>
  <si>
    <t>FR-D</t>
  </si>
  <si>
    <t>Bourgogne</t>
  </si>
  <si>
    <t>FR-E</t>
  </si>
  <si>
    <t>Bretagne</t>
  </si>
  <si>
    <t>FR-14</t>
  </si>
  <si>
    <t>Calvados</t>
  </si>
  <si>
    <t>FR-15</t>
  </si>
  <si>
    <t>Cantal</t>
  </si>
  <si>
    <t>FR-F</t>
  </si>
  <si>
    <t>FR-G</t>
  </si>
  <si>
    <t>Champagne-Ardenne</t>
  </si>
  <si>
    <t>FR-16</t>
  </si>
  <si>
    <t>Charente</t>
  </si>
  <si>
    <t>FR-17</t>
  </si>
  <si>
    <t>Charente-Maritime</t>
  </si>
  <si>
    <t>FR-18</t>
  </si>
  <si>
    <t>Cher</t>
  </si>
  <si>
    <t>FR-CP</t>
  </si>
  <si>
    <t>Clipperton</t>
  </si>
  <si>
    <t>FR-19</t>
  </si>
  <si>
    <t>Corrèze</t>
  </si>
  <si>
    <t>FR-H</t>
  </si>
  <si>
    <t>Corse</t>
  </si>
  <si>
    <t>FR-2A</t>
  </si>
  <si>
    <t>Corse-du-Sud</t>
  </si>
  <si>
    <t>FR-23</t>
  </si>
  <si>
    <t>Creuse</t>
  </si>
  <si>
    <t>FR-21</t>
  </si>
  <si>
    <t>Côte-d'Or</t>
  </si>
  <si>
    <t>FR-22</t>
  </si>
  <si>
    <t>Côtes-d'Armor</t>
  </si>
  <si>
    <t>FR-79</t>
  </si>
  <si>
    <t>Deux-Sèvres</t>
  </si>
  <si>
    <t>FR-24</t>
  </si>
  <si>
    <t>Dordogne</t>
  </si>
  <si>
    <t>FR-25</t>
  </si>
  <si>
    <t>Doubs</t>
  </si>
  <si>
    <t>FR-26</t>
  </si>
  <si>
    <t>Drôme</t>
  </si>
  <si>
    <t>FR-91</t>
  </si>
  <si>
    <t>Essonne</t>
  </si>
  <si>
    <t>FR-27</t>
  </si>
  <si>
    <t>Eure</t>
  </si>
  <si>
    <t>FR-28</t>
  </si>
  <si>
    <t>Eure-et-Loir</t>
  </si>
  <si>
    <t>FR-29</t>
  </si>
  <si>
    <t>Finistère</t>
  </si>
  <si>
    <t>FR-I</t>
  </si>
  <si>
    <t>Franche-Comté</t>
  </si>
  <si>
    <t>FR-30</t>
  </si>
  <si>
    <t>Gard</t>
  </si>
  <si>
    <t>FR-32</t>
  </si>
  <si>
    <t>Gers</t>
  </si>
  <si>
    <t>FR-33</t>
  </si>
  <si>
    <t>Gironde</t>
  </si>
  <si>
    <t>FR-GP</t>
  </si>
  <si>
    <t>Guadeloupe (see also separate entry under GP)</t>
  </si>
  <si>
    <t>overseas department</t>
  </si>
  <si>
    <t>FR-GF</t>
  </si>
  <si>
    <t>Guyane (française) (see also separate entry under GF)</t>
  </si>
  <si>
    <t>FR-68</t>
  </si>
  <si>
    <t>Haut-Rhin</t>
  </si>
  <si>
    <t>FR-2B</t>
  </si>
  <si>
    <t>Haute-Corse</t>
  </si>
  <si>
    <t>FR-31</t>
  </si>
  <si>
    <t>Haute-Garonne</t>
  </si>
  <si>
    <t>FR-43</t>
  </si>
  <si>
    <t>Haute-Loire</t>
  </si>
  <si>
    <t>FR-52</t>
  </si>
  <si>
    <t>Haute-Marne</t>
  </si>
  <si>
    <t>FR-Q</t>
  </si>
  <si>
    <t>Haute-Normandie</t>
  </si>
  <si>
    <t>FR-74</t>
  </si>
  <si>
    <t>Haute-Savoie</t>
  </si>
  <si>
    <t>FR-70</t>
  </si>
  <si>
    <t>Haute-Saône</t>
  </si>
  <si>
    <t>FR-87</t>
  </si>
  <si>
    <t>Haute-Vienne</t>
  </si>
  <si>
    <t>FR-05</t>
  </si>
  <si>
    <t>Hautes-Alpes</t>
  </si>
  <si>
    <t>FR-65</t>
  </si>
  <si>
    <t>Hautes-Pyrénées</t>
  </si>
  <si>
    <t>FR-92</t>
  </si>
  <si>
    <t>Hauts-de-Seine</t>
  </si>
  <si>
    <t>FR-34</t>
  </si>
  <si>
    <t>Hérault</t>
  </si>
  <si>
    <t>FR-35</t>
  </si>
  <si>
    <t>Ille-et-Vilaine</t>
  </si>
  <si>
    <t>FR-36</t>
  </si>
  <si>
    <t>Indre</t>
  </si>
  <si>
    <t>FR-37</t>
  </si>
  <si>
    <t>Indre-et-Loire</t>
  </si>
  <si>
    <t>FR-38</t>
  </si>
  <si>
    <t>Isère</t>
  </si>
  <si>
    <t>FR-39</t>
  </si>
  <si>
    <t>Jura</t>
  </si>
  <si>
    <t>FR-RE</t>
  </si>
  <si>
    <t>La Réunion (see also separate entry under RE)</t>
  </si>
  <si>
    <t>FR-40</t>
  </si>
  <si>
    <t>Landes</t>
  </si>
  <si>
    <t>FR-K</t>
  </si>
  <si>
    <t>Languedoc-Roussillon</t>
  </si>
  <si>
    <t>FR-L</t>
  </si>
  <si>
    <t>Limousin</t>
  </si>
  <si>
    <t>FR-41</t>
  </si>
  <si>
    <t>Loir-et-Cher</t>
  </si>
  <si>
    <t>FR-42</t>
  </si>
  <si>
    <t>Loire</t>
  </si>
  <si>
    <t>FR-44</t>
  </si>
  <si>
    <t>Loire-Atlantique</t>
  </si>
  <si>
    <t>FR-45</t>
  </si>
  <si>
    <t>Loiret</t>
  </si>
  <si>
    <t>FR-M</t>
  </si>
  <si>
    <t>Lorraine</t>
  </si>
  <si>
    <t>FR-46</t>
  </si>
  <si>
    <t>Lot</t>
  </si>
  <si>
    <t>FR-47</t>
  </si>
  <si>
    <t>Lot-et-Garonne</t>
  </si>
  <si>
    <t>FR-48</t>
  </si>
  <si>
    <t>Lozère</t>
  </si>
  <si>
    <t>FR-49</t>
  </si>
  <si>
    <t>Maine-et-Loire</t>
  </si>
  <si>
    <t>FR-50</t>
  </si>
  <si>
    <t>Manche</t>
  </si>
  <si>
    <t>FR-51</t>
  </si>
  <si>
    <t>Marne</t>
  </si>
  <si>
    <t>FR-MQ</t>
  </si>
  <si>
    <t>Martinique (see also separate entry under MQ)</t>
  </si>
  <si>
    <t>FR-53</t>
  </si>
  <si>
    <t>Mayenne</t>
  </si>
  <si>
    <t>FR-YT</t>
  </si>
  <si>
    <t>Mayotte (see also separate ISO 3166-1 entry under YT)</t>
  </si>
  <si>
    <t>FR-54</t>
  </si>
  <si>
    <t>Meurthe-et-Moselle</t>
  </si>
  <si>
    <t>FR-55</t>
  </si>
  <si>
    <t>Meuse</t>
  </si>
  <si>
    <t>FR-N</t>
  </si>
  <si>
    <t>Midi-Pyrénées</t>
  </si>
  <si>
    <t>FR-56</t>
  </si>
  <si>
    <t>Morbihan</t>
  </si>
  <si>
    <t>FR-57</t>
  </si>
  <si>
    <t>Moselle</t>
  </si>
  <si>
    <t>FR-58</t>
  </si>
  <si>
    <t>Nièvre</t>
  </si>
  <si>
    <t>FR-59</t>
  </si>
  <si>
    <t>FR-O</t>
  </si>
  <si>
    <t>Nord-Pas-de-Calais</t>
  </si>
  <si>
    <t>FR-NC</t>
  </si>
  <si>
    <t>Nouvelle-Calédonie (see also separate ISO 3166-1 entry under NC)</t>
  </si>
  <si>
    <t>overseas territorial collectivity</t>
  </si>
  <si>
    <t>FR-60</t>
  </si>
  <si>
    <t>Oise</t>
  </si>
  <si>
    <t>FR-61</t>
  </si>
  <si>
    <t>Orne</t>
  </si>
  <si>
    <t>FR-75</t>
  </si>
  <si>
    <t>Paris</t>
  </si>
  <si>
    <t>FR-62</t>
  </si>
  <si>
    <t>Pas-de-Calais</t>
  </si>
  <si>
    <t>FR-R</t>
  </si>
  <si>
    <t>Pays-de-la-Loire</t>
  </si>
  <si>
    <t>FR-S</t>
  </si>
  <si>
    <t>Picardie</t>
  </si>
  <si>
    <t>FR-T</t>
  </si>
  <si>
    <t>Poitou-Charentes</t>
  </si>
  <si>
    <t>FR-PF</t>
  </si>
  <si>
    <t>Polynésie française (see also separate ISO 3166-1 entry under PF)</t>
  </si>
  <si>
    <t>FR-U</t>
  </si>
  <si>
    <t>Provence-Alpes-Côte-d'Azur</t>
  </si>
  <si>
    <t>FR-63</t>
  </si>
  <si>
    <t>Puy-de-Dôme</t>
  </si>
  <si>
    <t>FR-64</t>
  </si>
  <si>
    <t>Pyrénées-Atlantiques</t>
  </si>
  <si>
    <t>FR-66</t>
  </si>
  <si>
    <t>Pyrénées-Orientales</t>
  </si>
  <si>
    <t>FR-69</t>
  </si>
  <si>
    <t>Rhône</t>
  </si>
  <si>
    <t>FR-V</t>
  </si>
  <si>
    <t>Rhône-Alpes</t>
  </si>
  <si>
    <t>FR-BL</t>
  </si>
  <si>
    <t>Saint Barthélemy (see also separate ISO 3166-1 entry under BL)</t>
  </si>
  <si>
    <t>FR-MF</t>
  </si>
  <si>
    <t>Saint Martin (see also separate ISO 3166-1 entry under MF)</t>
  </si>
  <si>
    <t>FR-PM</t>
  </si>
  <si>
    <t>Saint-Pierre-et-Miquelon (see also separate ISO 3166-1 entry under PM)</t>
  </si>
  <si>
    <t>FR-72</t>
  </si>
  <si>
    <t>Sarthe</t>
  </si>
  <si>
    <t>FR-73</t>
  </si>
  <si>
    <t>Savoie</t>
  </si>
  <si>
    <t>FR-71</t>
  </si>
  <si>
    <t>Saône-et-Loire</t>
  </si>
  <si>
    <t>FR-76</t>
  </si>
  <si>
    <t>Seine-Maritime</t>
  </si>
  <si>
    <t>FR-93</t>
  </si>
  <si>
    <t>Seine-Saint-Denis</t>
  </si>
  <si>
    <t>FR-77</t>
  </si>
  <si>
    <t>Seine-et-Marne</t>
  </si>
  <si>
    <t>FR-80</t>
  </si>
  <si>
    <t>Somme</t>
  </si>
  <si>
    <t>FR-81</t>
  </si>
  <si>
    <t>Tarn</t>
  </si>
  <si>
    <t>FR-82</t>
  </si>
  <si>
    <t>Tarn-et-Garonne</t>
  </si>
  <si>
    <t>FR-TF</t>
  </si>
  <si>
    <t>Terres Australes Françaises (see also separate ISO 3166-1 entry under TF)</t>
  </si>
  <si>
    <t>FR-90</t>
  </si>
  <si>
    <t>Territoire de Belfort</t>
  </si>
  <si>
    <t>FR-95</t>
  </si>
  <si>
    <t>Val-d'Oise</t>
  </si>
  <si>
    <t>FR-94</t>
  </si>
  <si>
    <t>Val-de-Marne</t>
  </si>
  <si>
    <t>FR-83</t>
  </si>
  <si>
    <t>Var</t>
  </si>
  <si>
    <t>FR-84</t>
  </si>
  <si>
    <t>Vaucluse</t>
  </si>
  <si>
    <t>FR-85</t>
  </si>
  <si>
    <t>Vendée</t>
  </si>
  <si>
    <t>FR-86</t>
  </si>
  <si>
    <t>Vienne</t>
  </si>
  <si>
    <t>FR-88</t>
  </si>
  <si>
    <t>Vosges</t>
  </si>
  <si>
    <t>FR-WF</t>
  </si>
  <si>
    <t>Wallis et Futuna (see also separate ISO 3166-1 entry under WF)</t>
  </si>
  <si>
    <t>FR-89</t>
  </si>
  <si>
    <t>Yonne</t>
  </si>
  <si>
    <t>FR-78</t>
  </si>
  <si>
    <t>Yvelines</t>
  </si>
  <si>
    <t>FR-J</t>
  </si>
  <si>
    <t>Île-de-France</t>
  </si>
  <si>
    <t>GA-1</t>
  </si>
  <si>
    <t>Estuaire</t>
  </si>
  <si>
    <t>GA-2</t>
  </si>
  <si>
    <t>Haut-Ogooué</t>
  </si>
  <si>
    <t>GA-3</t>
  </si>
  <si>
    <t>Moyen-Ogooué</t>
  </si>
  <si>
    <t>GA-4</t>
  </si>
  <si>
    <t>Ngounié</t>
  </si>
  <si>
    <t>GA-5</t>
  </si>
  <si>
    <t>Nyanga</t>
  </si>
  <si>
    <t>GA-6</t>
  </si>
  <si>
    <t>Ogooué-Ivindo</t>
  </si>
  <si>
    <t>GA-7</t>
  </si>
  <si>
    <t>Ogooué-Lolo</t>
  </si>
  <si>
    <t>GA-8</t>
  </si>
  <si>
    <t>Ogooué-Maritime</t>
  </si>
  <si>
    <t>GA-9</t>
  </si>
  <si>
    <t>Woleu-Ntem</t>
  </si>
  <si>
    <t>GM-B</t>
  </si>
  <si>
    <t>Banjul</t>
  </si>
  <si>
    <t>GM-M</t>
  </si>
  <si>
    <t>Central River</t>
  </si>
  <si>
    <t>GM-L</t>
  </si>
  <si>
    <t>Lower River</t>
  </si>
  <si>
    <t>GM-N</t>
  </si>
  <si>
    <t>North Bank</t>
  </si>
  <si>
    <t>GM-U</t>
  </si>
  <si>
    <t>Upper River</t>
  </si>
  <si>
    <t>GM-W</t>
  </si>
  <si>
    <t>GE-AB</t>
  </si>
  <si>
    <t>Abkhazia</t>
  </si>
  <si>
    <t>GE-AJ</t>
  </si>
  <si>
    <t>Ajaria</t>
  </si>
  <si>
    <t>GE-GU</t>
  </si>
  <si>
    <t>Guria</t>
  </si>
  <si>
    <t>GE-IM</t>
  </si>
  <si>
    <t>Imeret'i</t>
  </si>
  <si>
    <t>GE-KK</t>
  </si>
  <si>
    <t>K'vemo K'art'li</t>
  </si>
  <si>
    <t>GE-KA</t>
  </si>
  <si>
    <t>Kakhet'i</t>
  </si>
  <si>
    <t>GE-MM</t>
  </si>
  <si>
    <t>Mts'khet'a-Mt'ianet'i</t>
  </si>
  <si>
    <t>GE-RL</t>
  </si>
  <si>
    <t>Racha-Lech'khumi-K'vemo Svanet'i</t>
  </si>
  <si>
    <t>GE-SZ</t>
  </si>
  <si>
    <t>Samegrelo-Zemo Svanet'i</t>
  </si>
  <si>
    <t>GE-SJ</t>
  </si>
  <si>
    <t>Samts'khe-Javakhet'i</t>
  </si>
  <si>
    <t>GE-SK</t>
  </si>
  <si>
    <t>Shida K'art'li</t>
  </si>
  <si>
    <t>GE-TB</t>
  </si>
  <si>
    <t>T'bilisi</t>
  </si>
  <si>
    <t>DE-BW</t>
  </si>
  <si>
    <t>Baden-Württemberg</t>
  </si>
  <si>
    <t>Land</t>
  </si>
  <si>
    <t>DE-BY</t>
  </si>
  <si>
    <t>Bayern</t>
  </si>
  <si>
    <t>DE-BE</t>
  </si>
  <si>
    <t>Berlin</t>
  </si>
  <si>
    <t>DE-BB</t>
  </si>
  <si>
    <t>Brandenburg</t>
  </si>
  <si>
    <t>DE-HB</t>
  </si>
  <si>
    <t>Bremen</t>
  </si>
  <si>
    <t>DE-HH</t>
  </si>
  <si>
    <t>Hamburg</t>
  </si>
  <si>
    <t>DE-HE</t>
  </si>
  <si>
    <t>Hessen</t>
  </si>
  <si>
    <t>DE-MV</t>
  </si>
  <si>
    <t>Mecklenburg-Vorpommern</t>
  </si>
  <si>
    <t>DE-NI</t>
  </si>
  <si>
    <t>Niedersachsen</t>
  </si>
  <si>
    <t>DE-NW</t>
  </si>
  <si>
    <t>Nordrhein-Westfalen</t>
  </si>
  <si>
    <t>DE-RP</t>
  </si>
  <si>
    <t>Rheinland-Pfalz</t>
  </si>
  <si>
    <t>DE-SL</t>
  </si>
  <si>
    <t>Saarland</t>
  </si>
  <si>
    <t>DE-SN</t>
  </si>
  <si>
    <t>Sachsen</t>
  </si>
  <si>
    <t>DE-ST</t>
  </si>
  <si>
    <t>Sachsen-Anhalt</t>
  </si>
  <si>
    <t>DE-SH</t>
  </si>
  <si>
    <t>Schleswig-Holstein</t>
  </si>
  <si>
    <t>DE-TH</t>
  </si>
  <si>
    <t>Thüringen</t>
  </si>
  <si>
    <t>GH-AH</t>
  </si>
  <si>
    <t>Ashanti</t>
  </si>
  <si>
    <t>GH-BA</t>
  </si>
  <si>
    <t>Brong-Ahafo</t>
  </si>
  <si>
    <t>GH-CP</t>
  </si>
  <si>
    <t>GH-EP</t>
  </si>
  <si>
    <t>GH-AA</t>
  </si>
  <si>
    <t>Greater Accra</t>
  </si>
  <si>
    <t>GH-NP</t>
  </si>
  <si>
    <t>GH-UE</t>
  </si>
  <si>
    <t>Upper East</t>
  </si>
  <si>
    <t>GH-UW</t>
  </si>
  <si>
    <t>Upper West</t>
  </si>
  <si>
    <t>GH-TV</t>
  </si>
  <si>
    <t>Volta</t>
  </si>
  <si>
    <t>GH-WP</t>
  </si>
  <si>
    <t>GR-13</t>
  </si>
  <si>
    <t>Achaïa</t>
  </si>
  <si>
    <t>GR-69</t>
  </si>
  <si>
    <t>Agio Oros</t>
  </si>
  <si>
    <t>self-governed part</t>
  </si>
  <si>
    <t>GR-01</t>
  </si>
  <si>
    <t>Aitolia kai Akarnania</t>
  </si>
  <si>
    <t>GR-A</t>
  </si>
  <si>
    <t>Anatoliki Makedonia kai Thraki</t>
  </si>
  <si>
    <t>administrative region</t>
  </si>
  <si>
    <t>GR-11</t>
  </si>
  <si>
    <t>Argolida</t>
  </si>
  <si>
    <t>GR-12</t>
  </si>
  <si>
    <t>Arkadia</t>
  </si>
  <si>
    <t>GR-31</t>
  </si>
  <si>
    <t>GR-A1</t>
  </si>
  <si>
    <t>Attiki</t>
  </si>
  <si>
    <t>GR-I</t>
  </si>
  <si>
    <t>GR-64</t>
  </si>
  <si>
    <t>Chalkidiki</t>
  </si>
  <si>
    <t>GR-94</t>
  </si>
  <si>
    <t>Chania</t>
  </si>
  <si>
    <t>GR-85</t>
  </si>
  <si>
    <t>Chios</t>
  </si>
  <si>
    <t>GR-81</t>
  </si>
  <si>
    <t>Dodekanisos</t>
  </si>
  <si>
    <t>GR-52</t>
  </si>
  <si>
    <t>Drama</t>
  </si>
  <si>
    <t>GR-G</t>
  </si>
  <si>
    <t>Dytiki Ellada</t>
  </si>
  <si>
    <t>GR-C</t>
  </si>
  <si>
    <t>Dytiki Makedonia</t>
  </si>
  <si>
    <t>GR-71</t>
  </si>
  <si>
    <t>Evros</t>
  </si>
  <si>
    <t>GR-05</t>
  </si>
  <si>
    <t>Evrytania</t>
  </si>
  <si>
    <t>GR-04</t>
  </si>
  <si>
    <t>Evvoia</t>
  </si>
  <si>
    <t>GR-63</t>
  </si>
  <si>
    <t>Florina</t>
  </si>
  <si>
    <t>GR-07</t>
  </si>
  <si>
    <t>Fokida</t>
  </si>
  <si>
    <t>GR-06</t>
  </si>
  <si>
    <t>Fthiotida</t>
  </si>
  <si>
    <t>GR-51</t>
  </si>
  <si>
    <t>Grevena</t>
  </si>
  <si>
    <t>GR-14</t>
  </si>
  <si>
    <t>Ileia</t>
  </si>
  <si>
    <t>GR-53</t>
  </si>
  <si>
    <t>Imathia</t>
  </si>
  <si>
    <t>GR-33</t>
  </si>
  <si>
    <t>Ioannina</t>
  </si>
  <si>
    <t>GR-F</t>
  </si>
  <si>
    <t>Ionia Nisia</t>
  </si>
  <si>
    <t>GR-D</t>
  </si>
  <si>
    <t>Ipeiros</t>
  </si>
  <si>
    <t>GR-91</t>
  </si>
  <si>
    <t>Irakleio</t>
  </si>
  <si>
    <t>GR-41</t>
  </si>
  <si>
    <t>Karditsa</t>
  </si>
  <si>
    <t>GR-56</t>
  </si>
  <si>
    <t>Kastoria</t>
  </si>
  <si>
    <t>GR-55</t>
  </si>
  <si>
    <t>Kavala</t>
  </si>
  <si>
    <t>GR-23</t>
  </si>
  <si>
    <t>Kefallonia</t>
  </si>
  <si>
    <t>GR-B</t>
  </si>
  <si>
    <t>Kentriki Makedonia</t>
  </si>
  <si>
    <t>GR-22</t>
  </si>
  <si>
    <t>Kerkyra</t>
  </si>
  <si>
    <t>GR-57</t>
  </si>
  <si>
    <t>Kilkis</t>
  </si>
  <si>
    <t>GR-15</t>
  </si>
  <si>
    <t>Korinthia</t>
  </si>
  <si>
    <t>GR-58</t>
  </si>
  <si>
    <t>Kozani</t>
  </si>
  <si>
    <t>GR-M</t>
  </si>
  <si>
    <t>Kriti</t>
  </si>
  <si>
    <t>GR-82</t>
  </si>
  <si>
    <t>Kyklades</t>
  </si>
  <si>
    <t>GR-16</t>
  </si>
  <si>
    <t>Lakonia</t>
  </si>
  <si>
    <t>GR-42</t>
  </si>
  <si>
    <t>Larisa</t>
  </si>
  <si>
    <t>GR-92</t>
  </si>
  <si>
    <t>Lasithi</t>
  </si>
  <si>
    <t>GR-24</t>
  </si>
  <si>
    <t>Lefkada</t>
  </si>
  <si>
    <t>GR-83</t>
  </si>
  <si>
    <t>Lesvos</t>
  </si>
  <si>
    <t>GR-43</t>
  </si>
  <si>
    <t>Magnisia</t>
  </si>
  <si>
    <t>GR-17</t>
  </si>
  <si>
    <t>Messinia</t>
  </si>
  <si>
    <t>GR-L</t>
  </si>
  <si>
    <t>Notio Aigaio</t>
  </si>
  <si>
    <t>GR-59</t>
  </si>
  <si>
    <t>Pella</t>
  </si>
  <si>
    <t>GR-J</t>
  </si>
  <si>
    <t>Peloponnisos</t>
  </si>
  <si>
    <t>GR-61</t>
  </si>
  <si>
    <t>Pieria</t>
  </si>
  <si>
    <t>GR-34</t>
  </si>
  <si>
    <t>Preveza</t>
  </si>
  <si>
    <t>GR-93</t>
  </si>
  <si>
    <t>Rethymno</t>
  </si>
  <si>
    <t>GR-73</t>
  </si>
  <si>
    <t>Rodopi</t>
  </si>
  <si>
    <t>GR-84</t>
  </si>
  <si>
    <t>Samos</t>
  </si>
  <si>
    <t>GR-62</t>
  </si>
  <si>
    <t>Serres</t>
  </si>
  <si>
    <t>GR-H</t>
  </si>
  <si>
    <t>Sterea Ellada</t>
  </si>
  <si>
    <t>GR-32</t>
  </si>
  <si>
    <t>Thesprotia</t>
  </si>
  <si>
    <t>GR-E</t>
  </si>
  <si>
    <t>Thessalia</t>
  </si>
  <si>
    <t>GR-54</t>
  </si>
  <si>
    <t>Thessaloniki</t>
  </si>
  <si>
    <t>GR-44</t>
  </si>
  <si>
    <t>Trikala</t>
  </si>
  <si>
    <t>GR-03</t>
  </si>
  <si>
    <t>Voiotia</t>
  </si>
  <si>
    <t>GR-K</t>
  </si>
  <si>
    <t>Voreio Aigaio</t>
  </si>
  <si>
    <t>GR-72</t>
  </si>
  <si>
    <t>Xanthi</t>
  </si>
  <si>
    <t>GR-21</t>
  </si>
  <si>
    <t>Zakynthos</t>
  </si>
  <si>
    <t>GL-KU</t>
  </si>
  <si>
    <t>Kommune Kujalleq</t>
  </si>
  <si>
    <t>GL-SM</t>
  </si>
  <si>
    <t>Kommuneqarfik Sermersooq</t>
  </si>
  <si>
    <t>GL-QA</t>
  </si>
  <si>
    <t>Qaasuitsup Kommunia</t>
  </si>
  <si>
    <t>GL-QE</t>
  </si>
  <si>
    <t>Qeqqata Kommunia</t>
  </si>
  <si>
    <t>GD-01</t>
  </si>
  <si>
    <t>GD-02</t>
  </si>
  <si>
    <t>GD-03</t>
  </si>
  <si>
    <t>GD-04</t>
  </si>
  <si>
    <t>GD-05</t>
  </si>
  <si>
    <t>GD-06</t>
  </si>
  <si>
    <t>GD-10</t>
  </si>
  <si>
    <t>Southern Grenadine Islands</t>
  </si>
  <si>
    <t>GT-AV</t>
  </si>
  <si>
    <t>Alta Verapaz</t>
  </si>
  <si>
    <t>GT-BV</t>
  </si>
  <si>
    <t>Baja Verapaz</t>
  </si>
  <si>
    <t>GT-CM</t>
  </si>
  <si>
    <t>Chimaltenango</t>
  </si>
  <si>
    <t>GT-CQ</t>
  </si>
  <si>
    <t>Chiquimula</t>
  </si>
  <si>
    <t>GT-PR</t>
  </si>
  <si>
    <t>El Progreso</t>
  </si>
  <si>
    <t>GT-ES</t>
  </si>
  <si>
    <t>Escuintla</t>
  </si>
  <si>
    <t>GT-GU</t>
  </si>
  <si>
    <t>GT-HU</t>
  </si>
  <si>
    <t>Huehuetenango</t>
  </si>
  <si>
    <t>GT-IZ</t>
  </si>
  <si>
    <t>Izabal</t>
  </si>
  <si>
    <t>GT-JA</t>
  </si>
  <si>
    <t>Jalapa</t>
  </si>
  <si>
    <t>GT-JU</t>
  </si>
  <si>
    <t>Jutiapa</t>
  </si>
  <si>
    <t>GT-PE</t>
  </si>
  <si>
    <t>Petén</t>
  </si>
  <si>
    <t>GT-QZ</t>
  </si>
  <si>
    <t>Quetzaltenango</t>
  </si>
  <si>
    <t>GT-QC</t>
  </si>
  <si>
    <t>Quiché</t>
  </si>
  <si>
    <t>GT-RE</t>
  </si>
  <si>
    <t>Retalhuleu</t>
  </si>
  <si>
    <t>GT-SA</t>
  </si>
  <si>
    <t>Sacatepéquez</t>
  </si>
  <si>
    <t>GT-SM</t>
  </si>
  <si>
    <t>San Marcos</t>
  </si>
  <si>
    <t>GT-SR</t>
  </si>
  <si>
    <t>Santa Rosa</t>
  </si>
  <si>
    <t>GT-SO</t>
  </si>
  <si>
    <t>Sololá</t>
  </si>
  <si>
    <t>GT-SU</t>
  </si>
  <si>
    <t>Suchitepéquez</t>
  </si>
  <si>
    <t>GT-TO</t>
  </si>
  <si>
    <t>Totonicapán</t>
  </si>
  <si>
    <t>GT-ZA</t>
  </si>
  <si>
    <t>Zacapa</t>
  </si>
  <si>
    <t>GN-BE</t>
  </si>
  <si>
    <t>Beyla</t>
  </si>
  <si>
    <t>GN-BF</t>
  </si>
  <si>
    <t>Boffa</t>
  </si>
  <si>
    <t>GN-B</t>
  </si>
  <si>
    <t>Boké</t>
  </si>
  <si>
    <t>GN-BK</t>
  </si>
  <si>
    <t>GN-C</t>
  </si>
  <si>
    <t>Conakry</t>
  </si>
  <si>
    <t>special zone</t>
  </si>
  <si>
    <t>GN-CO</t>
  </si>
  <si>
    <t>Coyah</t>
  </si>
  <si>
    <t>GN-DB</t>
  </si>
  <si>
    <t>Dabola</t>
  </si>
  <si>
    <t>GN-DL</t>
  </si>
  <si>
    <t>Dalaba</t>
  </si>
  <si>
    <t>GN-DI</t>
  </si>
  <si>
    <t>Dinguiraye</t>
  </si>
  <si>
    <t>GN-DU</t>
  </si>
  <si>
    <t>Dubréka</t>
  </si>
  <si>
    <t>GN-F</t>
  </si>
  <si>
    <t>Faranah</t>
  </si>
  <si>
    <t>GN-FA</t>
  </si>
  <si>
    <t>GN-FO</t>
  </si>
  <si>
    <t>Forécariah</t>
  </si>
  <si>
    <t>GN-FR</t>
  </si>
  <si>
    <t>Fria</t>
  </si>
  <si>
    <t>GN-GA</t>
  </si>
  <si>
    <t>Gaoual</t>
  </si>
  <si>
    <t>GN-GU</t>
  </si>
  <si>
    <t>Guékédou</t>
  </si>
  <si>
    <t>GN-K</t>
  </si>
  <si>
    <t>Kankan</t>
  </si>
  <si>
    <t>GN-KA</t>
  </si>
  <si>
    <t>GN-D</t>
  </si>
  <si>
    <t>Kindia</t>
  </si>
  <si>
    <t>GN-KD</t>
  </si>
  <si>
    <t>GN-KS</t>
  </si>
  <si>
    <t>Kissidougou</t>
  </si>
  <si>
    <t>GN-KB</t>
  </si>
  <si>
    <t>Koubia</t>
  </si>
  <si>
    <t>GN-KN</t>
  </si>
  <si>
    <t>Koundara</t>
  </si>
  <si>
    <t>GN-KO</t>
  </si>
  <si>
    <t>Kouroussa</t>
  </si>
  <si>
    <t>GN-KE</t>
  </si>
  <si>
    <t>Kérouané</t>
  </si>
  <si>
    <t>GN-L</t>
  </si>
  <si>
    <t>Labé</t>
  </si>
  <si>
    <t>GN-LA</t>
  </si>
  <si>
    <t>GN-LO</t>
  </si>
  <si>
    <t>Lola</t>
  </si>
  <si>
    <t>GN-LE</t>
  </si>
  <si>
    <t>Lélouma</t>
  </si>
  <si>
    <t>GN-MC</t>
  </si>
  <si>
    <t>Macenta</t>
  </si>
  <si>
    <t>GN-ML</t>
  </si>
  <si>
    <t>GN-M</t>
  </si>
  <si>
    <t>Mamou</t>
  </si>
  <si>
    <t>GN-MM</t>
  </si>
  <si>
    <t>GN-MD</t>
  </si>
  <si>
    <t>Mandiana</t>
  </si>
  <si>
    <t>GN-N</t>
  </si>
  <si>
    <t>Nzérékoré</t>
  </si>
  <si>
    <t>GN-NZ</t>
  </si>
  <si>
    <t>GN-PI</t>
  </si>
  <si>
    <t>Pita</t>
  </si>
  <si>
    <t>GN-SI</t>
  </si>
  <si>
    <t>Siguiri</t>
  </si>
  <si>
    <t>GN-TO</t>
  </si>
  <si>
    <t>Tougué</t>
  </si>
  <si>
    <t>GN-TE</t>
  </si>
  <si>
    <t>Télimélé</t>
  </si>
  <si>
    <t>GN-YO</t>
  </si>
  <si>
    <t>Yomou</t>
  </si>
  <si>
    <t>GW-BA</t>
  </si>
  <si>
    <t>Bafatá</t>
  </si>
  <si>
    <t>GW-BM</t>
  </si>
  <si>
    <t>Biombo</t>
  </si>
  <si>
    <t>GW-BS</t>
  </si>
  <si>
    <t>Bissau</t>
  </si>
  <si>
    <t>autonomous sector</t>
  </si>
  <si>
    <t>GW-BL</t>
  </si>
  <si>
    <t>Bolama</t>
  </si>
  <si>
    <t>GW-CA</t>
  </si>
  <si>
    <t>Cacheu</t>
  </si>
  <si>
    <t>GW-GA</t>
  </si>
  <si>
    <t>Gabú</t>
  </si>
  <si>
    <t>GW-L</t>
  </si>
  <si>
    <t>Leste</t>
  </si>
  <si>
    <t>GW-N</t>
  </si>
  <si>
    <t>Norte</t>
  </si>
  <si>
    <t>GW-OI</t>
  </si>
  <si>
    <t>Oio</t>
  </si>
  <si>
    <t>GW-QU</t>
  </si>
  <si>
    <t>Quinara</t>
  </si>
  <si>
    <t>GW-S</t>
  </si>
  <si>
    <t>Sul</t>
  </si>
  <si>
    <t>GW-TO</t>
  </si>
  <si>
    <t>Tombali</t>
  </si>
  <si>
    <t>GY-BA</t>
  </si>
  <si>
    <t>Barima-Waini</t>
  </si>
  <si>
    <t>GY-CU</t>
  </si>
  <si>
    <t>Cuyuni-Mazaruni</t>
  </si>
  <si>
    <t>GY-DE</t>
  </si>
  <si>
    <t>Demerara-Mahaica</t>
  </si>
  <si>
    <t>GY-EB</t>
  </si>
  <si>
    <t>East Berbice-Corentyne</t>
  </si>
  <si>
    <t>GY-ES</t>
  </si>
  <si>
    <t>Essequibo Islands-West Demerara</t>
  </si>
  <si>
    <t>GY-MA</t>
  </si>
  <si>
    <t>Mahaica-Berbice</t>
  </si>
  <si>
    <t>GY-PM</t>
  </si>
  <si>
    <t>Pomeroon-Supenaam</t>
  </si>
  <si>
    <t>GY-PT</t>
  </si>
  <si>
    <t>Potaro-Siparuni</t>
  </si>
  <si>
    <t>GY-UD</t>
  </si>
  <si>
    <t>Upper Demerara-Berbice</t>
  </si>
  <si>
    <t>GY-UT</t>
  </si>
  <si>
    <t>Upper Takutu-Upper Essequibo</t>
  </si>
  <si>
    <t>HT-AR</t>
  </si>
  <si>
    <t>Artibonite</t>
  </si>
  <si>
    <t>HT-CE</t>
  </si>
  <si>
    <t>HT-GA</t>
  </si>
  <si>
    <t>Grandans</t>
  </si>
  <si>
    <t>Grande-Anse</t>
  </si>
  <si>
    <t>Latibonit</t>
  </si>
  <si>
    <t>HT-OU</t>
  </si>
  <si>
    <t>Lwès</t>
  </si>
  <si>
    <t>HT-NI</t>
  </si>
  <si>
    <t>Nip</t>
  </si>
  <si>
    <t>Nippes</t>
  </si>
  <si>
    <t>HT-ND</t>
  </si>
  <si>
    <t>HT-NE</t>
  </si>
  <si>
    <t>Nord-Est</t>
  </si>
  <si>
    <t>HT-NO</t>
  </si>
  <si>
    <t>Nò</t>
  </si>
  <si>
    <t>Nòdwès</t>
  </si>
  <si>
    <t>Nòdès</t>
  </si>
  <si>
    <t>Sant</t>
  </si>
  <si>
    <t>HT-SD</t>
  </si>
  <si>
    <t>Sid</t>
  </si>
  <si>
    <t>HT-SE</t>
  </si>
  <si>
    <t>Sidès</t>
  </si>
  <si>
    <t>Sud-Est</t>
  </si>
  <si>
    <t>HN-AT</t>
  </si>
  <si>
    <t>Atlántida</t>
  </si>
  <si>
    <t>HN-CH</t>
  </si>
  <si>
    <t>Choluteca</t>
  </si>
  <si>
    <t>HN-CL</t>
  </si>
  <si>
    <t>Colón</t>
  </si>
  <si>
    <t>HN-CM</t>
  </si>
  <si>
    <t>Comayagua</t>
  </si>
  <si>
    <t>HN-CP</t>
  </si>
  <si>
    <t>Copán</t>
  </si>
  <si>
    <t>HN-CR</t>
  </si>
  <si>
    <t>Cortés</t>
  </si>
  <si>
    <t>HN-EP</t>
  </si>
  <si>
    <t>El Paraíso</t>
  </si>
  <si>
    <t>HN-FM</t>
  </si>
  <si>
    <t>Francisco Morazán</t>
  </si>
  <si>
    <t>HN-GD</t>
  </si>
  <si>
    <t>Gracias a Dios</t>
  </si>
  <si>
    <t>HN-IN</t>
  </si>
  <si>
    <t>Intibucá</t>
  </si>
  <si>
    <t>HN-IB</t>
  </si>
  <si>
    <t>Islas de la Bahía</t>
  </si>
  <si>
    <t>HN-LP</t>
  </si>
  <si>
    <t>HN-LE</t>
  </si>
  <si>
    <t>Lempira</t>
  </si>
  <si>
    <t>HN-OC</t>
  </si>
  <si>
    <t>Ocotepeque</t>
  </si>
  <si>
    <t>HN-OL</t>
  </si>
  <si>
    <t>Olancho</t>
  </si>
  <si>
    <t>HN-SB</t>
  </si>
  <si>
    <t>Santa Bárbara</t>
  </si>
  <si>
    <t>HN-VA</t>
  </si>
  <si>
    <t>Valle</t>
  </si>
  <si>
    <t>HN-YO</t>
  </si>
  <si>
    <t>Yoro</t>
  </si>
  <si>
    <t>HU-BA</t>
  </si>
  <si>
    <t>Baranya</t>
  </si>
  <si>
    <t>HU-BZ</t>
  </si>
  <si>
    <t>Borsod-Abaúj-Zemplén</t>
  </si>
  <si>
    <t>HU-BU</t>
  </si>
  <si>
    <t>Budapest</t>
  </si>
  <si>
    <t>capital city</t>
  </si>
  <si>
    <t>HU-BK</t>
  </si>
  <si>
    <t>Bács-Kiskun</t>
  </si>
  <si>
    <t>HU-BE</t>
  </si>
  <si>
    <t>Békés</t>
  </si>
  <si>
    <t>HU-BC</t>
  </si>
  <si>
    <t>Békéscsaba</t>
  </si>
  <si>
    <t>city of county right</t>
  </si>
  <si>
    <t>HU-CS</t>
  </si>
  <si>
    <t>Csongrád</t>
  </si>
  <si>
    <t>HU-DE</t>
  </si>
  <si>
    <t>Debrecen</t>
  </si>
  <si>
    <t>HU-DU</t>
  </si>
  <si>
    <t>Dunaújváros</t>
  </si>
  <si>
    <t>HU-EG</t>
  </si>
  <si>
    <t>Eger</t>
  </si>
  <si>
    <t>HU-FE</t>
  </si>
  <si>
    <t>Fejér</t>
  </si>
  <si>
    <t>HU-GY</t>
  </si>
  <si>
    <t>Győr</t>
  </si>
  <si>
    <t>HU-GS</t>
  </si>
  <si>
    <t>Győr-Moson-Sopron</t>
  </si>
  <si>
    <t>HU-HB</t>
  </si>
  <si>
    <t>Hajdú-Bihar</t>
  </si>
  <si>
    <t>HU-HE</t>
  </si>
  <si>
    <t>Heves</t>
  </si>
  <si>
    <t>HU-HV</t>
  </si>
  <si>
    <t>Hódmezővásárhely</t>
  </si>
  <si>
    <t>HU-JN</t>
  </si>
  <si>
    <t>Jász-Nagykun-Szolnok</t>
  </si>
  <si>
    <t>HU-KV</t>
  </si>
  <si>
    <t>Kaposvár</t>
  </si>
  <si>
    <t>HU-KM</t>
  </si>
  <si>
    <t>Kecskemét</t>
  </si>
  <si>
    <t>HU-KE</t>
  </si>
  <si>
    <t>Komárom-Esztergom</t>
  </si>
  <si>
    <t>HU-MI</t>
  </si>
  <si>
    <t>Miskolc</t>
  </si>
  <si>
    <t>HU-NK</t>
  </si>
  <si>
    <t>Nagykanizsa</t>
  </si>
  <si>
    <t>HU-NY</t>
  </si>
  <si>
    <t>Nyíregyháza</t>
  </si>
  <si>
    <t>HU-NO</t>
  </si>
  <si>
    <t>Nógrád</t>
  </si>
  <si>
    <t>HU-PE</t>
  </si>
  <si>
    <t>Pest</t>
  </si>
  <si>
    <t>HU-PS</t>
  </si>
  <si>
    <t>Pécs</t>
  </si>
  <si>
    <t>HU-ST</t>
  </si>
  <si>
    <t>Salgótarján</t>
  </si>
  <si>
    <t>HU-SO</t>
  </si>
  <si>
    <t>Somogy</t>
  </si>
  <si>
    <t>HU-SN</t>
  </si>
  <si>
    <t>Sopron</t>
  </si>
  <si>
    <t>HU-SZ</t>
  </si>
  <si>
    <t>Szabolcs-Szatmár-Bereg</t>
  </si>
  <si>
    <t>HU-SD</t>
  </si>
  <si>
    <t>Szeged</t>
  </si>
  <si>
    <t>HU-SS</t>
  </si>
  <si>
    <t>Szekszárd</t>
  </si>
  <si>
    <t>HU-SK</t>
  </si>
  <si>
    <t>Szolnok</t>
  </si>
  <si>
    <t>HU-SH</t>
  </si>
  <si>
    <t>Szombathely</t>
  </si>
  <si>
    <t>HU-SF</t>
  </si>
  <si>
    <t>Székesfehérvár</t>
  </si>
  <si>
    <t>HU-TB</t>
  </si>
  <si>
    <t>Tatabánya</t>
  </si>
  <si>
    <t>HU-TO</t>
  </si>
  <si>
    <t>Tolna</t>
  </si>
  <si>
    <t>HU-VA</t>
  </si>
  <si>
    <t>Vas</t>
  </si>
  <si>
    <t>HU-VE</t>
  </si>
  <si>
    <t>Veszprém</t>
  </si>
  <si>
    <t>HU-VM</t>
  </si>
  <si>
    <t>HU-ZA</t>
  </si>
  <si>
    <t>Zala</t>
  </si>
  <si>
    <t>HU-ZE</t>
  </si>
  <si>
    <t>Zalaegerszeg</t>
  </si>
  <si>
    <t>HU-ER</t>
  </si>
  <si>
    <t>Érd</t>
  </si>
  <si>
    <t>IS-7</t>
  </si>
  <si>
    <t>Austurland</t>
  </si>
  <si>
    <t>IS-1</t>
  </si>
  <si>
    <t>Höfuðborgarsvæði utan Reykjavíkur</t>
  </si>
  <si>
    <t>IS-6</t>
  </si>
  <si>
    <t>Norðurland eystra</t>
  </si>
  <si>
    <t>IS-5</t>
  </si>
  <si>
    <t>Norðurland vestra</t>
  </si>
  <si>
    <t>IS-0</t>
  </si>
  <si>
    <t>Reykjavík</t>
  </si>
  <si>
    <t>IS-8</t>
  </si>
  <si>
    <t>Suðurland</t>
  </si>
  <si>
    <t>IS-2</t>
  </si>
  <si>
    <t>Suðurnes</t>
  </si>
  <si>
    <t>IS-4</t>
  </si>
  <si>
    <t>Vestfirðir</t>
  </si>
  <si>
    <t>IS-3</t>
  </si>
  <si>
    <t>Vesturland</t>
  </si>
  <si>
    <t>IN-AN</t>
  </si>
  <si>
    <t>Andaman and Nicobar Islands</t>
  </si>
  <si>
    <t>Union territory</t>
  </si>
  <si>
    <t>IN-AP</t>
  </si>
  <si>
    <t>Andhra Pradesh</t>
  </si>
  <si>
    <t>IN-AR</t>
  </si>
  <si>
    <t>Arunachal Pradesh</t>
  </si>
  <si>
    <t>IN-AS</t>
  </si>
  <si>
    <t>Assam</t>
  </si>
  <si>
    <t>IN-BR</t>
  </si>
  <si>
    <t>Bihar</t>
  </si>
  <si>
    <t>IN-CH</t>
  </si>
  <si>
    <t>Chandigarh</t>
  </si>
  <si>
    <t>IN-CT</t>
  </si>
  <si>
    <t>Chhattisgarh</t>
  </si>
  <si>
    <t>IN-DN</t>
  </si>
  <si>
    <t>Dadra and Nagar Haveli</t>
  </si>
  <si>
    <t>IN-DD</t>
  </si>
  <si>
    <t>Daman and Diu</t>
  </si>
  <si>
    <t>IN-DL</t>
  </si>
  <si>
    <t>Delhi</t>
  </si>
  <si>
    <t>IN-GA</t>
  </si>
  <si>
    <t>Goa</t>
  </si>
  <si>
    <t>IN-GJ</t>
  </si>
  <si>
    <t>Gujarat</t>
  </si>
  <si>
    <t>IN-HR</t>
  </si>
  <si>
    <t>Haryana</t>
  </si>
  <si>
    <t>IN-HP</t>
  </si>
  <si>
    <t>Himachal Pradesh</t>
  </si>
  <si>
    <t>IN-JK</t>
  </si>
  <si>
    <t>Jammu and Kashmir</t>
  </si>
  <si>
    <t>IN-JH</t>
  </si>
  <si>
    <t>Jharkhand</t>
  </si>
  <si>
    <t>IN-KA</t>
  </si>
  <si>
    <t>Karnataka</t>
  </si>
  <si>
    <t>IN-KL</t>
  </si>
  <si>
    <t>Kerala</t>
  </si>
  <si>
    <t>IN-LD</t>
  </si>
  <si>
    <t>Lakshadweep</t>
  </si>
  <si>
    <t>IN-MH</t>
  </si>
  <si>
    <t>IN-MP</t>
  </si>
  <si>
    <t>Madhya Pradesh</t>
  </si>
  <si>
    <t>IN-MN</t>
  </si>
  <si>
    <t>Manipur</t>
  </si>
  <si>
    <t>IN-ML</t>
  </si>
  <si>
    <t>Meghalaya</t>
  </si>
  <si>
    <t>IN-MZ</t>
  </si>
  <si>
    <t>Mizoram</t>
  </si>
  <si>
    <t>IN-NL</t>
  </si>
  <si>
    <t>Nagaland</t>
  </si>
  <si>
    <t>IN-OR</t>
  </si>
  <si>
    <t>Orissa</t>
  </si>
  <si>
    <t>IN-PY</t>
  </si>
  <si>
    <t>Puducherry (Pondicherry)</t>
  </si>
  <si>
    <t>IN-PB</t>
  </si>
  <si>
    <t>Punjab</t>
  </si>
  <si>
    <t>IN-RJ</t>
  </si>
  <si>
    <t>Rajasthan</t>
  </si>
  <si>
    <t>IN-SK</t>
  </si>
  <si>
    <t>Sikkim</t>
  </si>
  <si>
    <t>IN-TN</t>
  </si>
  <si>
    <t>Tamil Nadu</t>
  </si>
  <si>
    <t>IN-TR</t>
  </si>
  <si>
    <t>Tripura</t>
  </si>
  <si>
    <t>IN-UP</t>
  </si>
  <si>
    <t>Uttar Pradesh</t>
  </si>
  <si>
    <t>IN-WB</t>
  </si>
  <si>
    <t>West Bengal</t>
  </si>
  <si>
    <t>ID-AC</t>
  </si>
  <si>
    <t>Aceh</t>
  </si>
  <si>
    <t>autonomous province</t>
  </si>
  <si>
    <t>ID-BA</t>
  </si>
  <si>
    <t>Bali</t>
  </si>
  <si>
    <t>ID-BB</t>
  </si>
  <si>
    <t>Bangka Belitung</t>
  </si>
  <si>
    <t>ID-BT</t>
  </si>
  <si>
    <t>Banten</t>
  </si>
  <si>
    <t>ID-BE</t>
  </si>
  <si>
    <t>Bengkulu</t>
  </si>
  <si>
    <t>ID-GO</t>
  </si>
  <si>
    <t>Gorontalo</t>
  </si>
  <si>
    <t>ID-JK</t>
  </si>
  <si>
    <t>Jakarta Raya</t>
  </si>
  <si>
    <t>special district</t>
  </si>
  <si>
    <t>ID-JA</t>
  </si>
  <si>
    <t>Jambi</t>
  </si>
  <si>
    <t>ID-JW</t>
  </si>
  <si>
    <t>Jawa</t>
  </si>
  <si>
    <t>geographical unit</t>
  </si>
  <si>
    <t>ID-JB</t>
  </si>
  <si>
    <t>Jawa Barat</t>
  </si>
  <si>
    <t>ID-JT</t>
  </si>
  <si>
    <t>Jawa Tengah</t>
  </si>
  <si>
    <t>ID-JI</t>
  </si>
  <si>
    <t>Jawa Timur</t>
  </si>
  <si>
    <t>ID-KA</t>
  </si>
  <si>
    <t>Kalimantan</t>
  </si>
  <si>
    <t>ID-KB</t>
  </si>
  <si>
    <t>Kalimantan Barat</t>
  </si>
  <si>
    <t>ID-KS</t>
  </si>
  <si>
    <t>Kalimantan Selatan</t>
  </si>
  <si>
    <t>ID-KT</t>
  </si>
  <si>
    <t>Kalimantan Tengah</t>
  </si>
  <si>
    <t>ID-KI</t>
  </si>
  <si>
    <t>Kalimantan Timur</t>
  </si>
  <si>
    <t>ID-KR</t>
  </si>
  <si>
    <t>Kepulauan Riau</t>
  </si>
  <si>
    <t>ID-LA</t>
  </si>
  <si>
    <t>Lampung</t>
  </si>
  <si>
    <t>ID-MA</t>
  </si>
  <si>
    <t>Maluku</t>
  </si>
  <si>
    <t>ID-ML</t>
  </si>
  <si>
    <t>ID-MU</t>
  </si>
  <si>
    <t>Maluku Utara</t>
  </si>
  <si>
    <t>ID-NU</t>
  </si>
  <si>
    <t>Nusa Tenggara</t>
  </si>
  <si>
    <t>ID-NB</t>
  </si>
  <si>
    <t>Nusa Tenggara Barat</t>
  </si>
  <si>
    <t>ID-NT</t>
  </si>
  <si>
    <t>Nusa Tenggara Timur</t>
  </si>
  <si>
    <t>ID-IJ</t>
  </si>
  <si>
    <t>Papua</t>
  </si>
  <si>
    <t>ID-PA</t>
  </si>
  <si>
    <t>ID-PB</t>
  </si>
  <si>
    <t>Papua Barat</t>
  </si>
  <si>
    <t>ID-RI</t>
  </si>
  <si>
    <t>Riau</t>
  </si>
  <si>
    <t>ID-SL</t>
  </si>
  <si>
    <t>Sulawesi</t>
  </si>
  <si>
    <t>ID-SR</t>
  </si>
  <si>
    <t>Sulawesi Barat</t>
  </si>
  <si>
    <t>ID-SN</t>
  </si>
  <si>
    <t>Sulawesi Selatan</t>
  </si>
  <si>
    <t>ID-ST</t>
  </si>
  <si>
    <t>Sulawesi Tengah</t>
  </si>
  <si>
    <t>ID-SG</t>
  </si>
  <si>
    <t>Sulawesi Tenggara</t>
  </si>
  <si>
    <t>ID-SA</t>
  </si>
  <si>
    <t>Sulawesi Utara</t>
  </si>
  <si>
    <t>ID-SM</t>
  </si>
  <si>
    <t>Sumatera</t>
  </si>
  <si>
    <t>ID-SB</t>
  </si>
  <si>
    <t>Sumatera Barat</t>
  </si>
  <si>
    <t>ID-SS</t>
  </si>
  <si>
    <t>Sumatera Selatan</t>
  </si>
  <si>
    <t>ID-SU</t>
  </si>
  <si>
    <t>Sumatera Utara</t>
  </si>
  <si>
    <t>ID-YO</t>
  </si>
  <si>
    <t>Yogyakarta</t>
  </si>
  <si>
    <t>special region</t>
  </si>
  <si>
    <t>IRAN, ISLAMIC REPUBLIC OF</t>
  </si>
  <si>
    <t>IR-03</t>
  </si>
  <si>
    <t>Ardabīl</t>
  </si>
  <si>
    <t>IR-06</t>
  </si>
  <si>
    <t>Būshehr</t>
  </si>
  <si>
    <t>IR-08</t>
  </si>
  <si>
    <t>Chahār Maḩāll va Bakhtīārī</t>
  </si>
  <si>
    <t>IR-04</t>
  </si>
  <si>
    <t>Eşfahān</t>
  </si>
  <si>
    <t>IR-14</t>
  </si>
  <si>
    <t>Fārs</t>
  </si>
  <si>
    <t>IR-27</t>
  </si>
  <si>
    <t>Golestān</t>
  </si>
  <si>
    <t>IR-19</t>
  </si>
  <si>
    <t>Gīlān</t>
  </si>
  <si>
    <t>IR-24</t>
  </si>
  <si>
    <t>Hamadān</t>
  </si>
  <si>
    <t>IR-23</t>
  </si>
  <si>
    <t>Hormozgān</t>
  </si>
  <si>
    <t>IR-15</t>
  </si>
  <si>
    <t>Kermān</t>
  </si>
  <si>
    <t>IR-17</t>
  </si>
  <si>
    <t>Kermānshāh</t>
  </si>
  <si>
    <t>IR-29</t>
  </si>
  <si>
    <t>Khorāsān-e Janūbī</t>
  </si>
  <si>
    <t>IR-30</t>
  </si>
  <si>
    <t>Khorāsān-e Razavī</t>
  </si>
  <si>
    <t>IR-31</t>
  </si>
  <si>
    <t>Khorāsān-e Shemālī</t>
  </si>
  <si>
    <t>IR-10</t>
  </si>
  <si>
    <t>Khūzestān</t>
  </si>
  <si>
    <t>IR-18</t>
  </si>
  <si>
    <t>Kohgīlūyeh va Būyer Aḩmad</t>
  </si>
  <si>
    <t>IR-16</t>
  </si>
  <si>
    <t>Kordestān</t>
  </si>
  <si>
    <t>IR-20</t>
  </si>
  <si>
    <t>Lorestān</t>
  </si>
  <si>
    <t>IR-22</t>
  </si>
  <si>
    <t>Markazī</t>
  </si>
  <si>
    <t>IR-21</t>
  </si>
  <si>
    <t>Māzandarān</t>
  </si>
  <si>
    <t>IR-28</t>
  </si>
  <si>
    <t>Qazvīn</t>
  </si>
  <si>
    <t>IR-26</t>
  </si>
  <si>
    <t>Qom</t>
  </si>
  <si>
    <t>IR-12</t>
  </si>
  <si>
    <t>Semnān</t>
  </si>
  <si>
    <t>IR-13</t>
  </si>
  <si>
    <t>Sīstān va Balūchestān</t>
  </si>
  <si>
    <t>IR-07</t>
  </si>
  <si>
    <t>Tehrān</t>
  </si>
  <si>
    <t>IR-25</t>
  </si>
  <si>
    <t>Yazd</t>
  </si>
  <si>
    <t>IR-11</t>
  </si>
  <si>
    <t>Zanjān</t>
  </si>
  <si>
    <t>IR-02</t>
  </si>
  <si>
    <t>Āz̄arbāyjān-e Gharbī</t>
  </si>
  <si>
    <t>IR-01</t>
  </si>
  <si>
    <t>Āz̄arbāyjān-e Sharqī</t>
  </si>
  <si>
    <t>IR-05</t>
  </si>
  <si>
    <t>Īlām</t>
  </si>
  <si>
    <t>IQ-AN</t>
  </si>
  <si>
    <t>Al Anbār</t>
  </si>
  <si>
    <t>IQ-BA</t>
  </si>
  <si>
    <t>Al Başrah</t>
  </si>
  <si>
    <t>IQ-MU</t>
  </si>
  <si>
    <t>Al Muthanná</t>
  </si>
  <si>
    <t>IQ-QA</t>
  </si>
  <si>
    <t>Al Qādisīyah</t>
  </si>
  <si>
    <t>IQ-NA</t>
  </si>
  <si>
    <t>An Najaf</t>
  </si>
  <si>
    <t>IQ-AR</t>
  </si>
  <si>
    <t>Arbīl</t>
  </si>
  <si>
    <t>IQ-SU</t>
  </si>
  <si>
    <t>As Sulaymānīyah</t>
  </si>
  <si>
    <t>IQ-TS</t>
  </si>
  <si>
    <t>At Ta'mīm</t>
  </si>
  <si>
    <t>IQ-BG</t>
  </si>
  <si>
    <t>Baghdād</t>
  </si>
  <si>
    <t>IQ-BB</t>
  </si>
  <si>
    <t>Bābil</t>
  </si>
  <si>
    <t>IQ-DA</t>
  </si>
  <si>
    <t>Dahūk</t>
  </si>
  <si>
    <t>IQ-DQ</t>
  </si>
  <si>
    <t>Dhī Qār</t>
  </si>
  <si>
    <t>IQ-DI</t>
  </si>
  <si>
    <t>Diyālá</t>
  </si>
  <si>
    <t>IQ-KA</t>
  </si>
  <si>
    <t>Karbalā'</t>
  </si>
  <si>
    <t>IQ-MA</t>
  </si>
  <si>
    <t>Maysān</t>
  </si>
  <si>
    <t>IQ-NI</t>
  </si>
  <si>
    <t>Nīnawá</t>
  </si>
  <si>
    <t>IQ-WA</t>
  </si>
  <si>
    <t>Wāsiţ</t>
  </si>
  <si>
    <t>IQ-SD</t>
  </si>
  <si>
    <t>Şalāḩ ad Dīn</t>
  </si>
  <si>
    <t>IE-CN</t>
  </si>
  <si>
    <t>An Cabhán</t>
  </si>
  <si>
    <t>IE-CE</t>
  </si>
  <si>
    <t>An Clár</t>
  </si>
  <si>
    <t>IE-WH</t>
  </si>
  <si>
    <t>An Iarmhí</t>
  </si>
  <si>
    <t>IE-LD</t>
  </si>
  <si>
    <t>An Longfort</t>
  </si>
  <si>
    <t>IE-M</t>
  </si>
  <si>
    <t>An Mhumhain</t>
  </si>
  <si>
    <t>IE-MH</t>
  </si>
  <si>
    <t>An Mhí</t>
  </si>
  <si>
    <t>IE-D</t>
  </si>
  <si>
    <t>Baile Átha Cliath</t>
  </si>
  <si>
    <t>IE-CW</t>
  </si>
  <si>
    <t>Carlow</t>
  </si>
  <si>
    <t>Cavan</t>
  </si>
  <si>
    <t>Ceatharlach</t>
  </si>
  <si>
    <t>IE-KY</t>
  </si>
  <si>
    <t>Ciarraí</t>
  </si>
  <si>
    <t>IE-KK</t>
  </si>
  <si>
    <t>Cill Chainnigh</t>
  </si>
  <si>
    <t>IE-KE</t>
  </si>
  <si>
    <t>Cill Dara</t>
  </si>
  <si>
    <t>IE-WW</t>
  </si>
  <si>
    <t>Cill Mhantáin</t>
  </si>
  <si>
    <t>Clare</t>
  </si>
  <si>
    <t>IE-C</t>
  </si>
  <si>
    <t>Connacht</t>
  </si>
  <si>
    <t>Connaught</t>
  </si>
  <si>
    <t>IE-CO</t>
  </si>
  <si>
    <t>Corcaigh</t>
  </si>
  <si>
    <t>Cork</t>
  </si>
  <si>
    <t>IE-DL</t>
  </si>
  <si>
    <t>Donegal</t>
  </si>
  <si>
    <t>Dublin</t>
  </si>
  <si>
    <t>Dún na nGall</t>
  </si>
  <si>
    <t>IE-G</t>
  </si>
  <si>
    <t>Gaillimh</t>
  </si>
  <si>
    <t>Galway</t>
  </si>
  <si>
    <t>Kerry</t>
  </si>
  <si>
    <t>Kildare</t>
  </si>
  <si>
    <t>Kilkenny</t>
  </si>
  <si>
    <t>IE-L</t>
  </si>
  <si>
    <t>Laighin</t>
  </si>
  <si>
    <t>IE-LS</t>
  </si>
  <si>
    <t>Laois</t>
  </si>
  <si>
    <t>Leinster</t>
  </si>
  <si>
    <t>IE-LM</t>
  </si>
  <si>
    <t>Leitrim</t>
  </si>
  <si>
    <t>Liatroim</t>
  </si>
  <si>
    <t>IE-LK</t>
  </si>
  <si>
    <t>Limerick</t>
  </si>
  <si>
    <t>IE-WX</t>
  </si>
  <si>
    <t>Loch Garman</t>
  </si>
  <si>
    <t>Longford</t>
  </si>
  <si>
    <t>IE-LH</t>
  </si>
  <si>
    <t>Louth</t>
  </si>
  <si>
    <t>Luimneach</t>
  </si>
  <si>
    <t>Lú</t>
  </si>
  <si>
    <t>IE-MO</t>
  </si>
  <si>
    <t>Maigh Eo</t>
  </si>
  <si>
    <t>Mayo</t>
  </si>
  <si>
    <t>Meath</t>
  </si>
  <si>
    <t>IE-MN</t>
  </si>
  <si>
    <t>Monaghan</t>
  </si>
  <si>
    <t>Muineachán</t>
  </si>
  <si>
    <t>Munster</t>
  </si>
  <si>
    <t>IE-OY</t>
  </si>
  <si>
    <t>Offaly</t>
  </si>
  <si>
    <t>IE-WD</t>
  </si>
  <si>
    <t>Port Láirge</t>
  </si>
  <si>
    <t>IE-RN</t>
  </si>
  <si>
    <t>Ros Comáin</t>
  </si>
  <si>
    <t>Roscommon</t>
  </si>
  <si>
    <t>IE-SO</t>
  </si>
  <si>
    <t>Sligeach</t>
  </si>
  <si>
    <t>Sligo</t>
  </si>
  <si>
    <t>IE-TA</t>
  </si>
  <si>
    <t>Tiobraid Árann</t>
  </si>
  <si>
    <t>Tipperary</t>
  </si>
  <si>
    <t>IE-U</t>
  </si>
  <si>
    <t>Ulaidh</t>
  </si>
  <si>
    <t>Ulster</t>
  </si>
  <si>
    <t>Uíbh Fhailí</t>
  </si>
  <si>
    <t>Waterford</t>
  </si>
  <si>
    <t>Westmeath</t>
  </si>
  <si>
    <t>Wexford</t>
  </si>
  <si>
    <t>Wicklow</t>
  </si>
  <si>
    <t>IL-JM</t>
  </si>
  <si>
    <t>Al Quds</t>
  </si>
  <si>
    <t>IL-M</t>
  </si>
  <si>
    <t>El Awsaṭ</t>
  </si>
  <si>
    <t>IL-D</t>
  </si>
  <si>
    <t>El Janūbī</t>
  </si>
  <si>
    <t>IL-Z</t>
  </si>
  <si>
    <t>Esh Shamālī</t>
  </si>
  <si>
    <t>Ha Ẕafon</t>
  </si>
  <si>
    <t>HaDarom</t>
  </si>
  <si>
    <t>HaMerkaz</t>
  </si>
  <si>
    <t>IL-HA</t>
  </si>
  <si>
    <t>H̱efa</t>
  </si>
  <si>
    <t>IL-TA</t>
  </si>
  <si>
    <t>Tel-Aviv</t>
  </si>
  <si>
    <t>Tell Abīb</t>
  </si>
  <si>
    <t>Yerushalayim</t>
  </si>
  <si>
    <t>Ḥeifā</t>
  </si>
  <si>
    <t>IT-65</t>
  </si>
  <si>
    <t>Abruzzo</t>
  </si>
  <si>
    <t>IT-AG</t>
  </si>
  <si>
    <t>Agrigento</t>
  </si>
  <si>
    <t>IT-AL</t>
  </si>
  <si>
    <t>Alessandria</t>
  </si>
  <si>
    <t>IT-AN</t>
  </si>
  <si>
    <t>Ancona</t>
  </si>
  <si>
    <t>IT-AO</t>
  </si>
  <si>
    <t>Aosta</t>
  </si>
  <si>
    <t>Aoste</t>
  </si>
  <si>
    <t>IT-AR</t>
  </si>
  <si>
    <t>Arezzo</t>
  </si>
  <si>
    <t>IT-AP</t>
  </si>
  <si>
    <t>Ascoli Piceno</t>
  </si>
  <si>
    <t>IT-AT</t>
  </si>
  <si>
    <t>Asti</t>
  </si>
  <si>
    <t>IT-AV</t>
  </si>
  <si>
    <t>Avellino</t>
  </si>
  <si>
    <t>IT-BA</t>
  </si>
  <si>
    <t>Bari</t>
  </si>
  <si>
    <t>IT-BT</t>
  </si>
  <si>
    <t>Barletta-Andria-Trani</t>
  </si>
  <si>
    <t>IT-77</t>
  </si>
  <si>
    <t>Basilicata</t>
  </si>
  <si>
    <t>IT-BL</t>
  </si>
  <si>
    <t>Belluno</t>
  </si>
  <si>
    <t>IT-BN</t>
  </si>
  <si>
    <t>Benevento</t>
  </si>
  <si>
    <t>IT-BG</t>
  </si>
  <si>
    <t>Bergamo</t>
  </si>
  <si>
    <t>IT-BI</t>
  </si>
  <si>
    <t>Biella</t>
  </si>
  <si>
    <t>IT-BO</t>
  </si>
  <si>
    <t>Bologna</t>
  </si>
  <si>
    <t>IT-BZ</t>
  </si>
  <si>
    <t>Bolzano</t>
  </si>
  <si>
    <t>Bozen</t>
  </si>
  <si>
    <t>IT-BS</t>
  </si>
  <si>
    <t>Brescia</t>
  </si>
  <si>
    <t>IT-BR</t>
  </si>
  <si>
    <t>Brindisi</t>
  </si>
  <si>
    <t>IT-CA</t>
  </si>
  <si>
    <t>Cagliari</t>
  </si>
  <si>
    <t>IT-78</t>
  </si>
  <si>
    <t>Calabria</t>
  </si>
  <si>
    <t>IT-CL</t>
  </si>
  <si>
    <t>Caltanissetta</t>
  </si>
  <si>
    <t>IT-72</t>
  </si>
  <si>
    <t>Campania</t>
  </si>
  <si>
    <t>IT-CB</t>
  </si>
  <si>
    <t>Campobasso</t>
  </si>
  <si>
    <t>IT-CI</t>
  </si>
  <si>
    <t>Carbonia-Iglesias</t>
  </si>
  <si>
    <t>IT-CE</t>
  </si>
  <si>
    <t>Caserta</t>
  </si>
  <si>
    <t>IT-CT</t>
  </si>
  <si>
    <t>Catania</t>
  </si>
  <si>
    <t>IT-CZ</t>
  </si>
  <si>
    <t>Catanzaro</t>
  </si>
  <si>
    <t>IT-CH</t>
  </si>
  <si>
    <t>Chieti</t>
  </si>
  <si>
    <t>IT-CO</t>
  </si>
  <si>
    <t>Como</t>
  </si>
  <si>
    <t>IT-CS</t>
  </si>
  <si>
    <t>Cosenza</t>
  </si>
  <si>
    <t>IT-CR</t>
  </si>
  <si>
    <t>Cremona</t>
  </si>
  <si>
    <t>IT-KR</t>
  </si>
  <si>
    <t>Crotone</t>
  </si>
  <si>
    <t>IT-CN</t>
  </si>
  <si>
    <t>Cuneo</t>
  </si>
  <si>
    <t>IT-45</t>
  </si>
  <si>
    <t>Emilia-Romagna</t>
  </si>
  <si>
    <t>IT-EN</t>
  </si>
  <si>
    <t>Enna</t>
  </si>
  <si>
    <t>IT-FM</t>
  </si>
  <si>
    <t>Fermo</t>
  </si>
  <si>
    <t>IT-FE</t>
  </si>
  <si>
    <t>Ferrara</t>
  </si>
  <si>
    <t>IT-FI</t>
  </si>
  <si>
    <t>Firenze</t>
  </si>
  <si>
    <t>IT-FG</t>
  </si>
  <si>
    <t>Foggia</t>
  </si>
  <si>
    <t>IT-FC</t>
  </si>
  <si>
    <t>Forlì-Cesena</t>
  </si>
  <si>
    <t>IT-36</t>
  </si>
  <si>
    <t>Friuli-Venezia Giulia</t>
  </si>
  <si>
    <t>IT-FR</t>
  </si>
  <si>
    <t>Frosinone</t>
  </si>
  <si>
    <t>IT-GE</t>
  </si>
  <si>
    <t>Genova</t>
  </si>
  <si>
    <t>IT-GO</t>
  </si>
  <si>
    <t>Gorizia</t>
  </si>
  <si>
    <t>IT-GR</t>
  </si>
  <si>
    <t>Grosseto</t>
  </si>
  <si>
    <t>IT-IM</t>
  </si>
  <si>
    <t>Imperia</t>
  </si>
  <si>
    <t>IT-IS</t>
  </si>
  <si>
    <t>Isernia</t>
  </si>
  <si>
    <t>IT-AQ</t>
  </si>
  <si>
    <t>L'Aquila</t>
  </si>
  <si>
    <t>IT-SP</t>
  </si>
  <si>
    <t>La Spezia</t>
  </si>
  <si>
    <t>IT-LT</t>
  </si>
  <si>
    <t>Latina</t>
  </si>
  <si>
    <t>IT-62</t>
  </si>
  <si>
    <t>Lazio</t>
  </si>
  <si>
    <t>IT-LE</t>
  </si>
  <si>
    <t>Lecce</t>
  </si>
  <si>
    <t>IT-LC</t>
  </si>
  <si>
    <t>Lecco</t>
  </si>
  <si>
    <t>IT-42</t>
  </si>
  <si>
    <t>Liguria</t>
  </si>
  <si>
    <t>IT-LI</t>
  </si>
  <si>
    <t>Livorno</t>
  </si>
  <si>
    <t>IT-LO</t>
  </si>
  <si>
    <t>Lodi</t>
  </si>
  <si>
    <t>IT-25</t>
  </si>
  <si>
    <t>Lombardia</t>
  </si>
  <si>
    <t>IT-LU</t>
  </si>
  <si>
    <t>Lucca</t>
  </si>
  <si>
    <t>IT-MC</t>
  </si>
  <si>
    <t>Macerata</t>
  </si>
  <si>
    <t>IT-MN</t>
  </si>
  <si>
    <t>Mantova</t>
  </si>
  <si>
    <t>IT-57</t>
  </si>
  <si>
    <t>Marche</t>
  </si>
  <si>
    <t>IT-MS</t>
  </si>
  <si>
    <t>Massa-Carrara</t>
  </si>
  <si>
    <t>IT-MT</t>
  </si>
  <si>
    <t>Matera</t>
  </si>
  <si>
    <t>IT-VS</t>
  </si>
  <si>
    <t>Medio Campidano</t>
  </si>
  <si>
    <t>IT-ME</t>
  </si>
  <si>
    <t>Messina</t>
  </si>
  <si>
    <t>IT-MI</t>
  </si>
  <si>
    <t>Milano</t>
  </si>
  <si>
    <t>IT-MO</t>
  </si>
  <si>
    <t>Modena</t>
  </si>
  <si>
    <t>IT-67</t>
  </si>
  <si>
    <t>Molise</t>
  </si>
  <si>
    <t>IT-MB</t>
  </si>
  <si>
    <t>Monza e Brianza</t>
  </si>
  <si>
    <t>IT-NA</t>
  </si>
  <si>
    <t>Napoli</t>
  </si>
  <si>
    <t>IT-NO</t>
  </si>
  <si>
    <t>Novara</t>
  </si>
  <si>
    <t>IT-NU</t>
  </si>
  <si>
    <t>Nuoro</t>
  </si>
  <si>
    <t>IT-OG</t>
  </si>
  <si>
    <t>Ogliastra</t>
  </si>
  <si>
    <t>IT-OT</t>
  </si>
  <si>
    <t>Olbia-Tempio</t>
  </si>
  <si>
    <t>IT-OR</t>
  </si>
  <si>
    <t>Oristano</t>
  </si>
  <si>
    <t>IT-PD</t>
  </si>
  <si>
    <t>Padova</t>
  </si>
  <si>
    <t>IT-PA</t>
  </si>
  <si>
    <t>Palermo</t>
  </si>
  <si>
    <t>IT-PR</t>
  </si>
  <si>
    <t>Parma</t>
  </si>
  <si>
    <t>IT-PV</t>
  </si>
  <si>
    <t>Pavia</t>
  </si>
  <si>
    <t>IT-PG</t>
  </si>
  <si>
    <t>Perugia</t>
  </si>
  <si>
    <t>IT-PU</t>
  </si>
  <si>
    <t>Pesaro e Urbino</t>
  </si>
  <si>
    <t>IT-PE</t>
  </si>
  <si>
    <t>Pescara</t>
  </si>
  <si>
    <t>IT-PC</t>
  </si>
  <si>
    <t>Piacenza</t>
  </si>
  <si>
    <t>IT-21</t>
  </si>
  <si>
    <t>Piemonte</t>
  </si>
  <si>
    <t>IT-PI</t>
  </si>
  <si>
    <t>Pisa</t>
  </si>
  <si>
    <t>IT-PT</t>
  </si>
  <si>
    <t>Pistoia</t>
  </si>
  <si>
    <t>IT-PN</t>
  </si>
  <si>
    <t>Pordenone</t>
  </si>
  <si>
    <t>IT-PZ</t>
  </si>
  <si>
    <t>Potenza</t>
  </si>
  <si>
    <t>IT-PO</t>
  </si>
  <si>
    <t>Prato</t>
  </si>
  <si>
    <t>IT-75</t>
  </si>
  <si>
    <t>Puglia</t>
  </si>
  <si>
    <t>IT-RG</t>
  </si>
  <si>
    <t>Ragusa</t>
  </si>
  <si>
    <t>IT-RA</t>
  </si>
  <si>
    <t>Ravenna</t>
  </si>
  <si>
    <t>IT-RC</t>
  </si>
  <si>
    <t>Reggio Calabria</t>
  </si>
  <si>
    <t>IT-RE</t>
  </si>
  <si>
    <t>Reggio Emilia</t>
  </si>
  <si>
    <t>IT-RI</t>
  </si>
  <si>
    <t>Rieti</t>
  </si>
  <si>
    <t>IT-RN</t>
  </si>
  <si>
    <t>Rimini</t>
  </si>
  <si>
    <t>IT-RM</t>
  </si>
  <si>
    <t>Roma</t>
  </si>
  <si>
    <t>IT-RO</t>
  </si>
  <si>
    <t>Rovigo</t>
  </si>
  <si>
    <t>IT-SA</t>
  </si>
  <si>
    <t>Salerno</t>
  </si>
  <si>
    <t>IT-88</t>
  </si>
  <si>
    <t>Sardegna</t>
  </si>
  <si>
    <t>IT-SS</t>
  </si>
  <si>
    <t>Sassari</t>
  </si>
  <si>
    <t>IT-SV</t>
  </si>
  <si>
    <t>Savona</t>
  </si>
  <si>
    <t>IT-82</t>
  </si>
  <si>
    <t>Sicilia</t>
  </si>
  <si>
    <t>IT-SI</t>
  </si>
  <si>
    <t>Siena</t>
  </si>
  <si>
    <t>IT-SR</t>
  </si>
  <si>
    <t>Siracusa</t>
  </si>
  <si>
    <t>IT-SO</t>
  </si>
  <si>
    <t>Sondrio</t>
  </si>
  <si>
    <t>IT-TA</t>
  </si>
  <si>
    <t>Taranto</t>
  </si>
  <si>
    <t>IT-TE</t>
  </si>
  <si>
    <t>Teramo</t>
  </si>
  <si>
    <t>IT-TR</t>
  </si>
  <si>
    <t>Terni</t>
  </si>
  <si>
    <t>IT-TO</t>
  </si>
  <si>
    <t>Torino</t>
  </si>
  <si>
    <t>IT-52</t>
  </si>
  <si>
    <t>Toscana</t>
  </si>
  <si>
    <t>IT-TP</t>
  </si>
  <si>
    <t>Trapani</t>
  </si>
  <si>
    <t>IT-32</t>
  </si>
  <si>
    <t>Trentino-Alto Adige</t>
  </si>
  <si>
    <t>Trentino-Südtirol</t>
  </si>
  <si>
    <t>IT-TN</t>
  </si>
  <si>
    <t>Trento</t>
  </si>
  <si>
    <t>IT-TV</t>
  </si>
  <si>
    <t>Treviso</t>
  </si>
  <si>
    <t>IT-TS</t>
  </si>
  <si>
    <t>Trieste</t>
  </si>
  <si>
    <t>IT-UD</t>
  </si>
  <si>
    <t>Udine</t>
  </si>
  <si>
    <t>IT-55</t>
  </si>
  <si>
    <t>Umbria</t>
  </si>
  <si>
    <t>IT-23</t>
  </si>
  <si>
    <t>Val d'Aoste</t>
  </si>
  <si>
    <t>Valle d'Aosta</t>
  </si>
  <si>
    <t>IT-VA</t>
  </si>
  <si>
    <t>Varese</t>
  </si>
  <si>
    <t>IT-34</t>
  </si>
  <si>
    <t>Veneto</t>
  </si>
  <si>
    <t>IT-VE</t>
  </si>
  <si>
    <t>Venezia</t>
  </si>
  <si>
    <t>IT-VB</t>
  </si>
  <si>
    <t>Verbano-Cusio-Ossola</t>
  </si>
  <si>
    <t>IT-VC</t>
  </si>
  <si>
    <t>Vercelli</t>
  </si>
  <si>
    <t>IT-VR</t>
  </si>
  <si>
    <t>Verona</t>
  </si>
  <si>
    <t>IT-VV</t>
  </si>
  <si>
    <t>Vibo Valentia</t>
  </si>
  <si>
    <t>IT-VI</t>
  </si>
  <si>
    <t>Vicenza</t>
  </si>
  <si>
    <t>IT-VT</t>
  </si>
  <si>
    <t>Viterbo</t>
  </si>
  <si>
    <t>JM-13</t>
  </si>
  <si>
    <t>Clarendon</t>
  </si>
  <si>
    <t>JM-09</t>
  </si>
  <si>
    <t>Hanover</t>
  </si>
  <si>
    <t>JM-01</t>
  </si>
  <si>
    <t>Kingston</t>
  </si>
  <si>
    <t>JM-12</t>
  </si>
  <si>
    <t>Manchester</t>
  </si>
  <si>
    <t>JM-04</t>
  </si>
  <si>
    <t>Portland</t>
  </si>
  <si>
    <t>JM-02</t>
  </si>
  <si>
    <t>JM-06</t>
  </si>
  <si>
    <t>Saint Ann</t>
  </si>
  <si>
    <t>JM-14</t>
  </si>
  <si>
    <t>Saint Catherine</t>
  </si>
  <si>
    <t>JM-11</t>
  </si>
  <si>
    <t>Saint Elizabeth</t>
  </si>
  <si>
    <t>JM-08</t>
  </si>
  <si>
    <t>JM-05</t>
  </si>
  <si>
    <t>JM-03</t>
  </si>
  <si>
    <t>JM-07</t>
  </si>
  <si>
    <t>Trelawny</t>
  </si>
  <si>
    <t>JM-10</t>
  </si>
  <si>
    <t>Westmoreland</t>
  </si>
  <si>
    <t>JP-23</t>
  </si>
  <si>
    <t>Aichi</t>
  </si>
  <si>
    <t>Aiti</t>
  </si>
  <si>
    <t>JP-05</t>
  </si>
  <si>
    <t>Akita</t>
  </si>
  <si>
    <t>JP-02</t>
  </si>
  <si>
    <t>Aomori</t>
  </si>
  <si>
    <t>JP-12</t>
  </si>
  <si>
    <t>Chiba</t>
  </si>
  <si>
    <t>JP-38</t>
  </si>
  <si>
    <t>Ehime</t>
  </si>
  <si>
    <t>JP-18</t>
  </si>
  <si>
    <t>Fukui</t>
  </si>
  <si>
    <t>JP-40</t>
  </si>
  <si>
    <t>Fukuoka</t>
  </si>
  <si>
    <t>JP-07</t>
  </si>
  <si>
    <t>Fukushima</t>
  </si>
  <si>
    <t>JP-21</t>
  </si>
  <si>
    <t>Gifu</t>
  </si>
  <si>
    <t>Gihu</t>
  </si>
  <si>
    <t>JP-10</t>
  </si>
  <si>
    <t>Gunma</t>
  </si>
  <si>
    <t>JP-34</t>
  </si>
  <si>
    <t>Hiroshima</t>
  </si>
  <si>
    <t>Hirosima</t>
  </si>
  <si>
    <t>JP-01</t>
  </si>
  <si>
    <t>Hokkaido</t>
  </si>
  <si>
    <t>Hokkaidô</t>
  </si>
  <si>
    <t>Hukui</t>
  </si>
  <si>
    <t>Hukuoka</t>
  </si>
  <si>
    <t>Hukusima</t>
  </si>
  <si>
    <t>JP-28</t>
  </si>
  <si>
    <t>Hyogo</t>
  </si>
  <si>
    <t>Hyôgo</t>
  </si>
  <si>
    <t>JP-08</t>
  </si>
  <si>
    <t>Ibaraki</t>
  </si>
  <si>
    <t>JP-17</t>
  </si>
  <si>
    <t>Ishikawa</t>
  </si>
  <si>
    <t>Isikawa</t>
  </si>
  <si>
    <t>JP-03</t>
  </si>
  <si>
    <t>Iwate</t>
  </si>
  <si>
    <t>JP-37</t>
  </si>
  <si>
    <t>Kagawa</t>
  </si>
  <si>
    <t>JP-46</t>
  </si>
  <si>
    <t>Kagoshima</t>
  </si>
  <si>
    <t>Kagosima</t>
  </si>
  <si>
    <t>JP-14</t>
  </si>
  <si>
    <t>Kanagawa</t>
  </si>
  <si>
    <t>JP-39</t>
  </si>
  <si>
    <t>Kochi</t>
  </si>
  <si>
    <t>JP-43</t>
  </si>
  <si>
    <t>Kumamoto</t>
  </si>
  <si>
    <t>JP-26</t>
  </si>
  <si>
    <t>Kyoto</t>
  </si>
  <si>
    <t>Kyôto</t>
  </si>
  <si>
    <t>Kôti</t>
  </si>
  <si>
    <t>JP-24</t>
  </si>
  <si>
    <t>Mie</t>
  </si>
  <si>
    <t>JP-04</t>
  </si>
  <si>
    <t>Miyagi</t>
  </si>
  <si>
    <t>JP-45</t>
  </si>
  <si>
    <t>Miyazaki</t>
  </si>
  <si>
    <t>JP-20</t>
  </si>
  <si>
    <t>Nagano</t>
  </si>
  <si>
    <t>JP-42</t>
  </si>
  <si>
    <t>Nagasaki</t>
  </si>
  <si>
    <t>JP-29</t>
  </si>
  <si>
    <t>Nara</t>
  </si>
  <si>
    <t>JP-15</t>
  </si>
  <si>
    <t>Niigata</t>
  </si>
  <si>
    <t>JP-44</t>
  </si>
  <si>
    <t>Oita</t>
  </si>
  <si>
    <t>JP-33</t>
  </si>
  <si>
    <t>Okayama</t>
  </si>
  <si>
    <t>JP-47</t>
  </si>
  <si>
    <t>Okinawa</t>
  </si>
  <si>
    <t>JP-27</t>
  </si>
  <si>
    <t>Osaka</t>
  </si>
  <si>
    <t>JP-41</t>
  </si>
  <si>
    <t>Saga</t>
  </si>
  <si>
    <t>JP-11</t>
  </si>
  <si>
    <t>Saitama</t>
  </si>
  <si>
    <t>JP-25</t>
  </si>
  <si>
    <t>Shiga</t>
  </si>
  <si>
    <t>JP-32</t>
  </si>
  <si>
    <t>Shimane</t>
  </si>
  <si>
    <t>JP-22</t>
  </si>
  <si>
    <t>Shizuoka</t>
  </si>
  <si>
    <t>Siga</t>
  </si>
  <si>
    <t>Simane</t>
  </si>
  <si>
    <t>Sizuoka</t>
  </si>
  <si>
    <t>Tiba</t>
  </si>
  <si>
    <t>JP-09</t>
  </si>
  <si>
    <t>Tochigi</t>
  </si>
  <si>
    <t>JP-36</t>
  </si>
  <si>
    <t>Tokushima</t>
  </si>
  <si>
    <t>Tokusima</t>
  </si>
  <si>
    <t>JP-13</t>
  </si>
  <si>
    <t>Tokyo</t>
  </si>
  <si>
    <t>Totigi</t>
  </si>
  <si>
    <t>JP-31</t>
  </si>
  <si>
    <t>Tottori</t>
  </si>
  <si>
    <t>JP-16</t>
  </si>
  <si>
    <t>Toyama</t>
  </si>
  <si>
    <t>Tôkyô</t>
  </si>
  <si>
    <t>JP-30</t>
  </si>
  <si>
    <t>Wakayama</t>
  </si>
  <si>
    <t>JP-06</t>
  </si>
  <si>
    <t>Yamagata</t>
  </si>
  <si>
    <t>JP-35</t>
  </si>
  <si>
    <t>Yamaguchi</t>
  </si>
  <si>
    <t>Yamaguti</t>
  </si>
  <si>
    <t>JP-19</t>
  </si>
  <si>
    <t>Yamanashi</t>
  </si>
  <si>
    <t>Yamanasi</t>
  </si>
  <si>
    <t>Ôita</t>
  </si>
  <si>
    <t>Ôsaka</t>
  </si>
  <si>
    <t>JO-AM</t>
  </si>
  <si>
    <t>'Ammān (Al 'şimah)</t>
  </si>
  <si>
    <t>JO-BA</t>
  </si>
  <si>
    <t>Al Balqā'</t>
  </si>
  <si>
    <t>JO-KA</t>
  </si>
  <si>
    <t>Al Karak</t>
  </si>
  <si>
    <t>JO-MA</t>
  </si>
  <si>
    <t>Al Mafraq</t>
  </si>
  <si>
    <t>JO-AQ</t>
  </si>
  <si>
    <t>Al ʽAqabah</t>
  </si>
  <si>
    <t>JO-AZ</t>
  </si>
  <si>
    <t>Az Zarqā'</t>
  </si>
  <si>
    <t>JO-AT</t>
  </si>
  <si>
    <t>Aţ Ţafīlah</t>
  </si>
  <si>
    <t>JO-IR</t>
  </si>
  <si>
    <t>Irbid</t>
  </si>
  <si>
    <t>JO-JA</t>
  </si>
  <si>
    <t>Jarash</t>
  </si>
  <si>
    <t>JO-MN</t>
  </si>
  <si>
    <t>Ma'ān</t>
  </si>
  <si>
    <t>JO-MD</t>
  </si>
  <si>
    <t>Mādabā</t>
  </si>
  <si>
    <t>JO-AJ</t>
  </si>
  <si>
    <t>ʽAjlūn</t>
  </si>
  <si>
    <t>KZ-AKM</t>
  </si>
  <si>
    <t>Akmolinskaya oblast'</t>
  </si>
  <si>
    <t>KZ-AKT</t>
  </si>
  <si>
    <t>Aktyubinskaya oblast'</t>
  </si>
  <si>
    <t>KZ-ALM</t>
  </si>
  <si>
    <t>Almatinskaya oblast'</t>
  </si>
  <si>
    <t>KZ-ALA</t>
  </si>
  <si>
    <t>Almaty</t>
  </si>
  <si>
    <t>Almaty oblysy</t>
  </si>
  <si>
    <t>Aqmola oblysy</t>
  </si>
  <si>
    <t>Aqtöbe oblysy</t>
  </si>
  <si>
    <t>KZ-AST</t>
  </si>
  <si>
    <t>Astana</t>
  </si>
  <si>
    <t>KZ-ATY</t>
  </si>
  <si>
    <t>Atyrauskaya oblast'</t>
  </si>
  <si>
    <t>Atyraū oblysy</t>
  </si>
  <si>
    <t>KZ-ZAP</t>
  </si>
  <si>
    <t>Batys Qazaqstan oblysy</t>
  </si>
  <si>
    <t>KZ-KAR</t>
  </si>
  <si>
    <t>Karagandinskaya oblast'</t>
  </si>
  <si>
    <t>KZ-KUS</t>
  </si>
  <si>
    <t>Kostanayskaya oblast'</t>
  </si>
  <si>
    <t>KZ-KZY</t>
  </si>
  <si>
    <t>Kyzylordinskaya oblast'</t>
  </si>
  <si>
    <t>KZ-MAN</t>
  </si>
  <si>
    <t>Mangghystaū oblysy</t>
  </si>
  <si>
    <t>Mangistauskaya oblast'</t>
  </si>
  <si>
    <t>KZ-YUZ</t>
  </si>
  <si>
    <t>Ongtüstik Qazaqstan oblysy</t>
  </si>
  <si>
    <t>KZ-PAV</t>
  </si>
  <si>
    <t>Pavlodar oblysy</t>
  </si>
  <si>
    <t>Pavlodarskaya oblast'</t>
  </si>
  <si>
    <t>Qaraghandy oblysy</t>
  </si>
  <si>
    <t>Qostanay oblysy</t>
  </si>
  <si>
    <t>Qyzylorda oblysy</t>
  </si>
  <si>
    <t>KZ-SEV</t>
  </si>
  <si>
    <t>Severo-Kazakhstanskaya oblast'</t>
  </si>
  <si>
    <t>KZ-VOS</t>
  </si>
  <si>
    <t>Shyghys Qazaqstan oblysy</t>
  </si>
  <si>
    <t>Soltüstik Qazaqstan oblysy</t>
  </si>
  <si>
    <t>Vostochno-Kazakhstanskaya oblast'</t>
  </si>
  <si>
    <t>Yuzhno-Kazakhstankaya oblast'</t>
  </si>
  <si>
    <t>Zapadno-Kazakhstanskaya oblast</t>
  </si>
  <si>
    <t>KZ-ZHA</t>
  </si>
  <si>
    <t>Zhambyl oblysy</t>
  </si>
  <si>
    <t>Zhambylskaya oblast'</t>
  </si>
  <si>
    <t>KE-700</t>
  </si>
  <si>
    <t>Bonde la Ufa</t>
  </si>
  <si>
    <t>KE-200</t>
  </si>
  <si>
    <t>KE-300</t>
  </si>
  <si>
    <t>Coast</t>
  </si>
  <si>
    <t>KE-400</t>
  </si>
  <si>
    <t>KE-500</t>
  </si>
  <si>
    <t>Kaskazini Mashariki</t>
  </si>
  <si>
    <t>Kati</t>
  </si>
  <si>
    <t>KE-800</t>
  </si>
  <si>
    <t>Magharibi</t>
  </si>
  <si>
    <t>Mashariki</t>
  </si>
  <si>
    <t>KE-110</t>
  </si>
  <si>
    <t>Nairobi</t>
  </si>
  <si>
    <t>North-Eastern</t>
  </si>
  <si>
    <t>KE-600</t>
  </si>
  <si>
    <t>Nyanza</t>
  </si>
  <si>
    <t>Pwani</t>
  </si>
  <si>
    <t>Rift Valley</t>
  </si>
  <si>
    <t>KI-G</t>
  </si>
  <si>
    <t>Gilbert Islands</t>
  </si>
  <si>
    <t>group of islands</t>
  </si>
  <si>
    <t>KI-L</t>
  </si>
  <si>
    <t>Line Islands</t>
  </si>
  <si>
    <t>KI-P</t>
  </si>
  <si>
    <t>Phoenix Islands</t>
  </si>
  <si>
    <t>KP-08</t>
  </si>
  <si>
    <t>Hamkyeongnamto</t>
  </si>
  <si>
    <t>KP-09</t>
  </si>
  <si>
    <t>Hamkyeongpukto</t>
  </si>
  <si>
    <t>KP-05</t>
  </si>
  <si>
    <t>Hwanghainamto</t>
  </si>
  <si>
    <t>KP-06</t>
  </si>
  <si>
    <t>Hwanghaipukto</t>
  </si>
  <si>
    <t>KP-04</t>
  </si>
  <si>
    <t>Jakangto</t>
  </si>
  <si>
    <t>KP-07</t>
  </si>
  <si>
    <t>Kangweonto</t>
  </si>
  <si>
    <t>KP-13</t>
  </si>
  <si>
    <t>Nasǒn</t>
  </si>
  <si>
    <t>special city</t>
  </si>
  <si>
    <t>KP-02</t>
  </si>
  <si>
    <t>Phyeongannamto</t>
  </si>
  <si>
    <t>KP-03</t>
  </si>
  <si>
    <t>Phyeonganpukto</t>
  </si>
  <si>
    <t>KP-01</t>
  </si>
  <si>
    <t>Phyeongyang</t>
  </si>
  <si>
    <t>KP-10</t>
  </si>
  <si>
    <t>Yanggang-do</t>
  </si>
  <si>
    <t>KR-26</t>
  </si>
  <si>
    <t>Busan Gwang'yeogsi</t>
  </si>
  <si>
    <t>metropolitan city</t>
  </si>
  <si>
    <t>KR-43</t>
  </si>
  <si>
    <t>Chungcheongbugdo</t>
  </si>
  <si>
    <t>KR-44</t>
  </si>
  <si>
    <t>Chungcheongnamdo</t>
  </si>
  <si>
    <t>KR-27</t>
  </si>
  <si>
    <t>Daegu Gwang'yeogsi</t>
  </si>
  <si>
    <t>KR-30</t>
  </si>
  <si>
    <t>Daejeon Gwang'yeogsi</t>
  </si>
  <si>
    <t>KR-42</t>
  </si>
  <si>
    <t>Gang'weondo</t>
  </si>
  <si>
    <t>KR-29</t>
  </si>
  <si>
    <t>Gwangju Gwang'yeogsi</t>
  </si>
  <si>
    <t>KR-41</t>
  </si>
  <si>
    <t>Gyeonggido</t>
  </si>
  <si>
    <t>KR-47</t>
  </si>
  <si>
    <t>Gyeongsangbugdo</t>
  </si>
  <si>
    <t>KR-48</t>
  </si>
  <si>
    <t>Gyeongsangnamdo</t>
  </si>
  <si>
    <t>KR-28</t>
  </si>
  <si>
    <t>Incheon Gwang'yeogsiv</t>
  </si>
  <si>
    <t>KR-49</t>
  </si>
  <si>
    <t>Jejudo</t>
  </si>
  <si>
    <t>KR-45</t>
  </si>
  <si>
    <t>Jeonrabugdo</t>
  </si>
  <si>
    <t>KR-46</t>
  </si>
  <si>
    <t>Jeonranamdo</t>
  </si>
  <si>
    <t>KR-11</t>
  </si>
  <si>
    <t>Seoul Teugbyeolsi</t>
  </si>
  <si>
    <t>capital metropolitan city</t>
  </si>
  <si>
    <t>KR-31</t>
  </si>
  <si>
    <t>Ulsan Gwang'yeogsi</t>
  </si>
  <si>
    <t>KW-AH</t>
  </si>
  <si>
    <t>Al Aḩmadī</t>
  </si>
  <si>
    <t>KW-FA</t>
  </si>
  <si>
    <t>Al Farwānīyah</t>
  </si>
  <si>
    <t>KW-JA</t>
  </si>
  <si>
    <t>Al Jahrā'</t>
  </si>
  <si>
    <t>KW-KU</t>
  </si>
  <si>
    <t>Al Kuwayt (Al 'Āşimah)</t>
  </si>
  <si>
    <t>KW-MU</t>
  </si>
  <si>
    <t>Mubārak al Kabīr</t>
  </si>
  <si>
    <t>KW-HA</t>
  </si>
  <si>
    <t>Ḩawallī</t>
  </si>
  <si>
    <t>KG-B</t>
  </si>
  <si>
    <t>Batken</t>
  </si>
  <si>
    <t>Batkenskaya oblast'</t>
  </si>
  <si>
    <t>KG-GB</t>
  </si>
  <si>
    <t>Bishkek</t>
  </si>
  <si>
    <t>KG-C</t>
  </si>
  <si>
    <t>Chuyskaya oblast'</t>
  </si>
  <si>
    <t>Chü</t>
  </si>
  <si>
    <t>KG-J</t>
  </si>
  <si>
    <t>Dzhalal-Abadskaya oblast'</t>
  </si>
  <si>
    <t>Gorod Bishkek</t>
  </si>
  <si>
    <t>KG-Y</t>
  </si>
  <si>
    <t>Issyk-Kul'skaya oblast'</t>
  </si>
  <si>
    <t>Jalal-Abad</t>
  </si>
  <si>
    <t>KG-N</t>
  </si>
  <si>
    <t>Naryn</t>
  </si>
  <si>
    <t>Narynskaya oblast'</t>
  </si>
  <si>
    <t>KG-O</t>
  </si>
  <si>
    <t>Osh</t>
  </si>
  <si>
    <t>Oshskaya oblast'</t>
  </si>
  <si>
    <t>KG-T</t>
  </si>
  <si>
    <t>Talas</t>
  </si>
  <si>
    <t>Talasskaya oblast'</t>
  </si>
  <si>
    <t>Ysyk-Köl</t>
  </si>
  <si>
    <t>LA-AT</t>
  </si>
  <si>
    <t>Attapu [Attopeu]</t>
  </si>
  <si>
    <t>Attopeu (old French variation)</t>
  </si>
  <si>
    <t>LA-BK</t>
  </si>
  <si>
    <t>Bokèo</t>
  </si>
  <si>
    <t>LA-BL</t>
  </si>
  <si>
    <t>Bolikhamxai [Borikhane]</t>
  </si>
  <si>
    <t>Borikhane (old French variation)</t>
  </si>
  <si>
    <t>LA-CH</t>
  </si>
  <si>
    <t>Champasak [Champassak]</t>
  </si>
  <si>
    <t>Champassak (old French variation)</t>
  </si>
  <si>
    <t>LA-HO</t>
  </si>
  <si>
    <t>Houaphan</t>
  </si>
  <si>
    <t>LA-KH</t>
  </si>
  <si>
    <t>Khammouan</t>
  </si>
  <si>
    <t>LA-LM</t>
  </si>
  <si>
    <t>Louang Namtha</t>
  </si>
  <si>
    <t>LA-LP</t>
  </si>
  <si>
    <t>Louang Prabang (old French variation)</t>
  </si>
  <si>
    <t>Louangphabang [Louang Prabang]</t>
  </si>
  <si>
    <t>LA-OU</t>
  </si>
  <si>
    <t>Oudomsai (old French variation)</t>
  </si>
  <si>
    <t>Oudômxai [Oudomsai]</t>
  </si>
  <si>
    <t>LA-PH</t>
  </si>
  <si>
    <t>Phong Saly (old French variation)</t>
  </si>
  <si>
    <t>Phôngsali [Phong Saly]</t>
  </si>
  <si>
    <t>LA-SL</t>
  </si>
  <si>
    <t>Salavan [Saravane]</t>
  </si>
  <si>
    <t>Saravane (old French variation)</t>
  </si>
  <si>
    <t>LA-SV</t>
  </si>
  <si>
    <t>Savannakhét</t>
  </si>
  <si>
    <t>LA-XA</t>
  </si>
  <si>
    <t>Sayaboury (old French variation)</t>
  </si>
  <si>
    <t>LA-XE</t>
  </si>
  <si>
    <t>Sékong (old French variation)</t>
  </si>
  <si>
    <t>LA-VI</t>
  </si>
  <si>
    <t>Vientiane</t>
  </si>
  <si>
    <t>LA-VT</t>
  </si>
  <si>
    <t>Xaignabouli [Sayaboury]</t>
  </si>
  <si>
    <t>LA-XN</t>
  </si>
  <si>
    <t>Xaisômboun</t>
  </si>
  <si>
    <t>LA-XI</t>
  </si>
  <si>
    <t>Xiangkhoang [Xieng Khouang]</t>
  </si>
  <si>
    <t>Xieng Khouang (old French variation)</t>
  </si>
  <si>
    <t>Xékong [Sékong]</t>
  </si>
  <si>
    <t>LV-001</t>
  </si>
  <si>
    <t>Aglonas novads (Aglona)</t>
  </si>
  <si>
    <t>LV-002</t>
  </si>
  <si>
    <t>Aizkraukles novads (Aizkraukle)</t>
  </si>
  <si>
    <t>LV-003</t>
  </si>
  <si>
    <t>Aizputes novads (Aizpute)</t>
  </si>
  <si>
    <t>LV-004</t>
  </si>
  <si>
    <t>Aknīstes novads (Aknīste)</t>
  </si>
  <si>
    <t>LV-005</t>
  </si>
  <si>
    <t>Alojas novads (Aloja)</t>
  </si>
  <si>
    <t>LV-006</t>
  </si>
  <si>
    <t>Alsungas novads (Alsunga)</t>
  </si>
  <si>
    <t>LV-007</t>
  </si>
  <si>
    <t>Alūksnes novads (Alūksne)</t>
  </si>
  <si>
    <t>LV-008</t>
  </si>
  <si>
    <t>Amatas novads (Amata)</t>
  </si>
  <si>
    <t>LV-009</t>
  </si>
  <si>
    <t>Apes novads (Ape)</t>
  </si>
  <si>
    <t>LV-010</t>
  </si>
  <si>
    <t>Auces novads (Auce)</t>
  </si>
  <si>
    <t>LV-012</t>
  </si>
  <si>
    <t>Babītes novads (Babīte)</t>
  </si>
  <si>
    <t>LV-013</t>
  </si>
  <si>
    <t>Baldones novads (Baldone)</t>
  </si>
  <si>
    <t>LV-014</t>
  </si>
  <si>
    <t>Baltinavas novads (Baltinava)</t>
  </si>
  <si>
    <t>LV-015</t>
  </si>
  <si>
    <t>Balvu novads (Balvi)</t>
  </si>
  <si>
    <t>LV-016</t>
  </si>
  <si>
    <t>Bauskas novads (Bauska)</t>
  </si>
  <si>
    <t>LV-017</t>
  </si>
  <si>
    <t>Beverīnas novads (Beverīna)</t>
  </si>
  <si>
    <t>LV-018</t>
  </si>
  <si>
    <t>Brocēnu novads (Brocēni)</t>
  </si>
  <si>
    <t>LV-019</t>
  </si>
  <si>
    <t>Burtnieku novads (Burtnieki)</t>
  </si>
  <si>
    <t>LV-020</t>
  </si>
  <si>
    <t>Carnikavas novads (Carnikava)</t>
  </si>
  <si>
    <t>LV-021</t>
  </si>
  <si>
    <t>Cesvaines novads (Cesvaine)</t>
  </si>
  <si>
    <t>LV-023</t>
  </si>
  <si>
    <t>Ciblas novads (Cibla)</t>
  </si>
  <si>
    <t>LV-022</t>
  </si>
  <si>
    <t>Cēsu novads (Cēsis)</t>
  </si>
  <si>
    <t>LV-024</t>
  </si>
  <si>
    <t>Dagdas novads (Dagda)</t>
  </si>
  <si>
    <t>LV-DGV</t>
  </si>
  <si>
    <t>Daugavpils</t>
  </si>
  <si>
    <t>LV-025</t>
  </si>
  <si>
    <t>Daugavpils novads (Daugavpils)</t>
  </si>
  <si>
    <t>LV-026</t>
  </si>
  <si>
    <t>Dobeles novads (Dobele)</t>
  </si>
  <si>
    <t>LV-027</t>
  </si>
  <si>
    <t>Dundagas novads (Dundaga)</t>
  </si>
  <si>
    <t>LV-028</t>
  </si>
  <si>
    <t>Durbes novads (Durbe)</t>
  </si>
  <si>
    <t>LV-029</t>
  </si>
  <si>
    <t>Engures novads (Engure)</t>
  </si>
  <si>
    <t>LV-031</t>
  </si>
  <si>
    <t>Garkalnes novads (Garkalne)</t>
  </si>
  <si>
    <t>LV-032</t>
  </si>
  <si>
    <t>Grobiņas novads (Grobiņa)</t>
  </si>
  <si>
    <t>LV-033</t>
  </si>
  <si>
    <t>Gulbenes novads (Gulbene)</t>
  </si>
  <si>
    <t>LV-034</t>
  </si>
  <si>
    <t>Iecavas novads (Iecava)</t>
  </si>
  <si>
    <t>LV-035</t>
  </si>
  <si>
    <t>Ikšķiles novads (Ikšķile)</t>
  </si>
  <si>
    <t>LV-036</t>
  </si>
  <si>
    <t>Ilūkstes novads (Ilūkste)</t>
  </si>
  <si>
    <t>LV-037</t>
  </si>
  <si>
    <t>Inčukalna novads (Inčukalns)</t>
  </si>
  <si>
    <t>LV-038</t>
  </si>
  <si>
    <t>Jaunjelgavas novads (Jaunjelgava)</t>
  </si>
  <si>
    <t>LV-039</t>
  </si>
  <si>
    <t>Jaunpiebalgas novads (Jaunpiebalga)</t>
  </si>
  <si>
    <t>LV-040</t>
  </si>
  <si>
    <t>Jaunpils novads (Jaunpils)</t>
  </si>
  <si>
    <t>LV-JEL</t>
  </si>
  <si>
    <t>Jelgava</t>
  </si>
  <si>
    <t>LV-041</t>
  </si>
  <si>
    <t>Jelgavas novads (Jelgava)</t>
  </si>
  <si>
    <t>LV-JKB</t>
  </si>
  <si>
    <t>Jēkabpils</t>
  </si>
  <si>
    <t>LV-042</t>
  </si>
  <si>
    <t>Jēkabpils novads (Jēkabpils)</t>
  </si>
  <si>
    <t>LV-JUR</t>
  </si>
  <si>
    <t>Jūrmala</t>
  </si>
  <si>
    <t>LV-043</t>
  </si>
  <si>
    <t>Kandavas novads (Kandava)</t>
  </si>
  <si>
    <t>LV-045</t>
  </si>
  <si>
    <t>Kocēnu novads</t>
  </si>
  <si>
    <t>LV-046</t>
  </si>
  <si>
    <t>Kokneses novads (Koknese)</t>
  </si>
  <si>
    <t>LV-048</t>
  </si>
  <si>
    <t>Krimuldas novads (Krimulda)</t>
  </si>
  <si>
    <t>LV-049</t>
  </si>
  <si>
    <t>Krustpils novads (Krustpils)</t>
  </si>
  <si>
    <t>LV-047</t>
  </si>
  <si>
    <t>Krāslavas novads (Krāslava)</t>
  </si>
  <si>
    <t>LV-050</t>
  </si>
  <si>
    <t>Kuldīgas novads (Kuldīga)</t>
  </si>
  <si>
    <t>LV-044</t>
  </si>
  <si>
    <t>Kārsavas novads (Kārsava)</t>
  </si>
  <si>
    <t>LV-053</t>
  </si>
  <si>
    <t>Lielvārdes novads (Lielvārde)</t>
  </si>
  <si>
    <t>LV-LPX</t>
  </si>
  <si>
    <t>Liepāja</t>
  </si>
  <si>
    <t>LV-054</t>
  </si>
  <si>
    <t>Limbažu novads (Limbaži)</t>
  </si>
  <si>
    <t>LV-057</t>
  </si>
  <si>
    <t>Lubānas novads (Lubāna)</t>
  </si>
  <si>
    <t>LV-058</t>
  </si>
  <si>
    <t>Ludzas novads (Ludza)</t>
  </si>
  <si>
    <t>LV-055</t>
  </si>
  <si>
    <t>Līgatnes novads (Līgatne)</t>
  </si>
  <si>
    <t>LV-056</t>
  </si>
  <si>
    <t>Līvānu novads (Līvāni)</t>
  </si>
  <si>
    <t>LV-059</t>
  </si>
  <si>
    <t>Madonas novads (Madona)</t>
  </si>
  <si>
    <t>LV-060</t>
  </si>
  <si>
    <t>Mazsalacas novads (Mazsalaca)</t>
  </si>
  <si>
    <t>LV-061</t>
  </si>
  <si>
    <t>Mālpils novads (Mālpils)</t>
  </si>
  <si>
    <t>LV-062</t>
  </si>
  <si>
    <t>Mārupes novads (Mārupe)</t>
  </si>
  <si>
    <t>LV-063</t>
  </si>
  <si>
    <t>Mērsraga novads</t>
  </si>
  <si>
    <t>LV-064</t>
  </si>
  <si>
    <t>Naukšēnu novads (Naukšēni)</t>
  </si>
  <si>
    <t>LV-065</t>
  </si>
  <si>
    <t>Neretas novads (Nereta)</t>
  </si>
  <si>
    <t>LV-066</t>
  </si>
  <si>
    <t>Nīcas novads (Nīca)</t>
  </si>
  <si>
    <t>LV-067</t>
  </si>
  <si>
    <t>Ogres novads (Ogre)</t>
  </si>
  <si>
    <t>LV-068</t>
  </si>
  <si>
    <t>Olaines novads (Olaine)</t>
  </si>
  <si>
    <t>LV-069</t>
  </si>
  <si>
    <t>Ozolnieku novads (Ozolnieki)</t>
  </si>
  <si>
    <t>LV-073</t>
  </si>
  <si>
    <t>Preiļu novads (Preiļi)</t>
  </si>
  <si>
    <t>LV-074</t>
  </si>
  <si>
    <t>Priekules novads (Priekule)</t>
  </si>
  <si>
    <t>LV-075</t>
  </si>
  <si>
    <t>Priekuļu novads (Priekuļi)</t>
  </si>
  <si>
    <t>LV-070</t>
  </si>
  <si>
    <t>Pārgaujas novads (Pārgauja)</t>
  </si>
  <si>
    <t>LV-071</t>
  </si>
  <si>
    <t>Pāvilostas novads (Pāvilosta)</t>
  </si>
  <si>
    <t>LV-072</t>
  </si>
  <si>
    <t>Pļaviņu novads (Pļaviņas)</t>
  </si>
  <si>
    <t>LV-076</t>
  </si>
  <si>
    <t>Raunas novads (Rauna)</t>
  </si>
  <si>
    <t>LV-078</t>
  </si>
  <si>
    <t>Riebiņu novads (Riebiņi)</t>
  </si>
  <si>
    <t>LV-079</t>
  </si>
  <si>
    <t>Rojas novads (Roja)</t>
  </si>
  <si>
    <t>LV-080</t>
  </si>
  <si>
    <t>Ropažu novads (Ropaži)</t>
  </si>
  <si>
    <t>LV-081</t>
  </si>
  <si>
    <t>Rucavas novads (Rucava)</t>
  </si>
  <si>
    <t>LV-082</t>
  </si>
  <si>
    <t>Rugāju novads (Rugāji)</t>
  </si>
  <si>
    <t>LV-083</t>
  </si>
  <si>
    <t>Rundāles novads (Rundāle)</t>
  </si>
  <si>
    <t>LV-REZ</t>
  </si>
  <si>
    <t>Rēzekne</t>
  </si>
  <si>
    <t>LV-077</t>
  </si>
  <si>
    <t>Rēzeknes novads (Rēzekne)</t>
  </si>
  <si>
    <t>LV-RIX</t>
  </si>
  <si>
    <t>Rīga</t>
  </si>
  <si>
    <t>LV-084</t>
  </si>
  <si>
    <t>Rūjienas novads (Rūjiena)</t>
  </si>
  <si>
    <t>LV-086</t>
  </si>
  <si>
    <t>Salacgrīvas novads (Salacgrīva)</t>
  </si>
  <si>
    <t>LV-085</t>
  </si>
  <si>
    <t>Salas novads (Sala)</t>
  </si>
  <si>
    <t>LV-087</t>
  </si>
  <si>
    <t>Salaspils novads (Salaspils)</t>
  </si>
  <si>
    <t>LV-088</t>
  </si>
  <si>
    <t>Saldus novads (Saldus)</t>
  </si>
  <si>
    <t>LV-089</t>
  </si>
  <si>
    <t>Saulkrastu novads (Saulkrasti)</t>
  </si>
  <si>
    <t>LV-091</t>
  </si>
  <si>
    <t>Siguldas novads (Sigulda)</t>
  </si>
  <si>
    <t>LV-093</t>
  </si>
  <si>
    <t>Skrundas novads (Skrunda)</t>
  </si>
  <si>
    <t>LV-092</t>
  </si>
  <si>
    <t>Skrīveru novads (Skrīveri)</t>
  </si>
  <si>
    <t>LV-094</t>
  </si>
  <si>
    <t>Smiltenes novads (Smiltene)</t>
  </si>
  <si>
    <t>LV-095</t>
  </si>
  <si>
    <t>Stopiņu novads (Stopiņi)</t>
  </si>
  <si>
    <t>LV-096</t>
  </si>
  <si>
    <t>Strenču novads (Strenči)</t>
  </si>
  <si>
    <t>LV-090</t>
  </si>
  <si>
    <t>Sējas novads (Sēja)</t>
  </si>
  <si>
    <t>LV-097</t>
  </si>
  <si>
    <t>Talsu novads (Talsi)</t>
  </si>
  <si>
    <t>LV-099</t>
  </si>
  <si>
    <t>Tukuma novads (Tukums)</t>
  </si>
  <si>
    <t>LV-098</t>
  </si>
  <si>
    <t>Tērvetes novads (Tērvete)</t>
  </si>
  <si>
    <t>LV-100</t>
  </si>
  <si>
    <t>Vaiņodes novads (Vaiņode)</t>
  </si>
  <si>
    <t>LV-101</t>
  </si>
  <si>
    <t>Valkas novads (Valka)</t>
  </si>
  <si>
    <t>LV-VMR</t>
  </si>
  <si>
    <t>Valmiera</t>
  </si>
  <si>
    <t>LV-102</t>
  </si>
  <si>
    <t>Varakļānu novads (Varakļāni)</t>
  </si>
  <si>
    <t>LV-104</t>
  </si>
  <si>
    <t>Vecpiebalgas novads (Vecpiebalga)</t>
  </si>
  <si>
    <t>LV-105</t>
  </si>
  <si>
    <t>Vecumnieku novads (Vecumnieki)</t>
  </si>
  <si>
    <t>LV-VEN</t>
  </si>
  <si>
    <t>Ventspils</t>
  </si>
  <si>
    <t>LV-106</t>
  </si>
  <si>
    <t>Ventspils novads (Ventspils)</t>
  </si>
  <si>
    <t>LV-107</t>
  </si>
  <si>
    <t>Viesītes novads (Viesīte)</t>
  </si>
  <si>
    <t>LV-108</t>
  </si>
  <si>
    <t>Viļakas novads (Viļaka)</t>
  </si>
  <si>
    <t>LV-109</t>
  </si>
  <si>
    <t>Viļānu novads (Viļāni)</t>
  </si>
  <si>
    <t>LV-103</t>
  </si>
  <si>
    <t>Vārkavas novads (Vārkava)</t>
  </si>
  <si>
    <t>LV-110</t>
  </si>
  <si>
    <t>Zilupes novads (Zilupe)</t>
  </si>
  <si>
    <t>LV-011</t>
  </si>
  <si>
    <t>Ādažu novads (Ādaži)</t>
  </si>
  <si>
    <t>LV-030</t>
  </si>
  <si>
    <t>Ērgļu novads (Ērgļi)</t>
  </si>
  <si>
    <t>LV-051</t>
  </si>
  <si>
    <t>Ķeguma novads (Ķegums)</t>
  </si>
  <si>
    <t>LV-052</t>
  </si>
  <si>
    <t>Ķekavas novads (Ķekava)</t>
  </si>
  <si>
    <t>LB-AK</t>
  </si>
  <si>
    <t>Aakkâr</t>
  </si>
  <si>
    <t>LB-BH</t>
  </si>
  <si>
    <t>Baalbek-Hermel</t>
  </si>
  <si>
    <t>LB-BA</t>
  </si>
  <si>
    <t>Beyrouth</t>
  </si>
  <si>
    <t>LB-BI</t>
  </si>
  <si>
    <t>Béqaa</t>
  </si>
  <si>
    <t>LB-AS</t>
  </si>
  <si>
    <t>Liban-Nord</t>
  </si>
  <si>
    <t>LB-JA</t>
  </si>
  <si>
    <t>Liban-Sud</t>
  </si>
  <si>
    <t>LB-JL</t>
  </si>
  <si>
    <t>Mont-Liban</t>
  </si>
  <si>
    <t>LB-NA</t>
  </si>
  <si>
    <t>Nabatîyé</t>
  </si>
  <si>
    <t>LS-D</t>
  </si>
  <si>
    <t>Berea</t>
  </si>
  <si>
    <t>LS-B</t>
  </si>
  <si>
    <t>Butha-Buthe</t>
  </si>
  <si>
    <t>LS-C</t>
  </si>
  <si>
    <t>Leribe</t>
  </si>
  <si>
    <t>LS-E</t>
  </si>
  <si>
    <t>Mafeteng</t>
  </si>
  <si>
    <t>LS-A</t>
  </si>
  <si>
    <t>Maseru</t>
  </si>
  <si>
    <t>LS-F</t>
  </si>
  <si>
    <t>Mohale's Hoek</t>
  </si>
  <si>
    <t>LS-J</t>
  </si>
  <si>
    <t>Mokhotlong</t>
  </si>
  <si>
    <t>LS-H</t>
  </si>
  <si>
    <t>Qacha's Nek</t>
  </si>
  <si>
    <t>LS-G</t>
  </si>
  <si>
    <t>Quthing</t>
  </si>
  <si>
    <t>LS-K</t>
  </si>
  <si>
    <t>Thaba-Tseka</t>
  </si>
  <si>
    <t>LR-BM</t>
  </si>
  <si>
    <t>Bomi</t>
  </si>
  <si>
    <t>LR-BG</t>
  </si>
  <si>
    <t>Bong</t>
  </si>
  <si>
    <t>LR-GP</t>
  </si>
  <si>
    <t>Gbarpolu</t>
  </si>
  <si>
    <t>LR-GB</t>
  </si>
  <si>
    <t>Grand Bassa</t>
  </si>
  <si>
    <t>LR-CM</t>
  </si>
  <si>
    <t>Grand Cape Mount</t>
  </si>
  <si>
    <t>LR-GG</t>
  </si>
  <si>
    <t>Grand Gedeh</t>
  </si>
  <si>
    <t>LR-GK</t>
  </si>
  <si>
    <t>Grand Kru</t>
  </si>
  <si>
    <t>LR-LO</t>
  </si>
  <si>
    <t>Lofa</t>
  </si>
  <si>
    <t>LR-MG</t>
  </si>
  <si>
    <t>Margibi</t>
  </si>
  <si>
    <t>LR-MY</t>
  </si>
  <si>
    <t>Maryland</t>
  </si>
  <si>
    <t>LR-MO</t>
  </si>
  <si>
    <t>Montserrado</t>
  </si>
  <si>
    <t>LR-NI</t>
  </si>
  <si>
    <t>Nimba</t>
  </si>
  <si>
    <t>LR-RG</t>
  </si>
  <si>
    <t>River Gee</t>
  </si>
  <si>
    <t>LR-RI</t>
  </si>
  <si>
    <t>Rivercess</t>
  </si>
  <si>
    <t>LR-SI</t>
  </si>
  <si>
    <t>Sinoe</t>
  </si>
  <si>
    <t>LIBYAN ARAB JAMAHIRIYA</t>
  </si>
  <si>
    <t>LY-BU</t>
  </si>
  <si>
    <t>Al Buţnān</t>
  </si>
  <si>
    <t>popularate</t>
  </si>
  <si>
    <t>LY-JA</t>
  </si>
  <si>
    <t>Al Jabal al Akhḑar</t>
  </si>
  <si>
    <t>LY-JG</t>
  </si>
  <si>
    <t>Al Jabal al Gharbī</t>
  </si>
  <si>
    <t>LY-JI</t>
  </si>
  <si>
    <t>Al Jifārah</t>
  </si>
  <si>
    <t>LY-JU</t>
  </si>
  <si>
    <t>Al Jufrah</t>
  </si>
  <si>
    <t>LY-KF</t>
  </si>
  <si>
    <t>Al Kufrah</t>
  </si>
  <si>
    <t>LY-MJ</t>
  </si>
  <si>
    <t>Al Marj</t>
  </si>
  <si>
    <t>LY-MB</t>
  </si>
  <si>
    <t>Al Marqab</t>
  </si>
  <si>
    <t>LY-WA</t>
  </si>
  <si>
    <t>Al Wāḩāt</t>
  </si>
  <si>
    <t>LY-NQ</t>
  </si>
  <si>
    <t>An Nuqāţ al Khams</t>
  </si>
  <si>
    <t>LY-ZA</t>
  </si>
  <si>
    <t>Az Zāwiyah</t>
  </si>
  <si>
    <t>LY-BA</t>
  </si>
  <si>
    <t>Banghāzī</t>
  </si>
  <si>
    <t>LY-DR</t>
  </si>
  <si>
    <t>Darnah</t>
  </si>
  <si>
    <t>LY-GT</t>
  </si>
  <si>
    <t>Ghāt</t>
  </si>
  <si>
    <t>LY-MI</t>
  </si>
  <si>
    <t>Mişrātah</t>
  </si>
  <si>
    <t>LY-MQ</t>
  </si>
  <si>
    <t>Murzuq</t>
  </si>
  <si>
    <t>LY-NL</t>
  </si>
  <si>
    <t>Nālūt</t>
  </si>
  <si>
    <t>LY-SB</t>
  </si>
  <si>
    <t>Sabhā</t>
  </si>
  <si>
    <t>LY-SR</t>
  </si>
  <si>
    <t>Surt</t>
  </si>
  <si>
    <t>LY-WD</t>
  </si>
  <si>
    <t>Wādī al Ḩayāt</t>
  </si>
  <si>
    <t>LY-WS</t>
  </si>
  <si>
    <t>Wādī ash Shāţiʾ</t>
  </si>
  <si>
    <t>LY-TB</t>
  </si>
  <si>
    <t>Ţarābulus</t>
  </si>
  <si>
    <t>LI-01</t>
  </si>
  <si>
    <t>Balzers</t>
  </si>
  <si>
    <t>LI-02</t>
  </si>
  <si>
    <t>Eschen</t>
  </si>
  <si>
    <t>LI-03</t>
  </si>
  <si>
    <t>Gamprin</t>
  </si>
  <si>
    <t>LI-04</t>
  </si>
  <si>
    <t>Mauren</t>
  </si>
  <si>
    <t>LI-05</t>
  </si>
  <si>
    <t>Planken</t>
  </si>
  <si>
    <t>LI-06</t>
  </si>
  <si>
    <t>Ruggell</t>
  </si>
  <si>
    <t>LI-07</t>
  </si>
  <si>
    <t>Schaan</t>
  </si>
  <si>
    <t>LI-08</t>
  </si>
  <si>
    <t>Schellenberg</t>
  </si>
  <si>
    <t>LI-09</t>
  </si>
  <si>
    <t>Triesen</t>
  </si>
  <si>
    <t>LI-10</t>
  </si>
  <si>
    <t>Triesenberg</t>
  </si>
  <si>
    <t>LI-11</t>
  </si>
  <si>
    <t>Vaduz</t>
  </si>
  <si>
    <t>LT-AL</t>
  </si>
  <si>
    <t>Alytaus Apskritis</t>
  </si>
  <si>
    <t>LT-KU</t>
  </si>
  <si>
    <t>Kauno Apskritis</t>
  </si>
  <si>
    <t>LT-KL</t>
  </si>
  <si>
    <t>Klaipėdos Apskritis</t>
  </si>
  <si>
    <t>LT-MR</t>
  </si>
  <si>
    <t>Marijampolės Apskritis</t>
  </si>
  <si>
    <t>LT-PN</t>
  </si>
  <si>
    <t>Panevėžio Apskritis</t>
  </si>
  <si>
    <t>LT-TA</t>
  </si>
  <si>
    <t>Tauragės Apskritis</t>
  </si>
  <si>
    <t>LT-TE</t>
  </si>
  <si>
    <t>Telšių Apskritis</t>
  </si>
  <si>
    <t>LT-UT</t>
  </si>
  <si>
    <t>Utenos Apskritis</t>
  </si>
  <si>
    <t>LT-VL</t>
  </si>
  <si>
    <t>Vilniaus Apskritis</t>
  </si>
  <si>
    <t>LT-SA</t>
  </si>
  <si>
    <t>Šiaulių Apskritis</t>
  </si>
  <si>
    <t>LU-L</t>
  </si>
  <si>
    <t>Luxemburg</t>
  </si>
  <si>
    <t>Lëtzebuerg</t>
  </si>
  <si>
    <t>MK-01</t>
  </si>
  <si>
    <t>Aerodrom †</t>
  </si>
  <si>
    <t>MK-02</t>
  </si>
  <si>
    <t>Aračinovo</t>
  </si>
  <si>
    <t>MK-03</t>
  </si>
  <si>
    <t>Berovo</t>
  </si>
  <si>
    <t>MK-04</t>
  </si>
  <si>
    <t>Bitola</t>
  </si>
  <si>
    <t>MK-05</t>
  </si>
  <si>
    <t>Bogdanci</t>
  </si>
  <si>
    <t>MK-06</t>
  </si>
  <si>
    <t>Bogovinje</t>
  </si>
  <si>
    <t>MK-07</t>
  </si>
  <si>
    <t>Bosilovo</t>
  </si>
  <si>
    <t>MK-08</t>
  </si>
  <si>
    <t>Brvenica</t>
  </si>
  <si>
    <t>MK-09</t>
  </si>
  <si>
    <t>Butel †</t>
  </si>
  <si>
    <t>MK-78</t>
  </si>
  <si>
    <t>Centar Župa</t>
  </si>
  <si>
    <t>MK-77</t>
  </si>
  <si>
    <t>Centar †</t>
  </si>
  <si>
    <t>MK-21</t>
  </si>
  <si>
    <t>Debar</t>
  </si>
  <si>
    <t>MK-22</t>
  </si>
  <si>
    <t>Debarca</t>
  </si>
  <si>
    <t>MK-23</t>
  </si>
  <si>
    <t>Delčevo</t>
  </si>
  <si>
    <t>MK-25</t>
  </si>
  <si>
    <t>Demir Hisar</t>
  </si>
  <si>
    <t>MK-24</t>
  </si>
  <si>
    <t>Demir Kapija</t>
  </si>
  <si>
    <t>MK-26</t>
  </si>
  <si>
    <t>Dojran</t>
  </si>
  <si>
    <t>MK-27</t>
  </si>
  <si>
    <t>Dolneni</t>
  </si>
  <si>
    <t>MK-28</t>
  </si>
  <si>
    <t>Drugovo</t>
  </si>
  <si>
    <t>MK-17</t>
  </si>
  <si>
    <t>Gazi Baba †</t>
  </si>
  <si>
    <t>MK-18</t>
  </si>
  <si>
    <t>Gevgelija</t>
  </si>
  <si>
    <t>MK-29</t>
  </si>
  <si>
    <t>Gjorče Petrov †</t>
  </si>
  <si>
    <t>MK-19</t>
  </si>
  <si>
    <t>Gostivar</t>
  </si>
  <si>
    <t>MK-20</t>
  </si>
  <si>
    <t>Gradsko</t>
  </si>
  <si>
    <t>MK-34</t>
  </si>
  <si>
    <t>Ilinden</t>
  </si>
  <si>
    <t>MK-35</t>
  </si>
  <si>
    <t>Jegunovce</t>
  </si>
  <si>
    <t>MK-37</t>
  </si>
  <si>
    <t>Karbinci</t>
  </si>
  <si>
    <t>MK-38</t>
  </si>
  <si>
    <t>Karpoš †</t>
  </si>
  <si>
    <t>MK-36</t>
  </si>
  <si>
    <t>Kavadarci</t>
  </si>
  <si>
    <t>MK-39</t>
  </si>
  <si>
    <t>Kisela Voda †</t>
  </si>
  <si>
    <t>MK-40</t>
  </si>
  <si>
    <t>Kičevo</t>
  </si>
  <si>
    <t>MK-41</t>
  </si>
  <si>
    <t>Konče</t>
  </si>
  <si>
    <t>MK-42</t>
  </si>
  <si>
    <t>Kočani</t>
  </si>
  <si>
    <t>MK-43</t>
  </si>
  <si>
    <t>Kratovo</t>
  </si>
  <si>
    <t>MK-44</t>
  </si>
  <si>
    <t>Kriva Palanka</t>
  </si>
  <si>
    <t>MK-45</t>
  </si>
  <si>
    <t>Krivogaštani</t>
  </si>
  <si>
    <t>MK-46</t>
  </si>
  <si>
    <t>Kruševo</t>
  </si>
  <si>
    <t>MK-47</t>
  </si>
  <si>
    <t>Kumanovo</t>
  </si>
  <si>
    <t>MK-48</t>
  </si>
  <si>
    <t>Lipkovo</t>
  </si>
  <si>
    <t>MK-49</t>
  </si>
  <si>
    <t>Lozovo</t>
  </si>
  <si>
    <t>MK-51</t>
  </si>
  <si>
    <t>Makedonska Kamenica</t>
  </si>
  <si>
    <t>MK-52</t>
  </si>
  <si>
    <t>Makedonski Brod</t>
  </si>
  <si>
    <t>MK-50</t>
  </si>
  <si>
    <t>Mavrovo-i-Rostuša</t>
  </si>
  <si>
    <t>MK-53</t>
  </si>
  <si>
    <t>Mogila</t>
  </si>
  <si>
    <t>MK-54</t>
  </si>
  <si>
    <t>Negotino</t>
  </si>
  <si>
    <t>MK-55</t>
  </si>
  <si>
    <t>Novaci</t>
  </si>
  <si>
    <t>MK-56</t>
  </si>
  <si>
    <t>Novo Selo</t>
  </si>
  <si>
    <t>MK-58</t>
  </si>
  <si>
    <t>Ohrid</t>
  </si>
  <si>
    <t>MK-57</t>
  </si>
  <si>
    <t>Oslomej</t>
  </si>
  <si>
    <t>MK-60</t>
  </si>
  <si>
    <t>Pehčevo</t>
  </si>
  <si>
    <t>MK-59</t>
  </si>
  <si>
    <t>Petrovec</t>
  </si>
  <si>
    <t>MK-61</t>
  </si>
  <si>
    <t>Plasnica</t>
  </si>
  <si>
    <t>MK-62</t>
  </si>
  <si>
    <t>Prilep</t>
  </si>
  <si>
    <t>MK-63</t>
  </si>
  <si>
    <t>Probištip</t>
  </si>
  <si>
    <t>MK-64</t>
  </si>
  <si>
    <t>Radoviš</t>
  </si>
  <si>
    <t>MK-65</t>
  </si>
  <si>
    <t>Rankovce</t>
  </si>
  <si>
    <t>MK-66</t>
  </si>
  <si>
    <t>Resen</t>
  </si>
  <si>
    <t>MK-67</t>
  </si>
  <si>
    <t>Rosoman</t>
  </si>
  <si>
    <t>MK-68</t>
  </si>
  <si>
    <t>Saraj †</t>
  </si>
  <si>
    <t>MK-70</t>
  </si>
  <si>
    <t>Sopište</t>
  </si>
  <si>
    <t>MK-71</t>
  </si>
  <si>
    <t>Staro Nagoričane</t>
  </si>
  <si>
    <t>MK-72</t>
  </si>
  <si>
    <t>Struga</t>
  </si>
  <si>
    <t>MK-73</t>
  </si>
  <si>
    <t>Strumica</t>
  </si>
  <si>
    <t>MK-74</t>
  </si>
  <si>
    <t>Studeničani</t>
  </si>
  <si>
    <t>MK-69</t>
  </si>
  <si>
    <t>Sveti Nikole</t>
  </si>
  <si>
    <t>MK-75</t>
  </si>
  <si>
    <t>Tearce</t>
  </si>
  <si>
    <t>MK-76</t>
  </si>
  <si>
    <t>Tetovo</t>
  </si>
  <si>
    <t>MK-10</t>
  </si>
  <si>
    <t>Valandovo</t>
  </si>
  <si>
    <t>MK-11</t>
  </si>
  <si>
    <t>Vasilevo</t>
  </si>
  <si>
    <t>MK-13</t>
  </si>
  <si>
    <t>Veles</t>
  </si>
  <si>
    <t>MK-12</t>
  </si>
  <si>
    <t>Vevčani</t>
  </si>
  <si>
    <t>MK-14</t>
  </si>
  <si>
    <t>Vinica</t>
  </si>
  <si>
    <t>MK-15</t>
  </si>
  <si>
    <t>Vraneštica</t>
  </si>
  <si>
    <t>MK-16</t>
  </si>
  <si>
    <t>Vrapčište</t>
  </si>
  <si>
    <t>MK-31</t>
  </si>
  <si>
    <t>Zajas</t>
  </si>
  <si>
    <t>MK-32</t>
  </si>
  <si>
    <t>Zelenikovo</t>
  </si>
  <si>
    <t>MK-33</t>
  </si>
  <si>
    <t>Zrnovci</t>
  </si>
  <si>
    <t>MK-79</t>
  </si>
  <si>
    <t>Čair †</t>
  </si>
  <si>
    <t>MK-80</t>
  </si>
  <si>
    <t>Čaška</t>
  </si>
  <si>
    <t>MK-81</t>
  </si>
  <si>
    <t>Češinovo-Obleševo</t>
  </si>
  <si>
    <t>MK-82</t>
  </si>
  <si>
    <t>Čučer Sandevo</t>
  </si>
  <si>
    <t>MK-83</t>
  </si>
  <si>
    <t>Štip</t>
  </si>
  <si>
    <t>MK-84</t>
  </si>
  <si>
    <t>Šuto Orizari †</t>
  </si>
  <si>
    <t>MK-30</t>
  </si>
  <si>
    <t>Želino</t>
  </si>
  <si>
    <t>MG-T</t>
  </si>
  <si>
    <t>Antananarivo</t>
  </si>
  <si>
    <t>MG-D</t>
  </si>
  <si>
    <t>Antsiranana</t>
  </si>
  <si>
    <t>MG-F</t>
  </si>
  <si>
    <t>Fianarantsoa</t>
  </si>
  <si>
    <t>MG-M</t>
  </si>
  <si>
    <t>Mahajanga</t>
  </si>
  <si>
    <t>MG-A</t>
  </si>
  <si>
    <t>Toamasina</t>
  </si>
  <si>
    <t>MG-U</t>
  </si>
  <si>
    <t>Toliara</t>
  </si>
  <si>
    <t>MW-BA</t>
  </si>
  <si>
    <t>Balaka</t>
  </si>
  <si>
    <t>MW-BL</t>
  </si>
  <si>
    <t>Blantyre</t>
  </si>
  <si>
    <t>MW-C</t>
  </si>
  <si>
    <t>Central Region</t>
  </si>
  <si>
    <t>MW-CK</t>
  </si>
  <si>
    <t>Chikwawa</t>
  </si>
  <si>
    <t>MW-CR</t>
  </si>
  <si>
    <t>Chiradzulu</t>
  </si>
  <si>
    <t>MW-CT</t>
  </si>
  <si>
    <t>Chitipa</t>
  </si>
  <si>
    <t>MW-DE</t>
  </si>
  <si>
    <t>Dedza</t>
  </si>
  <si>
    <t>MW-DO</t>
  </si>
  <si>
    <t>Dowa</t>
  </si>
  <si>
    <t>MW-KR</t>
  </si>
  <si>
    <t>Karonga</t>
  </si>
  <si>
    <t>MW-KS</t>
  </si>
  <si>
    <t>Kasungu</t>
  </si>
  <si>
    <t>MW-LK</t>
  </si>
  <si>
    <t>Likoma</t>
  </si>
  <si>
    <t>MW-LI</t>
  </si>
  <si>
    <t>Lilongwe</t>
  </si>
  <si>
    <t>MW-MH</t>
  </si>
  <si>
    <t>Machinga</t>
  </si>
  <si>
    <t>MW-MG</t>
  </si>
  <si>
    <t>Mangochi</t>
  </si>
  <si>
    <t>MW-MC</t>
  </si>
  <si>
    <t>Mchinji</t>
  </si>
  <si>
    <t>MW-MU</t>
  </si>
  <si>
    <t>Mulanje</t>
  </si>
  <si>
    <t>MW-MW</t>
  </si>
  <si>
    <t>Mwanza</t>
  </si>
  <si>
    <t>MW-MZ</t>
  </si>
  <si>
    <t>Mzimba</t>
  </si>
  <si>
    <t>MW-NE</t>
  </si>
  <si>
    <t>Neno</t>
  </si>
  <si>
    <t>MW-NB</t>
  </si>
  <si>
    <t>Nkhata Bay</t>
  </si>
  <si>
    <t>MW-NK</t>
  </si>
  <si>
    <t>Nkhotakota</t>
  </si>
  <si>
    <t>MW-N</t>
  </si>
  <si>
    <t>Northern Region</t>
  </si>
  <si>
    <t>MW-NS</t>
  </si>
  <si>
    <t>Nsanje</t>
  </si>
  <si>
    <t>MW-NU</t>
  </si>
  <si>
    <t>Ntcheu</t>
  </si>
  <si>
    <t>MW-NI</t>
  </si>
  <si>
    <t>Ntchisi</t>
  </si>
  <si>
    <t>MW-PH</t>
  </si>
  <si>
    <t>Phalombe</t>
  </si>
  <si>
    <t>MW-RU</t>
  </si>
  <si>
    <t>Rumphi</t>
  </si>
  <si>
    <t>MW-SA</t>
  </si>
  <si>
    <t>Salima</t>
  </si>
  <si>
    <t>MW-S</t>
  </si>
  <si>
    <t>Southern Region</t>
  </si>
  <si>
    <t>MW-TH</t>
  </si>
  <si>
    <t>Thyolo</t>
  </si>
  <si>
    <t>MW-ZO</t>
  </si>
  <si>
    <t>Zomba</t>
  </si>
  <si>
    <t>mchigawo Chakumpoto</t>
  </si>
  <si>
    <t>mchigawo Chakumwera</t>
  </si>
  <si>
    <t>mchigawo Chapakati</t>
  </si>
  <si>
    <t>MY-01</t>
  </si>
  <si>
    <t>Johor</t>
  </si>
  <si>
    <t>MY-02</t>
  </si>
  <si>
    <t>Kedah</t>
  </si>
  <si>
    <t>MY-03</t>
  </si>
  <si>
    <t>Kelantan</t>
  </si>
  <si>
    <t>MY-04</t>
  </si>
  <si>
    <t>Melaka</t>
  </si>
  <si>
    <t>MY-05</t>
  </si>
  <si>
    <t>Negeri Sembilan</t>
  </si>
  <si>
    <t>MY-06</t>
  </si>
  <si>
    <t>Pahang</t>
  </si>
  <si>
    <t>MY-08</t>
  </si>
  <si>
    <t>Perak</t>
  </si>
  <si>
    <t>MY-09</t>
  </si>
  <si>
    <t>Perlis</t>
  </si>
  <si>
    <t>MY-07</t>
  </si>
  <si>
    <t>Pulau Pinang</t>
  </si>
  <si>
    <t>MY-12</t>
  </si>
  <si>
    <t>Sabah</t>
  </si>
  <si>
    <t>MY-13</t>
  </si>
  <si>
    <t>Sarawak</t>
  </si>
  <si>
    <t>MY-10</t>
  </si>
  <si>
    <t>Selangor</t>
  </si>
  <si>
    <t>MY-11</t>
  </si>
  <si>
    <t>Terengganu</t>
  </si>
  <si>
    <t>MY-14</t>
  </si>
  <si>
    <t>Wilayah Persekutuan Kuala Lumpur</t>
  </si>
  <si>
    <t>federal territory</t>
  </si>
  <si>
    <t>MY-15</t>
  </si>
  <si>
    <t>Wilayah Persekutuan Labuan</t>
  </si>
  <si>
    <t>MY-16</t>
  </si>
  <si>
    <t>Wilayah Persekutuan Putrajaya</t>
  </si>
  <si>
    <t>MV-01</t>
  </si>
  <si>
    <t>Addu Atholhu</t>
  </si>
  <si>
    <t>administrative atoll</t>
  </si>
  <si>
    <t>MV-02</t>
  </si>
  <si>
    <t>Alifu Alifu</t>
  </si>
  <si>
    <t>MV-00</t>
  </si>
  <si>
    <t>Alifu Dhaalu</t>
  </si>
  <si>
    <t>Ari Atholhu Dhekunuburi</t>
  </si>
  <si>
    <t>Ari Atholhu Uthuruburi</t>
  </si>
  <si>
    <t>MV-20</t>
  </si>
  <si>
    <t>Baa</t>
  </si>
  <si>
    <t>MV-CE</t>
  </si>
  <si>
    <t>MV-17</t>
  </si>
  <si>
    <t>Dhaalu</t>
  </si>
  <si>
    <t>MV-SU</t>
  </si>
  <si>
    <t>Dhekunu</t>
  </si>
  <si>
    <t>MV-03</t>
  </si>
  <si>
    <t>Faadhippolhu</t>
  </si>
  <si>
    <t>MV-14</t>
  </si>
  <si>
    <t>Faafu</t>
  </si>
  <si>
    <t>MV-04</t>
  </si>
  <si>
    <t>Felidhu Atholhu</t>
  </si>
  <si>
    <t>MV-29</t>
  </si>
  <si>
    <t>Fuvammulah</t>
  </si>
  <si>
    <t>MV-27</t>
  </si>
  <si>
    <t>Gaafu Alifu</t>
  </si>
  <si>
    <t>MV-28</t>
  </si>
  <si>
    <t>Gaafu Dhaalu</t>
  </si>
  <si>
    <t>Gnaviyani</t>
  </si>
  <si>
    <t>MV-07</t>
  </si>
  <si>
    <t>Haa Alifu</t>
  </si>
  <si>
    <t>MV-23</t>
  </si>
  <si>
    <t>Haa Dhaalu</t>
  </si>
  <si>
    <t>MV-05</t>
  </si>
  <si>
    <t>Hadhdhunmathi</t>
  </si>
  <si>
    <t>Huvadhu Atholhu Dhekunuburi</t>
  </si>
  <si>
    <t>Huvadhu Atholhu Uthuruburi</t>
  </si>
  <si>
    <t>MV-26</t>
  </si>
  <si>
    <t>Kaafu</t>
  </si>
  <si>
    <t>MV-08</t>
  </si>
  <si>
    <t>Kolhumadulu</t>
  </si>
  <si>
    <t>Laamu</t>
  </si>
  <si>
    <t>Lhaviyani</t>
  </si>
  <si>
    <t>MV-MLE</t>
  </si>
  <si>
    <t>Maale</t>
  </si>
  <si>
    <t>Maale Atholhu</t>
  </si>
  <si>
    <t>Maalhosmadulu Dhekunuburi</t>
  </si>
  <si>
    <t>MV-13</t>
  </si>
  <si>
    <t>Maalhosmadulu Uthuruburi</t>
  </si>
  <si>
    <t>Male</t>
  </si>
  <si>
    <t>MV-US</t>
  </si>
  <si>
    <t>Mathi-Dhekunu</t>
  </si>
  <si>
    <t>MV-UN</t>
  </si>
  <si>
    <t>Mathi-Uthuru</t>
  </si>
  <si>
    <t>Medhu</t>
  </si>
  <si>
    <t>MV-SC</t>
  </si>
  <si>
    <t>Medhu-Dhekunu</t>
  </si>
  <si>
    <t>MV-NC</t>
  </si>
  <si>
    <t>Medhu-Uthuru</t>
  </si>
  <si>
    <t>MV-12</t>
  </si>
  <si>
    <t>Meemu</t>
  </si>
  <si>
    <t>MV-25</t>
  </si>
  <si>
    <t>Miladhunmadulu Dhekunuburi</t>
  </si>
  <si>
    <t>MV-24</t>
  </si>
  <si>
    <t>Miladhunmadulu Uthuruburi</t>
  </si>
  <si>
    <t>Mulakatholhu</t>
  </si>
  <si>
    <t>Nilandhe Atholhu Dhekunuburi</t>
  </si>
  <si>
    <t>Nilandhe Atholhu Uthuruburi</t>
  </si>
  <si>
    <t>Noonu</t>
  </si>
  <si>
    <t>MV-NO</t>
  </si>
  <si>
    <t>North Central</t>
  </si>
  <si>
    <t>Raa</t>
  </si>
  <si>
    <t>Seenu</t>
  </si>
  <si>
    <t>Shaviyani</t>
  </si>
  <si>
    <t>South Central</t>
  </si>
  <si>
    <t>Thaa</t>
  </si>
  <si>
    <t>Thiladhunmathee Dhekunuburi</t>
  </si>
  <si>
    <t>Thiladhunmathee Uthuruburi</t>
  </si>
  <si>
    <t>Upper North</t>
  </si>
  <si>
    <t>Upper South</t>
  </si>
  <si>
    <t>Uthuru</t>
  </si>
  <si>
    <t>Vaavu</t>
  </si>
  <si>
    <t>ML-BKO</t>
  </si>
  <si>
    <t>Bamako</t>
  </si>
  <si>
    <t>ML-7</t>
  </si>
  <si>
    <t>Gao</t>
  </si>
  <si>
    <t>ML-1</t>
  </si>
  <si>
    <t>Kayes</t>
  </si>
  <si>
    <t>ML-8</t>
  </si>
  <si>
    <t>Kidal</t>
  </si>
  <si>
    <t>ML-2</t>
  </si>
  <si>
    <t>Koulikoro</t>
  </si>
  <si>
    <t>ML-5</t>
  </si>
  <si>
    <t>Mopti</t>
  </si>
  <si>
    <t>ML-3</t>
  </si>
  <si>
    <t>Sikasso</t>
  </si>
  <si>
    <t>ML-4</t>
  </si>
  <si>
    <t>Ségou</t>
  </si>
  <si>
    <t>ML-6</t>
  </si>
  <si>
    <t>Tombouctou</t>
  </si>
  <si>
    <t>MT-01</t>
  </si>
  <si>
    <t>Attard</t>
  </si>
  <si>
    <t>local council</t>
  </si>
  <si>
    <t>MT-02</t>
  </si>
  <si>
    <t>Balzan</t>
  </si>
  <si>
    <t>MT-03</t>
  </si>
  <si>
    <t>Birgu</t>
  </si>
  <si>
    <t>MT-04</t>
  </si>
  <si>
    <t>Birkirkara</t>
  </si>
  <si>
    <t>MT-05</t>
  </si>
  <si>
    <t>Birżebbuġa</t>
  </si>
  <si>
    <t>MT-06</t>
  </si>
  <si>
    <t>Bormla</t>
  </si>
  <si>
    <t>MT-07</t>
  </si>
  <si>
    <t>Dingli</t>
  </si>
  <si>
    <t>MT-08</t>
  </si>
  <si>
    <t>Fgura</t>
  </si>
  <si>
    <t>MT-09</t>
  </si>
  <si>
    <t>Floriana</t>
  </si>
  <si>
    <t>MT-10</t>
  </si>
  <si>
    <t>Fontana</t>
  </si>
  <si>
    <t>MT-11</t>
  </si>
  <si>
    <t>Gudja</t>
  </si>
  <si>
    <t>MT-13</t>
  </si>
  <si>
    <t>Għajnsielem</t>
  </si>
  <si>
    <t>MT-14</t>
  </si>
  <si>
    <t>Għarb</t>
  </si>
  <si>
    <t>MT-15</t>
  </si>
  <si>
    <t>Għargħur</t>
  </si>
  <si>
    <t>MT-16</t>
  </si>
  <si>
    <t>Għasri</t>
  </si>
  <si>
    <t>MT-17</t>
  </si>
  <si>
    <t>Għaxaq</t>
  </si>
  <si>
    <t>MT-12</t>
  </si>
  <si>
    <t>Gżira</t>
  </si>
  <si>
    <t>MT-19</t>
  </si>
  <si>
    <t>Iklin</t>
  </si>
  <si>
    <t>MT-20</t>
  </si>
  <si>
    <t>Isla</t>
  </si>
  <si>
    <t>MT-21</t>
  </si>
  <si>
    <t>Kalkara</t>
  </si>
  <si>
    <t>MT-22</t>
  </si>
  <si>
    <t>Kerċem</t>
  </si>
  <si>
    <t>MT-23</t>
  </si>
  <si>
    <t>Kirkop</t>
  </si>
  <si>
    <t>MT-24</t>
  </si>
  <si>
    <t>Lija</t>
  </si>
  <si>
    <t>MT-25</t>
  </si>
  <si>
    <t>Luqa</t>
  </si>
  <si>
    <t>MT-26</t>
  </si>
  <si>
    <t>Marsa</t>
  </si>
  <si>
    <t>MT-27</t>
  </si>
  <si>
    <t>Marsaskala</t>
  </si>
  <si>
    <t>MT-28</t>
  </si>
  <si>
    <t>Marsaxlokk</t>
  </si>
  <si>
    <t>MT-29</t>
  </si>
  <si>
    <t>Mdina</t>
  </si>
  <si>
    <t>MT-30</t>
  </si>
  <si>
    <t>Mellieħa</t>
  </si>
  <si>
    <t>MT-32</t>
  </si>
  <si>
    <t>Mosta</t>
  </si>
  <si>
    <t>MT-33</t>
  </si>
  <si>
    <t>Mqabba</t>
  </si>
  <si>
    <t>MT-34</t>
  </si>
  <si>
    <t>Msida</t>
  </si>
  <si>
    <t>MT-35</t>
  </si>
  <si>
    <t>Mtarfa</t>
  </si>
  <si>
    <t>MT-36</t>
  </si>
  <si>
    <t>Munxar</t>
  </si>
  <si>
    <t>MT-31</t>
  </si>
  <si>
    <t>Mġarr</t>
  </si>
  <si>
    <t>MT-37</t>
  </si>
  <si>
    <t>Nadur</t>
  </si>
  <si>
    <t>MT-38</t>
  </si>
  <si>
    <t>Naxxar</t>
  </si>
  <si>
    <t>MT-39</t>
  </si>
  <si>
    <t>Paola</t>
  </si>
  <si>
    <t>MT-40</t>
  </si>
  <si>
    <t>Pembroke</t>
  </si>
  <si>
    <t>MT-41</t>
  </si>
  <si>
    <t>Pietà</t>
  </si>
  <si>
    <t>MT-42</t>
  </si>
  <si>
    <t>Qala</t>
  </si>
  <si>
    <t>MT-43</t>
  </si>
  <si>
    <t>Qormi</t>
  </si>
  <si>
    <t>MT-44</t>
  </si>
  <si>
    <t>Qrendi</t>
  </si>
  <si>
    <t>MT-45</t>
  </si>
  <si>
    <t>Rabat Gozo</t>
  </si>
  <si>
    <t>Rabat Għawdex</t>
  </si>
  <si>
    <t>MT-46</t>
  </si>
  <si>
    <t>Rabat Malta</t>
  </si>
  <si>
    <t>MT-47</t>
  </si>
  <si>
    <t>Safi</t>
  </si>
  <si>
    <t>MT-49</t>
  </si>
  <si>
    <t>MT-48</t>
  </si>
  <si>
    <t>Saint Julian's</t>
  </si>
  <si>
    <t>MT-50</t>
  </si>
  <si>
    <t>Saint Lawrence</t>
  </si>
  <si>
    <t>MT-53</t>
  </si>
  <si>
    <t>Saint Lucia's</t>
  </si>
  <si>
    <t>MT-51</t>
  </si>
  <si>
    <t>Saint Paul's Bay</t>
  </si>
  <si>
    <t>San Lawrenz</t>
  </si>
  <si>
    <t>San Pawl il-Baħar</t>
  </si>
  <si>
    <t>San Ġiljan</t>
  </si>
  <si>
    <t>San Ġwann</t>
  </si>
  <si>
    <t>MT-52</t>
  </si>
  <si>
    <t>Sannat</t>
  </si>
  <si>
    <t>Santa Luċija</t>
  </si>
  <si>
    <t>MT-54</t>
  </si>
  <si>
    <t>Santa Venera</t>
  </si>
  <si>
    <t>MT-55</t>
  </si>
  <si>
    <t>Siġġiewi</t>
  </si>
  <si>
    <t>MT-56</t>
  </si>
  <si>
    <t>Sliema</t>
  </si>
  <si>
    <t>MT-57</t>
  </si>
  <si>
    <t>Swieqi</t>
  </si>
  <si>
    <t>MT-58</t>
  </si>
  <si>
    <t>Ta' Xbiex</t>
  </si>
  <si>
    <t>MT-59</t>
  </si>
  <si>
    <t>Tarxien</t>
  </si>
  <si>
    <t>MT-60</t>
  </si>
  <si>
    <t>Valletta</t>
  </si>
  <si>
    <t>MT-61</t>
  </si>
  <si>
    <t>Xagħra</t>
  </si>
  <si>
    <t>MT-62</t>
  </si>
  <si>
    <t>Xewkija</t>
  </si>
  <si>
    <t>MT-63</t>
  </si>
  <si>
    <t>Xgħajra</t>
  </si>
  <si>
    <t>MT-18</t>
  </si>
  <si>
    <t>Ħamrun</t>
  </si>
  <si>
    <t>MT-64</t>
  </si>
  <si>
    <t>Żabbar</t>
  </si>
  <si>
    <t>MT-65</t>
  </si>
  <si>
    <t>Żebbuġ Gozo</t>
  </si>
  <si>
    <t>Żebbuġ Għawdex</t>
  </si>
  <si>
    <t>MT-66</t>
  </si>
  <si>
    <t>Żebbuġ Malta</t>
  </si>
  <si>
    <t>MT-67</t>
  </si>
  <si>
    <t>Żejtun</t>
  </si>
  <si>
    <t>MT-68</t>
  </si>
  <si>
    <t>Żurrieq</t>
  </si>
  <si>
    <t>MH-ALL</t>
  </si>
  <si>
    <t>Ailinglaplap</t>
  </si>
  <si>
    <t>MH-ALK</t>
  </si>
  <si>
    <t>Ailuk</t>
  </si>
  <si>
    <t>MH-ARN</t>
  </si>
  <si>
    <t>Arno</t>
  </si>
  <si>
    <t>MH-AUR</t>
  </si>
  <si>
    <t>Aur</t>
  </si>
  <si>
    <t>MH-EBO</t>
  </si>
  <si>
    <t>Ebon</t>
  </si>
  <si>
    <t>MH-ENI</t>
  </si>
  <si>
    <t>Enewetak</t>
  </si>
  <si>
    <t>MH-JAB</t>
  </si>
  <si>
    <t>Jabat</t>
  </si>
  <si>
    <t>MH-JAL</t>
  </si>
  <si>
    <t>Jaluit</t>
  </si>
  <si>
    <t>MH-KIL</t>
  </si>
  <si>
    <t>Kili</t>
  </si>
  <si>
    <t>MH-KWA</t>
  </si>
  <si>
    <t>Kwajalein</t>
  </si>
  <si>
    <t>MH-LAE</t>
  </si>
  <si>
    <t>Lae</t>
  </si>
  <si>
    <t>MH-LIB</t>
  </si>
  <si>
    <t>Lib</t>
  </si>
  <si>
    <t>MH-LIK</t>
  </si>
  <si>
    <t>Likiep</t>
  </si>
  <si>
    <t>MH-MAJ</t>
  </si>
  <si>
    <t>Majuro</t>
  </si>
  <si>
    <t>MH-MAL</t>
  </si>
  <si>
    <t>Maloelap</t>
  </si>
  <si>
    <t>MH-MEJ</t>
  </si>
  <si>
    <t>Mejit</t>
  </si>
  <si>
    <t>MH-MIL</t>
  </si>
  <si>
    <t>Mili</t>
  </si>
  <si>
    <t>MH-NMK</t>
  </si>
  <si>
    <t>Namdrik</t>
  </si>
  <si>
    <t>MH-NMU</t>
  </si>
  <si>
    <t>Namu</t>
  </si>
  <si>
    <t>MH-L</t>
  </si>
  <si>
    <t>Ralik chain</t>
  </si>
  <si>
    <t>chain (of islands)</t>
  </si>
  <si>
    <t>MH-T</t>
  </si>
  <si>
    <t>Ratak chain</t>
  </si>
  <si>
    <t>MH-RON</t>
  </si>
  <si>
    <t>Rongelap</t>
  </si>
  <si>
    <t>MH-UJA</t>
  </si>
  <si>
    <t>Ujae</t>
  </si>
  <si>
    <t>MH-UTI</t>
  </si>
  <si>
    <t>Utirik</t>
  </si>
  <si>
    <t>MH-WTH</t>
  </si>
  <si>
    <t>Wotho</t>
  </si>
  <si>
    <t>MH-WTJ</t>
  </si>
  <si>
    <t>Wotje</t>
  </si>
  <si>
    <t>MR-07</t>
  </si>
  <si>
    <t>MR-03</t>
  </si>
  <si>
    <t>Assaba</t>
  </si>
  <si>
    <t>MR-05</t>
  </si>
  <si>
    <t>Brakna</t>
  </si>
  <si>
    <t>MR-08</t>
  </si>
  <si>
    <t>Dakhlet Nouâdhibou</t>
  </si>
  <si>
    <t>MR-04</t>
  </si>
  <si>
    <t>Gorgol</t>
  </si>
  <si>
    <t>MR-10</t>
  </si>
  <si>
    <t>Guidimaka</t>
  </si>
  <si>
    <t>MR-01</t>
  </si>
  <si>
    <t>Hodh ech Chargui</t>
  </si>
  <si>
    <t>MR-02</t>
  </si>
  <si>
    <t>Hodh el Gharbi</t>
  </si>
  <si>
    <t>MR-12</t>
  </si>
  <si>
    <t>Inchiri</t>
  </si>
  <si>
    <t>MR-NKC</t>
  </si>
  <si>
    <t>Nouakchott</t>
  </si>
  <si>
    <t>MR-09</t>
  </si>
  <si>
    <t>Tagant</t>
  </si>
  <si>
    <t>MR-11</t>
  </si>
  <si>
    <t>Tiris Zemmour</t>
  </si>
  <si>
    <t>MR-06</t>
  </si>
  <si>
    <t>Trarza</t>
  </si>
  <si>
    <t>MU-AG</t>
  </si>
  <si>
    <t>Agalega Islands</t>
  </si>
  <si>
    <t>MU-BR</t>
  </si>
  <si>
    <t>Beau Bassin-Rose Hill</t>
  </si>
  <si>
    <t>MU-BL</t>
  </si>
  <si>
    <t>Black River</t>
  </si>
  <si>
    <t>MU-CC</t>
  </si>
  <si>
    <t>Cargados Carajos Shoals</t>
  </si>
  <si>
    <t>MU-CU</t>
  </si>
  <si>
    <t>Curepipe</t>
  </si>
  <si>
    <t>MU-FL</t>
  </si>
  <si>
    <t>Flacq</t>
  </si>
  <si>
    <t>MU-GP</t>
  </si>
  <si>
    <t>Grand Port</t>
  </si>
  <si>
    <t>MU-MO</t>
  </si>
  <si>
    <t>Moka</t>
  </si>
  <si>
    <t>MU-PA</t>
  </si>
  <si>
    <t>Pamplemousses</t>
  </si>
  <si>
    <t>MU-PW</t>
  </si>
  <si>
    <t>Plaines Wilhems</t>
  </si>
  <si>
    <t>MU-PL</t>
  </si>
  <si>
    <t>Port Louis</t>
  </si>
  <si>
    <t>MU-PU</t>
  </si>
  <si>
    <t>MU-QB</t>
  </si>
  <si>
    <t>Quatre Bornes</t>
  </si>
  <si>
    <t>MU-RR</t>
  </si>
  <si>
    <t>Rivière du Rempart</t>
  </si>
  <si>
    <t>MU-RO</t>
  </si>
  <si>
    <t>Rodrigues Island</t>
  </si>
  <si>
    <t>MU-SA</t>
  </si>
  <si>
    <t>Savanne</t>
  </si>
  <si>
    <t>MU-VP</t>
  </si>
  <si>
    <t>Vacoas-Phoenix</t>
  </si>
  <si>
    <t>MX-AGU</t>
  </si>
  <si>
    <t>Aguascalientes</t>
  </si>
  <si>
    <t>MX-BCN</t>
  </si>
  <si>
    <t>Baja California</t>
  </si>
  <si>
    <t>MX-BCS</t>
  </si>
  <si>
    <t>Baja California Sur</t>
  </si>
  <si>
    <t>MX-CAM</t>
  </si>
  <si>
    <t>Campeche</t>
  </si>
  <si>
    <t>MX-CHP</t>
  </si>
  <si>
    <t>Chiapas</t>
  </si>
  <si>
    <t>MX-CHH</t>
  </si>
  <si>
    <t>Chihuahua</t>
  </si>
  <si>
    <t>MX-COA</t>
  </si>
  <si>
    <t>Coahuila</t>
  </si>
  <si>
    <t>MX-COL</t>
  </si>
  <si>
    <t>Colima</t>
  </si>
  <si>
    <t>MX-DIF</t>
  </si>
  <si>
    <t>MX-DUR</t>
  </si>
  <si>
    <t>Durango</t>
  </si>
  <si>
    <t>MX-GUA</t>
  </si>
  <si>
    <t>Guanajuato</t>
  </si>
  <si>
    <t>MX-GRO</t>
  </si>
  <si>
    <t>Guerrero</t>
  </si>
  <si>
    <t>MX-HID</t>
  </si>
  <si>
    <t>Hidalgo</t>
  </si>
  <si>
    <t>MX-JAL</t>
  </si>
  <si>
    <t>Jalisco</t>
  </si>
  <si>
    <t>MX-MIC</t>
  </si>
  <si>
    <t>Michoacán</t>
  </si>
  <si>
    <t>MX-MOR</t>
  </si>
  <si>
    <t>Morelos</t>
  </si>
  <si>
    <t>MX-MEX</t>
  </si>
  <si>
    <t>México</t>
  </si>
  <si>
    <t>MX-NAY</t>
  </si>
  <si>
    <t>Nayarit</t>
  </si>
  <si>
    <t>MX-NLE</t>
  </si>
  <si>
    <t>Nuevo León</t>
  </si>
  <si>
    <t>MX-OAX</t>
  </si>
  <si>
    <t>Oaxaca</t>
  </si>
  <si>
    <t>MX-PUE</t>
  </si>
  <si>
    <t>Puebla</t>
  </si>
  <si>
    <t>MX-QUE</t>
  </si>
  <si>
    <t>Querétaro</t>
  </si>
  <si>
    <t>MX-ROO</t>
  </si>
  <si>
    <t>Quintana Roo</t>
  </si>
  <si>
    <t>MX-SLP</t>
  </si>
  <si>
    <t>San Luis Potosí</t>
  </si>
  <si>
    <t>MX-SIN</t>
  </si>
  <si>
    <t>Sinaloa</t>
  </si>
  <si>
    <t>MX-SON</t>
  </si>
  <si>
    <t>Sonora</t>
  </si>
  <si>
    <t>MX-TAB</t>
  </si>
  <si>
    <t>Tabasco</t>
  </si>
  <si>
    <t>MX-TAM</t>
  </si>
  <si>
    <t>Tamaulipas</t>
  </si>
  <si>
    <t>MX-TLA</t>
  </si>
  <si>
    <t>Tlaxcala</t>
  </si>
  <si>
    <t>MX-VER</t>
  </si>
  <si>
    <t>Veracruz</t>
  </si>
  <si>
    <t>MX-YUC</t>
  </si>
  <si>
    <t>Yucatán</t>
  </si>
  <si>
    <t>MX-ZAC</t>
  </si>
  <si>
    <t>Zacatecas</t>
  </si>
  <si>
    <t>FM-TRK</t>
  </si>
  <si>
    <t>Chuuk</t>
  </si>
  <si>
    <t>FM-KSA</t>
  </si>
  <si>
    <t>Kosrae</t>
  </si>
  <si>
    <t>FM-PNI</t>
  </si>
  <si>
    <t>Pohnpei</t>
  </si>
  <si>
    <t>FM-YAP</t>
  </si>
  <si>
    <t>Yap</t>
  </si>
  <si>
    <t>MD-AN</t>
  </si>
  <si>
    <t>Anenii Noi</t>
  </si>
  <si>
    <t>MD-BS</t>
  </si>
  <si>
    <t>Basarabeasca</t>
  </si>
  <si>
    <t>MD-BR</t>
  </si>
  <si>
    <t>Briceni</t>
  </si>
  <si>
    <t>MD-BA</t>
  </si>
  <si>
    <t>Bălţi</t>
  </si>
  <si>
    <t>MD-CA</t>
  </si>
  <si>
    <t>Cahul</t>
  </si>
  <si>
    <t>MD-CT</t>
  </si>
  <si>
    <t>Cantemir</t>
  </si>
  <si>
    <t>MD-CU</t>
  </si>
  <si>
    <t>Chişinău</t>
  </si>
  <si>
    <t>MD-CM</t>
  </si>
  <si>
    <t>Cimişlia</t>
  </si>
  <si>
    <t>MD-CR</t>
  </si>
  <si>
    <t>Criuleni</t>
  </si>
  <si>
    <t>MD-CL</t>
  </si>
  <si>
    <t>Călăraşi</t>
  </si>
  <si>
    <t>MD-CS</t>
  </si>
  <si>
    <t>Căuşeni</t>
  </si>
  <si>
    <t>MD-DO</t>
  </si>
  <si>
    <t>Donduşeni</t>
  </si>
  <si>
    <t>MD-DR</t>
  </si>
  <si>
    <t>Drochia</t>
  </si>
  <si>
    <t>MD-DU</t>
  </si>
  <si>
    <t>Dubăsari</t>
  </si>
  <si>
    <t>MD-ED</t>
  </si>
  <si>
    <t>Edineţ</t>
  </si>
  <si>
    <t>MD-FL</t>
  </si>
  <si>
    <t>Floreşti</t>
  </si>
  <si>
    <t>MD-FA</t>
  </si>
  <si>
    <t>Făleşti</t>
  </si>
  <si>
    <t>MD-GL</t>
  </si>
  <si>
    <t>Glodeni</t>
  </si>
  <si>
    <t>MD-GA</t>
  </si>
  <si>
    <t>Găgăuzia, Unitatea teritorială autonomă (UTAG)</t>
  </si>
  <si>
    <t>autonomous territorial unit</t>
  </si>
  <si>
    <t>MD-HI</t>
  </si>
  <si>
    <t>Hînceşti</t>
  </si>
  <si>
    <t>MD-IA</t>
  </si>
  <si>
    <t>Ialoveni</t>
  </si>
  <si>
    <t>MD-LE</t>
  </si>
  <si>
    <t>Leova</t>
  </si>
  <si>
    <t>MD-NI</t>
  </si>
  <si>
    <t>Nisporeni</t>
  </si>
  <si>
    <t>MD-OC</t>
  </si>
  <si>
    <t>Ocniţa</t>
  </si>
  <si>
    <t>MD-OR</t>
  </si>
  <si>
    <t>Orhei</t>
  </si>
  <si>
    <t>MD-RE</t>
  </si>
  <si>
    <t>Rezina</t>
  </si>
  <si>
    <t>MD-RI</t>
  </si>
  <si>
    <t>Rîşcani</t>
  </si>
  <si>
    <t>MD-SO</t>
  </si>
  <si>
    <t>Soroca</t>
  </si>
  <si>
    <t>MD-ST</t>
  </si>
  <si>
    <t>Străşeni</t>
  </si>
  <si>
    <t>MD-SN</t>
  </si>
  <si>
    <t>Stînga Nistrului, unitatea teritorială din</t>
  </si>
  <si>
    <t>territorial unit</t>
  </si>
  <si>
    <t>MD-SI</t>
  </si>
  <si>
    <t>Sîngerei</t>
  </si>
  <si>
    <t>MD-TA</t>
  </si>
  <si>
    <t>Taraclia</t>
  </si>
  <si>
    <t>MD-TE</t>
  </si>
  <si>
    <t>Teleneşti</t>
  </si>
  <si>
    <t>MD-BD</t>
  </si>
  <si>
    <t>Tighina</t>
  </si>
  <si>
    <t>MD-UN</t>
  </si>
  <si>
    <t>Ungheni</t>
  </si>
  <si>
    <t>MD-SD</t>
  </si>
  <si>
    <t>Şoldăneşti</t>
  </si>
  <si>
    <t>MD-SV</t>
  </si>
  <si>
    <t>Ştefan Vodă</t>
  </si>
  <si>
    <t>MC-FO</t>
  </si>
  <si>
    <t>Fontvieille</t>
  </si>
  <si>
    <t>quartier</t>
  </si>
  <si>
    <t>MC-JE</t>
  </si>
  <si>
    <t>Jardin Exotique</t>
  </si>
  <si>
    <t>MC-CL</t>
  </si>
  <si>
    <t>La Colle</t>
  </si>
  <si>
    <t>MC-CO</t>
  </si>
  <si>
    <t>La Condamine</t>
  </si>
  <si>
    <t>MC-GA</t>
  </si>
  <si>
    <t>La Gare</t>
  </si>
  <si>
    <t>MC-SO</t>
  </si>
  <si>
    <t>La Source</t>
  </si>
  <si>
    <t>MC-LA</t>
  </si>
  <si>
    <t>Larvotto</t>
  </si>
  <si>
    <t>MC-MA</t>
  </si>
  <si>
    <t>Malbousquet</t>
  </si>
  <si>
    <t>MC-MO</t>
  </si>
  <si>
    <t>Monaco-Ville</t>
  </si>
  <si>
    <t>MC-MG</t>
  </si>
  <si>
    <t>Moneghetti</t>
  </si>
  <si>
    <t>MC-MC</t>
  </si>
  <si>
    <t>Monte-Carlo</t>
  </si>
  <si>
    <t>MC-MU</t>
  </si>
  <si>
    <t>Moulins</t>
  </si>
  <si>
    <t>MC-PH</t>
  </si>
  <si>
    <t>Port-Hercule</t>
  </si>
  <si>
    <t>MC-SR</t>
  </si>
  <si>
    <t>Saint-Roman</t>
  </si>
  <si>
    <t>MC-SD</t>
  </si>
  <si>
    <t>Sainte-Dévote</t>
  </si>
  <si>
    <t>MC-SP</t>
  </si>
  <si>
    <t>Spélugues</t>
  </si>
  <si>
    <t>MC-VR</t>
  </si>
  <si>
    <t>Vallon de la Rousse</t>
  </si>
  <si>
    <t>MN-073</t>
  </si>
  <si>
    <t>Arhangay</t>
  </si>
  <si>
    <t>MN-071</t>
  </si>
  <si>
    <t>Bayan-Ölgiy</t>
  </si>
  <si>
    <t>MN-069</t>
  </si>
  <si>
    <t>Bayanhongor</t>
  </si>
  <si>
    <t>MN-067</t>
  </si>
  <si>
    <t>Bulgan</t>
  </si>
  <si>
    <t>MN-037</t>
  </si>
  <si>
    <t>Darhan uul</t>
  </si>
  <si>
    <t>MN-061</t>
  </si>
  <si>
    <t>Dornod</t>
  </si>
  <si>
    <t>MN-063</t>
  </si>
  <si>
    <t>Dornogovĭ</t>
  </si>
  <si>
    <t>MN-059</t>
  </si>
  <si>
    <t>Dundgovĭ</t>
  </si>
  <si>
    <t>MN-057</t>
  </si>
  <si>
    <t>Dzavhan</t>
  </si>
  <si>
    <t>MN-065</t>
  </si>
  <si>
    <t>Govĭ-Altay</t>
  </si>
  <si>
    <t>MN-064</t>
  </si>
  <si>
    <t>Govĭ-Sümber</t>
  </si>
  <si>
    <t>MN-039</t>
  </si>
  <si>
    <t>Hentiy</t>
  </si>
  <si>
    <t>MN-043</t>
  </si>
  <si>
    <t>Hovd</t>
  </si>
  <si>
    <t>MN-041</t>
  </si>
  <si>
    <t>Hövsgöl</t>
  </si>
  <si>
    <t>MN-035</t>
  </si>
  <si>
    <t>Orhon</t>
  </si>
  <si>
    <t>MN-049</t>
  </si>
  <si>
    <t>Selenge</t>
  </si>
  <si>
    <t>MN-051</t>
  </si>
  <si>
    <t>Sühbaatar</t>
  </si>
  <si>
    <t>MN-047</t>
  </si>
  <si>
    <t>Töv</t>
  </si>
  <si>
    <t>MN-1</t>
  </si>
  <si>
    <t>Ulaanbaatar</t>
  </si>
  <si>
    <t>MN-046</t>
  </si>
  <si>
    <t>Uvs</t>
  </si>
  <si>
    <t>MN-053</t>
  </si>
  <si>
    <t>Ömnögovĭ</t>
  </si>
  <si>
    <t>MN-055</t>
  </si>
  <si>
    <t>Övörhangay</t>
  </si>
  <si>
    <t>ME-01</t>
  </si>
  <si>
    <t>Andrijevica</t>
  </si>
  <si>
    <t>ME-02</t>
  </si>
  <si>
    <t>Bar</t>
  </si>
  <si>
    <t>ME-03</t>
  </si>
  <si>
    <t>Berane</t>
  </si>
  <si>
    <t>ME-04</t>
  </si>
  <si>
    <t>Bijelo Polje</t>
  </si>
  <si>
    <t>ME-05</t>
  </si>
  <si>
    <t>Budva</t>
  </si>
  <si>
    <t>ME-06</t>
  </si>
  <si>
    <t>Cetinje</t>
  </si>
  <si>
    <t>ME-07</t>
  </si>
  <si>
    <t>Danilovgrad</t>
  </si>
  <si>
    <t>ME-08</t>
  </si>
  <si>
    <t>Herceg-Novi</t>
  </si>
  <si>
    <t>ME-09</t>
  </si>
  <si>
    <t>Kolašin</t>
  </si>
  <si>
    <t>ME-10</t>
  </si>
  <si>
    <t>Kotor</t>
  </si>
  <si>
    <t>ME-11</t>
  </si>
  <si>
    <t>Mojkovac</t>
  </si>
  <si>
    <t>ME-12</t>
  </si>
  <si>
    <t>Nikšić</t>
  </si>
  <si>
    <t>ME-13</t>
  </si>
  <si>
    <t>Plav</t>
  </si>
  <si>
    <t>ME-14</t>
  </si>
  <si>
    <t>Pljevlja</t>
  </si>
  <si>
    <t>ME-15</t>
  </si>
  <si>
    <t>Plužine</t>
  </si>
  <si>
    <t>ME-16</t>
  </si>
  <si>
    <t>Podgorica</t>
  </si>
  <si>
    <t>ME-17</t>
  </si>
  <si>
    <t>Rožaje</t>
  </si>
  <si>
    <t>ME-19</t>
  </si>
  <si>
    <t>Tivat</t>
  </si>
  <si>
    <t>ME-20</t>
  </si>
  <si>
    <t>Ulcinj</t>
  </si>
  <si>
    <t>ME-18</t>
  </si>
  <si>
    <t>Šavnik</t>
  </si>
  <si>
    <t>ME-21</t>
  </si>
  <si>
    <t>Žabljak</t>
  </si>
  <si>
    <t>MA-AGD</t>
  </si>
  <si>
    <t>Agadir-Ida-Outanane</t>
  </si>
  <si>
    <t>MA-HAO</t>
  </si>
  <si>
    <t>Al Haouz</t>
  </si>
  <si>
    <t>MA-HOC</t>
  </si>
  <si>
    <t>Al Hoceïma</t>
  </si>
  <si>
    <t>MA-AOU</t>
  </si>
  <si>
    <t>Aousserd (EH)</t>
  </si>
  <si>
    <t>MA-ASZ</t>
  </si>
  <si>
    <t>Assa-Zag</t>
  </si>
  <si>
    <t>MA-AZI</t>
  </si>
  <si>
    <t>Azilal</t>
  </si>
  <si>
    <t>MA-BES</t>
  </si>
  <si>
    <t>Ben Slimane</t>
  </si>
  <si>
    <t>MA-BEM</t>
  </si>
  <si>
    <t>Beni Mellal</t>
  </si>
  <si>
    <t>MA-BER</t>
  </si>
  <si>
    <t>Berkane</t>
  </si>
  <si>
    <t>MA-BOD</t>
  </si>
  <si>
    <t>Boujdour (EH)</t>
  </si>
  <si>
    <t>MA-BOM</t>
  </si>
  <si>
    <t>Boulemane</t>
  </si>
  <si>
    <t>MA-CAS</t>
  </si>
  <si>
    <t>Casablanca</t>
  </si>
  <si>
    <t>MA-09</t>
  </si>
  <si>
    <t>Chaouia-Ouardigha</t>
  </si>
  <si>
    <t>economic region</t>
  </si>
  <si>
    <t>MA-CHE</t>
  </si>
  <si>
    <t>Chefchaouen</t>
  </si>
  <si>
    <t>MA-CHI</t>
  </si>
  <si>
    <t>Chichaoua</t>
  </si>
  <si>
    <t>MA-CHT</t>
  </si>
  <si>
    <t>Chtouka-Ait Baha</t>
  </si>
  <si>
    <t>MA-10</t>
  </si>
  <si>
    <t>Doukkala-Abda</t>
  </si>
  <si>
    <t>MA-HAJ</t>
  </si>
  <si>
    <t>El Hajeb</t>
  </si>
  <si>
    <t>MA-JDI</t>
  </si>
  <si>
    <t>El Jadida</t>
  </si>
  <si>
    <t>MA-ERR</t>
  </si>
  <si>
    <t>Errachidia</t>
  </si>
  <si>
    <t>MA-ESM</t>
  </si>
  <si>
    <t>Es Smara (EH)</t>
  </si>
  <si>
    <t>MA-ESI</t>
  </si>
  <si>
    <t>Essaouira</t>
  </si>
  <si>
    <t>MA-FAH</t>
  </si>
  <si>
    <t>Fahs-Beni Makada</t>
  </si>
  <si>
    <t>MA-FIG</t>
  </si>
  <si>
    <t>Figuig</t>
  </si>
  <si>
    <t>MA-05</t>
  </si>
  <si>
    <t>Fès-Boulemane</t>
  </si>
  <si>
    <t>MA-FES</t>
  </si>
  <si>
    <t>Fès-Dar-Dbibegh</t>
  </si>
  <si>
    <t>MA-02</t>
  </si>
  <si>
    <t>Gharb-Chrarda-Beni Hssen</t>
  </si>
  <si>
    <t>MA-08</t>
  </si>
  <si>
    <t>Grand Casablanca</t>
  </si>
  <si>
    <t>MA-GUE</t>
  </si>
  <si>
    <t>Guelmim</t>
  </si>
  <si>
    <t>MA-14</t>
  </si>
  <si>
    <t>Guelmim-Es Smara</t>
  </si>
  <si>
    <t>MA-IFR</t>
  </si>
  <si>
    <t>Ifrane</t>
  </si>
  <si>
    <t>MA-INE</t>
  </si>
  <si>
    <t>Inezgane-Ait Melloul</t>
  </si>
  <si>
    <t>MA-JRA</t>
  </si>
  <si>
    <t>Jrada</t>
  </si>
  <si>
    <t>MA-KES</t>
  </si>
  <si>
    <t>Kelaat es Sraghna</t>
  </si>
  <si>
    <t>MA-KHE</t>
  </si>
  <si>
    <t>Khemisset</t>
  </si>
  <si>
    <t>MA-KHN</t>
  </si>
  <si>
    <t>Khenifra</t>
  </si>
  <si>
    <t>MA-KHO</t>
  </si>
  <si>
    <t>Khouribga</t>
  </si>
  <si>
    <t>MA-KEN</t>
  </si>
  <si>
    <t>Kénitra</t>
  </si>
  <si>
    <t>MA-04</t>
  </si>
  <si>
    <t>L'Oriental</t>
  </si>
  <si>
    <t>MA-LAR</t>
  </si>
  <si>
    <t>Larache</t>
  </si>
  <si>
    <t>MA-LAA</t>
  </si>
  <si>
    <t>Laâyoune</t>
  </si>
  <si>
    <t>MA-15</t>
  </si>
  <si>
    <t>Laâyoune-Boujdour-Sakia el Hamra</t>
  </si>
  <si>
    <t>MA-MMD</t>
  </si>
  <si>
    <t>Marrakech-Medina</t>
  </si>
  <si>
    <t>MA-MMN</t>
  </si>
  <si>
    <t>Marrakech-Menara</t>
  </si>
  <si>
    <t>MA-11</t>
  </si>
  <si>
    <t>Marrakech-Tensift-Al Haouz</t>
  </si>
  <si>
    <t>MA-MEK</t>
  </si>
  <si>
    <t>Meknès</t>
  </si>
  <si>
    <t>MA-06</t>
  </si>
  <si>
    <t>Meknès-Tafilalet</t>
  </si>
  <si>
    <t>MA-MOH</t>
  </si>
  <si>
    <t>Mohammadia</t>
  </si>
  <si>
    <t>MA-MOU</t>
  </si>
  <si>
    <t>Moulay Yacoub</t>
  </si>
  <si>
    <t>MA-MED</t>
  </si>
  <si>
    <t>Médiouna</t>
  </si>
  <si>
    <t>MA-NAD</t>
  </si>
  <si>
    <t>Nador</t>
  </si>
  <si>
    <t>MA-NOU</t>
  </si>
  <si>
    <t>Nouaceur</t>
  </si>
  <si>
    <t>MA-OUA</t>
  </si>
  <si>
    <t>Ouarzazate</t>
  </si>
  <si>
    <t>MA-OUD</t>
  </si>
  <si>
    <t>Oued ed Dahab (EH)</t>
  </si>
  <si>
    <t>MA-16</t>
  </si>
  <si>
    <t>Oued ed Dahab-Lagouira (EH)</t>
  </si>
  <si>
    <t>MA-OUJ</t>
  </si>
  <si>
    <t>Oujda-Angad</t>
  </si>
  <si>
    <t>MA-RAB</t>
  </si>
  <si>
    <t>Rabat</t>
  </si>
  <si>
    <t>MA-07</t>
  </si>
  <si>
    <t>Rabat-Salé-Zemmour-Zaer</t>
  </si>
  <si>
    <t>MA-SAF</t>
  </si>
  <si>
    <t>MA-SAL</t>
  </si>
  <si>
    <t>Salé</t>
  </si>
  <si>
    <t>MA-SEF</t>
  </si>
  <si>
    <t>Sefrou</t>
  </si>
  <si>
    <t>MA-SET</t>
  </si>
  <si>
    <t>Settat</t>
  </si>
  <si>
    <t>MA-SIK</t>
  </si>
  <si>
    <t>Sidi Kacem</t>
  </si>
  <si>
    <t>MA-SYB</t>
  </si>
  <si>
    <t>Sidi Youssef Ben Ali</t>
  </si>
  <si>
    <t>MA-SKH</t>
  </si>
  <si>
    <t>Skhirate-Témara</t>
  </si>
  <si>
    <t>MA-13</t>
  </si>
  <si>
    <t>Sous-Massa-Draa</t>
  </si>
  <si>
    <t>MA-12</t>
  </si>
  <si>
    <t>Tadla-Azilal</t>
  </si>
  <si>
    <t>MA-TNT</t>
  </si>
  <si>
    <t>Tan-Tan</t>
  </si>
  <si>
    <t>MA-TNG</t>
  </si>
  <si>
    <t>Tanger-Assilah</t>
  </si>
  <si>
    <t>MA-01</t>
  </si>
  <si>
    <t>Tanger-Tétouan</t>
  </si>
  <si>
    <t>MA-TAO</t>
  </si>
  <si>
    <t>Taounate</t>
  </si>
  <si>
    <t>MA-TAI</t>
  </si>
  <si>
    <t>Taourirt</t>
  </si>
  <si>
    <t>MA-TAR</t>
  </si>
  <si>
    <t>Taroudant</t>
  </si>
  <si>
    <t>MA-TAT</t>
  </si>
  <si>
    <t>Tata</t>
  </si>
  <si>
    <t>MA-TAZ</t>
  </si>
  <si>
    <t>Taza</t>
  </si>
  <si>
    <t>MA-03</t>
  </si>
  <si>
    <t>Taza-Al Hoceima-Taounate</t>
  </si>
  <si>
    <t>MA-TIZ</t>
  </si>
  <si>
    <t>Tiznit</t>
  </si>
  <si>
    <t>MA-TET</t>
  </si>
  <si>
    <t>Tétouan</t>
  </si>
  <si>
    <t>MA-ZAG</t>
  </si>
  <si>
    <t>Zagora</t>
  </si>
  <si>
    <t>MZ-P</t>
  </si>
  <si>
    <t>Cabo Delgado</t>
  </si>
  <si>
    <t>MZ-G</t>
  </si>
  <si>
    <t>Gaza</t>
  </si>
  <si>
    <t>MZ-I</t>
  </si>
  <si>
    <t>Inhambane</t>
  </si>
  <si>
    <t>MZ-B</t>
  </si>
  <si>
    <t>Manica</t>
  </si>
  <si>
    <t>MZ-L</t>
  </si>
  <si>
    <t>Maputo</t>
  </si>
  <si>
    <t>MZ-MPM</t>
  </si>
  <si>
    <t>MZ-N</t>
  </si>
  <si>
    <t>Nampula</t>
  </si>
  <si>
    <t>MZ-A</t>
  </si>
  <si>
    <t>Niassa</t>
  </si>
  <si>
    <t>MZ-S</t>
  </si>
  <si>
    <t>Sofala</t>
  </si>
  <si>
    <t>MZ-T</t>
  </si>
  <si>
    <t>Tete</t>
  </si>
  <si>
    <t>MZ-Q</t>
  </si>
  <si>
    <t>Zambézia</t>
  </si>
  <si>
    <t>MM-07</t>
  </si>
  <si>
    <t>Ayeyarwady</t>
  </si>
  <si>
    <t>MM-02</t>
  </si>
  <si>
    <t>Bago</t>
  </si>
  <si>
    <t>MM-14</t>
  </si>
  <si>
    <t>Chin</t>
  </si>
  <si>
    <t>MM-11</t>
  </si>
  <si>
    <t>Kachin</t>
  </si>
  <si>
    <t>MM-12</t>
  </si>
  <si>
    <t>Kayah</t>
  </si>
  <si>
    <t>MM-13</t>
  </si>
  <si>
    <t>Kayin</t>
  </si>
  <si>
    <t>MM-03</t>
  </si>
  <si>
    <t>Magway</t>
  </si>
  <si>
    <t>MM-04</t>
  </si>
  <si>
    <t>Mandalay</t>
  </si>
  <si>
    <t>MM-15</t>
  </si>
  <si>
    <t>Mon</t>
  </si>
  <si>
    <t>MM-16</t>
  </si>
  <si>
    <t>Rakhine</t>
  </si>
  <si>
    <t>MM-01</t>
  </si>
  <si>
    <t>Sagaing</t>
  </si>
  <si>
    <t>MM-17</t>
  </si>
  <si>
    <t>Shan</t>
  </si>
  <si>
    <t>MM-05</t>
  </si>
  <si>
    <t>Tanintharyi</t>
  </si>
  <si>
    <t>MM-06</t>
  </si>
  <si>
    <t>Yangon</t>
  </si>
  <si>
    <t>NA-CA</t>
  </si>
  <si>
    <t>Caprivi</t>
  </si>
  <si>
    <t>NA-ER</t>
  </si>
  <si>
    <t>Erongo</t>
  </si>
  <si>
    <t>NA-HA</t>
  </si>
  <si>
    <t>Hardap</t>
  </si>
  <si>
    <t>NA-KA</t>
  </si>
  <si>
    <t>Karas</t>
  </si>
  <si>
    <t>NA-KH</t>
  </si>
  <si>
    <t>Khomas</t>
  </si>
  <si>
    <t>NA-KU</t>
  </si>
  <si>
    <t>Kunene</t>
  </si>
  <si>
    <t>NA-OW</t>
  </si>
  <si>
    <t>Ohangwena</t>
  </si>
  <si>
    <t>NA-OK</t>
  </si>
  <si>
    <t>Okavango</t>
  </si>
  <si>
    <t>NA-OH</t>
  </si>
  <si>
    <t>Omaheke</t>
  </si>
  <si>
    <t>NA-OS</t>
  </si>
  <si>
    <t>Omusati</t>
  </si>
  <si>
    <t>NA-ON</t>
  </si>
  <si>
    <t>Oshana</t>
  </si>
  <si>
    <t>NA-OT</t>
  </si>
  <si>
    <t>Oshikoto</t>
  </si>
  <si>
    <t>NA-OD</t>
  </si>
  <si>
    <t>Otjozondjupa</t>
  </si>
  <si>
    <t>NR-01</t>
  </si>
  <si>
    <t>Aiwo</t>
  </si>
  <si>
    <t>NR-02</t>
  </si>
  <si>
    <t>Anabar</t>
  </si>
  <si>
    <t>NR-03</t>
  </si>
  <si>
    <t>Anetan</t>
  </si>
  <si>
    <t>NR-04</t>
  </si>
  <si>
    <t>Anibare</t>
  </si>
  <si>
    <t>NR-05</t>
  </si>
  <si>
    <t>Baiti</t>
  </si>
  <si>
    <t>NR-06</t>
  </si>
  <si>
    <t>Boe</t>
  </si>
  <si>
    <t>NR-07</t>
  </si>
  <si>
    <t>Buada</t>
  </si>
  <si>
    <t>NR-08</t>
  </si>
  <si>
    <t>Denigomodu</t>
  </si>
  <si>
    <t>NR-09</t>
  </si>
  <si>
    <t>Ewa</t>
  </si>
  <si>
    <t>NR-10</t>
  </si>
  <si>
    <t>Ijuw</t>
  </si>
  <si>
    <t>NR-11</t>
  </si>
  <si>
    <t>Meneng</t>
  </si>
  <si>
    <t>NR-12</t>
  </si>
  <si>
    <t>Nibok</t>
  </si>
  <si>
    <t>NR-13</t>
  </si>
  <si>
    <t>Uaboe</t>
  </si>
  <si>
    <t>NR-14</t>
  </si>
  <si>
    <t>Yaren</t>
  </si>
  <si>
    <t>NP-BA</t>
  </si>
  <si>
    <t>Bagmati</t>
  </si>
  <si>
    <t>zone</t>
  </si>
  <si>
    <t>NP-BH</t>
  </si>
  <si>
    <t>Bheri</t>
  </si>
  <si>
    <t>NP-1</t>
  </si>
  <si>
    <t>development region</t>
  </si>
  <si>
    <t>NP-DH</t>
  </si>
  <si>
    <t>Dhawalagiri</t>
  </si>
  <si>
    <t>NP-4</t>
  </si>
  <si>
    <t>NP-5</t>
  </si>
  <si>
    <t>Far Western</t>
  </si>
  <si>
    <t>NP-GA</t>
  </si>
  <si>
    <t>Gandaki</t>
  </si>
  <si>
    <t>NP-JA</t>
  </si>
  <si>
    <t>Janakpur</t>
  </si>
  <si>
    <t>NP-KA</t>
  </si>
  <si>
    <t>Karnali</t>
  </si>
  <si>
    <t>NP-KO</t>
  </si>
  <si>
    <t>Kosi</t>
  </si>
  <si>
    <t>NP-LU</t>
  </si>
  <si>
    <t>Lumbini</t>
  </si>
  <si>
    <t>NP-2</t>
  </si>
  <si>
    <t>Madhya Pashchimanchal</t>
  </si>
  <si>
    <t>Madhyamanchal</t>
  </si>
  <si>
    <t>NP-MA</t>
  </si>
  <si>
    <t>Mahakali</t>
  </si>
  <si>
    <t>NP-ME</t>
  </si>
  <si>
    <t>Mechi</t>
  </si>
  <si>
    <t>Mid Western</t>
  </si>
  <si>
    <t>NP-NA</t>
  </si>
  <si>
    <t>Narayani</t>
  </si>
  <si>
    <t>NP-3</t>
  </si>
  <si>
    <t>Pashchimanchal</t>
  </si>
  <si>
    <t>Purwanchal</t>
  </si>
  <si>
    <t>NP-RA</t>
  </si>
  <si>
    <t>Rapti</t>
  </si>
  <si>
    <t>NP-SA</t>
  </si>
  <si>
    <t>Sagarmatha</t>
  </si>
  <si>
    <t>NP-SE</t>
  </si>
  <si>
    <t>Seti</t>
  </si>
  <si>
    <t>Sudur Pashchimanchal</t>
  </si>
  <si>
    <t>NL-AW</t>
  </si>
  <si>
    <t>Aruba (see also separate entry under AW)</t>
  </si>
  <si>
    <t>country</t>
  </si>
  <si>
    <t>NL-BQ1</t>
  </si>
  <si>
    <t>Bonaire (see also separate entry under BQ)</t>
  </si>
  <si>
    <t>NL-CW</t>
  </si>
  <si>
    <t>Curaçao (see also separate entry under CW)</t>
  </si>
  <si>
    <t>NL-DR</t>
  </si>
  <si>
    <t>Drenthe</t>
  </si>
  <si>
    <t>NL-FL</t>
  </si>
  <si>
    <t>Flevoland</t>
  </si>
  <si>
    <t>NL-FR</t>
  </si>
  <si>
    <t>Fryslân</t>
  </si>
  <si>
    <t>NL-GE</t>
  </si>
  <si>
    <t>Gelderland</t>
  </si>
  <si>
    <t>NL-GR</t>
  </si>
  <si>
    <t>Groningen</t>
  </si>
  <si>
    <t>NL-LI</t>
  </si>
  <si>
    <t>NL-NB</t>
  </si>
  <si>
    <t>Noord-Brabant</t>
  </si>
  <si>
    <t>NL-NH</t>
  </si>
  <si>
    <t>Noord-Holland</t>
  </si>
  <si>
    <t>NL-OV</t>
  </si>
  <si>
    <t>Overijssel</t>
  </si>
  <si>
    <t>NL-BQ2</t>
  </si>
  <si>
    <t>Saba (see also separate entry under BQ)</t>
  </si>
  <si>
    <t>NL-BQ3</t>
  </si>
  <si>
    <t>Sint Eustatius (see also separate entry under BQ)</t>
  </si>
  <si>
    <t>NL-SX</t>
  </si>
  <si>
    <t>Sint Maarten (see also separate entry under SX)</t>
  </si>
  <si>
    <t>NL-UT</t>
  </si>
  <si>
    <t>Utrecht</t>
  </si>
  <si>
    <t>NL-ZE</t>
  </si>
  <si>
    <t>Zeeland</t>
  </si>
  <si>
    <t>NL-ZH</t>
  </si>
  <si>
    <t>Zuid-Holland</t>
  </si>
  <si>
    <t>NZ-AUK</t>
  </si>
  <si>
    <t>Auckland</t>
  </si>
  <si>
    <t>regional council</t>
  </si>
  <si>
    <t>NZ-BOP</t>
  </si>
  <si>
    <t>Bay of Plenty</t>
  </si>
  <si>
    <t>NZ-CAN</t>
  </si>
  <si>
    <t>Canterbury</t>
  </si>
  <si>
    <t>NZ-CIT</t>
  </si>
  <si>
    <t>Chatham Islands Territory</t>
  </si>
  <si>
    <t>special island authority</t>
  </si>
  <si>
    <t>NZ-GIS</t>
  </si>
  <si>
    <t>Gisborne District</t>
  </si>
  <si>
    <t>unitary authority</t>
  </si>
  <si>
    <t>NZ-HKB</t>
  </si>
  <si>
    <t>Hawke's Bay</t>
  </si>
  <si>
    <t>NZ-MWT</t>
  </si>
  <si>
    <t>Manawatu Whanganui</t>
  </si>
  <si>
    <t>Manawatu-Wanganui</t>
  </si>
  <si>
    <t>NZ-MBH</t>
  </si>
  <si>
    <t>Marlborough District</t>
  </si>
  <si>
    <t>NZ-STL</t>
  </si>
  <si>
    <t>Murihiku</t>
  </si>
  <si>
    <t>NZ-NSN</t>
  </si>
  <si>
    <t>Nelson City</t>
  </si>
  <si>
    <t>NZ-N</t>
  </si>
  <si>
    <t>North Island</t>
  </si>
  <si>
    <t>NZ-NTL</t>
  </si>
  <si>
    <t>Northland</t>
  </si>
  <si>
    <t>NZ-OTA</t>
  </si>
  <si>
    <t>Otago</t>
  </si>
  <si>
    <t>NZ-S</t>
  </si>
  <si>
    <t>South Island</t>
  </si>
  <si>
    <t>Southland</t>
  </si>
  <si>
    <t>NZ-TKI</t>
  </si>
  <si>
    <t>Taranaki</t>
  </si>
  <si>
    <t>NZ-TAS</t>
  </si>
  <si>
    <t>Tasman District</t>
  </si>
  <si>
    <t>Te Matau a Māui</t>
  </si>
  <si>
    <t>Te Moana a Toi Te Huatahi</t>
  </si>
  <si>
    <t>Te Tai tokerau</t>
  </si>
  <si>
    <t>NZ-WTC</t>
  </si>
  <si>
    <t>Te Taihau ā uru</t>
  </si>
  <si>
    <t>NZ-WGN</t>
  </si>
  <si>
    <t>Te Whanga-nui-a-Tara</t>
  </si>
  <si>
    <t>Tāmaki-makau-rau</t>
  </si>
  <si>
    <t>Tūranga nui a Kiwa</t>
  </si>
  <si>
    <t>NZ-WKO</t>
  </si>
  <si>
    <t>Waikato</t>
  </si>
  <si>
    <t>Waitaha</t>
  </si>
  <si>
    <t>Wellington</t>
  </si>
  <si>
    <t>West Coast</t>
  </si>
  <si>
    <t>Whakatū</t>
  </si>
  <si>
    <t>Wharekauri</t>
  </si>
  <si>
    <t>Ō Tākou</t>
  </si>
  <si>
    <t>NI-AN</t>
  </si>
  <si>
    <t>Atlántico Norte</t>
  </si>
  <si>
    <t>NI-AS</t>
  </si>
  <si>
    <t>Atlántico Sur</t>
  </si>
  <si>
    <t>NI-BO</t>
  </si>
  <si>
    <t>Boaco</t>
  </si>
  <si>
    <t>NI-CA</t>
  </si>
  <si>
    <t>Carazo</t>
  </si>
  <si>
    <t>NI-CI</t>
  </si>
  <si>
    <t>Chinandega</t>
  </si>
  <si>
    <t>NI-CO</t>
  </si>
  <si>
    <t>Chontales</t>
  </si>
  <si>
    <t>NI-ES</t>
  </si>
  <si>
    <t>Estelí</t>
  </si>
  <si>
    <t>NI-GR</t>
  </si>
  <si>
    <t>Granada</t>
  </si>
  <si>
    <t>NI-JI</t>
  </si>
  <si>
    <t>Jinotega</t>
  </si>
  <si>
    <t>NI-LE</t>
  </si>
  <si>
    <t>León</t>
  </si>
  <si>
    <t>NI-MD</t>
  </si>
  <si>
    <t>Madriz</t>
  </si>
  <si>
    <t>NI-MN</t>
  </si>
  <si>
    <t>Managua</t>
  </si>
  <si>
    <t>NI-MS</t>
  </si>
  <si>
    <t>Masaya</t>
  </si>
  <si>
    <t>NI-MT</t>
  </si>
  <si>
    <t>Matagalpa</t>
  </si>
  <si>
    <t>NI-NS</t>
  </si>
  <si>
    <t>Nueva Segovia</t>
  </si>
  <si>
    <t>NI-RI</t>
  </si>
  <si>
    <t>Rivas</t>
  </si>
  <si>
    <t>NI-SJ</t>
  </si>
  <si>
    <t>Río San Juan</t>
  </si>
  <si>
    <t>NE-1</t>
  </si>
  <si>
    <t>Agadez</t>
  </si>
  <si>
    <t>NE-2</t>
  </si>
  <si>
    <t>Diffa</t>
  </si>
  <si>
    <t>NE-3</t>
  </si>
  <si>
    <t>Dosso</t>
  </si>
  <si>
    <t>NE-4</t>
  </si>
  <si>
    <t>Maradi</t>
  </si>
  <si>
    <t>NE-8</t>
  </si>
  <si>
    <t>Niamey</t>
  </si>
  <si>
    <t>urban community</t>
  </si>
  <si>
    <t>NE-5</t>
  </si>
  <si>
    <t>Tahoua</t>
  </si>
  <si>
    <t>NE-6</t>
  </si>
  <si>
    <t>Tillabéri</t>
  </si>
  <si>
    <t>NE-7</t>
  </si>
  <si>
    <t>Zinder</t>
  </si>
  <si>
    <t>NG-AB</t>
  </si>
  <si>
    <t>Abia</t>
  </si>
  <si>
    <t>NG-FC</t>
  </si>
  <si>
    <t>Abuja Federal Capital Territory</t>
  </si>
  <si>
    <t>capital territory</t>
  </si>
  <si>
    <t>NG-AD</t>
  </si>
  <si>
    <t>Adamawa</t>
  </si>
  <si>
    <t>NG-AK</t>
  </si>
  <si>
    <t>Akwa Ibom</t>
  </si>
  <si>
    <t>NG-AN</t>
  </si>
  <si>
    <t>Anambra</t>
  </si>
  <si>
    <t>NG-BA</t>
  </si>
  <si>
    <t>Bauchi</t>
  </si>
  <si>
    <t>NG-BY</t>
  </si>
  <si>
    <t>Bayelsa</t>
  </si>
  <si>
    <t>NG-BE</t>
  </si>
  <si>
    <t>Benue</t>
  </si>
  <si>
    <t>NG-BO</t>
  </si>
  <si>
    <t>Borno</t>
  </si>
  <si>
    <t>NG-CR</t>
  </si>
  <si>
    <t>Cross River</t>
  </si>
  <si>
    <t>NG-DE</t>
  </si>
  <si>
    <t>Delta</t>
  </si>
  <si>
    <t>NG-EB</t>
  </si>
  <si>
    <t>Ebonyi</t>
  </si>
  <si>
    <t>NG-ED</t>
  </si>
  <si>
    <t>Edo</t>
  </si>
  <si>
    <t>NG-EK</t>
  </si>
  <si>
    <t>Ekiti</t>
  </si>
  <si>
    <t>NG-EN</t>
  </si>
  <si>
    <t>Enugu</t>
  </si>
  <si>
    <t>NG-GO</t>
  </si>
  <si>
    <t>Gombe</t>
  </si>
  <si>
    <t>NG-IM</t>
  </si>
  <si>
    <t>Imo</t>
  </si>
  <si>
    <t>NG-JI</t>
  </si>
  <si>
    <t>Jigawa</t>
  </si>
  <si>
    <t>NG-KD</t>
  </si>
  <si>
    <t>Kaduna</t>
  </si>
  <si>
    <t>NG-KN</t>
  </si>
  <si>
    <t>Kano</t>
  </si>
  <si>
    <t>NG-KT</t>
  </si>
  <si>
    <t>Katsina</t>
  </si>
  <si>
    <t>NG-KE</t>
  </si>
  <si>
    <t>Kebbi</t>
  </si>
  <si>
    <t>NG-KO</t>
  </si>
  <si>
    <t>Kogi</t>
  </si>
  <si>
    <t>NG-KW</t>
  </si>
  <si>
    <t>Kwara</t>
  </si>
  <si>
    <t>NG-LA</t>
  </si>
  <si>
    <t>Lagos</t>
  </si>
  <si>
    <t>NG-NA</t>
  </si>
  <si>
    <t>Nassarawa</t>
  </si>
  <si>
    <t>NG-NI</t>
  </si>
  <si>
    <t>NG-OG</t>
  </si>
  <si>
    <t>Ogun</t>
  </si>
  <si>
    <t>NG-ON</t>
  </si>
  <si>
    <t>Ondo</t>
  </si>
  <si>
    <t>NG-OS</t>
  </si>
  <si>
    <t>Osun</t>
  </si>
  <si>
    <t>NG-OY</t>
  </si>
  <si>
    <t>Oyo</t>
  </si>
  <si>
    <t>NG-PL</t>
  </si>
  <si>
    <t>NG-RI</t>
  </si>
  <si>
    <t>Rivers</t>
  </si>
  <si>
    <t>NG-SO</t>
  </si>
  <si>
    <t>Sokoto</t>
  </si>
  <si>
    <t>NG-TA</t>
  </si>
  <si>
    <t>Taraba</t>
  </si>
  <si>
    <t>NG-YO</t>
  </si>
  <si>
    <t>Yobe</t>
  </si>
  <si>
    <t>NG-ZA</t>
  </si>
  <si>
    <t>Zamfara</t>
  </si>
  <si>
    <t>NO-02</t>
  </si>
  <si>
    <t>Akershus</t>
  </si>
  <si>
    <t>NO-09</t>
  </si>
  <si>
    <t>Aust-Agder</t>
  </si>
  <si>
    <t>NO-06</t>
  </si>
  <si>
    <t>Buskerud</t>
  </si>
  <si>
    <t>NO-20</t>
  </si>
  <si>
    <t>Finnmark</t>
  </si>
  <si>
    <t>Finnmark (nb,nn)</t>
  </si>
  <si>
    <t>Finnmárku</t>
  </si>
  <si>
    <t>NO-04</t>
  </si>
  <si>
    <t>Hedmark</t>
  </si>
  <si>
    <t>NO-12</t>
  </si>
  <si>
    <t>Hordaland</t>
  </si>
  <si>
    <t>NO-22</t>
  </si>
  <si>
    <t>Jan Mayen (Arctic Region) (See also country code SJ)</t>
  </si>
  <si>
    <t>arctic region</t>
  </si>
  <si>
    <t>NO-15</t>
  </si>
  <si>
    <t>Møre og Romsdal</t>
  </si>
  <si>
    <t>NO-17</t>
  </si>
  <si>
    <t>Nord-Trøndelag</t>
  </si>
  <si>
    <t>NO-18</t>
  </si>
  <si>
    <t>Nordland</t>
  </si>
  <si>
    <t>NO-05</t>
  </si>
  <si>
    <t>Oppland</t>
  </si>
  <si>
    <t>NO-03</t>
  </si>
  <si>
    <t>Oslo</t>
  </si>
  <si>
    <t>NO-11</t>
  </si>
  <si>
    <t>Rogaland</t>
  </si>
  <si>
    <t>NO-19</t>
  </si>
  <si>
    <t>Romsa</t>
  </si>
  <si>
    <t>NO-14</t>
  </si>
  <si>
    <t>Sogn og Fjordane</t>
  </si>
  <si>
    <t>NO-21</t>
  </si>
  <si>
    <t>Svalbard (Arctic Region) (See also country code SJ)</t>
  </si>
  <si>
    <t>NO-16</t>
  </si>
  <si>
    <t>Sør-Trøndelag</t>
  </si>
  <si>
    <t>NO-08</t>
  </si>
  <si>
    <t>Telemark</t>
  </si>
  <si>
    <t>Troms</t>
  </si>
  <si>
    <t>NO-10</t>
  </si>
  <si>
    <t>Vest-Agder</t>
  </si>
  <si>
    <t>NO-07</t>
  </si>
  <si>
    <t>Vestfold</t>
  </si>
  <si>
    <t>NO-01</t>
  </si>
  <si>
    <t>Østfold</t>
  </si>
  <si>
    <t>OM-DA</t>
  </si>
  <si>
    <t>Ad Dākhilīyah</t>
  </si>
  <si>
    <t>OM-BU</t>
  </si>
  <si>
    <t>Al Buraymī</t>
  </si>
  <si>
    <t>OM-BA</t>
  </si>
  <si>
    <t>Al Bāţinah</t>
  </si>
  <si>
    <t>OM-WU</t>
  </si>
  <si>
    <t>OM-SH</t>
  </si>
  <si>
    <t>OM-ZA</t>
  </si>
  <si>
    <t>Az̧ Z̧āhirah</t>
  </si>
  <si>
    <t>OM-MA</t>
  </si>
  <si>
    <t>Masqaţ</t>
  </si>
  <si>
    <t>OM-MU</t>
  </si>
  <si>
    <t>Musandam</t>
  </si>
  <si>
    <t>OM-ZU</t>
  </si>
  <si>
    <t>Z̧ufār</t>
  </si>
  <si>
    <t>PK-JK</t>
  </si>
  <si>
    <t>Azad Kashmir</t>
  </si>
  <si>
    <t>Pakistan administered area</t>
  </si>
  <si>
    <t>PK-BA</t>
  </si>
  <si>
    <t>Balochistan</t>
  </si>
  <si>
    <t>Balōchistān</t>
  </si>
  <si>
    <t>PK-TA</t>
  </si>
  <si>
    <t>Federally Administered Tribal Areas</t>
  </si>
  <si>
    <t>PK-GB</t>
  </si>
  <si>
    <t>Gilgit-Baltistan</t>
  </si>
  <si>
    <t>Gilgit-Baltistān</t>
  </si>
  <si>
    <t>PK-IS</t>
  </si>
  <si>
    <t>Islamabad</t>
  </si>
  <si>
    <t>federal capital territory</t>
  </si>
  <si>
    <t>Islāmābād</t>
  </si>
  <si>
    <t>PK-KP</t>
  </si>
  <si>
    <t>Khaībar Pakhtūnkhwā</t>
  </si>
  <si>
    <t>Khyber Pakhtunkhwa</t>
  </si>
  <si>
    <t>PK-PB</t>
  </si>
  <si>
    <t>Panjāb</t>
  </si>
  <si>
    <t>PK-SD</t>
  </si>
  <si>
    <t>Sindh</t>
  </si>
  <si>
    <t>Āzād Kashmīr</t>
  </si>
  <si>
    <t>PW-002</t>
  </si>
  <si>
    <t>Aimeliik</t>
  </si>
  <si>
    <t>PW-004</t>
  </si>
  <si>
    <t>Airai</t>
  </si>
  <si>
    <t>PW-010</t>
  </si>
  <si>
    <t>Angaur</t>
  </si>
  <si>
    <t>PW-050</t>
  </si>
  <si>
    <t>Hatobohei</t>
  </si>
  <si>
    <t>PW-100</t>
  </si>
  <si>
    <t>Kayangel</t>
  </si>
  <si>
    <t>PW-150</t>
  </si>
  <si>
    <t>Koror</t>
  </si>
  <si>
    <t>PW-212</t>
  </si>
  <si>
    <t>Melekeok</t>
  </si>
  <si>
    <t>PW-214</t>
  </si>
  <si>
    <t>Ngaraard</t>
  </si>
  <si>
    <t>PW-218</t>
  </si>
  <si>
    <t>Ngarchelong</t>
  </si>
  <si>
    <t>PW-222</t>
  </si>
  <si>
    <t>Ngardmau</t>
  </si>
  <si>
    <t>PW-224</t>
  </si>
  <si>
    <t>Ngatpang</t>
  </si>
  <si>
    <t>PW-226</t>
  </si>
  <si>
    <t>Ngchesar</t>
  </si>
  <si>
    <t>PW-227</t>
  </si>
  <si>
    <t>Ngeremlengui</t>
  </si>
  <si>
    <t>PW-228</t>
  </si>
  <si>
    <t>Ngiwal</t>
  </si>
  <si>
    <t>PW-350</t>
  </si>
  <si>
    <t>Peleliu</t>
  </si>
  <si>
    <t>PW-370</t>
  </si>
  <si>
    <t>Sonsorol</t>
  </si>
  <si>
    <t>PALESTINIAN TERRITORY, OCCUPIED</t>
  </si>
  <si>
    <t>PS-HBN</t>
  </si>
  <si>
    <t>Al Khalīl</t>
  </si>
  <si>
    <t>PS-JEM</t>
  </si>
  <si>
    <t>PS-JRH</t>
  </si>
  <si>
    <t>Arīḩā wa al Aghwār</t>
  </si>
  <si>
    <t>PS-BTH</t>
  </si>
  <si>
    <t>Bayt Laḩm</t>
  </si>
  <si>
    <t>Bethlehem</t>
  </si>
  <si>
    <t>PS-DEB</t>
  </si>
  <si>
    <t>Dayr al Balaḩ</t>
  </si>
  <si>
    <t>Deir El Balah</t>
  </si>
  <si>
    <t>PS-GZA</t>
  </si>
  <si>
    <t>Ghazzah</t>
  </si>
  <si>
    <t>Hebron</t>
  </si>
  <si>
    <t>PS-JEN</t>
  </si>
  <si>
    <t>Janīn</t>
  </si>
  <si>
    <t>Jenin</t>
  </si>
  <si>
    <t>Jericho - Al Aghwar</t>
  </si>
  <si>
    <t>Jerusalem</t>
  </si>
  <si>
    <t>PS-KYS</t>
  </si>
  <si>
    <t>Khan Yunis</t>
  </si>
  <si>
    <t>Khān Yūnis</t>
  </si>
  <si>
    <t>PS-NBS</t>
  </si>
  <si>
    <t>Nablus</t>
  </si>
  <si>
    <t>PS-NGZ</t>
  </si>
  <si>
    <t>North Gaza</t>
  </si>
  <si>
    <t>Nāblus</t>
  </si>
  <si>
    <t>PS-QQA</t>
  </si>
  <si>
    <t>Qalqilya</t>
  </si>
  <si>
    <t>Qalqīlyah</t>
  </si>
  <si>
    <t>PS-RFH</t>
  </si>
  <si>
    <t>Rafah</t>
  </si>
  <si>
    <t>Rafaḩ</t>
  </si>
  <si>
    <t>PS-RBH</t>
  </si>
  <si>
    <t>Ramallah</t>
  </si>
  <si>
    <t>Rām Allāh wa al Bīrah</t>
  </si>
  <si>
    <t>PS-SLT</t>
  </si>
  <si>
    <t>Salfit</t>
  </si>
  <si>
    <t>Salfīt</t>
  </si>
  <si>
    <t>Shamāl Ghazzah</t>
  </si>
  <si>
    <t>PS-TBS</t>
  </si>
  <si>
    <t>Tubas</t>
  </si>
  <si>
    <t>PS-TKM</t>
  </si>
  <si>
    <t>Tulkarm</t>
  </si>
  <si>
    <t>Ţūbās</t>
  </si>
  <si>
    <t>Ţūlkarm</t>
  </si>
  <si>
    <t>PA-1</t>
  </si>
  <si>
    <t>Bocas del Toro</t>
  </si>
  <si>
    <t>PA-4</t>
  </si>
  <si>
    <t>Chiriquí</t>
  </si>
  <si>
    <t>PA-2</t>
  </si>
  <si>
    <t>Coclé</t>
  </si>
  <si>
    <t>PA-3</t>
  </si>
  <si>
    <t>PA-5</t>
  </si>
  <si>
    <t>Darién</t>
  </si>
  <si>
    <t>PA-EM</t>
  </si>
  <si>
    <t>Emberá</t>
  </si>
  <si>
    <t>indigenous region</t>
  </si>
  <si>
    <t>PA-6</t>
  </si>
  <si>
    <t>Herrera</t>
  </si>
  <si>
    <t>PA-KY</t>
  </si>
  <si>
    <t>Kuna Yala</t>
  </si>
  <si>
    <t>PA-7</t>
  </si>
  <si>
    <t>Los Santos</t>
  </si>
  <si>
    <t>PA-NB</t>
  </si>
  <si>
    <t>Ngöbe-Buglé</t>
  </si>
  <si>
    <t>PA-8</t>
  </si>
  <si>
    <t>Panamá</t>
  </si>
  <si>
    <t>PA-9</t>
  </si>
  <si>
    <t>Veraguas</t>
  </si>
  <si>
    <t>PG-NSB</t>
  </si>
  <si>
    <t>Bougainville</t>
  </si>
  <si>
    <t>PG-CPM</t>
  </si>
  <si>
    <t>PG-CPK</t>
  </si>
  <si>
    <t>Chimbu</t>
  </si>
  <si>
    <t>PG-EBR</t>
  </si>
  <si>
    <t>East New Britain</t>
  </si>
  <si>
    <t>PG-ESW</t>
  </si>
  <si>
    <t>East Sepik</t>
  </si>
  <si>
    <t>PG-EHG</t>
  </si>
  <si>
    <t>Eastern Highlands</t>
  </si>
  <si>
    <t>PG-EPW</t>
  </si>
  <si>
    <t>Enga</t>
  </si>
  <si>
    <t>PG-GPK</t>
  </si>
  <si>
    <t>Gulf</t>
  </si>
  <si>
    <t>PG-MPM</t>
  </si>
  <si>
    <t>Madang</t>
  </si>
  <si>
    <t>PG-MRL</t>
  </si>
  <si>
    <t>Manus</t>
  </si>
  <si>
    <t>PG-MBA</t>
  </si>
  <si>
    <t>Milne Bay</t>
  </si>
  <si>
    <t>PG-MPL</t>
  </si>
  <si>
    <t>Morobe</t>
  </si>
  <si>
    <t>PG-NCD</t>
  </si>
  <si>
    <t>National Capital District (Port Moresby)</t>
  </si>
  <si>
    <t>PG-NIK</t>
  </si>
  <si>
    <t>New Ireland</t>
  </si>
  <si>
    <t>PG-NPP</t>
  </si>
  <si>
    <t>PG-SAN</t>
  </si>
  <si>
    <t>Sandaun (West Sepik)</t>
  </si>
  <si>
    <t>PG-SHM</t>
  </si>
  <si>
    <t>Southern Highlands</t>
  </si>
  <si>
    <t>PG-WBK</t>
  </si>
  <si>
    <t>West New Britain</t>
  </si>
  <si>
    <t>PG-WPD</t>
  </si>
  <si>
    <t>PG-WHM</t>
  </si>
  <si>
    <t>Western Highlands</t>
  </si>
  <si>
    <t>PY-16</t>
  </si>
  <si>
    <t>Alto Paraguay</t>
  </si>
  <si>
    <t>PY-10</t>
  </si>
  <si>
    <t>Alto Paraná</t>
  </si>
  <si>
    <t>PY-13</t>
  </si>
  <si>
    <t>Amambay</t>
  </si>
  <si>
    <t>PY-ASU</t>
  </si>
  <si>
    <t>Asunción</t>
  </si>
  <si>
    <t>PY-19</t>
  </si>
  <si>
    <t>Boquerón</t>
  </si>
  <si>
    <t>PY-5</t>
  </si>
  <si>
    <t>Caaguazú</t>
  </si>
  <si>
    <t>PY-6</t>
  </si>
  <si>
    <t>Caazapá</t>
  </si>
  <si>
    <t>PY-14</t>
  </si>
  <si>
    <t>Canindeyú</t>
  </si>
  <si>
    <t>PY-11</t>
  </si>
  <si>
    <t>PY-1</t>
  </si>
  <si>
    <t>Concepción</t>
  </si>
  <si>
    <t>PY-3</t>
  </si>
  <si>
    <t>Cordillera</t>
  </si>
  <si>
    <t>PY-4</t>
  </si>
  <si>
    <t>Guairá</t>
  </si>
  <si>
    <t>PY-7</t>
  </si>
  <si>
    <t>Itapúa</t>
  </si>
  <si>
    <t>PY-8</t>
  </si>
  <si>
    <t>PY-9</t>
  </si>
  <si>
    <t>Paraguarí</t>
  </si>
  <si>
    <t>PY-15</t>
  </si>
  <si>
    <t>Presidente Hayes</t>
  </si>
  <si>
    <t>PY-2</t>
  </si>
  <si>
    <t>San Pedro</t>
  </si>
  <si>
    <t>PY-12</t>
  </si>
  <si>
    <t>Ñeembucú</t>
  </si>
  <si>
    <t>PE-AMA</t>
  </si>
  <si>
    <t>Amarumayu</t>
  </si>
  <si>
    <t>Amasunu</t>
  </si>
  <si>
    <t>PE-ANC</t>
  </si>
  <si>
    <t>Ancash</t>
  </si>
  <si>
    <t>Ankashu</t>
  </si>
  <si>
    <t>Anqash</t>
  </si>
  <si>
    <t>PE-APU</t>
  </si>
  <si>
    <t>Apurimaq</t>
  </si>
  <si>
    <t>Apurímac</t>
  </si>
  <si>
    <t>PE-ARE</t>
  </si>
  <si>
    <t>Arequipa</t>
  </si>
  <si>
    <t>Arikipa</t>
  </si>
  <si>
    <t>Ariqipa</t>
  </si>
  <si>
    <t>PE-AYA</t>
  </si>
  <si>
    <t>Ayacucho</t>
  </si>
  <si>
    <t>Ayakuchu</t>
  </si>
  <si>
    <t>Ayaquchu</t>
  </si>
  <si>
    <t>PE-CAJ</t>
  </si>
  <si>
    <t>Cajamarca</t>
  </si>
  <si>
    <t>PE-CUS</t>
  </si>
  <si>
    <t>Cusco [Cuzco]</t>
  </si>
  <si>
    <t>PE-CAL</t>
  </si>
  <si>
    <t>El Callao</t>
  </si>
  <si>
    <t>constitutional province</t>
  </si>
  <si>
    <t>PE-HUV</t>
  </si>
  <si>
    <t>Huancavelica</t>
  </si>
  <si>
    <t>PE-JUN</t>
  </si>
  <si>
    <t>Hunin</t>
  </si>
  <si>
    <t>PE-HUC</t>
  </si>
  <si>
    <t>Huánuco</t>
  </si>
  <si>
    <t>PE-ICA</t>
  </si>
  <si>
    <t>Ica</t>
  </si>
  <si>
    <t>Ika</t>
  </si>
  <si>
    <t>Junin</t>
  </si>
  <si>
    <t>Junín</t>
  </si>
  <si>
    <t>Kallao</t>
  </si>
  <si>
    <t>Kashamarka</t>
  </si>
  <si>
    <t>Kusku</t>
  </si>
  <si>
    <t>PE-LAL</t>
  </si>
  <si>
    <t>PE-LAM</t>
  </si>
  <si>
    <t>Lambayeque</t>
  </si>
  <si>
    <t>Lampalliqi</t>
  </si>
  <si>
    <t>PE-LIM</t>
  </si>
  <si>
    <t>Lima</t>
  </si>
  <si>
    <t>PE-LMA</t>
  </si>
  <si>
    <t>Lima hatun llaqta</t>
  </si>
  <si>
    <t>Lima llaqta suyu</t>
  </si>
  <si>
    <t>PE-LOR</t>
  </si>
  <si>
    <t>Loreto</t>
  </si>
  <si>
    <t>Luritu</t>
  </si>
  <si>
    <t>PE-MDD</t>
  </si>
  <si>
    <t>Madre de Dios</t>
  </si>
  <si>
    <t>Mayutata</t>
  </si>
  <si>
    <t>PE-MOQ</t>
  </si>
  <si>
    <t>Moquegua</t>
  </si>
  <si>
    <t>Moqwegwa</t>
  </si>
  <si>
    <t>Municipalidad Metropolitana de Lima</t>
  </si>
  <si>
    <t>Muqiwa</t>
  </si>
  <si>
    <t>PE-PAS</t>
  </si>
  <si>
    <t>Pasco</t>
  </si>
  <si>
    <t>Pasqu</t>
  </si>
  <si>
    <t>PE-PIU</t>
  </si>
  <si>
    <t>Piura</t>
  </si>
  <si>
    <t>Piwra</t>
  </si>
  <si>
    <t>PE-PUN</t>
  </si>
  <si>
    <t>Puno</t>
  </si>
  <si>
    <t>Punu</t>
  </si>
  <si>
    <t>Qajamarka</t>
  </si>
  <si>
    <t>Qallaw</t>
  </si>
  <si>
    <t>Qispi kay</t>
  </si>
  <si>
    <t>Qusqu</t>
  </si>
  <si>
    <t>PE-SAM</t>
  </si>
  <si>
    <t>San Martin</t>
  </si>
  <si>
    <t>San Martín</t>
  </si>
  <si>
    <t>PE-TAC</t>
  </si>
  <si>
    <t>Tacna</t>
  </si>
  <si>
    <t>Takna</t>
  </si>
  <si>
    <t>Taqna</t>
  </si>
  <si>
    <t>PE-TUM</t>
  </si>
  <si>
    <t>Tumbes</t>
  </si>
  <si>
    <t>Tumpis</t>
  </si>
  <si>
    <t>PE-UCA</t>
  </si>
  <si>
    <t>Ucayali</t>
  </si>
  <si>
    <t>Ukayali</t>
  </si>
  <si>
    <t>Wankawelika</t>
  </si>
  <si>
    <t>Wankawillka</t>
  </si>
  <si>
    <t>Wanuku</t>
  </si>
  <si>
    <t>PH-ABR</t>
  </si>
  <si>
    <t>Abra</t>
  </si>
  <si>
    <t>PH-AGN</t>
  </si>
  <si>
    <t>Agusan del Norte</t>
  </si>
  <si>
    <t>PH-AGS</t>
  </si>
  <si>
    <t>Agusan del Sur</t>
  </si>
  <si>
    <t>PH-AKL</t>
  </si>
  <si>
    <t>Aklan</t>
  </si>
  <si>
    <t>PH-ALB</t>
  </si>
  <si>
    <t>Albay</t>
  </si>
  <si>
    <t>PH-ANT</t>
  </si>
  <si>
    <t>Antike</t>
  </si>
  <si>
    <t>Antique</t>
  </si>
  <si>
    <t>PH-APA</t>
  </si>
  <si>
    <t>Apayao</t>
  </si>
  <si>
    <t>Apayaw</t>
  </si>
  <si>
    <t>PH-AUR</t>
  </si>
  <si>
    <t>Aurora</t>
  </si>
  <si>
    <t>PH-14</t>
  </si>
  <si>
    <t>Autonomous Region in Muslim Mindanao (ARMM)</t>
  </si>
  <si>
    <t>PH-BAS</t>
  </si>
  <si>
    <t>Basilan</t>
  </si>
  <si>
    <t>PH-BAN</t>
  </si>
  <si>
    <t>Bataan</t>
  </si>
  <si>
    <t>PH-BTN</t>
  </si>
  <si>
    <t>Batanes</t>
  </si>
  <si>
    <t>PH-BTG</t>
  </si>
  <si>
    <t>Batangas</t>
  </si>
  <si>
    <t>PH-BEN</t>
  </si>
  <si>
    <t>Benget</t>
  </si>
  <si>
    <t>Benguet</t>
  </si>
  <si>
    <t>PH-05</t>
  </si>
  <si>
    <t>Bicol (Region V)</t>
  </si>
  <si>
    <t>PH-BIL</t>
  </si>
  <si>
    <t>Biliran</t>
  </si>
  <si>
    <t>PH-BOH</t>
  </si>
  <si>
    <t>Bohol</t>
  </si>
  <si>
    <t>PH-BUK</t>
  </si>
  <si>
    <t>Bukidnon</t>
  </si>
  <si>
    <t>PH-BUL</t>
  </si>
  <si>
    <t>Bulacan</t>
  </si>
  <si>
    <t>Bulakan</t>
  </si>
  <si>
    <t>PH-40</t>
  </si>
  <si>
    <t>CALABARZON (Region IV-A)</t>
  </si>
  <si>
    <t>PH-CAG</t>
  </si>
  <si>
    <t>Cagayan</t>
  </si>
  <si>
    <t>PH-02</t>
  </si>
  <si>
    <t>Cagayan Valley (Region II)</t>
  </si>
  <si>
    <t>PH-CAN</t>
  </si>
  <si>
    <t>Camarines Norte</t>
  </si>
  <si>
    <t>PH-CAS</t>
  </si>
  <si>
    <t>Camarines Sur</t>
  </si>
  <si>
    <t>PH-CAM</t>
  </si>
  <si>
    <t>Camiguin</t>
  </si>
  <si>
    <t>PH-CAP</t>
  </si>
  <si>
    <t>Capiz</t>
  </si>
  <si>
    <t>PH-13</t>
  </si>
  <si>
    <t>Caraga (Region XIII)</t>
  </si>
  <si>
    <t>PH-CAT</t>
  </si>
  <si>
    <t>Catanduanes</t>
  </si>
  <si>
    <t>PH-CAV</t>
  </si>
  <si>
    <t>Cavite</t>
  </si>
  <si>
    <t>PH-CEB</t>
  </si>
  <si>
    <t>Cebu</t>
  </si>
  <si>
    <t>PH-03</t>
  </si>
  <si>
    <t>Central Luzon (Region III)</t>
  </si>
  <si>
    <t>PH-07</t>
  </si>
  <si>
    <t>Central Visayas (Region VII)</t>
  </si>
  <si>
    <t>PH-COM</t>
  </si>
  <si>
    <t>Compostela Valley</t>
  </si>
  <si>
    <t>PH-15</t>
  </si>
  <si>
    <t>Cordillera Administrative Region (CAR)</t>
  </si>
  <si>
    <t>PH-NCO</t>
  </si>
  <si>
    <t>Cotabato</t>
  </si>
  <si>
    <t>PH-11</t>
  </si>
  <si>
    <t>Davao (Region XI)</t>
  </si>
  <si>
    <t>PH-DAO</t>
  </si>
  <si>
    <t>Davao Oriental</t>
  </si>
  <si>
    <t>PH-DAV</t>
  </si>
  <si>
    <t>Davao del Norte</t>
  </si>
  <si>
    <t>PH-DAS</t>
  </si>
  <si>
    <t>Davao del Sur</t>
  </si>
  <si>
    <t>PH-DIN</t>
  </si>
  <si>
    <t>Dinagat Islands</t>
  </si>
  <si>
    <t>PH-EAS</t>
  </si>
  <si>
    <t>Eastern Samar</t>
  </si>
  <si>
    <t>PH-08</t>
  </si>
  <si>
    <t>Eastern Visayas (Region VIII)</t>
  </si>
  <si>
    <t>PH-GUI</t>
  </si>
  <si>
    <t>Gimaras</t>
  </si>
  <si>
    <t>Guimaras</t>
  </si>
  <si>
    <t>Hilagang Agusan</t>
  </si>
  <si>
    <t>Hilagang Dabaw</t>
  </si>
  <si>
    <t>PH-ILN</t>
  </si>
  <si>
    <t>Hilagang Iloko</t>
  </si>
  <si>
    <t>Hilagang Kamarines</t>
  </si>
  <si>
    <t>PH-LAN</t>
  </si>
  <si>
    <t>Hilagang Lanaw</t>
  </si>
  <si>
    <t>PH-NSA</t>
  </si>
  <si>
    <t>Hilagang Samar</t>
  </si>
  <si>
    <t>PH-ZAN</t>
  </si>
  <si>
    <t>Hilagang Sambuwangga</t>
  </si>
  <si>
    <t>PH-SUN</t>
  </si>
  <si>
    <t>Hilagang Surigaw</t>
  </si>
  <si>
    <t>PH-IFU</t>
  </si>
  <si>
    <t>Ifugao</t>
  </si>
  <si>
    <t>PH-01</t>
  </si>
  <si>
    <t>Ilocos (Region I)</t>
  </si>
  <si>
    <t>Ilocos Norte</t>
  </si>
  <si>
    <t>PH-ILS</t>
  </si>
  <si>
    <t>Ilocos Sur</t>
  </si>
  <si>
    <t>PH-ILI</t>
  </si>
  <si>
    <t>Iloilo</t>
  </si>
  <si>
    <t>Ipugaw</t>
  </si>
  <si>
    <t>PH-ISA</t>
  </si>
  <si>
    <t>Isabela</t>
  </si>
  <si>
    <t>Kabite</t>
  </si>
  <si>
    <t>Kagayan</t>
  </si>
  <si>
    <t>PH-KAL</t>
  </si>
  <si>
    <t>Kalinga</t>
  </si>
  <si>
    <t>Kamigin</t>
  </si>
  <si>
    <t>PH-MDC</t>
  </si>
  <si>
    <t>Kanlurang Mindoro</t>
  </si>
  <si>
    <t>PH-MSC</t>
  </si>
  <si>
    <t>Kanlurang Misamis</t>
  </si>
  <si>
    <t>PH-NEC</t>
  </si>
  <si>
    <t>Kanlurang Negros</t>
  </si>
  <si>
    <t>Kapis</t>
  </si>
  <si>
    <t>Katanduwanes</t>
  </si>
  <si>
    <t>PH-SLE</t>
  </si>
  <si>
    <t>Katimogang Leyte</t>
  </si>
  <si>
    <t>PH-QUE</t>
  </si>
  <si>
    <t>Keson</t>
  </si>
  <si>
    <t>PH-QUI</t>
  </si>
  <si>
    <t>Kirino</t>
  </si>
  <si>
    <t>Kotabato</t>
  </si>
  <si>
    <t>PH-LUN</t>
  </si>
  <si>
    <t>La Union</t>
  </si>
  <si>
    <t>La Unyon</t>
  </si>
  <si>
    <t>PH-LAG</t>
  </si>
  <si>
    <t>Laguna</t>
  </si>
  <si>
    <t>PH-MOU</t>
  </si>
  <si>
    <t>Lalawigang Bulubundukin</t>
  </si>
  <si>
    <t>Lambak ng Kompostela</t>
  </si>
  <si>
    <t>Lanao del Norte</t>
  </si>
  <si>
    <t>PH-LAS</t>
  </si>
  <si>
    <t>Lanao del Sur</t>
  </si>
  <si>
    <t>PH-LEY</t>
  </si>
  <si>
    <t>Leyte</t>
  </si>
  <si>
    <t>PH-41</t>
  </si>
  <si>
    <t>MIMAROPA (Region IV-B)</t>
  </si>
  <si>
    <t>PH-MAG</t>
  </si>
  <si>
    <t>Magindanaw</t>
  </si>
  <si>
    <t>Maguindanao</t>
  </si>
  <si>
    <t>PH-MAD</t>
  </si>
  <si>
    <t>Marinduke</t>
  </si>
  <si>
    <t>Marinduque</t>
  </si>
  <si>
    <t>PH-MAS</t>
  </si>
  <si>
    <t>Masbate</t>
  </si>
  <si>
    <t>Mindoro Occidental</t>
  </si>
  <si>
    <t>PH-MDR</t>
  </si>
  <si>
    <t>Mindoro Oriental</t>
  </si>
  <si>
    <t>Misamis Occidental</t>
  </si>
  <si>
    <t>PH-MSR</t>
  </si>
  <si>
    <t>Misamis Oriental</t>
  </si>
  <si>
    <t>Mountain Province</t>
  </si>
  <si>
    <t>Nagsasariling Rehiyon ng Muslim sa Mindanaw</t>
  </si>
  <si>
    <t>PH-00</t>
  </si>
  <si>
    <t>National Capital Region</t>
  </si>
  <si>
    <t>Negros Occidental</t>
  </si>
  <si>
    <t>PH-NER</t>
  </si>
  <si>
    <t>Negros Oriental</t>
  </si>
  <si>
    <t>PH-10</t>
  </si>
  <si>
    <t>Northern Mindanao (Region X)</t>
  </si>
  <si>
    <t>Northern Samar</t>
  </si>
  <si>
    <t>PH-NUE</t>
  </si>
  <si>
    <t>Nueva Ecija</t>
  </si>
  <si>
    <t>PH-NUV</t>
  </si>
  <si>
    <t>Nueva Vizcaya</t>
  </si>
  <si>
    <t>Nuweva Biskaya</t>
  </si>
  <si>
    <t>Nuweva Esiha</t>
  </si>
  <si>
    <t>PH-PLW</t>
  </si>
  <si>
    <t>Palawan</t>
  </si>
  <si>
    <t>Pambansang Punong Rehiyon</t>
  </si>
  <si>
    <t>PH-PAM</t>
  </si>
  <si>
    <t>Pampanga</t>
  </si>
  <si>
    <t>PH-PAN</t>
  </si>
  <si>
    <t>Pangasinan</t>
  </si>
  <si>
    <t>Pulo ng Dinagat</t>
  </si>
  <si>
    <t>Quezon</t>
  </si>
  <si>
    <t>Quirino</t>
  </si>
  <si>
    <t>Rehiyon ng Administratibo ng Kordilyera</t>
  </si>
  <si>
    <t>Rehiyon ng Bikol</t>
  </si>
  <si>
    <t>Rehiyon ng CALABARZON</t>
  </si>
  <si>
    <t>Rehiyon ng Dabaw</t>
  </si>
  <si>
    <t>Rehiyon ng Gitnang Bisaya</t>
  </si>
  <si>
    <t>Rehiyon ng Gitnang Luson</t>
  </si>
  <si>
    <t>Rehiyon ng Hilagang Mindanaw</t>
  </si>
  <si>
    <t>Rehiyon ng Iloko</t>
  </si>
  <si>
    <t>PH-06</t>
  </si>
  <si>
    <t>Rehiyon ng Kanlurang Bisaya</t>
  </si>
  <si>
    <t>Rehiyon ng Karaga</t>
  </si>
  <si>
    <t>Rehiyon ng Lambak ng Kagayan</t>
  </si>
  <si>
    <t>Rehiyon ng MIMAROPA</t>
  </si>
  <si>
    <t>Rehiyon ng Silangang Bisaya</t>
  </si>
  <si>
    <t>PH-12</t>
  </si>
  <si>
    <t>Rehiyon ng Soccsksargen</t>
  </si>
  <si>
    <t>PH-09</t>
  </si>
  <si>
    <t>Rehiyon ng Tangway ng Sambuwangga</t>
  </si>
  <si>
    <t>PH-RIZ</t>
  </si>
  <si>
    <t>Risal</t>
  </si>
  <si>
    <t>Rizal</t>
  </si>
  <si>
    <t>PH-ROM</t>
  </si>
  <si>
    <t>Romblon</t>
  </si>
  <si>
    <t>PH-WSA</t>
  </si>
  <si>
    <t>Samar</t>
  </si>
  <si>
    <t>Samar (Western Samar)</t>
  </si>
  <si>
    <t>PH-ZMB</t>
  </si>
  <si>
    <t>Sambales</t>
  </si>
  <si>
    <t>PH-ZSI</t>
  </si>
  <si>
    <t>Sambuwangga Sibugay</t>
  </si>
  <si>
    <t>PH-SAR</t>
  </si>
  <si>
    <t>Sarangani</t>
  </si>
  <si>
    <t>Sebu</t>
  </si>
  <si>
    <t>PH-SIG</t>
  </si>
  <si>
    <t>Sikihor</t>
  </si>
  <si>
    <t>Silangang Dabaw</t>
  </si>
  <si>
    <t>Silangang Mindoro</t>
  </si>
  <si>
    <t>Silangang Misamis</t>
  </si>
  <si>
    <t>Silangang Negros</t>
  </si>
  <si>
    <t>Silangang Samar</t>
  </si>
  <si>
    <t>Siquijor</t>
  </si>
  <si>
    <t>Soccsksargen (Region XII)</t>
  </si>
  <si>
    <t>PH-SOR</t>
  </si>
  <si>
    <t>Sorsogon</t>
  </si>
  <si>
    <t>PH-SCO</t>
  </si>
  <si>
    <t>South Cotabato</t>
  </si>
  <si>
    <t>Southern Leyte</t>
  </si>
  <si>
    <t>PH-SUK</t>
  </si>
  <si>
    <t>Sultan Kudarat</t>
  </si>
  <si>
    <t>PH-SLU</t>
  </si>
  <si>
    <t>Sulu</t>
  </si>
  <si>
    <t>Surigao del Norte</t>
  </si>
  <si>
    <t>PH-SUR</t>
  </si>
  <si>
    <t>Surigao del Sur</t>
  </si>
  <si>
    <t>PH-TAR</t>
  </si>
  <si>
    <t>Tarlac</t>
  </si>
  <si>
    <t>Tarlak</t>
  </si>
  <si>
    <t>PH-TAW</t>
  </si>
  <si>
    <t>Tawi-Tawi</t>
  </si>
  <si>
    <t>Timog Agusan</t>
  </si>
  <si>
    <t>Timog Dabaw</t>
  </si>
  <si>
    <t>Timog Iloko</t>
  </si>
  <si>
    <t>Timog Kamarines</t>
  </si>
  <si>
    <t>Timog Kotabato</t>
  </si>
  <si>
    <t>Timog Lanaw</t>
  </si>
  <si>
    <t>PH-ZAS</t>
  </si>
  <si>
    <t>Timog Sambuwangga</t>
  </si>
  <si>
    <t>Timog Surigaw</t>
  </si>
  <si>
    <t>Western Visayas (Region VI)</t>
  </si>
  <si>
    <t>Zambales</t>
  </si>
  <si>
    <t>Zamboanga Peninsula (Region IX)</t>
  </si>
  <si>
    <t>Zamboanga Sibugay</t>
  </si>
  <si>
    <t>Zamboanga del Norte</t>
  </si>
  <si>
    <t>Zamboanga del Sur</t>
  </si>
  <si>
    <t>PL-DS</t>
  </si>
  <si>
    <t>Dolnośląskie</t>
  </si>
  <si>
    <t>PL-KP</t>
  </si>
  <si>
    <t>Kujawsko-pomorskie</t>
  </si>
  <si>
    <t>PL-LU</t>
  </si>
  <si>
    <t>Lubelskie</t>
  </si>
  <si>
    <t>PL-LB</t>
  </si>
  <si>
    <t>Lubuskie</t>
  </si>
  <si>
    <t>PL-MZ</t>
  </si>
  <si>
    <t>Mazowieckie</t>
  </si>
  <si>
    <t>PL-MA</t>
  </si>
  <si>
    <t>Małopolskie</t>
  </si>
  <si>
    <t>PL-OP</t>
  </si>
  <si>
    <t>Opolskie</t>
  </si>
  <si>
    <t>PL-PK</t>
  </si>
  <si>
    <t>Podkarpackie</t>
  </si>
  <si>
    <t>PL-PD</t>
  </si>
  <si>
    <t>Podlaskie</t>
  </si>
  <si>
    <t>PL-PM</t>
  </si>
  <si>
    <t>Pomorskie</t>
  </si>
  <si>
    <t>PL-WN</t>
  </si>
  <si>
    <t>Warmińsko-mazurskie</t>
  </si>
  <si>
    <t>PL-WP</t>
  </si>
  <si>
    <t>Wielkopolskie</t>
  </si>
  <si>
    <t>PL-ZP</t>
  </si>
  <si>
    <t>Zachodniopomorskie</t>
  </si>
  <si>
    <t>PL-LD</t>
  </si>
  <si>
    <t>Łódzkie</t>
  </si>
  <si>
    <t>PL-SL</t>
  </si>
  <si>
    <t>Śląskie</t>
  </si>
  <si>
    <t>PL-SK</t>
  </si>
  <si>
    <t>Świętokrzyskie</t>
  </si>
  <si>
    <t>PT-01</t>
  </si>
  <si>
    <t>Aveiro</t>
  </si>
  <si>
    <t>PT-02</t>
  </si>
  <si>
    <t>Beja</t>
  </si>
  <si>
    <t>PT-03</t>
  </si>
  <si>
    <t>Braga</t>
  </si>
  <si>
    <t>PT-04</t>
  </si>
  <si>
    <t>Bragança</t>
  </si>
  <si>
    <t>PT-05</t>
  </si>
  <si>
    <t>Castelo Branco</t>
  </si>
  <si>
    <t>PT-06</t>
  </si>
  <si>
    <t>Coimbra</t>
  </si>
  <si>
    <t>PT-08</t>
  </si>
  <si>
    <t>Faro</t>
  </si>
  <si>
    <t>PT-09</t>
  </si>
  <si>
    <t>Guarda</t>
  </si>
  <si>
    <t>PT-10</t>
  </si>
  <si>
    <t>Leiria</t>
  </si>
  <si>
    <t>PT-11</t>
  </si>
  <si>
    <t>Lisboa</t>
  </si>
  <si>
    <t>PT-12</t>
  </si>
  <si>
    <t>Portalegre</t>
  </si>
  <si>
    <t>PT-13</t>
  </si>
  <si>
    <t>Porto</t>
  </si>
  <si>
    <t>PT-30</t>
  </si>
  <si>
    <t>Região Autónoma da Madeira</t>
  </si>
  <si>
    <t>PT-20</t>
  </si>
  <si>
    <t>Região Autónoma dos Açores</t>
  </si>
  <si>
    <t>PT-14</t>
  </si>
  <si>
    <t>Santarém</t>
  </si>
  <si>
    <t>PT-15</t>
  </si>
  <si>
    <t>Setúbal</t>
  </si>
  <si>
    <t>PT-16</t>
  </si>
  <si>
    <t>Viana do Castelo</t>
  </si>
  <si>
    <t>PT-17</t>
  </si>
  <si>
    <t>Vila Real</t>
  </si>
  <si>
    <t>PT-18</t>
  </si>
  <si>
    <t>Viseu</t>
  </si>
  <si>
    <t>PT-07</t>
  </si>
  <si>
    <t>Évora</t>
  </si>
  <si>
    <t>QA-DA</t>
  </si>
  <si>
    <t>Ad Dawḩah</t>
  </si>
  <si>
    <t>QA-KH</t>
  </si>
  <si>
    <t>Al Khawr wa adh Dhakhīrah</t>
  </si>
  <si>
    <t>QA-WA</t>
  </si>
  <si>
    <t>Al Wakrah</t>
  </si>
  <si>
    <t>QA-RA</t>
  </si>
  <si>
    <t>Ar Rayyān</t>
  </si>
  <si>
    <t>QA-MS</t>
  </si>
  <si>
    <t>Ash Shamāl</t>
  </si>
  <si>
    <t>QA-ZA</t>
  </si>
  <si>
    <t>Az̧ ''n</t>
  </si>
  <si>
    <t>QA-US</t>
  </si>
  <si>
    <t>Umm Şalāl</t>
  </si>
  <si>
    <t>RO-AB</t>
  </si>
  <si>
    <t>Alba</t>
  </si>
  <si>
    <t>RO-AR</t>
  </si>
  <si>
    <t>Arad</t>
  </si>
  <si>
    <t>RO-AG</t>
  </si>
  <si>
    <t>Argeş</t>
  </si>
  <si>
    <t>RO-BC</t>
  </si>
  <si>
    <t>Bacău</t>
  </si>
  <si>
    <t>RO-BH</t>
  </si>
  <si>
    <t>Bihor</t>
  </si>
  <si>
    <t>RO-BN</t>
  </si>
  <si>
    <t>Bistriţa-Năsăud</t>
  </si>
  <si>
    <t>RO-BT</t>
  </si>
  <si>
    <t>Botoşani</t>
  </si>
  <si>
    <t>RO-BV</t>
  </si>
  <si>
    <t>Braşov</t>
  </si>
  <si>
    <t>RO-BR</t>
  </si>
  <si>
    <t>Brăila</t>
  </si>
  <si>
    <t>RO-B</t>
  </si>
  <si>
    <t>Bucureşti</t>
  </si>
  <si>
    <t>RO-BZ</t>
  </si>
  <si>
    <t>Buzău</t>
  </si>
  <si>
    <t>RO-CS</t>
  </si>
  <si>
    <t>Caraş-Severin</t>
  </si>
  <si>
    <t>RO-CJ</t>
  </si>
  <si>
    <t>Cluj</t>
  </si>
  <si>
    <t>RO-CT</t>
  </si>
  <si>
    <t>Constanţa</t>
  </si>
  <si>
    <t>RO-CV</t>
  </si>
  <si>
    <t>Covasna</t>
  </si>
  <si>
    <t>RO-CL</t>
  </si>
  <si>
    <t>RO-DJ</t>
  </si>
  <si>
    <t>Dolj</t>
  </si>
  <si>
    <t>RO-DB</t>
  </si>
  <si>
    <t>Dâmboviţa</t>
  </si>
  <si>
    <t>RO-GL</t>
  </si>
  <si>
    <t>Galaţi</t>
  </si>
  <si>
    <t>RO-GR</t>
  </si>
  <si>
    <t>Giurgiu</t>
  </si>
  <si>
    <t>RO-GJ</t>
  </si>
  <si>
    <t>Gorj</t>
  </si>
  <si>
    <t>RO-HR</t>
  </si>
  <si>
    <t>Harghita</t>
  </si>
  <si>
    <t>RO-HD</t>
  </si>
  <si>
    <t>Hunedoara</t>
  </si>
  <si>
    <t>RO-IL</t>
  </si>
  <si>
    <t>Ialomiţa</t>
  </si>
  <si>
    <t>RO-IS</t>
  </si>
  <si>
    <t>Iaşi</t>
  </si>
  <si>
    <t>RO-IF</t>
  </si>
  <si>
    <t>Ilfov</t>
  </si>
  <si>
    <t>RO-MM</t>
  </si>
  <si>
    <t>Maramureş</t>
  </si>
  <si>
    <t>RO-MH</t>
  </si>
  <si>
    <t>Mehedinţi</t>
  </si>
  <si>
    <t>RO-MS</t>
  </si>
  <si>
    <t>Mureş</t>
  </si>
  <si>
    <t>RO-NT</t>
  </si>
  <si>
    <t>Neamţ</t>
  </si>
  <si>
    <t>RO-OT</t>
  </si>
  <si>
    <t>Olt</t>
  </si>
  <si>
    <t>RO-PH</t>
  </si>
  <si>
    <t>Prahova</t>
  </si>
  <si>
    <t>RO-SM</t>
  </si>
  <si>
    <t>Satu Mare</t>
  </si>
  <si>
    <t>RO-SB</t>
  </si>
  <si>
    <t>Sibiu</t>
  </si>
  <si>
    <t>RO-SV</t>
  </si>
  <si>
    <t>Suceava</t>
  </si>
  <si>
    <t>RO-SJ</t>
  </si>
  <si>
    <t>Sălaj</t>
  </si>
  <si>
    <t>RO-TR</t>
  </si>
  <si>
    <t>Teleorman</t>
  </si>
  <si>
    <t>RO-TM</t>
  </si>
  <si>
    <t>Timiş</t>
  </si>
  <si>
    <t>RO-TL</t>
  </si>
  <si>
    <t>Tulcea</t>
  </si>
  <si>
    <t>RO-VS</t>
  </si>
  <si>
    <t>Vaslui</t>
  </si>
  <si>
    <t>RO-VN</t>
  </si>
  <si>
    <t>Vrancea</t>
  </si>
  <si>
    <t>RO-VL</t>
  </si>
  <si>
    <t>Vâlcea</t>
  </si>
  <si>
    <t>RU-AD</t>
  </si>
  <si>
    <t>Adygeya, Respublika</t>
  </si>
  <si>
    <t>republic</t>
  </si>
  <si>
    <t>RU-AL</t>
  </si>
  <si>
    <t>Altay, Respublika</t>
  </si>
  <si>
    <t>RU-ALT</t>
  </si>
  <si>
    <t>Altayskiy kray</t>
  </si>
  <si>
    <t>administrative territory</t>
  </si>
  <si>
    <t>RU-AMU</t>
  </si>
  <si>
    <t>Amurskaya oblast'</t>
  </si>
  <si>
    <t>RU-ARK</t>
  </si>
  <si>
    <t>Arkhangel'skaya oblast'</t>
  </si>
  <si>
    <t>RU-AST</t>
  </si>
  <si>
    <t>Astrakhanskaya oblast'</t>
  </si>
  <si>
    <t>RU-BA</t>
  </si>
  <si>
    <t>Bashkortostan, Respublika</t>
  </si>
  <si>
    <t>RU-BEL</t>
  </si>
  <si>
    <t>Belgorodskaya oblast'</t>
  </si>
  <si>
    <t>RU-BRY</t>
  </si>
  <si>
    <t>Bryanskaya oblast'</t>
  </si>
  <si>
    <t>RU-BU</t>
  </si>
  <si>
    <t>Buryatiya, Respublika</t>
  </si>
  <si>
    <t>RU-CE</t>
  </si>
  <si>
    <t>Chechenskaya Respublika</t>
  </si>
  <si>
    <t>RU-CHE</t>
  </si>
  <si>
    <t>Chelyabinskaya oblast'</t>
  </si>
  <si>
    <t>RU-CHU</t>
  </si>
  <si>
    <t>Chukotskiy avtonomnyy okrug</t>
  </si>
  <si>
    <t>autonomous district</t>
  </si>
  <si>
    <t>RU-CU</t>
  </si>
  <si>
    <t>Chuvashskaya Respublika</t>
  </si>
  <si>
    <t>RU-DA</t>
  </si>
  <si>
    <t>Dagestan, Respublika</t>
  </si>
  <si>
    <t>RU-IN</t>
  </si>
  <si>
    <t>Ingushetiya, Respublika</t>
  </si>
  <si>
    <t>RU-IRK</t>
  </si>
  <si>
    <t>Irkutskaya oblast'</t>
  </si>
  <si>
    <t>RU-IVA</t>
  </si>
  <si>
    <t>Ivanovskaya oblast'</t>
  </si>
  <si>
    <t>RU-KB</t>
  </si>
  <si>
    <t>Kabardino-Balkarskaya Respublika</t>
  </si>
  <si>
    <t>RU-KGD</t>
  </si>
  <si>
    <t>Kaliningradskaya oblast'</t>
  </si>
  <si>
    <t>RU-KL</t>
  </si>
  <si>
    <t>Kalmykiya, Respublika</t>
  </si>
  <si>
    <t>RU-KLU</t>
  </si>
  <si>
    <t>Kaluzhskaya oblast'</t>
  </si>
  <si>
    <t>RU-KAM</t>
  </si>
  <si>
    <t>Kamchatskiy kray</t>
  </si>
  <si>
    <t>RU-KC</t>
  </si>
  <si>
    <t>Karachayevo-Cherkesskaya Respublika</t>
  </si>
  <si>
    <t>RU-KR</t>
  </si>
  <si>
    <t>Kareliya, Respublika</t>
  </si>
  <si>
    <t>RU-KEM</t>
  </si>
  <si>
    <t>Kemerovskaya oblast'</t>
  </si>
  <si>
    <t>RU-KHA</t>
  </si>
  <si>
    <t>Khabarovskiy kray</t>
  </si>
  <si>
    <t>RU-KK</t>
  </si>
  <si>
    <t>Khakasiya, Respublika</t>
  </si>
  <si>
    <t>RU-KHM</t>
  </si>
  <si>
    <t>Khanty-Mansiyskiy avtonomnyy okrug-Yugra</t>
  </si>
  <si>
    <t>RU-KIR</t>
  </si>
  <si>
    <t>Kirovskaya oblast'</t>
  </si>
  <si>
    <t>RU-KO</t>
  </si>
  <si>
    <t>Komi, Respublika</t>
  </si>
  <si>
    <t>RU-KOS</t>
  </si>
  <si>
    <t>Kostromskaya oblast'</t>
  </si>
  <si>
    <t>RU-KDA</t>
  </si>
  <si>
    <t>Krasnodarskiy kray</t>
  </si>
  <si>
    <t>RU-KYA</t>
  </si>
  <si>
    <t>Krasnoyarskiy kray</t>
  </si>
  <si>
    <t>RU-KGN</t>
  </si>
  <si>
    <t>Kurganskaya oblast'</t>
  </si>
  <si>
    <t>RU-KRS</t>
  </si>
  <si>
    <t>Kurskaya oblast'</t>
  </si>
  <si>
    <t>RU-LEN</t>
  </si>
  <si>
    <t>Leningradskaya oblast'</t>
  </si>
  <si>
    <t>RU-LIP</t>
  </si>
  <si>
    <t>Lipetskaya oblast'</t>
  </si>
  <si>
    <t>RU-MAG</t>
  </si>
  <si>
    <t>Magadanskaya oblast'</t>
  </si>
  <si>
    <t>RU-ME</t>
  </si>
  <si>
    <t>Mariy El, Respublika</t>
  </si>
  <si>
    <t>RU-MO</t>
  </si>
  <si>
    <t>Mordoviya, Respublika</t>
  </si>
  <si>
    <t>RU-MOS</t>
  </si>
  <si>
    <t>Moskovskaya oblast'</t>
  </si>
  <si>
    <t>RU-MOW</t>
  </si>
  <si>
    <t>Moskva</t>
  </si>
  <si>
    <t>autonomous city</t>
  </si>
  <si>
    <t>RU-MUR</t>
  </si>
  <si>
    <t>Murmanskaya oblast'</t>
  </si>
  <si>
    <t>RU-NEN</t>
  </si>
  <si>
    <t>Nenetskiy avtonomnyy okrug</t>
  </si>
  <si>
    <t>RU-NIZ</t>
  </si>
  <si>
    <t>Nizhegorodskaya oblast'</t>
  </si>
  <si>
    <t>RU-NGR</t>
  </si>
  <si>
    <t>Novgorodskaya oblast'</t>
  </si>
  <si>
    <t>RU-NVS</t>
  </si>
  <si>
    <t>Novosibirskaya oblast'</t>
  </si>
  <si>
    <t>RU-OMS</t>
  </si>
  <si>
    <t>Omskaya oblast'</t>
  </si>
  <si>
    <t>RU-ORE</t>
  </si>
  <si>
    <t>Orenburgskaya oblast'</t>
  </si>
  <si>
    <t>RU-ORL</t>
  </si>
  <si>
    <t>Orlovskaya oblast'</t>
  </si>
  <si>
    <t>RU-PNZ</t>
  </si>
  <si>
    <t>Penzenskaya oblast'</t>
  </si>
  <si>
    <t>RU-PER</t>
  </si>
  <si>
    <t>Permskiy kray</t>
  </si>
  <si>
    <t>RU-PRI</t>
  </si>
  <si>
    <t>Primorskij kraj</t>
  </si>
  <si>
    <t>Primorskiy kray</t>
  </si>
  <si>
    <t>RU-PSK</t>
  </si>
  <si>
    <t>Pskovskaja oblast'</t>
  </si>
  <si>
    <t>Pskovskaya oblast'</t>
  </si>
  <si>
    <t>RU-ROS</t>
  </si>
  <si>
    <t>Rostovskaja oblast'</t>
  </si>
  <si>
    <t>Rostovskaya oblast'</t>
  </si>
  <si>
    <t>RU-RYA</t>
  </si>
  <si>
    <t>Ryazanskaya oblast'</t>
  </si>
  <si>
    <t>RU-SA</t>
  </si>
  <si>
    <t>Sakha, Respublika</t>
  </si>
  <si>
    <t>RU-SAK</t>
  </si>
  <si>
    <t>Sakhalinskaya oblast'</t>
  </si>
  <si>
    <t>RU-SAM</t>
  </si>
  <si>
    <t>Samarskaya oblast'</t>
  </si>
  <si>
    <t>RU-SPE</t>
  </si>
  <si>
    <t>Sankt-Peterburg</t>
  </si>
  <si>
    <t>RU-SAR</t>
  </si>
  <si>
    <t>Saratovskaya oblast'</t>
  </si>
  <si>
    <t>RU-SE</t>
  </si>
  <si>
    <t>Severnaya Osetiya- Alaniya, Respublika</t>
  </si>
  <si>
    <t>RU-SMO</t>
  </si>
  <si>
    <t>Smolenskaya oblast'</t>
  </si>
  <si>
    <t>RU-STA</t>
  </si>
  <si>
    <t>Stavropol'skiy kray</t>
  </si>
  <si>
    <t>RU-SVE</t>
  </si>
  <si>
    <t>Sverdlovskaya oblast'</t>
  </si>
  <si>
    <t>RU-TAM</t>
  </si>
  <si>
    <t>Tambovskaya oblast'</t>
  </si>
  <si>
    <t>RU-TA</t>
  </si>
  <si>
    <t>Tatarstan, Respublika</t>
  </si>
  <si>
    <t>RU-TOM</t>
  </si>
  <si>
    <t>Tomskaya oblast'</t>
  </si>
  <si>
    <t>RU-TUL</t>
  </si>
  <si>
    <t>Tul'skaya oblast'</t>
  </si>
  <si>
    <t>RU-TVE</t>
  </si>
  <si>
    <t>Tverskaya oblast'</t>
  </si>
  <si>
    <t>RU-TYU</t>
  </si>
  <si>
    <t>Tyumenskaya oblast'</t>
  </si>
  <si>
    <t>RU-TY</t>
  </si>
  <si>
    <t>Tyva, Respublika [Tuva]</t>
  </si>
  <si>
    <t>RU-UD</t>
  </si>
  <si>
    <t>Udmurtskaya Respublika</t>
  </si>
  <si>
    <t>RU-ULY</t>
  </si>
  <si>
    <t>Ul'yanovskaya oblast'</t>
  </si>
  <si>
    <t>RU-VLA</t>
  </si>
  <si>
    <t>Vladimirskaya oblast'</t>
  </si>
  <si>
    <t>RU-VGG</t>
  </si>
  <si>
    <t>Volgogradskaya oblast'</t>
  </si>
  <si>
    <t>RU-VLG</t>
  </si>
  <si>
    <t>Vologodskaya oblast'</t>
  </si>
  <si>
    <t>RU-VOR</t>
  </si>
  <si>
    <t>Voronezhskaya oblast'</t>
  </si>
  <si>
    <t>RU-YAN</t>
  </si>
  <si>
    <t>Yamalo-Nenetskiy avtonomnyy okrug</t>
  </si>
  <si>
    <t>RU-YAR</t>
  </si>
  <si>
    <t>Yaroslavskaya oblast'</t>
  </si>
  <si>
    <t>RU-YEV</t>
  </si>
  <si>
    <t>Yevreyskaya avtonomnaya oblast'</t>
  </si>
  <si>
    <t>RU-ZAB</t>
  </si>
  <si>
    <t>Zabaykal'skiy kray</t>
  </si>
  <si>
    <t>RW-02</t>
  </si>
  <si>
    <t>RW-03</t>
  </si>
  <si>
    <t>RW-04</t>
  </si>
  <si>
    <t>RW-05</t>
  </si>
  <si>
    <t>RW-01</t>
  </si>
  <si>
    <t>Ville de Kigal</t>
  </si>
  <si>
    <t>town council</t>
  </si>
  <si>
    <t>Ville de Kigali</t>
  </si>
  <si>
    <t>SH-AC</t>
  </si>
  <si>
    <t>Ascension</t>
  </si>
  <si>
    <t>geographical entity</t>
  </si>
  <si>
    <t>SH-HL</t>
  </si>
  <si>
    <t>Saint Helena</t>
  </si>
  <si>
    <t>SH-TA</t>
  </si>
  <si>
    <t>Tristan da Cunha</t>
  </si>
  <si>
    <t>KN-01</t>
  </si>
  <si>
    <t>Christ Church Nichola Town</t>
  </si>
  <si>
    <t>KN-N</t>
  </si>
  <si>
    <t>Nevis</t>
  </si>
  <si>
    <t>KN-02</t>
  </si>
  <si>
    <t>Saint Anne Sandy Point</t>
  </si>
  <si>
    <t>KN-03</t>
  </si>
  <si>
    <t>Saint George Basseterre</t>
  </si>
  <si>
    <t>KN-04</t>
  </si>
  <si>
    <t>Saint George Gingerland</t>
  </si>
  <si>
    <t>KN-05</t>
  </si>
  <si>
    <t>Saint James Windward</t>
  </si>
  <si>
    <t>KN-06</t>
  </si>
  <si>
    <t>Saint John Capisterre</t>
  </si>
  <si>
    <t>KN-07</t>
  </si>
  <si>
    <t>Saint John Figtree</t>
  </si>
  <si>
    <t>KN-K</t>
  </si>
  <si>
    <t>Saint Kitts</t>
  </si>
  <si>
    <t>KN-08</t>
  </si>
  <si>
    <t>Saint Mary Cayon</t>
  </si>
  <si>
    <t>KN-09</t>
  </si>
  <si>
    <t>Saint Paul Capisterre</t>
  </si>
  <si>
    <t>KN-10</t>
  </si>
  <si>
    <t>Saint Paul Charlestown</t>
  </si>
  <si>
    <t>KN-11</t>
  </si>
  <si>
    <t>Saint Peter Basseterre</t>
  </si>
  <si>
    <t>KN-12</t>
  </si>
  <si>
    <t>Saint Thomas Lowland</t>
  </si>
  <si>
    <t>KN-13</t>
  </si>
  <si>
    <t>Saint Thomas Middle Island</t>
  </si>
  <si>
    <t>KN-15</t>
  </si>
  <si>
    <t>Trinity Palmetto Point</t>
  </si>
  <si>
    <t>LC-01</t>
  </si>
  <si>
    <t>Anse la Raye</t>
  </si>
  <si>
    <t>quarter</t>
  </si>
  <si>
    <t>LC-02</t>
  </si>
  <si>
    <t>Castries</t>
  </si>
  <si>
    <t>LC-03</t>
  </si>
  <si>
    <t>Choiseul</t>
  </si>
  <si>
    <t>LC-04</t>
  </si>
  <si>
    <t>Dauphin</t>
  </si>
  <si>
    <t>LC-05</t>
  </si>
  <si>
    <t>Dennery</t>
  </si>
  <si>
    <t>LC-06</t>
  </si>
  <si>
    <t>Gros Islet</t>
  </si>
  <si>
    <t>LC-07</t>
  </si>
  <si>
    <t>Laborie</t>
  </si>
  <si>
    <t>LC-08</t>
  </si>
  <si>
    <t>Micoud</t>
  </si>
  <si>
    <t>LC-09</t>
  </si>
  <si>
    <t>Praslin</t>
  </si>
  <si>
    <t>LC-10</t>
  </si>
  <si>
    <t>Soufrière</t>
  </si>
  <si>
    <t>LC-11</t>
  </si>
  <si>
    <t>Vieux Fort</t>
  </si>
  <si>
    <t>VC-01</t>
  </si>
  <si>
    <t>Charlotte</t>
  </si>
  <si>
    <t>VC-06</t>
  </si>
  <si>
    <t>Grenadines</t>
  </si>
  <si>
    <t>VC-02</t>
  </si>
  <si>
    <t>VC-03</t>
  </si>
  <si>
    <t>VC-04</t>
  </si>
  <si>
    <t>VC-05</t>
  </si>
  <si>
    <t>WS-AA</t>
  </si>
  <si>
    <t>A'ana</t>
  </si>
  <si>
    <t>WS-AL</t>
  </si>
  <si>
    <t>Aiga-i-le-Tai</t>
  </si>
  <si>
    <t>WS-AT</t>
  </si>
  <si>
    <t>Atua</t>
  </si>
  <si>
    <t>WS-FA</t>
  </si>
  <si>
    <t>Fa'asaleleaga</t>
  </si>
  <si>
    <t>WS-GE</t>
  </si>
  <si>
    <t>Gaga'emauga</t>
  </si>
  <si>
    <t>WS-GI</t>
  </si>
  <si>
    <t>Gagaifomauga</t>
  </si>
  <si>
    <t>WS-PA</t>
  </si>
  <si>
    <t>Palauli</t>
  </si>
  <si>
    <t>WS-SA</t>
  </si>
  <si>
    <t>Satupa'itea</t>
  </si>
  <si>
    <t>WS-TU</t>
  </si>
  <si>
    <t>Tuamasaga</t>
  </si>
  <si>
    <t>WS-VF</t>
  </si>
  <si>
    <t>Va'a-o-Fonoti</t>
  </si>
  <si>
    <t>WS-VS</t>
  </si>
  <si>
    <t>Vaisigano</t>
  </si>
  <si>
    <t>SM-01</t>
  </si>
  <si>
    <t>Acquaviva</t>
  </si>
  <si>
    <t>SM-06</t>
  </si>
  <si>
    <t>Borgo Maggiore</t>
  </si>
  <si>
    <t>SM-02</t>
  </si>
  <si>
    <t>Chiesanuova</t>
  </si>
  <si>
    <t>SM-03</t>
  </si>
  <si>
    <t>Domagnano</t>
  </si>
  <si>
    <t>SM-04</t>
  </si>
  <si>
    <t>Faetano</t>
  </si>
  <si>
    <t>SM-05</t>
  </si>
  <si>
    <t>Fiorentino</t>
  </si>
  <si>
    <t>SM-08</t>
  </si>
  <si>
    <t>Montegiardino</t>
  </si>
  <si>
    <t>SM-07</t>
  </si>
  <si>
    <t>SM-09</t>
  </si>
  <si>
    <t>Serravalle</t>
  </si>
  <si>
    <t>ST-P</t>
  </si>
  <si>
    <t>Príncipe</t>
  </si>
  <si>
    <t>ST-S</t>
  </si>
  <si>
    <t>São Tomé</t>
  </si>
  <si>
    <t>SA-14</t>
  </si>
  <si>
    <t>'Asīr</t>
  </si>
  <si>
    <t>SA-11</t>
  </si>
  <si>
    <t>Al Bāḩah</t>
  </si>
  <si>
    <t>SA-12</t>
  </si>
  <si>
    <t>Al Jawf</t>
  </si>
  <si>
    <t>SA-03</t>
  </si>
  <si>
    <t>Al Madīnah</t>
  </si>
  <si>
    <t>SA-05</t>
  </si>
  <si>
    <t>Al Qaşīm</t>
  </si>
  <si>
    <t>SA-08</t>
  </si>
  <si>
    <t>Al Ḩudūd ash Shamālīyah</t>
  </si>
  <si>
    <t>SA-01</t>
  </si>
  <si>
    <t>Ar Riyāḑ</t>
  </si>
  <si>
    <t>SA-04</t>
  </si>
  <si>
    <t>SA-09</t>
  </si>
  <si>
    <t>Jīzān</t>
  </si>
  <si>
    <t>SA-02</t>
  </si>
  <si>
    <t>Makkah</t>
  </si>
  <si>
    <t>SA-10</t>
  </si>
  <si>
    <t>Najrān</t>
  </si>
  <si>
    <t>SA-07</t>
  </si>
  <si>
    <t>Tabūk</t>
  </si>
  <si>
    <t>SA-06</t>
  </si>
  <si>
    <t>Ḩā'il</t>
  </si>
  <si>
    <t>SN-DK</t>
  </si>
  <si>
    <t>Dakar</t>
  </si>
  <si>
    <t>SN-DB</t>
  </si>
  <si>
    <t>Diourbel</t>
  </si>
  <si>
    <t>SN-FK</t>
  </si>
  <si>
    <t>Fatick</t>
  </si>
  <si>
    <t>SN-KA</t>
  </si>
  <si>
    <t>Kaffrine</t>
  </si>
  <si>
    <t>SN-KL</t>
  </si>
  <si>
    <t>Kaolack</t>
  </si>
  <si>
    <t>SN-KD</t>
  </si>
  <si>
    <t>Kolda</t>
  </si>
  <si>
    <t>SN-KE</t>
  </si>
  <si>
    <t>Kédougou</t>
  </si>
  <si>
    <t>SN-LG</t>
  </si>
  <si>
    <t>Louga</t>
  </si>
  <si>
    <t>SN-MT</t>
  </si>
  <si>
    <t>Matam</t>
  </si>
  <si>
    <t>SN-SL</t>
  </si>
  <si>
    <t>Saint-Louis</t>
  </si>
  <si>
    <t>SN-SE</t>
  </si>
  <si>
    <t>Sédhiou</t>
  </si>
  <si>
    <t>SN-TC</t>
  </si>
  <si>
    <t>Tambacounda</t>
  </si>
  <si>
    <t>SN-TH</t>
  </si>
  <si>
    <t>Thiès</t>
  </si>
  <si>
    <t>SN-ZG</t>
  </si>
  <si>
    <t>Ziguinchor</t>
  </si>
  <si>
    <t>RS-00</t>
  </si>
  <si>
    <t>Beograd</t>
  </si>
  <si>
    <t>RS-14</t>
  </si>
  <si>
    <t>Borski okrug</t>
  </si>
  <si>
    <t>RS-11</t>
  </si>
  <si>
    <t>Braničevski okrug</t>
  </si>
  <si>
    <t>RS-23</t>
  </si>
  <si>
    <t>Jablanički okrug</t>
  </si>
  <si>
    <t>RS-04</t>
  </si>
  <si>
    <t>Južnobanatski okrug</t>
  </si>
  <si>
    <t>RS-06</t>
  </si>
  <si>
    <t>Južnobački okrug</t>
  </si>
  <si>
    <t>RS-09</t>
  </si>
  <si>
    <t>Kolubarski okrug</t>
  </si>
  <si>
    <t>RS-KM</t>
  </si>
  <si>
    <t>Kosovo-Metohija</t>
  </si>
  <si>
    <t>RS-25</t>
  </si>
  <si>
    <t>Kosovski okrug</t>
  </si>
  <si>
    <t>RS-28</t>
  </si>
  <si>
    <t>Kosovsko-Mitrovački okrug</t>
  </si>
  <si>
    <t>RS-29</t>
  </si>
  <si>
    <t>Kosovsko-Pomoravski okrug</t>
  </si>
  <si>
    <t>RS-08</t>
  </si>
  <si>
    <t>Mačvanski okrug</t>
  </si>
  <si>
    <t>RS-17</t>
  </si>
  <si>
    <t>Moravički okrug</t>
  </si>
  <si>
    <t>RS-20</t>
  </si>
  <si>
    <t>Nišavski okrug</t>
  </si>
  <si>
    <t>RS-26</t>
  </si>
  <si>
    <t>Pećki okrug</t>
  </si>
  <si>
    <t>RS-22</t>
  </si>
  <si>
    <t>Pirotski okrug</t>
  </si>
  <si>
    <t>RS-10</t>
  </si>
  <si>
    <t>Podunavski okrug</t>
  </si>
  <si>
    <t>RS-13</t>
  </si>
  <si>
    <t>Pomoravski okrug</t>
  </si>
  <si>
    <t>RS-27</t>
  </si>
  <si>
    <t>Prizrenski okrug</t>
  </si>
  <si>
    <t>RS-24</t>
  </si>
  <si>
    <t>Pčinjski okrug</t>
  </si>
  <si>
    <t>RS-19</t>
  </si>
  <si>
    <t>Rasinski okrug</t>
  </si>
  <si>
    <t>RS-18</t>
  </si>
  <si>
    <t>Raški okrug</t>
  </si>
  <si>
    <t>RS-03</t>
  </si>
  <si>
    <t>Severnobanatski okrug</t>
  </si>
  <si>
    <t>RS-01</t>
  </si>
  <si>
    <t>Severnobački okrug</t>
  </si>
  <si>
    <t>RS-02</t>
  </si>
  <si>
    <t>Srednjebanatski okrug</t>
  </si>
  <si>
    <t>RS-07</t>
  </si>
  <si>
    <t>Sremski okrug</t>
  </si>
  <si>
    <t>RS-21</t>
  </si>
  <si>
    <t>Toplički okrug</t>
  </si>
  <si>
    <t>RS-VO</t>
  </si>
  <si>
    <t>Vojvodina</t>
  </si>
  <si>
    <t>RS-15</t>
  </si>
  <si>
    <t>Zaječarski okrug</t>
  </si>
  <si>
    <t>RS-05</t>
  </si>
  <si>
    <t>Zapadnobački okrug</t>
  </si>
  <si>
    <t>RS-16</t>
  </si>
  <si>
    <t>Zlatiborski okrug</t>
  </si>
  <si>
    <t>RS-12</t>
  </si>
  <si>
    <t>Šumadijski okrug</t>
  </si>
  <si>
    <t>SC-02</t>
  </si>
  <si>
    <t>Ans Bwalo</t>
  </si>
  <si>
    <t>SC-03</t>
  </si>
  <si>
    <t>Ans Etwal</t>
  </si>
  <si>
    <t>SC-05</t>
  </si>
  <si>
    <t>Ans Royal</t>
  </si>
  <si>
    <t>SC-01</t>
  </si>
  <si>
    <t>Ans o Pen</t>
  </si>
  <si>
    <t>Anse Boileau</t>
  </si>
  <si>
    <t>Anse Etoile</t>
  </si>
  <si>
    <t>Anse Royale</t>
  </si>
  <si>
    <t>Anse aux Pins</t>
  </si>
  <si>
    <t>Anse Étoile</t>
  </si>
  <si>
    <t>SC-04</t>
  </si>
  <si>
    <t>Au Cap</t>
  </si>
  <si>
    <t>SC-06</t>
  </si>
  <si>
    <t>Baie Lazare</t>
  </si>
  <si>
    <t>SC-07</t>
  </si>
  <si>
    <t>Baie Sainte Anne</t>
  </si>
  <si>
    <t>Baie Sainte-Anne</t>
  </si>
  <si>
    <t>Be Lazar</t>
  </si>
  <si>
    <t>Be Sent Ann</t>
  </si>
  <si>
    <t>SC-08</t>
  </si>
  <si>
    <t>Beau Vallon</t>
  </si>
  <si>
    <t>SC-09</t>
  </si>
  <si>
    <t>Bel Air</t>
  </si>
  <si>
    <t>SC-10</t>
  </si>
  <si>
    <t>Bel Ombre</t>
  </si>
  <si>
    <t>Beler</t>
  </si>
  <si>
    <t>Belonm</t>
  </si>
  <si>
    <t>Bovalon</t>
  </si>
  <si>
    <t>SC-11</t>
  </si>
  <si>
    <t>Cascade</t>
  </si>
  <si>
    <t>SC-16</t>
  </si>
  <si>
    <t>English River</t>
  </si>
  <si>
    <t>SC-12</t>
  </si>
  <si>
    <t>Glacis</t>
  </si>
  <si>
    <t>Glasi</t>
  </si>
  <si>
    <t>SC-13</t>
  </si>
  <si>
    <t>Grand Ans Mae</t>
  </si>
  <si>
    <t>SC-14</t>
  </si>
  <si>
    <t>Grand Ans Pralen</t>
  </si>
  <si>
    <t>Grand Anse Mahe</t>
  </si>
  <si>
    <t>Grand Anse Praslin</t>
  </si>
  <si>
    <t>Grand' Anse Mahé</t>
  </si>
  <si>
    <t>Grand' Anse Praslin</t>
  </si>
  <si>
    <t>Kaskad</t>
  </si>
  <si>
    <t>SC-15</t>
  </si>
  <si>
    <t>La Digue</t>
  </si>
  <si>
    <t>La Rivière Anglaise</t>
  </si>
  <si>
    <t>Ladig</t>
  </si>
  <si>
    <t>Larivyer Anglez</t>
  </si>
  <si>
    <t>SC-24</t>
  </si>
  <si>
    <t>Lemamel</t>
  </si>
  <si>
    <t>Les Mamelles</t>
  </si>
  <si>
    <t>SC-17</t>
  </si>
  <si>
    <t>Mon Bikston</t>
  </si>
  <si>
    <t>SC-18</t>
  </si>
  <si>
    <t>Mon Fleri</t>
  </si>
  <si>
    <t>Mont Buxton</t>
  </si>
  <si>
    <t>Mont Fleuri</t>
  </si>
  <si>
    <t>O Kap</t>
  </si>
  <si>
    <t>SC-19</t>
  </si>
  <si>
    <t>Plaisance</t>
  </si>
  <si>
    <t>Plezans</t>
  </si>
  <si>
    <t>SC-20</t>
  </si>
  <si>
    <t>Pointe La Rue</t>
  </si>
  <si>
    <t>Pointe Larue</t>
  </si>
  <si>
    <t>SC-21</t>
  </si>
  <si>
    <t>Porglo</t>
  </si>
  <si>
    <t>Port Glaud</t>
  </si>
  <si>
    <t>Pwent Lari</t>
  </si>
  <si>
    <t>SC-25</t>
  </si>
  <si>
    <t>Roche Caiman</t>
  </si>
  <si>
    <t>Roche Caïman</t>
  </si>
  <si>
    <t>Ros Kaiman</t>
  </si>
  <si>
    <t>SC-22</t>
  </si>
  <si>
    <t>Saint Louis</t>
  </si>
  <si>
    <t>Sen Lwi</t>
  </si>
  <si>
    <t>SC-23</t>
  </si>
  <si>
    <t>Takamaka</t>
  </si>
  <si>
    <t>SL-E</t>
  </si>
  <si>
    <t>SL-N</t>
  </si>
  <si>
    <t>SL-S</t>
  </si>
  <si>
    <t>SL-W</t>
  </si>
  <si>
    <t>Western Area (Freetown)</t>
  </si>
  <si>
    <t>area</t>
  </si>
  <si>
    <t>SG-01</t>
  </si>
  <si>
    <t>Central Singapore</t>
  </si>
  <si>
    <t>SG-02</t>
  </si>
  <si>
    <t>North East</t>
  </si>
  <si>
    <t>SG-03</t>
  </si>
  <si>
    <t>North West</t>
  </si>
  <si>
    <t>SG-04</t>
  </si>
  <si>
    <t>South East</t>
  </si>
  <si>
    <t>SG-05</t>
  </si>
  <si>
    <t>South West</t>
  </si>
  <si>
    <t>SK-BC</t>
  </si>
  <si>
    <t>Banskobystrický kraj</t>
  </si>
  <si>
    <t>SK-BL</t>
  </si>
  <si>
    <t>Bratislavský kraj</t>
  </si>
  <si>
    <t>SK-KI</t>
  </si>
  <si>
    <t>Košický kraj</t>
  </si>
  <si>
    <t>SK-NI</t>
  </si>
  <si>
    <t>Nitriansky kraj</t>
  </si>
  <si>
    <t>SK-PV</t>
  </si>
  <si>
    <t>Prešovský kraj</t>
  </si>
  <si>
    <t>SK-TC</t>
  </si>
  <si>
    <t>Trenčiansky kraj</t>
  </si>
  <si>
    <t>SK-TA</t>
  </si>
  <si>
    <t>Trnavský kraj</t>
  </si>
  <si>
    <t>SK-ZI</t>
  </si>
  <si>
    <t>Žilinský kraj</t>
  </si>
  <si>
    <t>SI-001</t>
  </si>
  <si>
    <t>Ajdovščina</t>
  </si>
  <si>
    <t>SI-195</t>
  </si>
  <si>
    <t>Apače</t>
  </si>
  <si>
    <t>SI-002</t>
  </si>
  <si>
    <t>Beltinci</t>
  </si>
  <si>
    <t>SI-148</t>
  </si>
  <si>
    <t>Benedikt</t>
  </si>
  <si>
    <t>SI-149</t>
  </si>
  <si>
    <t>Bistrica ob Sotli</t>
  </si>
  <si>
    <t>SI-003</t>
  </si>
  <si>
    <t>Bled</t>
  </si>
  <si>
    <t>SI-150</t>
  </si>
  <si>
    <t>Bloke</t>
  </si>
  <si>
    <t>SI-004</t>
  </si>
  <si>
    <t>Bohinj</t>
  </si>
  <si>
    <t>SI-005</t>
  </si>
  <si>
    <t>Borovnica</t>
  </si>
  <si>
    <t>SI-006</t>
  </si>
  <si>
    <t>Bovec</t>
  </si>
  <si>
    <t>SI-151</t>
  </si>
  <si>
    <t>Braslovče</t>
  </si>
  <si>
    <t>SI-007</t>
  </si>
  <si>
    <t>Brda</t>
  </si>
  <si>
    <t>SI-008</t>
  </si>
  <si>
    <t>Brezovica</t>
  </si>
  <si>
    <t>SI-009</t>
  </si>
  <si>
    <t>Brežice</t>
  </si>
  <si>
    <t>SI-152</t>
  </si>
  <si>
    <t>Cankova</t>
  </si>
  <si>
    <t>SI-011</t>
  </si>
  <si>
    <t>Celje</t>
  </si>
  <si>
    <t>SI-012</t>
  </si>
  <si>
    <t>Cerklje na Gorenjskem</t>
  </si>
  <si>
    <t>SI-013</t>
  </si>
  <si>
    <t>Cerknica</t>
  </si>
  <si>
    <t>SI-014</t>
  </si>
  <si>
    <t>Cerkno</t>
  </si>
  <si>
    <t>SI-153</t>
  </si>
  <si>
    <t>Cerkvenjak</t>
  </si>
  <si>
    <t>SI-196</t>
  </si>
  <si>
    <t>Cirkulane</t>
  </si>
  <si>
    <t>SI-018</t>
  </si>
  <si>
    <t>Destrnik</t>
  </si>
  <si>
    <t>SI-019</t>
  </si>
  <si>
    <t>Divača</t>
  </si>
  <si>
    <t>SI-154</t>
  </si>
  <si>
    <t>Dobje</t>
  </si>
  <si>
    <t>SI-020</t>
  </si>
  <si>
    <t>Dobrepolje</t>
  </si>
  <si>
    <t>SI-155</t>
  </si>
  <si>
    <t>Dobrna</t>
  </si>
  <si>
    <t>SI-021</t>
  </si>
  <si>
    <t>Dobrova-Polhov Gradec</t>
  </si>
  <si>
    <t>SI-156</t>
  </si>
  <si>
    <t>Dobrovnik</t>
  </si>
  <si>
    <t>SI-022</t>
  </si>
  <si>
    <t>Dol pri Ljubljani</t>
  </si>
  <si>
    <t>SI-157</t>
  </si>
  <si>
    <t>Dolenjske Toplice</t>
  </si>
  <si>
    <t>SI-023</t>
  </si>
  <si>
    <t>Domžale</t>
  </si>
  <si>
    <t>SI-024</t>
  </si>
  <si>
    <t>Dornava</t>
  </si>
  <si>
    <t>SI-025</t>
  </si>
  <si>
    <t>Dravograd</t>
  </si>
  <si>
    <t>SI-026</t>
  </si>
  <si>
    <t>Duplek</t>
  </si>
  <si>
    <t>SI-027</t>
  </si>
  <si>
    <t>Gorenja vas-Poljane</t>
  </si>
  <si>
    <t>SI-028</t>
  </si>
  <si>
    <t>Gorišnica</t>
  </si>
  <si>
    <t>SI-207</t>
  </si>
  <si>
    <t>Gorje</t>
  </si>
  <si>
    <t>SI-029</t>
  </si>
  <si>
    <t>Gornja Radgona</t>
  </si>
  <si>
    <t>SI-030</t>
  </si>
  <si>
    <t>Gornji Grad</t>
  </si>
  <si>
    <t>SI-031</t>
  </si>
  <si>
    <t>Gornji Petrovci</t>
  </si>
  <si>
    <t>SI-158</t>
  </si>
  <si>
    <t>Grad</t>
  </si>
  <si>
    <t>SI-032</t>
  </si>
  <si>
    <t>Grosuplje</t>
  </si>
  <si>
    <t>SI-159</t>
  </si>
  <si>
    <t>Hajdina</t>
  </si>
  <si>
    <t>SI-161</t>
  </si>
  <si>
    <t>Hodoš</t>
  </si>
  <si>
    <t>SI-162</t>
  </si>
  <si>
    <t>Horjul</t>
  </si>
  <si>
    <t>SI-160</t>
  </si>
  <si>
    <t>Hoče-Slivnica</t>
  </si>
  <si>
    <t>SI-034</t>
  </si>
  <si>
    <t>Hrastnik</t>
  </si>
  <si>
    <t>SI-035</t>
  </si>
  <si>
    <t>Hrpelje-Kozina</t>
  </si>
  <si>
    <t>SI-036</t>
  </si>
  <si>
    <t>Idrija</t>
  </si>
  <si>
    <t>SI-037</t>
  </si>
  <si>
    <t>Ig</t>
  </si>
  <si>
    <t>SI-038</t>
  </si>
  <si>
    <t>Ilirska Bistrica</t>
  </si>
  <si>
    <t>SI-039</t>
  </si>
  <si>
    <t>Ivančna Gorica</t>
  </si>
  <si>
    <t>SI-040</t>
  </si>
  <si>
    <t>Izola</t>
  </si>
  <si>
    <t>SI-041</t>
  </si>
  <si>
    <t>Jesenice</t>
  </si>
  <si>
    <t>SI-163</t>
  </si>
  <si>
    <t>Jezersko</t>
  </si>
  <si>
    <t>SI-042</t>
  </si>
  <si>
    <t>Juršinci</t>
  </si>
  <si>
    <t>SI-043</t>
  </si>
  <si>
    <t>Kamnik</t>
  </si>
  <si>
    <t>SI-044</t>
  </si>
  <si>
    <t>Kanal</t>
  </si>
  <si>
    <t>SI-045</t>
  </si>
  <si>
    <t>Kidričevo</t>
  </si>
  <si>
    <t>SI-046</t>
  </si>
  <si>
    <t>Kobarid</t>
  </si>
  <si>
    <t>SI-047</t>
  </si>
  <si>
    <t>Kobilje</t>
  </si>
  <si>
    <t>SI-049</t>
  </si>
  <si>
    <t>Komen</t>
  </si>
  <si>
    <t>SI-164</t>
  </si>
  <si>
    <t>Komenda</t>
  </si>
  <si>
    <t>SI-050</t>
  </si>
  <si>
    <t>Koper</t>
  </si>
  <si>
    <t>SI-197</t>
  </si>
  <si>
    <t>Kosanjevica na Krki</t>
  </si>
  <si>
    <t>SI-165</t>
  </si>
  <si>
    <t>Kostel</t>
  </si>
  <si>
    <t>SI-051</t>
  </si>
  <si>
    <t>Kozje</t>
  </si>
  <si>
    <t>SI-048</t>
  </si>
  <si>
    <t>Kočevje</t>
  </si>
  <si>
    <t>SI-052</t>
  </si>
  <si>
    <t>Kranj</t>
  </si>
  <si>
    <t>SI-053</t>
  </si>
  <si>
    <t>Kranjska Gora</t>
  </si>
  <si>
    <t>SI-166</t>
  </si>
  <si>
    <t>Križevci</t>
  </si>
  <si>
    <t>SI-054</t>
  </si>
  <si>
    <t>Krško</t>
  </si>
  <si>
    <t>SI-055</t>
  </si>
  <si>
    <t>Kungota</t>
  </si>
  <si>
    <t>SI-056</t>
  </si>
  <si>
    <t>Kuzma</t>
  </si>
  <si>
    <t>SI-057</t>
  </si>
  <si>
    <t>Laško</t>
  </si>
  <si>
    <t>SI-058</t>
  </si>
  <si>
    <t>Lenart</t>
  </si>
  <si>
    <t>SI-059</t>
  </si>
  <si>
    <t>Lendava</t>
  </si>
  <si>
    <t>SI-060</t>
  </si>
  <si>
    <t>Litija</t>
  </si>
  <si>
    <t>SI-061</t>
  </si>
  <si>
    <t>Ljubljana</t>
  </si>
  <si>
    <t>SI-062</t>
  </si>
  <si>
    <t>Ljubno</t>
  </si>
  <si>
    <t>SI-063</t>
  </si>
  <si>
    <t>Ljutomer</t>
  </si>
  <si>
    <t>SI-208</t>
  </si>
  <si>
    <t>Log-Dragomer</t>
  </si>
  <si>
    <t>SI-064</t>
  </si>
  <si>
    <t>Logatec</t>
  </si>
  <si>
    <t>SI-167</t>
  </si>
  <si>
    <t>Lovrenc na Pohorju</t>
  </si>
  <si>
    <t>SI-065</t>
  </si>
  <si>
    <t>Loška Dolina</t>
  </si>
  <si>
    <t>SI-066</t>
  </si>
  <si>
    <t>Loški Potok</t>
  </si>
  <si>
    <t>SI-068</t>
  </si>
  <si>
    <t>Lukovica</t>
  </si>
  <si>
    <t>SI-067</t>
  </si>
  <si>
    <t>Luče</t>
  </si>
  <si>
    <t>SI-069</t>
  </si>
  <si>
    <t>Majšperk</t>
  </si>
  <si>
    <t>SI-198</t>
  </si>
  <si>
    <t>Makole</t>
  </si>
  <si>
    <t>SI-070</t>
  </si>
  <si>
    <t>Maribor</t>
  </si>
  <si>
    <t>SI-168</t>
  </si>
  <si>
    <t>Markovci</t>
  </si>
  <si>
    <t>SI-071</t>
  </si>
  <si>
    <t>Medvode</t>
  </si>
  <si>
    <t>SI-072</t>
  </si>
  <si>
    <t>Mengeš</t>
  </si>
  <si>
    <t>SI-073</t>
  </si>
  <si>
    <t>Metlika</t>
  </si>
  <si>
    <t>SI-074</t>
  </si>
  <si>
    <t>Mežica</t>
  </si>
  <si>
    <t>SI-169</t>
  </si>
  <si>
    <t>Miklavž na Dravskem Polju</t>
  </si>
  <si>
    <t>SI-075</t>
  </si>
  <si>
    <t>Miren-Kostanjevica</t>
  </si>
  <si>
    <t>SI-170</t>
  </si>
  <si>
    <t>Mirna Peč</t>
  </si>
  <si>
    <t>SI-076</t>
  </si>
  <si>
    <t>Mislinja</t>
  </si>
  <si>
    <t>SI-199</t>
  </si>
  <si>
    <t>Mokronog-Trebelno</t>
  </si>
  <si>
    <t>SI-078</t>
  </si>
  <si>
    <t>Moravske Toplice</t>
  </si>
  <si>
    <t>SI-077</t>
  </si>
  <si>
    <t>Moravče</t>
  </si>
  <si>
    <t>SI-079</t>
  </si>
  <si>
    <t>Mozirje</t>
  </si>
  <si>
    <t>SI-080</t>
  </si>
  <si>
    <t>Murska Sobota</t>
  </si>
  <si>
    <t>SI-081</t>
  </si>
  <si>
    <t>Muta</t>
  </si>
  <si>
    <t>SI-082</t>
  </si>
  <si>
    <t>Naklo</t>
  </si>
  <si>
    <t>SI-083</t>
  </si>
  <si>
    <t>Nazarje</t>
  </si>
  <si>
    <t>SI-084</t>
  </si>
  <si>
    <t>Nova Gorica</t>
  </si>
  <si>
    <t>SI-085</t>
  </si>
  <si>
    <t>Novo Mesto</t>
  </si>
  <si>
    <t>SI-086</t>
  </si>
  <si>
    <t>Odranci</t>
  </si>
  <si>
    <t>SI-171</t>
  </si>
  <si>
    <t>Oplotnica</t>
  </si>
  <si>
    <t>SI-087</t>
  </si>
  <si>
    <t>Ormož</t>
  </si>
  <si>
    <t>SI-088</t>
  </si>
  <si>
    <t>Osilnica</t>
  </si>
  <si>
    <t>SI-089</t>
  </si>
  <si>
    <t>Pesnica</t>
  </si>
  <si>
    <t>SI-090</t>
  </si>
  <si>
    <t>Piran</t>
  </si>
  <si>
    <t>SI-091</t>
  </si>
  <si>
    <t>Pivka</t>
  </si>
  <si>
    <t>SI-172</t>
  </si>
  <si>
    <t>Podlehnik</t>
  </si>
  <si>
    <t>SI-093</t>
  </si>
  <si>
    <t>Podvelka</t>
  </si>
  <si>
    <t>SI-092</t>
  </si>
  <si>
    <t>Podčetrtek</t>
  </si>
  <si>
    <t>SI-200</t>
  </si>
  <si>
    <t>Poljčane</t>
  </si>
  <si>
    <t>SI-173</t>
  </si>
  <si>
    <t>Polzela</t>
  </si>
  <si>
    <t>SI-094</t>
  </si>
  <si>
    <t>Postojna</t>
  </si>
  <si>
    <t>SI-174</t>
  </si>
  <si>
    <t>Prebold</t>
  </si>
  <si>
    <t>SI-095</t>
  </si>
  <si>
    <t>Preddvor</t>
  </si>
  <si>
    <t>SI-175</t>
  </si>
  <si>
    <t>Prevalje</t>
  </si>
  <si>
    <t>SI-096</t>
  </si>
  <si>
    <t>Ptuj</t>
  </si>
  <si>
    <t>SI-097</t>
  </si>
  <si>
    <t>Puconci</t>
  </si>
  <si>
    <t>SI-100</t>
  </si>
  <si>
    <t>Radenci</t>
  </si>
  <si>
    <t>SI-099</t>
  </si>
  <si>
    <t>Radeče</t>
  </si>
  <si>
    <t>SI-101</t>
  </si>
  <si>
    <t>Radlje ob Dravi</t>
  </si>
  <si>
    <t>SI-102</t>
  </si>
  <si>
    <t>Radovljica</t>
  </si>
  <si>
    <t>SI-103</t>
  </si>
  <si>
    <t>Ravne na Koroškem</t>
  </si>
  <si>
    <t>SI-176</t>
  </si>
  <si>
    <t>Razkrižje</t>
  </si>
  <si>
    <t>SI-098</t>
  </si>
  <si>
    <t>Rače-Fram</t>
  </si>
  <si>
    <t>SI-201</t>
  </si>
  <si>
    <t>Renče-Vogrsko</t>
  </si>
  <si>
    <t>SI-209</t>
  </si>
  <si>
    <t>Rečica ob Savinji</t>
  </si>
  <si>
    <t>SI-104</t>
  </si>
  <si>
    <t>Ribnica</t>
  </si>
  <si>
    <t>SI-177</t>
  </si>
  <si>
    <t>Ribnica na Pohorju</t>
  </si>
  <si>
    <t>SI-107</t>
  </si>
  <si>
    <t>Rogatec</t>
  </si>
  <si>
    <t>SI-106</t>
  </si>
  <si>
    <t>Rogaška Slatina</t>
  </si>
  <si>
    <t>SI-105</t>
  </si>
  <si>
    <t>Rogašovci</t>
  </si>
  <si>
    <t>SI-108</t>
  </si>
  <si>
    <t>Ruše</t>
  </si>
  <si>
    <t>SI-178</t>
  </si>
  <si>
    <t>Selnica ob Dravi</t>
  </si>
  <si>
    <t>SI-109</t>
  </si>
  <si>
    <t>Semič</t>
  </si>
  <si>
    <t>SI-110</t>
  </si>
  <si>
    <t>Sevnica</t>
  </si>
  <si>
    <t>SI-111</t>
  </si>
  <si>
    <t>Sežana</t>
  </si>
  <si>
    <t>SI-112</t>
  </si>
  <si>
    <t>Slovenj Gradec</t>
  </si>
  <si>
    <t>SI-113</t>
  </si>
  <si>
    <t>Slovenska Bistrica</t>
  </si>
  <si>
    <t>SI-114</t>
  </si>
  <si>
    <t>Slovenske Konjice</t>
  </si>
  <si>
    <t>SI-179</t>
  </si>
  <si>
    <t>Sodražica</t>
  </si>
  <si>
    <t>SI-180</t>
  </si>
  <si>
    <t>Solčava</t>
  </si>
  <si>
    <t>SI-202</t>
  </si>
  <si>
    <t>Središče ob Dravi</t>
  </si>
  <si>
    <t>SI-115</t>
  </si>
  <si>
    <t>Starše</t>
  </si>
  <si>
    <t>SI-203</t>
  </si>
  <si>
    <t>Straža</t>
  </si>
  <si>
    <t>SI-181</t>
  </si>
  <si>
    <t>Sveta Ana</t>
  </si>
  <si>
    <t>SI-204</t>
  </si>
  <si>
    <t>Sveta Trojica v Slovenskih Goricah</t>
  </si>
  <si>
    <t>SI-182</t>
  </si>
  <si>
    <t>Sveti Andraž v Slovenskih Goricah</t>
  </si>
  <si>
    <t>SI-116</t>
  </si>
  <si>
    <t>Sveti Jurij</t>
  </si>
  <si>
    <t>SI-210</t>
  </si>
  <si>
    <t>Sveti Jurij v Slovenskih Goricah</t>
  </si>
  <si>
    <t>SI-205</t>
  </si>
  <si>
    <t>Sveti Tomaž</t>
  </si>
  <si>
    <t>SI-184</t>
  </si>
  <si>
    <t>Tabor</t>
  </si>
  <si>
    <t>SI-010</t>
  </si>
  <si>
    <t>Tišina</t>
  </si>
  <si>
    <t>SI-128</t>
  </si>
  <si>
    <t>Tolmin</t>
  </si>
  <si>
    <t>SI-129</t>
  </si>
  <si>
    <t>Trbovlje</t>
  </si>
  <si>
    <t>SI-130</t>
  </si>
  <si>
    <t>Trebnje</t>
  </si>
  <si>
    <t>SI-185</t>
  </si>
  <si>
    <t>Trnovska Vas</t>
  </si>
  <si>
    <t>SI-186</t>
  </si>
  <si>
    <t>Trzin</t>
  </si>
  <si>
    <t>SI-131</t>
  </si>
  <si>
    <t>Tržič</t>
  </si>
  <si>
    <t>SI-132</t>
  </si>
  <si>
    <t>Turnišče</t>
  </si>
  <si>
    <t>SI-133</t>
  </si>
  <si>
    <t>Velenje</t>
  </si>
  <si>
    <t>SI-187</t>
  </si>
  <si>
    <t>Velika Polana</t>
  </si>
  <si>
    <t>SI-134</t>
  </si>
  <si>
    <t>Velike Lašče</t>
  </si>
  <si>
    <t>SI-188</t>
  </si>
  <si>
    <t>Veržej</t>
  </si>
  <si>
    <t>SI-135</t>
  </si>
  <si>
    <t>Videm</t>
  </si>
  <si>
    <t>SI-136</t>
  </si>
  <si>
    <t>Vipava</t>
  </si>
  <si>
    <t>SI-137</t>
  </si>
  <si>
    <t>Vitanje</t>
  </si>
  <si>
    <t>SI-138</t>
  </si>
  <si>
    <t>Vodice</t>
  </si>
  <si>
    <t>SI-139</t>
  </si>
  <si>
    <t>Vojnik</t>
  </si>
  <si>
    <t>SI-189</t>
  </si>
  <si>
    <t>Vransko</t>
  </si>
  <si>
    <t>SI-140</t>
  </si>
  <si>
    <t>Vrhnika</t>
  </si>
  <si>
    <t>SI-141</t>
  </si>
  <si>
    <t>Vuzenica</t>
  </si>
  <si>
    <t>SI-142</t>
  </si>
  <si>
    <t>Zagorje ob Savi</t>
  </si>
  <si>
    <t>SI-143</t>
  </si>
  <si>
    <t>Zavrč</t>
  </si>
  <si>
    <t>SI-144</t>
  </si>
  <si>
    <t>Zreče</t>
  </si>
  <si>
    <t>SI-015</t>
  </si>
  <si>
    <t>Črenšovci</t>
  </si>
  <si>
    <t>SI-016</t>
  </si>
  <si>
    <t>Črna na Koroškem</t>
  </si>
  <si>
    <t>SI-017</t>
  </si>
  <si>
    <t>Črnomelj</t>
  </si>
  <si>
    <t>SI-033</t>
  </si>
  <si>
    <t>Šalovci</t>
  </si>
  <si>
    <t>SI-183</t>
  </si>
  <si>
    <t>Šempeter-Vrtojba</t>
  </si>
  <si>
    <t>SI-118</t>
  </si>
  <si>
    <t>Šentilj</t>
  </si>
  <si>
    <t>SI-119</t>
  </si>
  <si>
    <t>Šentjernej</t>
  </si>
  <si>
    <t>SI-120</t>
  </si>
  <si>
    <t>Šentjur</t>
  </si>
  <si>
    <t>SI-211</t>
  </si>
  <si>
    <t>Šentrupert</t>
  </si>
  <si>
    <t>SI-117</t>
  </si>
  <si>
    <t>Šenčur</t>
  </si>
  <si>
    <t>SI-121</t>
  </si>
  <si>
    <t>Škocjan</t>
  </si>
  <si>
    <t>SI-122</t>
  </si>
  <si>
    <t>Škofja Loka</t>
  </si>
  <si>
    <t>SI-123</t>
  </si>
  <si>
    <t>Škofljica</t>
  </si>
  <si>
    <t>SI-124</t>
  </si>
  <si>
    <t>Šmarje pri Jelšah</t>
  </si>
  <si>
    <t>SI-206</t>
  </si>
  <si>
    <t>Šmarješke Toplice</t>
  </si>
  <si>
    <t>SI-125</t>
  </si>
  <si>
    <t>Šmartno ob Paki</t>
  </si>
  <si>
    <t>SI-126</t>
  </si>
  <si>
    <t>Šoštanj</t>
  </si>
  <si>
    <t>SI-127</t>
  </si>
  <si>
    <t>Štore</t>
  </si>
  <si>
    <t>SI-190</t>
  </si>
  <si>
    <t>Žalec</t>
  </si>
  <si>
    <t>SI-146</t>
  </si>
  <si>
    <t>Železniki</t>
  </si>
  <si>
    <t>SI-191</t>
  </si>
  <si>
    <t>Žetale</t>
  </si>
  <si>
    <t>SI-147</t>
  </si>
  <si>
    <t>Žiri</t>
  </si>
  <si>
    <t>SI-192</t>
  </si>
  <si>
    <t>Žirovnica</t>
  </si>
  <si>
    <t>SI-193</t>
  </si>
  <si>
    <t>Žužemberk</t>
  </si>
  <si>
    <t>SB-CT</t>
  </si>
  <si>
    <t>Capital Territory (Honiara)</t>
  </si>
  <si>
    <t>SB-CE</t>
  </si>
  <si>
    <t>SB-CH</t>
  </si>
  <si>
    <t>SB-GU</t>
  </si>
  <si>
    <t>Guadalcanal</t>
  </si>
  <si>
    <t>SB-IS</t>
  </si>
  <si>
    <t>Isabel</t>
  </si>
  <si>
    <t>SB-MK</t>
  </si>
  <si>
    <t>Makira-Ulawa</t>
  </si>
  <si>
    <t>SB-ML</t>
  </si>
  <si>
    <t>Malaita</t>
  </si>
  <si>
    <t>SB-RB</t>
  </si>
  <si>
    <t>Rennell and Bellona</t>
  </si>
  <si>
    <t>SB-TE</t>
  </si>
  <si>
    <t>Temotu</t>
  </si>
  <si>
    <t>SB-WE</t>
  </si>
  <si>
    <t>SO-AW</t>
  </si>
  <si>
    <t>Awdal</t>
  </si>
  <si>
    <t>SO-BK</t>
  </si>
  <si>
    <t>Bakool</t>
  </si>
  <si>
    <t>SO-BN</t>
  </si>
  <si>
    <t>Banaadir</t>
  </si>
  <si>
    <t>SO-BR</t>
  </si>
  <si>
    <t>SO-BY</t>
  </si>
  <si>
    <t>Bay</t>
  </si>
  <si>
    <t>SO-GA</t>
  </si>
  <si>
    <t>Galguduud</t>
  </si>
  <si>
    <t>SO-GE</t>
  </si>
  <si>
    <t>Gedo</t>
  </si>
  <si>
    <t>SO-HI</t>
  </si>
  <si>
    <t>Hiiraan</t>
  </si>
  <si>
    <t>SO-JD</t>
  </si>
  <si>
    <t>Jubbada Dhexe</t>
  </si>
  <si>
    <t>SO-JH</t>
  </si>
  <si>
    <t>Jubbada Hoose</t>
  </si>
  <si>
    <t>SO-MU</t>
  </si>
  <si>
    <t>Mudug</t>
  </si>
  <si>
    <t>SO-NU</t>
  </si>
  <si>
    <t>Nugaal</t>
  </si>
  <si>
    <t>SO-SA</t>
  </si>
  <si>
    <t>Sanaag</t>
  </si>
  <si>
    <t>SO-SD</t>
  </si>
  <si>
    <t>Shabeellaha Dhexe</t>
  </si>
  <si>
    <t>SO-SH</t>
  </si>
  <si>
    <t>Shabeellaha Hoose</t>
  </si>
  <si>
    <t>SO-SO</t>
  </si>
  <si>
    <t>Sool</t>
  </si>
  <si>
    <t>SO-TO</t>
  </si>
  <si>
    <t>Togdheer</t>
  </si>
  <si>
    <t>SO-WO</t>
  </si>
  <si>
    <t>Woqooyi Galbeed</t>
  </si>
  <si>
    <t>ZA-NW</t>
  </si>
  <si>
    <t>Bokone Bophirima</t>
  </si>
  <si>
    <t>ZA-EC</t>
  </si>
  <si>
    <t>Eastern Cape</t>
  </si>
  <si>
    <t>ZA-FS</t>
  </si>
  <si>
    <t>Foreisetata</t>
  </si>
  <si>
    <t>Foreisetata (local variation)</t>
  </si>
  <si>
    <t>Free State</t>
  </si>
  <si>
    <t>Freistata</t>
  </si>
  <si>
    <t>Freyisitata (local variation)</t>
  </si>
  <si>
    <t>Freyistata</t>
  </si>
  <si>
    <t>Fureisitata</t>
  </si>
  <si>
    <t>ZA-NL</t>
  </si>
  <si>
    <t>GaZulu-Natala</t>
  </si>
  <si>
    <t>ZA-GT</t>
  </si>
  <si>
    <t>Gauteng</t>
  </si>
  <si>
    <t>HaZulu-Natal</t>
  </si>
  <si>
    <t>Hazolo-Natala</t>
  </si>
  <si>
    <t>ZA-WC</t>
  </si>
  <si>
    <t>Kapa Bodikela</t>
  </si>
  <si>
    <t>Kapa Bohlabela</t>
  </si>
  <si>
    <t>Kapa Bophirima</t>
  </si>
  <si>
    <t>Kapa Bophirimela</t>
  </si>
  <si>
    <t>Kapa Botjhabela</t>
  </si>
  <si>
    <t>Kapa Botlhaba</t>
  </si>
  <si>
    <t>ZA-NC</t>
  </si>
  <si>
    <t>Kapa Devhula</t>
  </si>
  <si>
    <t>Kapa Leboa (local variation)</t>
  </si>
  <si>
    <t>Kapa Leboya</t>
  </si>
  <si>
    <t>Kapa Vhubvaḓuvha</t>
  </si>
  <si>
    <t>Kapa Vhukovhela</t>
  </si>
  <si>
    <t>Kapa-N'walungu</t>
  </si>
  <si>
    <t>Kapa-Vupeladyambu</t>
  </si>
  <si>
    <t>Kapa-Vuxa</t>
  </si>
  <si>
    <t>Kgauteng</t>
  </si>
  <si>
    <t>KwaZulu-Natal</t>
  </si>
  <si>
    <t>KwaZulu-Natala</t>
  </si>
  <si>
    <t>KwaZulu-Natali</t>
  </si>
  <si>
    <t>Kwazulu-Natal</t>
  </si>
  <si>
    <t>Lebowa Bodikela</t>
  </si>
  <si>
    <t>Leboya (le) Bophirima</t>
  </si>
  <si>
    <t>ZA-LP</t>
  </si>
  <si>
    <t>Limpopo</t>
  </si>
  <si>
    <t>Mntla-Koloni</t>
  </si>
  <si>
    <t>Mntla-Ntshona</t>
  </si>
  <si>
    <t>Mpuma-Koloni</t>
  </si>
  <si>
    <t>ZA-MP</t>
  </si>
  <si>
    <t>Mpumalanga</t>
  </si>
  <si>
    <t>Mpumalanga-Koloni (local variation)</t>
  </si>
  <si>
    <t>N'walungu-Vupeladyambu</t>
  </si>
  <si>
    <t>Noord-Kaap</t>
  </si>
  <si>
    <t>Noordwes</t>
  </si>
  <si>
    <t>Northern Cape</t>
  </si>
  <si>
    <t>Ntshona-Koloni</t>
  </si>
  <si>
    <t>Ntshonalanga-Koloni (local variation)</t>
  </si>
  <si>
    <t>Nyakatho-Koloni (local variation)</t>
  </si>
  <si>
    <t>Nyakatho-Ntshonalanga</t>
  </si>
  <si>
    <t>Oos-Kaap</t>
  </si>
  <si>
    <t>Rhawuti</t>
  </si>
  <si>
    <t>Vhembe</t>
  </si>
  <si>
    <t>Vrystaat</t>
  </si>
  <si>
    <t>Wes-Kaap</t>
  </si>
  <si>
    <t>Western Cape</t>
  </si>
  <si>
    <t>iFreyistata</t>
  </si>
  <si>
    <t>iGauteng</t>
  </si>
  <si>
    <t>iKwaZulu-Natal</t>
  </si>
  <si>
    <t>iMpumalanga</t>
  </si>
  <si>
    <t>iPumalanga-Kapa</t>
  </si>
  <si>
    <t>iTjhingalanga-Kapa</t>
  </si>
  <si>
    <t>iTlhagwini-Kapa</t>
  </si>
  <si>
    <t>iTlhagwini-Tjhingalanga</t>
  </si>
  <si>
    <t>SS-EC</t>
  </si>
  <si>
    <t>Central Equatoria</t>
  </si>
  <si>
    <t>SS-EE</t>
  </si>
  <si>
    <t>Eastern Equatoria</t>
  </si>
  <si>
    <t>SS-JG</t>
  </si>
  <si>
    <t>Jonglei</t>
  </si>
  <si>
    <t>SS-LK</t>
  </si>
  <si>
    <t>Lakes</t>
  </si>
  <si>
    <t>SS-BN</t>
  </si>
  <si>
    <t>Northern Bahr el-Ghazal</t>
  </si>
  <si>
    <t>SS-UY</t>
  </si>
  <si>
    <t>Unity</t>
  </si>
  <si>
    <t>SS-NU</t>
  </si>
  <si>
    <t>Upper Nile</t>
  </si>
  <si>
    <t>SS-WR</t>
  </si>
  <si>
    <t>Warrap</t>
  </si>
  <si>
    <t>SS-BW</t>
  </si>
  <si>
    <t>Western Bahr el-Ghazal</t>
  </si>
  <si>
    <t>SS-EW</t>
  </si>
  <si>
    <t>Western Equatoria</t>
  </si>
  <si>
    <t>ES-C</t>
  </si>
  <si>
    <t>A Coruña</t>
  </si>
  <si>
    <t>ES-A</t>
  </si>
  <si>
    <t>Alacant</t>
  </si>
  <si>
    <t>ES-AB</t>
  </si>
  <si>
    <t>Albacete</t>
  </si>
  <si>
    <t>Alicante</t>
  </si>
  <si>
    <t>ES-AL</t>
  </si>
  <si>
    <t>Almería</t>
  </si>
  <si>
    <t>ES-AN</t>
  </si>
  <si>
    <t>Andalucía</t>
  </si>
  <si>
    <t>autonomous community</t>
  </si>
  <si>
    <t>ES-VI</t>
  </si>
  <si>
    <t>Araba</t>
  </si>
  <si>
    <t>ES-AR</t>
  </si>
  <si>
    <t>Aragón</t>
  </si>
  <si>
    <t>ES-O</t>
  </si>
  <si>
    <t>Asturias</t>
  </si>
  <si>
    <t>ES-AS</t>
  </si>
  <si>
    <t>Asturias, Principado de</t>
  </si>
  <si>
    <t>ES-BA</t>
  </si>
  <si>
    <t>Badajoz</t>
  </si>
  <si>
    <t>ES-PM</t>
  </si>
  <si>
    <t>Balears</t>
  </si>
  <si>
    <t>ES-B</t>
  </si>
  <si>
    <t>Barcelona</t>
  </si>
  <si>
    <t>ES-BI</t>
  </si>
  <si>
    <t>Bizkaia</t>
  </si>
  <si>
    <t>ES-BU</t>
  </si>
  <si>
    <t>Burgos</t>
  </si>
  <si>
    <t>ES-CN</t>
  </si>
  <si>
    <t>Canarias</t>
  </si>
  <si>
    <t>ES-CB</t>
  </si>
  <si>
    <t>Cantabria</t>
  </si>
  <si>
    <t>ES-S</t>
  </si>
  <si>
    <t>ES-CS</t>
  </si>
  <si>
    <t>Castelló</t>
  </si>
  <si>
    <t>Castellón</t>
  </si>
  <si>
    <t>ES-CL</t>
  </si>
  <si>
    <t>Castilla y León</t>
  </si>
  <si>
    <t>ES-CM</t>
  </si>
  <si>
    <t>Castilla-La Mancha</t>
  </si>
  <si>
    <t>ES-CT</t>
  </si>
  <si>
    <t>Catalunya</t>
  </si>
  <si>
    <t>ES-CE</t>
  </si>
  <si>
    <t>Ceuta</t>
  </si>
  <si>
    <t>autonomous city in North Africa</t>
  </si>
  <si>
    <t>ES-CR</t>
  </si>
  <si>
    <t>Ciudad Real</t>
  </si>
  <si>
    <t>ES-CU</t>
  </si>
  <si>
    <t>Cuenca</t>
  </si>
  <si>
    <t>ES-CC</t>
  </si>
  <si>
    <t>Cáceres</t>
  </si>
  <si>
    <t>ES-CA</t>
  </si>
  <si>
    <t>Cádiz</t>
  </si>
  <si>
    <t>ES-CO</t>
  </si>
  <si>
    <t>ES-PV</t>
  </si>
  <si>
    <t>Euskal Herria</t>
  </si>
  <si>
    <t>ES-EX</t>
  </si>
  <si>
    <t>Extremadura</t>
  </si>
  <si>
    <t>ES-GA</t>
  </si>
  <si>
    <t>Galicia</t>
  </si>
  <si>
    <t>ES-SS</t>
  </si>
  <si>
    <t>Gipuzkoa</t>
  </si>
  <si>
    <t>ES-GI</t>
  </si>
  <si>
    <t>Girona</t>
  </si>
  <si>
    <t>ES-GR</t>
  </si>
  <si>
    <t>ES-GU</t>
  </si>
  <si>
    <t>Guadalajara</t>
  </si>
  <si>
    <t>Guipúzcoa</t>
  </si>
  <si>
    <t>ES-H</t>
  </si>
  <si>
    <t>Huelva</t>
  </si>
  <si>
    <t>ES-HU</t>
  </si>
  <si>
    <t>Huesca</t>
  </si>
  <si>
    <t>ES-IB</t>
  </si>
  <si>
    <t>Illes Balears</t>
  </si>
  <si>
    <t>ES-J</t>
  </si>
  <si>
    <t>Jaén</t>
  </si>
  <si>
    <t>ES-LO</t>
  </si>
  <si>
    <t>ES-RI</t>
  </si>
  <si>
    <t>ES-GC</t>
  </si>
  <si>
    <t>Las Palmas</t>
  </si>
  <si>
    <t>ES-LE</t>
  </si>
  <si>
    <t>ES-L</t>
  </si>
  <si>
    <t>Lleida</t>
  </si>
  <si>
    <t>ES-LU</t>
  </si>
  <si>
    <t>Lugo</t>
  </si>
  <si>
    <t>ES-M</t>
  </si>
  <si>
    <t>Madrid</t>
  </si>
  <si>
    <t>ES-MD</t>
  </si>
  <si>
    <t>Madrid, Comunidad de</t>
  </si>
  <si>
    <t>ES-ML</t>
  </si>
  <si>
    <t>Melilla</t>
  </si>
  <si>
    <t>ES-MU</t>
  </si>
  <si>
    <t>Murcia</t>
  </si>
  <si>
    <t>ES-MC</t>
  </si>
  <si>
    <t>Murcia, Región de</t>
  </si>
  <si>
    <t>ES-MA</t>
  </si>
  <si>
    <t>Málaga</t>
  </si>
  <si>
    <t>ES-NA</t>
  </si>
  <si>
    <t>Nafarroa</t>
  </si>
  <si>
    <t>ES-NC</t>
  </si>
  <si>
    <t>Nafarroako Foru Komunitatea</t>
  </si>
  <si>
    <t>Navarra</t>
  </si>
  <si>
    <t>Navarra, Comunidad Foral de</t>
  </si>
  <si>
    <t>ES-OR</t>
  </si>
  <si>
    <t>Ourense</t>
  </si>
  <si>
    <t>ES-P</t>
  </si>
  <si>
    <t>Palencia</t>
  </si>
  <si>
    <t>País Vasco</t>
  </si>
  <si>
    <t>ES-PO</t>
  </si>
  <si>
    <t>Pontevedra</t>
  </si>
  <si>
    <t>ES-SA</t>
  </si>
  <si>
    <t>Salamanca</t>
  </si>
  <si>
    <t>ES-TF</t>
  </si>
  <si>
    <t>Santa Cruz de Tenerife</t>
  </si>
  <si>
    <t>ES-SG</t>
  </si>
  <si>
    <t>Segovia</t>
  </si>
  <si>
    <t>ES-SE</t>
  </si>
  <si>
    <t>Sevilla</t>
  </si>
  <si>
    <t>ES-SO</t>
  </si>
  <si>
    <t>Soria</t>
  </si>
  <si>
    <t>ES-T</t>
  </si>
  <si>
    <t>Tarragona</t>
  </si>
  <si>
    <t>ES-TE</t>
  </si>
  <si>
    <t>Teruel</t>
  </si>
  <si>
    <t>ES-TO</t>
  </si>
  <si>
    <t>ES-V</t>
  </si>
  <si>
    <t>Valencia</t>
  </si>
  <si>
    <t>ES-VC</t>
  </si>
  <si>
    <t>Valenciana, Comunidad</t>
  </si>
  <si>
    <t>Valenciana, Comunitat</t>
  </si>
  <si>
    <t>ES-VA</t>
  </si>
  <si>
    <t>Valladolid</t>
  </si>
  <si>
    <t>València</t>
  </si>
  <si>
    <t>Vizcaya</t>
  </si>
  <si>
    <t>ES-ZA</t>
  </si>
  <si>
    <t>Zamora</t>
  </si>
  <si>
    <t>ES-Z</t>
  </si>
  <si>
    <t>Zaragoza</t>
  </si>
  <si>
    <t>[Baleares]</t>
  </si>
  <si>
    <t>[Barcelona]</t>
  </si>
  <si>
    <t>[Cataluña]</t>
  </si>
  <si>
    <t>[Galicia]</t>
  </si>
  <si>
    <t>[Gerona]</t>
  </si>
  <si>
    <t>[Islas Baleares]</t>
  </si>
  <si>
    <t>[La Coruña]</t>
  </si>
  <si>
    <t>[Lugo]</t>
  </si>
  <si>
    <t>[Lérida]</t>
  </si>
  <si>
    <t>[Orense]</t>
  </si>
  <si>
    <t>[Pontevedra]</t>
  </si>
  <si>
    <t>[Tarragona]</t>
  </si>
  <si>
    <t>Álava</t>
  </si>
  <si>
    <t>ES-AV</t>
  </si>
  <si>
    <t>Ávila</t>
  </si>
  <si>
    <t>LK-33</t>
  </si>
  <si>
    <t>Ampāntōṭṭai</t>
  </si>
  <si>
    <t>LK-52</t>
  </si>
  <si>
    <t>Ampāra</t>
  </si>
  <si>
    <t>Ampāṟai</t>
  </si>
  <si>
    <t>LK-71</t>
  </si>
  <si>
    <t>Anurādhapura</t>
  </si>
  <si>
    <t>Anurātapuram</t>
  </si>
  <si>
    <t>LK-81</t>
  </si>
  <si>
    <t>Badulla</t>
  </si>
  <si>
    <t>LK-1</t>
  </si>
  <si>
    <t>Basnāhira paḷāta</t>
  </si>
  <si>
    <t>LK-9</t>
  </si>
  <si>
    <t>Chappirakamuva mākāṇam</t>
  </si>
  <si>
    <t>LK-3</t>
  </si>
  <si>
    <t>Dakuṇu paḷāta</t>
  </si>
  <si>
    <t>LK-12</t>
  </si>
  <si>
    <t>Gampaha</t>
  </si>
  <si>
    <t>LK-31</t>
  </si>
  <si>
    <t>Gālla</t>
  </si>
  <si>
    <t>Hambantŏṭa</t>
  </si>
  <si>
    <t>LK-91</t>
  </si>
  <si>
    <t>Irattiṉapuri</t>
  </si>
  <si>
    <t>Kampahā</t>
  </si>
  <si>
    <t>LK-13</t>
  </si>
  <si>
    <t>Kaḷutara</t>
  </si>
  <si>
    <t>Kaḷuttuṟai</t>
  </si>
  <si>
    <t>LK-21</t>
  </si>
  <si>
    <t>Kaṇṭi</t>
  </si>
  <si>
    <t>LK-92</t>
  </si>
  <si>
    <t>Kekālai</t>
  </si>
  <si>
    <t>LK-42</t>
  </si>
  <si>
    <t>Kilinŏchchi</t>
  </si>
  <si>
    <t>LK-5</t>
  </si>
  <si>
    <t>Kil̮akku mākāṇam</t>
  </si>
  <si>
    <t>Kiḷinochchi</t>
  </si>
  <si>
    <t>LK-61</t>
  </si>
  <si>
    <t>Kurunākal</t>
  </si>
  <si>
    <t>Kuruṇægala</t>
  </si>
  <si>
    <t>Kægalla</t>
  </si>
  <si>
    <t>Kāli</t>
  </si>
  <si>
    <t>LK-11</t>
  </si>
  <si>
    <t>Kŏl̮umpu</t>
  </si>
  <si>
    <t>Kŏḷamba</t>
  </si>
  <si>
    <t>LK-2</t>
  </si>
  <si>
    <t>Madhyama paḷāta</t>
  </si>
  <si>
    <t>Mahanuvara</t>
  </si>
  <si>
    <t>LK-43</t>
  </si>
  <si>
    <t>Mannārama</t>
  </si>
  <si>
    <t>Mattiya mākāṇam</t>
  </si>
  <si>
    <t>LK-51</t>
  </si>
  <si>
    <t>Maḍakalapuva</t>
  </si>
  <si>
    <t>Maṉṉār</t>
  </si>
  <si>
    <t>Maṭṭakkaḷappu</t>
  </si>
  <si>
    <t>Mel mākāṇam</t>
  </si>
  <si>
    <t>LK-45</t>
  </si>
  <si>
    <t>Mulativ</t>
  </si>
  <si>
    <t>Mullaittīvu</t>
  </si>
  <si>
    <t>LK-22</t>
  </si>
  <si>
    <t>Mātale</t>
  </si>
  <si>
    <t>LK-32</t>
  </si>
  <si>
    <t>Mātara</t>
  </si>
  <si>
    <t>Māttaḷai</t>
  </si>
  <si>
    <t>Māttaṛai</t>
  </si>
  <si>
    <t>LK-82</t>
  </si>
  <si>
    <t>Mŏṇarāgala</t>
  </si>
  <si>
    <t>Mŏṉarākalai</t>
  </si>
  <si>
    <t>LK-23</t>
  </si>
  <si>
    <t>Nuvara Ĕliya</t>
  </si>
  <si>
    <t>Nuvarĕliyā</t>
  </si>
  <si>
    <t>Næ̆gĕnahira paḷāta</t>
  </si>
  <si>
    <t>Patuḷai</t>
  </si>
  <si>
    <t>LK-62</t>
  </si>
  <si>
    <t>Puttalama</t>
  </si>
  <si>
    <t>Puttaḷam</t>
  </si>
  <si>
    <t>LK-72</t>
  </si>
  <si>
    <t>Pŏlaṉṉaṛuvai</t>
  </si>
  <si>
    <t>Pŏḷŏnnaruva</t>
  </si>
  <si>
    <t>Ratnapura</t>
  </si>
  <si>
    <t>Sabaragamuva paḷāta</t>
  </si>
  <si>
    <t>LK-53</t>
  </si>
  <si>
    <t>Tirukŏṇamalai</t>
  </si>
  <si>
    <t>Trikuṇāmalaya</t>
  </si>
  <si>
    <t>Tĕṉ mākāṇam</t>
  </si>
  <si>
    <t>LK-4</t>
  </si>
  <si>
    <t>Uturu paḷāta</t>
  </si>
  <si>
    <t>LK-7</t>
  </si>
  <si>
    <t>Uturumæ̆da paḷāta</t>
  </si>
  <si>
    <t>LK-44</t>
  </si>
  <si>
    <t>Vavuniyāva</t>
  </si>
  <si>
    <t>Vavuṉiyā</t>
  </si>
  <si>
    <t>LK-6</t>
  </si>
  <si>
    <t>Vayamba paḷāta</t>
  </si>
  <si>
    <t>Vaṭakku mākāṇam</t>
  </si>
  <si>
    <t>Vaṭamattiya mākāṇam</t>
  </si>
  <si>
    <t>Vaṭamel mākāṇam</t>
  </si>
  <si>
    <t>LK-41</t>
  </si>
  <si>
    <t>Yāl̮ppāṇam</t>
  </si>
  <si>
    <t>Yāpanaya</t>
  </si>
  <si>
    <t>LK-8</t>
  </si>
  <si>
    <t>Ūva paḷāta</t>
  </si>
  <si>
    <t>Ūvā mākāṇam</t>
  </si>
  <si>
    <t>SD-RS</t>
  </si>
  <si>
    <t>Al Bah¸r al Ah¸mar</t>
  </si>
  <si>
    <t>SD-GZ</t>
  </si>
  <si>
    <t>Al Jazīrah</t>
  </si>
  <si>
    <t>SD-KH</t>
  </si>
  <si>
    <t>Al Kharţūm</t>
  </si>
  <si>
    <t>SD-GD</t>
  </si>
  <si>
    <t>Al Qaḑārif</t>
  </si>
  <si>
    <t>SD-NR</t>
  </si>
  <si>
    <t>An Nīl</t>
  </si>
  <si>
    <t>SD-NW</t>
  </si>
  <si>
    <t>An Nīl al Abyaḑ</t>
  </si>
  <si>
    <t>SD-NB</t>
  </si>
  <si>
    <t>An Nīl al Azraq</t>
  </si>
  <si>
    <t>SD-NO</t>
  </si>
  <si>
    <t>Blue Nile</t>
  </si>
  <si>
    <t>SD-DC</t>
  </si>
  <si>
    <t>Central Darfur</t>
  </si>
  <si>
    <t>SD-DE</t>
  </si>
  <si>
    <t>East Darfur</t>
  </si>
  <si>
    <t>Gedaref</t>
  </si>
  <si>
    <t>Gezira</t>
  </si>
  <si>
    <t>SD-DW</t>
  </si>
  <si>
    <t>Gharb Dārfūr</t>
  </si>
  <si>
    <t>SD-DS</t>
  </si>
  <si>
    <t>Janūb Dārfūr</t>
  </si>
  <si>
    <t>SD-KS</t>
  </si>
  <si>
    <t>Janūb Kurdufān</t>
  </si>
  <si>
    <t>SD-KA</t>
  </si>
  <si>
    <t>Kassala</t>
  </si>
  <si>
    <t>Kassalā</t>
  </si>
  <si>
    <t>Khartoum</t>
  </si>
  <si>
    <t>SD-DN</t>
  </si>
  <si>
    <t>North Darfur</t>
  </si>
  <si>
    <t>SD-KN</t>
  </si>
  <si>
    <t>North Kordofan</t>
  </si>
  <si>
    <t>Red Sea</t>
  </si>
  <si>
    <t>River Nile</t>
  </si>
  <si>
    <t>SD-SI</t>
  </si>
  <si>
    <t>Sennar</t>
  </si>
  <si>
    <t>Shamāl Dārfūr</t>
  </si>
  <si>
    <t>Shamāl Kurdufān</t>
  </si>
  <si>
    <t>Sharq Dārfūr</t>
  </si>
  <si>
    <t>Sinnār</t>
  </si>
  <si>
    <t>South Darfur</t>
  </si>
  <si>
    <t>South Kordofan</t>
  </si>
  <si>
    <t>West Darfur</t>
  </si>
  <si>
    <t>White Nile</t>
  </si>
  <si>
    <t>Zalingei</t>
  </si>
  <si>
    <t>SR-BR</t>
  </si>
  <si>
    <t>Brokopondo</t>
  </si>
  <si>
    <t>SR-CM</t>
  </si>
  <si>
    <t>Commewijne</t>
  </si>
  <si>
    <t>SR-CR</t>
  </si>
  <si>
    <t>Coronie</t>
  </si>
  <si>
    <t>SR-MA</t>
  </si>
  <si>
    <t>Marowijne</t>
  </si>
  <si>
    <t>SR-NI</t>
  </si>
  <si>
    <t>Nickerie</t>
  </si>
  <si>
    <t>SR-PR</t>
  </si>
  <si>
    <t>Para</t>
  </si>
  <si>
    <t>SR-PM</t>
  </si>
  <si>
    <t>Paramaribo</t>
  </si>
  <si>
    <t>SR-SA</t>
  </si>
  <si>
    <t>Saramacca</t>
  </si>
  <si>
    <t>SR-SI</t>
  </si>
  <si>
    <t>Sipaliwini</t>
  </si>
  <si>
    <t>SR-WA</t>
  </si>
  <si>
    <t>Wanica</t>
  </si>
  <si>
    <t>SZ-HH</t>
  </si>
  <si>
    <t>Hhohho</t>
  </si>
  <si>
    <t>SZ-LU</t>
  </si>
  <si>
    <t>Lubombo</t>
  </si>
  <si>
    <t>SZ-MA</t>
  </si>
  <si>
    <t>Manzini</t>
  </si>
  <si>
    <t>SZ-SH</t>
  </si>
  <si>
    <t>Shiselweni</t>
  </si>
  <si>
    <t>SE-K</t>
  </si>
  <si>
    <t>Blekinge län [SE-10]</t>
  </si>
  <si>
    <t>SE-W</t>
  </si>
  <si>
    <t>Dalarnas län [SE-20]</t>
  </si>
  <si>
    <t>SE-I</t>
  </si>
  <si>
    <t>Gotlands län [SE-09]</t>
  </si>
  <si>
    <t>SE-X</t>
  </si>
  <si>
    <t>Gävleborgs län [SE-21]</t>
  </si>
  <si>
    <t>SE-N</t>
  </si>
  <si>
    <t>Hallands län [SE-13]</t>
  </si>
  <si>
    <t>SE-Z</t>
  </si>
  <si>
    <t>Jämtlands län [SE-23]</t>
  </si>
  <si>
    <t>SE-F</t>
  </si>
  <si>
    <t>Jönköpings län [SE-06]</t>
  </si>
  <si>
    <t>SE-H</t>
  </si>
  <si>
    <t>Kalmar län [SE-08]</t>
  </si>
  <si>
    <t>SE-G</t>
  </si>
  <si>
    <t>Kronobergs län [SE-07]</t>
  </si>
  <si>
    <t>SE-BD</t>
  </si>
  <si>
    <t>Norrbottens län [SE-25]</t>
  </si>
  <si>
    <t>SE-M</t>
  </si>
  <si>
    <t>Skåne län [SE-12]</t>
  </si>
  <si>
    <t>SE-AB</t>
  </si>
  <si>
    <t>Stockholms län [SE-01]</t>
  </si>
  <si>
    <t>SE-D</t>
  </si>
  <si>
    <t>Södermanlands län [SE-04]</t>
  </si>
  <si>
    <t>SE-C</t>
  </si>
  <si>
    <t>Uppsala län [SE-03]</t>
  </si>
  <si>
    <t>SE-S</t>
  </si>
  <si>
    <t>Värmlands län [SE-17]</t>
  </si>
  <si>
    <t>SE-AC</t>
  </si>
  <si>
    <t>Västerbottens län [SE-24]</t>
  </si>
  <si>
    <t>SE-Y</t>
  </si>
  <si>
    <t>Västernorrlands län [SE-22]</t>
  </si>
  <si>
    <t>SE-U</t>
  </si>
  <si>
    <t>Västmanlands län [SE-19]</t>
  </si>
  <si>
    <t>SE-O</t>
  </si>
  <si>
    <t>Västra Götalands län [SE-14]</t>
  </si>
  <si>
    <t>SE-T</t>
  </si>
  <si>
    <t>Örebro län [SE-18]</t>
  </si>
  <si>
    <t>SE-E</t>
  </si>
  <si>
    <t>Östergötlands län [SE-05]</t>
  </si>
  <si>
    <t>CH-AG</t>
  </si>
  <si>
    <t>Aargau</t>
  </si>
  <si>
    <t>CH-AR</t>
  </si>
  <si>
    <t>Appenzell Ausserrhoden</t>
  </si>
  <si>
    <t>CH-AI</t>
  </si>
  <si>
    <t>Appenzell Innerrhoden</t>
  </si>
  <si>
    <t>CH-BL</t>
  </si>
  <si>
    <t>Basel-Landschaft</t>
  </si>
  <si>
    <t>CH-BS</t>
  </si>
  <si>
    <t>Basel-Stadt</t>
  </si>
  <si>
    <t>CH-BE</t>
  </si>
  <si>
    <t>Bern</t>
  </si>
  <si>
    <t>Berne</t>
  </si>
  <si>
    <t>CH-FR</t>
  </si>
  <si>
    <t>Freiburg</t>
  </si>
  <si>
    <t>Fribourg</t>
  </si>
  <si>
    <t>CH-GE</t>
  </si>
  <si>
    <t>Genève</t>
  </si>
  <si>
    <t>CH-GL</t>
  </si>
  <si>
    <t>Glarus</t>
  </si>
  <si>
    <t>CH-GR</t>
  </si>
  <si>
    <t>Graubünden</t>
  </si>
  <si>
    <t>Grigioni</t>
  </si>
  <si>
    <t>Grischun</t>
  </si>
  <si>
    <t>Grisons</t>
  </si>
  <si>
    <t>CH-JU</t>
  </si>
  <si>
    <t>CH-LU</t>
  </si>
  <si>
    <t>Luzern</t>
  </si>
  <si>
    <t>CH-NE</t>
  </si>
  <si>
    <t>Neuchâtel</t>
  </si>
  <si>
    <t>CH-NW</t>
  </si>
  <si>
    <t>Nidwalden</t>
  </si>
  <si>
    <t>CH-OW</t>
  </si>
  <si>
    <t>Obwalden</t>
  </si>
  <si>
    <t>CH-SG</t>
  </si>
  <si>
    <t>Sankt Gallen</t>
  </si>
  <si>
    <t>CH-SH</t>
  </si>
  <si>
    <t>Schaffhausen</t>
  </si>
  <si>
    <t>CH-SZ</t>
  </si>
  <si>
    <t>Schwyz</t>
  </si>
  <si>
    <t>CH-SO</t>
  </si>
  <si>
    <t>Solothurn</t>
  </si>
  <si>
    <t>CH-TG</t>
  </si>
  <si>
    <t>Thurgau</t>
  </si>
  <si>
    <t>CH-TI</t>
  </si>
  <si>
    <t>Ticino</t>
  </si>
  <si>
    <t>CH-UR</t>
  </si>
  <si>
    <t>Uri</t>
  </si>
  <si>
    <t>CH-VS</t>
  </si>
  <si>
    <t>Valais</t>
  </si>
  <si>
    <t>CH-VD</t>
  </si>
  <si>
    <t>Vaud</t>
  </si>
  <si>
    <t>Wallis</t>
  </si>
  <si>
    <t>CH-ZG</t>
  </si>
  <si>
    <t>Zug</t>
  </si>
  <si>
    <t>CH-ZH</t>
  </si>
  <si>
    <t>Zürich</t>
  </si>
  <si>
    <t>SY-LA</t>
  </si>
  <si>
    <t>Al Lādhiqīyah</t>
  </si>
  <si>
    <t>SY-QU</t>
  </si>
  <si>
    <t>Al Qunayţirah</t>
  </si>
  <si>
    <t>SY-HA</t>
  </si>
  <si>
    <t>Al Ḩasakah</t>
  </si>
  <si>
    <t>SY-RA</t>
  </si>
  <si>
    <t>Ar Raqqah</t>
  </si>
  <si>
    <t>SY-SU</t>
  </si>
  <si>
    <t>As Suwaydā'</t>
  </si>
  <si>
    <t>SY-DR</t>
  </si>
  <si>
    <t>Dar'ā</t>
  </si>
  <si>
    <t>SY-DY</t>
  </si>
  <si>
    <t>Dayr az Zawr</t>
  </si>
  <si>
    <t>SY-DI</t>
  </si>
  <si>
    <t>Dimashq</t>
  </si>
  <si>
    <t>SY-ID</t>
  </si>
  <si>
    <t>Idlib</t>
  </si>
  <si>
    <t>SY-RD</t>
  </si>
  <si>
    <t>Rīf Dimashq</t>
  </si>
  <si>
    <t>SY-TA</t>
  </si>
  <si>
    <t>Ţarţūs</t>
  </si>
  <si>
    <t>SY-HL</t>
  </si>
  <si>
    <t>Ḩalab</t>
  </si>
  <si>
    <t>SY-HM</t>
  </si>
  <si>
    <t>Ḩamāh</t>
  </si>
  <si>
    <t>SY-HI</t>
  </si>
  <si>
    <t>Ḩimş</t>
  </si>
  <si>
    <t>TW-CHA</t>
  </si>
  <si>
    <t>Changhua</t>
  </si>
  <si>
    <t>TW-CYI</t>
  </si>
  <si>
    <t>Chiayi</t>
  </si>
  <si>
    <t>TW-CYQ</t>
  </si>
  <si>
    <t>TW-HSQ</t>
  </si>
  <si>
    <t>Hsinchu</t>
  </si>
  <si>
    <t>TW-HSZ</t>
  </si>
  <si>
    <t>TW-HUA</t>
  </si>
  <si>
    <t>Hualien</t>
  </si>
  <si>
    <t>TW-ILA</t>
  </si>
  <si>
    <t>Ilan</t>
  </si>
  <si>
    <t>TW-KHH</t>
  </si>
  <si>
    <t>Kaohsiung</t>
  </si>
  <si>
    <t>TW-KHQ</t>
  </si>
  <si>
    <t>TW-KEE</t>
  </si>
  <si>
    <t>Keelung</t>
  </si>
  <si>
    <t>TW-MIA</t>
  </si>
  <si>
    <t>Miaoli</t>
  </si>
  <si>
    <t>TW-NAN</t>
  </si>
  <si>
    <t>Nantou</t>
  </si>
  <si>
    <t>TW-PEN</t>
  </si>
  <si>
    <t>Penghu</t>
  </si>
  <si>
    <t>TW-PIF</t>
  </si>
  <si>
    <t>Pingtung</t>
  </si>
  <si>
    <t>TW-TXG</t>
  </si>
  <si>
    <t>Taichung</t>
  </si>
  <si>
    <t>TW-TXQ</t>
  </si>
  <si>
    <t>TW-TNN</t>
  </si>
  <si>
    <t>Tainan</t>
  </si>
  <si>
    <t>TW-TNQ</t>
  </si>
  <si>
    <t>TW-TPE</t>
  </si>
  <si>
    <t>Taipei</t>
  </si>
  <si>
    <t>TW-TPQ</t>
  </si>
  <si>
    <t>TW-TTT</t>
  </si>
  <si>
    <t>Taitung</t>
  </si>
  <si>
    <t>TW-TAO</t>
  </si>
  <si>
    <t>Taoyuan</t>
  </si>
  <si>
    <t>TW-YUN</t>
  </si>
  <si>
    <t>Yunlin</t>
  </si>
  <si>
    <t>TJ-KT</t>
  </si>
  <si>
    <t>Khatlon</t>
  </si>
  <si>
    <t>TJ-GB</t>
  </si>
  <si>
    <t>Kŭhistoni Badakhshon</t>
  </si>
  <si>
    <t>TJ-SU</t>
  </si>
  <si>
    <t>Sughd</t>
  </si>
  <si>
    <t>TZ-01</t>
  </si>
  <si>
    <t>Arusha</t>
  </si>
  <si>
    <t>TZ-19</t>
  </si>
  <si>
    <t>TZ-02</t>
  </si>
  <si>
    <t>Dar es Salaam</t>
  </si>
  <si>
    <t>TZ-03</t>
  </si>
  <si>
    <t>Dodoma</t>
  </si>
  <si>
    <t>TZ-04</t>
  </si>
  <si>
    <t>Iringa</t>
  </si>
  <si>
    <t>TZ-05</t>
  </si>
  <si>
    <t>Kagera</t>
  </si>
  <si>
    <t>TZ-06</t>
  </si>
  <si>
    <t>Kaskazini Pemba</t>
  </si>
  <si>
    <t>TZ-07</t>
  </si>
  <si>
    <t>Kaskazini Unguja</t>
  </si>
  <si>
    <t>TZ-08</t>
  </si>
  <si>
    <t>Kigoma</t>
  </si>
  <si>
    <t>TZ-09</t>
  </si>
  <si>
    <t>Kilimanjaro</t>
  </si>
  <si>
    <t>TZ-10</t>
  </si>
  <si>
    <t>Kusini Pemba</t>
  </si>
  <si>
    <t>TZ-11</t>
  </si>
  <si>
    <t>Kusini Unguja</t>
  </si>
  <si>
    <t>TZ-12</t>
  </si>
  <si>
    <t>Lindi</t>
  </si>
  <si>
    <t>TZ-26</t>
  </si>
  <si>
    <t>Manyara</t>
  </si>
  <si>
    <t>TZ-13</t>
  </si>
  <si>
    <t>Mara</t>
  </si>
  <si>
    <t>TZ-14</t>
  </si>
  <si>
    <t>Mbeya</t>
  </si>
  <si>
    <t>TZ-15</t>
  </si>
  <si>
    <t>Mjini Magharibi</t>
  </si>
  <si>
    <t>TZ-16</t>
  </si>
  <si>
    <t>Morogoro</t>
  </si>
  <si>
    <t>TZ-17</t>
  </si>
  <si>
    <t>Mtwara</t>
  </si>
  <si>
    <t>TZ-18</t>
  </si>
  <si>
    <t>Pemba North</t>
  </si>
  <si>
    <t>Pemba South</t>
  </si>
  <si>
    <t>TZ-20</t>
  </si>
  <si>
    <t>Rukwa</t>
  </si>
  <si>
    <t>TZ-21</t>
  </si>
  <si>
    <t>Ruvuma</t>
  </si>
  <si>
    <t>TZ-22</t>
  </si>
  <si>
    <t>Shinyanga</t>
  </si>
  <si>
    <t>TZ-23</t>
  </si>
  <si>
    <t>Singida</t>
  </si>
  <si>
    <t>TZ-24</t>
  </si>
  <si>
    <t>Tabora</t>
  </si>
  <si>
    <t>TZ-25</t>
  </si>
  <si>
    <t>Tanga</t>
  </si>
  <si>
    <t>Zanzibar North</t>
  </si>
  <si>
    <t>Zanzibar South</t>
  </si>
  <si>
    <t>Zanzibar West</t>
  </si>
  <si>
    <t>TH-37</t>
  </si>
  <si>
    <t>Amnat Charoen</t>
  </si>
  <si>
    <t>TH-15</t>
  </si>
  <si>
    <t>Ang Thong</t>
  </si>
  <si>
    <t>TH-31</t>
  </si>
  <si>
    <t>Buri Ram</t>
  </si>
  <si>
    <t>TH-24</t>
  </si>
  <si>
    <t>Chachoengsao</t>
  </si>
  <si>
    <t>TH-18</t>
  </si>
  <si>
    <t>Chai Nat</t>
  </si>
  <si>
    <t>TH-36</t>
  </si>
  <si>
    <t>Chaiyaphum</t>
  </si>
  <si>
    <t>TH-22</t>
  </si>
  <si>
    <t>Chanthaburi</t>
  </si>
  <si>
    <t>TH-50</t>
  </si>
  <si>
    <t>Chiang Mai</t>
  </si>
  <si>
    <t>TH-57</t>
  </si>
  <si>
    <t>Chiang Rai</t>
  </si>
  <si>
    <t>TH-20</t>
  </si>
  <si>
    <t>Chon Buri</t>
  </si>
  <si>
    <t>TH-86</t>
  </si>
  <si>
    <t>Chumphon</t>
  </si>
  <si>
    <t>TH-46</t>
  </si>
  <si>
    <t>Kalasin</t>
  </si>
  <si>
    <t>TH-62</t>
  </si>
  <si>
    <t>Kamphaeng Phet</t>
  </si>
  <si>
    <t>TH-71</t>
  </si>
  <si>
    <t>Kanchanaburi</t>
  </si>
  <si>
    <t>TH-40</t>
  </si>
  <si>
    <t>Khon Kaen</t>
  </si>
  <si>
    <t>TH-81</t>
  </si>
  <si>
    <t>Krabi</t>
  </si>
  <si>
    <t>TH-10</t>
  </si>
  <si>
    <t>Krung Thep Maha Nakhon [Bangkok]</t>
  </si>
  <si>
    <t>metropolitan administration</t>
  </si>
  <si>
    <t>TH-52</t>
  </si>
  <si>
    <t>Lampang</t>
  </si>
  <si>
    <t>TH-51</t>
  </si>
  <si>
    <t>Lamphun</t>
  </si>
  <si>
    <t>TH-42</t>
  </si>
  <si>
    <t>Loei</t>
  </si>
  <si>
    <t>TH-16</t>
  </si>
  <si>
    <t>Lop Buri</t>
  </si>
  <si>
    <t>TH-58</t>
  </si>
  <si>
    <t>Mae Hong Son</t>
  </si>
  <si>
    <t>TH-44</t>
  </si>
  <si>
    <t>Maha Sarakham</t>
  </si>
  <si>
    <t>TH-49</t>
  </si>
  <si>
    <t>Mukdahan</t>
  </si>
  <si>
    <t>TH-26</t>
  </si>
  <si>
    <t>Nakhon Nayok</t>
  </si>
  <si>
    <t>TH-73</t>
  </si>
  <si>
    <t>Nakhon Pathom</t>
  </si>
  <si>
    <t>TH-48</t>
  </si>
  <si>
    <t>Nakhon Phanom</t>
  </si>
  <si>
    <t>TH-30</t>
  </si>
  <si>
    <t>Nakhon Ratchasima</t>
  </si>
  <si>
    <t>TH-60</t>
  </si>
  <si>
    <t>Nakhon Sawan</t>
  </si>
  <si>
    <t>TH-80</t>
  </si>
  <si>
    <t>Nakhon Si Thammarat</t>
  </si>
  <si>
    <t>TH-55</t>
  </si>
  <si>
    <t>Nan</t>
  </si>
  <si>
    <t>TH-96</t>
  </si>
  <si>
    <t>Narathiwat</t>
  </si>
  <si>
    <t>TH-39</t>
  </si>
  <si>
    <t>Nong Bua Lam Phu</t>
  </si>
  <si>
    <t>TH-43</t>
  </si>
  <si>
    <t>Nong Khai</t>
  </si>
  <si>
    <t>TH-12</t>
  </si>
  <si>
    <t>Nonthaburi</t>
  </si>
  <si>
    <t>TH-13</t>
  </si>
  <si>
    <t>Pathum Thani</t>
  </si>
  <si>
    <t>TH-94</t>
  </si>
  <si>
    <t>Pattani</t>
  </si>
  <si>
    <t>TH-82</t>
  </si>
  <si>
    <t>Phangnga</t>
  </si>
  <si>
    <t>TH-93</t>
  </si>
  <si>
    <t>Phatthalung</t>
  </si>
  <si>
    <t>TH-S</t>
  </si>
  <si>
    <t>Phatthaya</t>
  </si>
  <si>
    <t>special administrative city</t>
  </si>
  <si>
    <t>TH-56</t>
  </si>
  <si>
    <t>Phayao</t>
  </si>
  <si>
    <t>TH-67</t>
  </si>
  <si>
    <t>Phetchabun</t>
  </si>
  <si>
    <t>TH-76</t>
  </si>
  <si>
    <t>Phetchaburi</t>
  </si>
  <si>
    <t>TH-66</t>
  </si>
  <si>
    <t>Phichit</t>
  </si>
  <si>
    <t>TH-65</t>
  </si>
  <si>
    <t>Phitsanulok</t>
  </si>
  <si>
    <t>TH-14</t>
  </si>
  <si>
    <t>Phra Nakhon Si Ayutthaya</t>
  </si>
  <si>
    <t>TH-54</t>
  </si>
  <si>
    <t>Phrae</t>
  </si>
  <si>
    <t>TH-83</t>
  </si>
  <si>
    <t>Phuket</t>
  </si>
  <si>
    <t>TH-25</t>
  </si>
  <si>
    <t>Prachin Buri</t>
  </si>
  <si>
    <t>TH-77</t>
  </si>
  <si>
    <t>Prachuap Khiri Khan</t>
  </si>
  <si>
    <t>TH-85</t>
  </si>
  <si>
    <t>Ranong</t>
  </si>
  <si>
    <t>TH-70</t>
  </si>
  <si>
    <t>Ratchaburi</t>
  </si>
  <si>
    <t>TH-21</t>
  </si>
  <si>
    <t>Rayong</t>
  </si>
  <si>
    <t>TH-45</t>
  </si>
  <si>
    <t>Roi Et</t>
  </si>
  <si>
    <t>TH-27</t>
  </si>
  <si>
    <t>Sa Kaeo</t>
  </si>
  <si>
    <t>TH-47</t>
  </si>
  <si>
    <t>Sakon Nakhon</t>
  </si>
  <si>
    <t>TH-11</t>
  </si>
  <si>
    <t>Samut Prakan</t>
  </si>
  <si>
    <t>TH-74</t>
  </si>
  <si>
    <t>Samut Sakhon</t>
  </si>
  <si>
    <t>TH-75</t>
  </si>
  <si>
    <t>Samut Songkhram</t>
  </si>
  <si>
    <t>TH-19</t>
  </si>
  <si>
    <t>Saraburi</t>
  </si>
  <si>
    <t>TH-91</t>
  </si>
  <si>
    <t>Satun</t>
  </si>
  <si>
    <t>TH-33</t>
  </si>
  <si>
    <t>Si Sa Ket</t>
  </si>
  <si>
    <t>TH-17</t>
  </si>
  <si>
    <t>Sing Buri</t>
  </si>
  <si>
    <t>TH-90</t>
  </si>
  <si>
    <t>Songkhla</t>
  </si>
  <si>
    <t>TH-64</t>
  </si>
  <si>
    <t>Sukhothai</t>
  </si>
  <si>
    <t>TH-72</t>
  </si>
  <si>
    <t>Suphan Buri</t>
  </si>
  <si>
    <t>TH-84</t>
  </si>
  <si>
    <t>Surat Thani</t>
  </si>
  <si>
    <t>TH-32</t>
  </si>
  <si>
    <t>Surin</t>
  </si>
  <si>
    <t>TH-63</t>
  </si>
  <si>
    <t>Tak</t>
  </si>
  <si>
    <t>TH-92</t>
  </si>
  <si>
    <t>Trang</t>
  </si>
  <si>
    <t>TH-23</t>
  </si>
  <si>
    <t>Trat</t>
  </si>
  <si>
    <t>TH-34</t>
  </si>
  <si>
    <t>Ubon Ratchathani</t>
  </si>
  <si>
    <t>TH-41</t>
  </si>
  <si>
    <t>Udon Thani</t>
  </si>
  <si>
    <t>TH-61</t>
  </si>
  <si>
    <t>Uthai Thani</t>
  </si>
  <si>
    <t>TH-53</t>
  </si>
  <si>
    <t>Uttaradit</t>
  </si>
  <si>
    <t>TH-95</t>
  </si>
  <si>
    <t>Yala</t>
  </si>
  <si>
    <t>TH-35</t>
  </si>
  <si>
    <t>Yasothon</t>
  </si>
  <si>
    <t>TL-AL</t>
  </si>
  <si>
    <t>Aileu</t>
  </si>
  <si>
    <t>TL-AN</t>
  </si>
  <si>
    <t>Ainaro</t>
  </si>
  <si>
    <t>Ainaru</t>
  </si>
  <si>
    <t>TL-BA</t>
  </si>
  <si>
    <t>Baucau</t>
  </si>
  <si>
    <t>Baukau</t>
  </si>
  <si>
    <t>TL-BO</t>
  </si>
  <si>
    <t>Bobonaro</t>
  </si>
  <si>
    <t>Bobonaru</t>
  </si>
  <si>
    <t>TL-CO</t>
  </si>
  <si>
    <t>Cova Lima</t>
  </si>
  <si>
    <t>TL-DI</t>
  </si>
  <si>
    <t>Díli</t>
  </si>
  <si>
    <t>TL-ER</t>
  </si>
  <si>
    <t>Ermera</t>
  </si>
  <si>
    <t>Kovalima</t>
  </si>
  <si>
    <t>TL-LA</t>
  </si>
  <si>
    <t>Lautem</t>
  </si>
  <si>
    <t>Lautém</t>
  </si>
  <si>
    <t>TL-LI</t>
  </si>
  <si>
    <t>Likisá</t>
  </si>
  <si>
    <t>Liquiça</t>
  </si>
  <si>
    <t>TL-MT</t>
  </si>
  <si>
    <t>Manatuto</t>
  </si>
  <si>
    <t>Manatutu</t>
  </si>
  <si>
    <t>TL-MF</t>
  </si>
  <si>
    <t>Manufahi</t>
  </si>
  <si>
    <t>TL-OE</t>
  </si>
  <si>
    <t>Oecussi</t>
  </si>
  <si>
    <t>Oekusi-Ambenu</t>
  </si>
  <si>
    <t>TL-VI</t>
  </si>
  <si>
    <t>Vikeke</t>
  </si>
  <si>
    <t>Viqueque</t>
  </si>
  <si>
    <t>TG-C</t>
  </si>
  <si>
    <t>TG-K</t>
  </si>
  <si>
    <t>Kara</t>
  </si>
  <si>
    <t>TG-M</t>
  </si>
  <si>
    <t>Maritime (Région)</t>
  </si>
  <si>
    <t>TG-P</t>
  </si>
  <si>
    <t>TG-S</t>
  </si>
  <si>
    <t>Savannes</t>
  </si>
  <si>
    <t>TO-01</t>
  </si>
  <si>
    <t>'Eua</t>
  </si>
  <si>
    <t>TO-02</t>
  </si>
  <si>
    <t>Ha'apai</t>
  </si>
  <si>
    <t>TO-03</t>
  </si>
  <si>
    <t>Niuas</t>
  </si>
  <si>
    <t>TO-04</t>
  </si>
  <si>
    <t>Tongatapu</t>
  </si>
  <si>
    <t>TO-05</t>
  </si>
  <si>
    <t>Vava'u</t>
  </si>
  <si>
    <t>TT-ARI</t>
  </si>
  <si>
    <t>Arima</t>
  </si>
  <si>
    <t>TT-CHA</t>
  </si>
  <si>
    <t>Chaguanas</t>
  </si>
  <si>
    <t>TT-CTT</t>
  </si>
  <si>
    <t>Couva-Tabaquite-Talparo</t>
  </si>
  <si>
    <t>TT-DMN</t>
  </si>
  <si>
    <t>Diego Martin</t>
  </si>
  <si>
    <t>TT-ETO</t>
  </si>
  <si>
    <t>Eastern Tobago</t>
  </si>
  <si>
    <t>TT-PED</t>
  </si>
  <si>
    <t>Penal-Debe</t>
  </si>
  <si>
    <t>TT-PTF</t>
  </si>
  <si>
    <t>Point Fortin</t>
  </si>
  <si>
    <t>TT-POS</t>
  </si>
  <si>
    <t>Port of Spain</t>
  </si>
  <si>
    <t>TT-PRT</t>
  </si>
  <si>
    <t>Princes Town</t>
  </si>
  <si>
    <t>TT-RCM</t>
  </si>
  <si>
    <t>Rio Claro-Mayaro</t>
  </si>
  <si>
    <t>TT-SFO</t>
  </si>
  <si>
    <t>San Fernando</t>
  </si>
  <si>
    <t>TT-SJL</t>
  </si>
  <si>
    <t>San Juan-Laventille</t>
  </si>
  <si>
    <t>TT-SGE</t>
  </si>
  <si>
    <t>Sangre Grande</t>
  </si>
  <si>
    <t>TT-SIP</t>
  </si>
  <si>
    <t>Siparia</t>
  </si>
  <si>
    <t>TT-TUP</t>
  </si>
  <si>
    <t>Tunapuna-Piarco</t>
  </si>
  <si>
    <t>TT-WTO</t>
  </si>
  <si>
    <t>Western Tobago</t>
  </si>
  <si>
    <t>TN-12</t>
  </si>
  <si>
    <t>Ariana</t>
  </si>
  <si>
    <t>TN-13</t>
  </si>
  <si>
    <t>Ben Arous</t>
  </si>
  <si>
    <t>TN-23</t>
  </si>
  <si>
    <t>Bizerte</t>
  </si>
  <si>
    <t>TN-31</t>
  </si>
  <si>
    <t>Béja</t>
  </si>
  <si>
    <t>TN-81</t>
  </si>
  <si>
    <t>Gabès</t>
  </si>
  <si>
    <t>TN-71</t>
  </si>
  <si>
    <t>Gafsa</t>
  </si>
  <si>
    <t>TN-32</t>
  </si>
  <si>
    <t>Jendouba</t>
  </si>
  <si>
    <t>TN-41</t>
  </si>
  <si>
    <t>Kairouan</t>
  </si>
  <si>
    <t>TN-42</t>
  </si>
  <si>
    <t>Kasserine</t>
  </si>
  <si>
    <t>TN-73</t>
  </si>
  <si>
    <t>Kebili</t>
  </si>
  <si>
    <t>TN-14</t>
  </si>
  <si>
    <t>La Manouba</t>
  </si>
  <si>
    <t>TN-33</t>
  </si>
  <si>
    <t>Le Kef</t>
  </si>
  <si>
    <t>TN-53</t>
  </si>
  <si>
    <t>Mahdia</t>
  </si>
  <si>
    <t>TN-82</t>
  </si>
  <si>
    <t>Medenine</t>
  </si>
  <si>
    <t>TN-52</t>
  </si>
  <si>
    <t>Monastir</t>
  </si>
  <si>
    <t>TN-21</t>
  </si>
  <si>
    <t>Nabeul</t>
  </si>
  <si>
    <t>TN-61</t>
  </si>
  <si>
    <t>Sfax</t>
  </si>
  <si>
    <t>TN-43</t>
  </si>
  <si>
    <t>Sidi Bouzid</t>
  </si>
  <si>
    <t>TN-34</t>
  </si>
  <si>
    <t>Siliana</t>
  </si>
  <si>
    <t>TN-51</t>
  </si>
  <si>
    <t>Sousse</t>
  </si>
  <si>
    <t>TN-83</t>
  </si>
  <si>
    <t>Tataouine</t>
  </si>
  <si>
    <t>TN-72</t>
  </si>
  <si>
    <t>Tozeur</t>
  </si>
  <si>
    <t>TN-11</t>
  </si>
  <si>
    <t>Tunis</t>
  </si>
  <si>
    <t>TN-22</t>
  </si>
  <si>
    <t>Zaghouan</t>
  </si>
  <si>
    <t>TR-01</t>
  </si>
  <si>
    <t>Adana</t>
  </si>
  <si>
    <t>TR-02</t>
  </si>
  <si>
    <t>Adıyaman</t>
  </si>
  <si>
    <t>TR-03</t>
  </si>
  <si>
    <t>Afyonkarahisar</t>
  </si>
  <si>
    <t>TR-68</t>
  </si>
  <si>
    <t>Aksaray</t>
  </si>
  <si>
    <t>TR-05</t>
  </si>
  <si>
    <t>Amasya</t>
  </si>
  <si>
    <t>TR-06</t>
  </si>
  <si>
    <t>Ankara</t>
  </si>
  <si>
    <t>TR-07</t>
  </si>
  <si>
    <t>Antalya</t>
  </si>
  <si>
    <t>TR-75</t>
  </si>
  <si>
    <t>Ardahan</t>
  </si>
  <si>
    <t>TR-08</t>
  </si>
  <si>
    <t>Artvin</t>
  </si>
  <si>
    <t>TR-09</t>
  </si>
  <si>
    <t>Aydın</t>
  </si>
  <si>
    <t>TR-04</t>
  </si>
  <si>
    <t>Ağrı</t>
  </si>
  <si>
    <t>TR-10</t>
  </si>
  <si>
    <t>Balıkesir</t>
  </si>
  <si>
    <t>TR-74</t>
  </si>
  <si>
    <t>Bartın</t>
  </si>
  <si>
    <t>TR-72</t>
  </si>
  <si>
    <t>Batman</t>
  </si>
  <si>
    <t>TR-69</t>
  </si>
  <si>
    <t>Bayburt</t>
  </si>
  <si>
    <t>TR-11</t>
  </si>
  <si>
    <t>Bilecik</t>
  </si>
  <si>
    <t>TR-12</t>
  </si>
  <si>
    <t>Bingöl</t>
  </si>
  <si>
    <t>TR-13</t>
  </si>
  <si>
    <t>Bitlis</t>
  </si>
  <si>
    <t>TR-14</t>
  </si>
  <si>
    <t>Bolu</t>
  </si>
  <si>
    <t>TR-15</t>
  </si>
  <si>
    <t>Burdur</t>
  </si>
  <si>
    <t>TR-16</t>
  </si>
  <si>
    <t>Bursa</t>
  </si>
  <si>
    <t>TR-20</t>
  </si>
  <si>
    <t>Denizli</t>
  </si>
  <si>
    <t>TR-21</t>
  </si>
  <si>
    <t>Diyarbakır</t>
  </si>
  <si>
    <t>TR-81</t>
  </si>
  <si>
    <t>Düzce</t>
  </si>
  <si>
    <t>TR-22</t>
  </si>
  <si>
    <t>Edirne</t>
  </si>
  <si>
    <t>TR-23</t>
  </si>
  <si>
    <t>Elazığ</t>
  </si>
  <si>
    <t>TR-24</t>
  </si>
  <si>
    <t>Erzincan</t>
  </si>
  <si>
    <t>TR-25</t>
  </si>
  <si>
    <t>Erzurum</t>
  </si>
  <si>
    <t>TR-26</t>
  </si>
  <si>
    <t>Eskişehir</t>
  </si>
  <si>
    <t>TR-27</t>
  </si>
  <si>
    <t>Gaziantep</t>
  </si>
  <si>
    <t>TR-28</t>
  </si>
  <si>
    <t>Giresun</t>
  </si>
  <si>
    <t>TR-29</t>
  </si>
  <si>
    <t>Gümüşhane</t>
  </si>
  <si>
    <t>TR-30</t>
  </si>
  <si>
    <t>Hakkâri</t>
  </si>
  <si>
    <t>TR-31</t>
  </si>
  <si>
    <t>Hatay</t>
  </si>
  <si>
    <t>TR-32</t>
  </si>
  <si>
    <t>Isparta</t>
  </si>
  <si>
    <t>TR-76</t>
  </si>
  <si>
    <t>Iğdır</t>
  </si>
  <si>
    <t>TR-46</t>
  </si>
  <si>
    <t>Kahramanmaraş</t>
  </si>
  <si>
    <t>TR-78</t>
  </si>
  <si>
    <t>Karabük</t>
  </si>
  <si>
    <t>TR-70</t>
  </si>
  <si>
    <t>Karaman</t>
  </si>
  <si>
    <t>TR-36</t>
  </si>
  <si>
    <t>Kars</t>
  </si>
  <si>
    <t>TR-37</t>
  </si>
  <si>
    <t>Kastamonu</t>
  </si>
  <si>
    <t>TR-38</t>
  </si>
  <si>
    <t>Kayseri</t>
  </si>
  <si>
    <t>TR-79</t>
  </si>
  <si>
    <t>Kilis</t>
  </si>
  <si>
    <t>TR-41</t>
  </si>
  <si>
    <t>Kocaeli</t>
  </si>
  <si>
    <t>TR-42</t>
  </si>
  <si>
    <t>Konya</t>
  </si>
  <si>
    <t>TR-43</t>
  </si>
  <si>
    <t>Kütahya</t>
  </si>
  <si>
    <t>TR-39</t>
  </si>
  <si>
    <t>Kırklareli</t>
  </si>
  <si>
    <t>TR-71</t>
  </si>
  <si>
    <t>Kırıkkale</t>
  </si>
  <si>
    <t>TR-40</t>
  </si>
  <si>
    <t>Kırşehir</t>
  </si>
  <si>
    <t>TR-44</t>
  </si>
  <si>
    <t>Malatya</t>
  </si>
  <si>
    <t>TR-45</t>
  </si>
  <si>
    <t>Manisa</t>
  </si>
  <si>
    <t>TR-47</t>
  </si>
  <si>
    <t>Mardin</t>
  </si>
  <si>
    <t>TR-33</t>
  </si>
  <si>
    <t>Mersin</t>
  </si>
  <si>
    <t>TR-48</t>
  </si>
  <si>
    <t>Muğla</t>
  </si>
  <si>
    <t>TR-49</t>
  </si>
  <si>
    <t>Muş</t>
  </si>
  <si>
    <t>TR-50</t>
  </si>
  <si>
    <t>Nevşehir</t>
  </si>
  <si>
    <t>TR-51</t>
  </si>
  <si>
    <t>Niğde</t>
  </si>
  <si>
    <t>TR-52</t>
  </si>
  <si>
    <t>Ordu</t>
  </si>
  <si>
    <t>TR-80</t>
  </si>
  <si>
    <t>Osmaniye</t>
  </si>
  <si>
    <t>TR-53</t>
  </si>
  <si>
    <t>Rize</t>
  </si>
  <si>
    <t>TR-54</t>
  </si>
  <si>
    <t>Sakarya</t>
  </si>
  <si>
    <t>TR-55</t>
  </si>
  <si>
    <t>Samsun</t>
  </si>
  <si>
    <t>TR-56</t>
  </si>
  <si>
    <t>Siirt</t>
  </si>
  <si>
    <t>TR-57</t>
  </si>
  <si>
    <t>Sinop</t>
  </si>
  <si>
    <t>TR-58</t>
  </si>
  <si>
    <t>Sivas</t>
  </si>
  <si>
    <t>TR-59</t>
  </si>
  <si>
    <t>Tekirdağ</t>
  </si>
  <si>
    <t>TR-60</t>
  </si>
  <si>
    <t>Tokat</t>
  </si>
  <si>
    <t>TR-61</t>
  </si>
  <si>
    <t>Trabzon</t>
  </si>
  <si>
    <t>TR-62</t>
  </si>
  <si>
    <t>Tunceli</t>
  </si>
  <si>
    <t>TR-64</t>
  </si>
  <si>
    <t>Uşak</t>
  </si>
  <si>
    <t>TR-65</t>
  </si>
  <si>
    <t>Van</t>
  </si>
  <si>
    <t>TR-77</t>
  </si>
  <si>
    <t>Yalova</t>
  </si>
  <si>
    <t>TR-66</t>
  </si>
  <si>
    <t>Yozgat</t>
  </si>
  <si>
    <t>TR-67</t>
  </si>
  <si>
    <t>Zonguldak</t>
  </si>
  <si>
    <t>TR-17</t>
  </si>
  <si>
    <t>Çanakkale</t>
  </si>
  <si>
    <t>TR-18</t>
  </si>
  <si>
    <t>Çankırı</t>
  </si>
  <si>
    <t>TR-19</t>
  </si>
  <si>
    <t>Çorum</t>
  </si>
  <si>
    <t>TR-34</t>
  </si>
  <si>
    <t>İstanbul</t>
  </si>
  <si>
    <t>TR-35</t>
  </si>
  <si>
    <t>İzmir</t>
  </si>
  <si>
    <t>TR-63</t>
  </si>
  <si>
    <t>Şanlıurfa</t>
  </si>
  <si>
    <t>TR-73</t>
  </si>
  <si>
    <t>Şırnak</t>
  </si>
  <si>
    <t>TM-A</t>
  </si>
  <si>
    <t>Ahal</t>
  </si>
  <si>
    <t>TM-S</t>
  </si>
  <si>
    <t>Aşgabat</t>
  </si>
  <si>
    <t>TM-B</t>
  </si>
  <si>
    <t>Balkan</t>
  </si>
  <si>
    <t>TM-D</t>
  </si>
  <si>
    <t>Daşoguz</t>
  </si>
  <si>
    <t>TM-L</t>
  </si>
  <si>
    <t>Lebap</t>
  </si>
  <si>
    <t>TM-M</t>
  </si>
  <si>
    <t>Mary</t>
  </si>
  <si>
    <t>TV-FUN</t>
  </si>
  <si>
    <t>Funafuti</t>
  </si>
  <si>
    <t>TV-NMG</t>
  </si>
  <si>
    <t>Nanumanga</t>
  </si>
  <si>
    <t>island council</t>
  </si>
  <si>
    <t>TV-NMA</t>
  </si>
  <si>
    <t>Nanumea</t>
  </si>
  <si>
    <t>TV-NIT</t>
  </si>
  <si>
    <t>Niutao</t>
  </si>
  <si>
    <t>TV-NIU</t>
  </si>
  <si>
    <t>Nui</t>
  </si>
  <si>
    <t>TV-NKF</t>
  </si>
  <si>
    <t>Nukufetau</t>
  </si>
  <si>
    <t>TV-NKL</t>
  </si>
  <si>
    <t>Nukulaelae</t>
  </si>
  <si>
    <t>TV-VAI</t>
  </si>
  <si>
    <t>Vaitupu</t>
  </si>
  <si>
    <t>UG-317</t>
  </si>
  <si>
    <t>Abim</t>
  </si>
  <si>
    <t>UG-301</t>
  </si>
  <si>
    <t>Adjumani</t>
  </si>
  <si>
    <t>UG-314</t>
  </si>
  <si>
    <t>Amolatar</t>
  </si>
  <si>
    <t>UG-216</t>
  </si>
  <si>
    <t>Amuria</t>
  </si>
  <si>
    <t>UG-319</t>
  </si>
  <si>
    <t>Amuru</t>
  </si>
  <si>
    <t>UG-302</t>
  </si>
  <si>
    <t>Apac</t>
  </si>
  <si>
    <t>UG-303</t>
  </si>
  <si>
    <t>Arua</t>
  </si>
  <si>
    <t>UG-217</t>
  </si>
  <si>
    <t>Budaka</t>
  </si>
  <si>
    <t>UG-223</t>
  </si>
  <si>
    <t>Bududa</t>
  </si>
  <si>
    <t>UG-201</t>
  </si>
  <si>
    <t>Bugiri</t>
  </si>
  <si>
    <t>UG-224</t>
  </si>
  <si>
    <t>Bukedea</t>
  </si>
  <si>
    <t>UG-218</t>
  </si>
  <si>
    <t>Bukwa</t>
  </si>
  <si>
    <t>UG-419</t>
  </si>
  <si>
    <t>Buliisa</t>
  </si>
  <si>
    <t>UG-401</t>
  </si>
  <si>
    <t>Bundibugyo</t>
  </si>
  <si>
    <t>UG-402</t>
  </si>
  <si>
    <t>Bushenyi</t>
  </si>
  <si>
    <t>UG-202</t>
  </si>
  <si>
    <t>Busia</t>
  </si>
  <si>
    <t>UG-219</t>
  </si>
  <si>
    <t>Butaleja</t>
  </si>
  <si>
    <t>UG-C</t>
  </si>
  <si>
    <t>UG-318</t>
  </si>
  <si>
    <t>Dokolo</t>
  </si>
  <si>
    <t>UG-E</t>
  </si>
  <si>
    <t>UG-304</t>
  </si>
  <si>
    <t>Gulu</t>
  </si>
  <si>
    <t>UG-403</t>
  </si>
  <si>
    <t>Hoima</t>
  </si>
  <si>
    <t>UG-416</t>
  </si>
  <si>
    <t>Ibanda</t>
  </si>
  <si>
    <t>UG-203</t>
  </si>
  <si>
    <t>Iganga</t>
  </si>
  <si>
    <t>UG-417</t>
  </si>
  <si>
    <t>Isingiro</t>
  </si>
  <si>
    <t>UG-204</t>
  </si>
  <si>
    <t>Jinja</t>
  </si>
  <si>
    <t>UG-315</t>
  </si>
  <si>
    <t>Kaabong</t>
  </si>
  <si>
    <t>UG-404</t>
  </si>
  <si>
    <t>Kabale</t>
  </si>
  <si>
    <t>UG-405</t>
  </si>
  <si>
    <t>Kabarole</t>
  </si>
  <si>
    <t>UG-213</t>
  </si>
  <si>
    <t>Kaberamaido</t>
  </si>
  <si>
    <t>UG-101</t>
  </si>
  <si>
    <t>Kalangala</t>
  </si>
  <si>
    <t>UG-220</t>
  </si>
  <si>
    <t>Kaliro</t>
  </si>
  <si>
    <t>UG-102</t>
  </si>
  <si>
    <t>Kampala</t>
  </si>
  <si>
    <t>UG-205</t>
  </si>
  <si>
    <t>Kamuli</t>
  </si>
  <si>
    <t>UG-413</t>
  </si>
  <si>
    <t>Kamwenge</t>
  </si>
  <si>
    <t>UG-414</t>
  </si>
  <si>
    <t>Kanungu</t>
  </si>
  <si>
    <t>UG-206</t>
  </si>
  <si>
    <t>Kapchorwa</t>
  </si>
  <si>
    <t>UG-406</t>
  </si>
  <si>
    <t>Kasese</t>
  </si>
  <si>
    <t>UG-207</t>
  </si>
  <si>
    <t>Katakwi</t>
  </si>
  <si>
    <t>UG-112</t>
  </si>
  <si>
    <t>Kayunga</t>
  </si>
  <si>
    <t>UG-407</t>
  </si>
  <si>
    <t>Kibaale</t>
  </si>
  <si>
    <t>UG-103</t>
  </si>
  <si>
    <t>Kiboga</t>
  </si>
  <si>
    <t>UG-418</t>
  </si>
  <si>
    <t>Kiruhura</t>
  </si>
  <si>
    <t>UG-408</t>
  </si>
  <si>
    <t>Kisoro</t>
  </si>
  <si>
    <t>UG-305</t>
  </si>
  <si>
    <t>Kitgum</t>
  </si>
  <si>
    <t>UG-316</t>
  </si>
  <si>
    <t>Koboko</t>
  </si>
  <si>
    <t>UG-306</t>
  </si>
  <si>
    <t>Kotido</t>
  </si>
  <si>
    <t>UG-208</t>
  </si>
  <si>
    <t>Kumi</t>
  </si>
  <si>
    <t>UG-415</t>
  </si>
  <si>
    <t>Kyenjojo</t>
  </si>
  <si>
    <t>UG-307</t>
  </si>
  <si>
    <t>Lira</t>
  </si>
  <si>
    <t>UG-104</t>
  </si>
  <si>
    <t>Luwero</t>
  </si>
  <si>
    <t>UG-116</t>
  </si>
  <si>
    <t>Lyantonde</t>
  </si>
  <si>
    <t>UG-221</t>
  </si>
  <si>
    <t>Manafwa</t>
  </si>
  <si>
    <t>UG-320</t>
  </si>
  <si>
    <t>Maracha</t>
  </si>
  <si>
    <t>UG-105</t>
  </si>
  <si>
    <t>Masaka</t>
  </si>
  <si>
    <t>UG-409</t>
  </si>
  <si>
    <t>Masindi</t>
  </si>
  <si>
    <t>UG-214</t>
  </si>
  <si>
    <t>Mayuge</t>
  </si>
  <si>
    <t>UG-209</t>
  </si>
  <si>
    <t>Mbale</t>
  </si>
  <si>
    <t>UG-410</t>
  </si>
  <si>
    <t>Mbarara</t>
  </si>
  <si>
    <t>UG-114</t>
  </si>
  <si>
    <t>Mityana</t>
  </si>
  <si>
    <t>UG-308</t>
  </si>
  <si>
    <t>Moroto</t>
  </si>
  <si>
    <t>UG-309</t>
  </si>
  <si>
    <t>Moyo</t>
  </si>
  <si>
    <t>UG-106</t>
  </si>
  <si>
    <t>Mpigi</t>
  </si>
  <si>
    <t>UG-107</t>
  </si>
  <si>
    <t>Mubende</t>
  </si>
  <si>
    <t>UG-108</t>
  </si>
  <si>
    <t>Mukono</t>
  </si>
  <si>
    <t>UG-311</t>
  </si>
  <si>
    <t>Nakapiripirit</t>
  </si>
  <si>
    <t>UG-115</t>
  </si>
  <si>
    <t>Nakaseke</t>
  </si>
  <si>
    <t>UG-109</t>
  </si>
  <si>
    <t>Nakasongola</t>
  </si>
  <si>
    <t>UG-222</t>
  </si>
  <si>
    <t>Namutumba</t>
  </si>
  <si>
    <t>UG-310</t>
  </si>
  <si>
    <t>Nebbi</t>
  </si>
  <si>
    <t>UG-N</t>
  </si>
  <si>
    <t>UG-411</t>
  </si>
  <si>
    <t>Ntungamo</t>
  </si>
  <si>
    <t>UG-321</t>
  </si>
  <si>
    <t>Oyam</t>
  </si>
  <si>
    <t>UG-312</t>
  </si>
  <si>
    <t>Pader</t>
  </si>
  <si>
    <t>UG-210</t>
  </si>
  <si>
    <t>Pallisa</t>
  </si>
  <si>
    <t>UG-110</t>
  </si>
  <si>
    <t>Rakai</t>
  </si>
  <si>
    <t>UG-412</t>
  </si>
  <si>
    <t>Rukungiri</t>
  </si>
  <si>
    <t>UG-111</t>
  </si>
  <si>
    <t>Sembabule</t>
  </si>
  <si>
    <t>UG-215</t>
  </si>
  <si>
    <t>Sironko</t>
  </si>
  <si>
    <t>UG-211</t>
  </si>
  <si>
    <t>Soroti</t>
  </si>
  <si>
    <t>UG-212</t>
  </si>
  <si>
    <t>Tororo</t>
  </si>
  <si>
    <t>UG-113</t>
  </si>
  <si>
    <t>Wakiso</t>
  </si>
  <si>
    <t>UG-W</t>
  </si>
  <si>
    <t>UG-313</t>
  </si>
  <si>
    <t>Yumbe</t>
  </si>
  <si>
    <t>UA-71</t>
  </si>
  <si>
    <t>Cherkas'ka Oblast'</t>
  </si>
  <si>
    <t>UA-74</t>
  </si>
  <si>
    <t>Chernihivs'ka Oblast'</t>
  </si>
  <si>
    <t>UA-77</t>
  </si>
  <si>
    <t>Chernivets'ka Oblast'</t>
  </si>
  <si>
    <t>UA-12</t>
  </si>
  <si>
    <t>Dnipropetrovs'ka Oblast'</t>
  </si>
  <si>
    <t>UA-14</t>
  </si>
  <si>
    <t>Donets'ka Oblast'</t>
  </si>
  <si>
    <t>UA-26</t>
  </si>
  <si>
    <t>Ivano-Frankivs'ka Oblast'</t>
  </si>
  <si>
    <t>UA-63</t>
  </si>
  <si>
    <t>Kharkivs'ka Oblast'</t>
  </si>
  <si>
    <t>UA-65</t>
  </si>
  <si>
    <t>Khersons'ka Oblast'</t>
  </si>
  <si>
    <t>UA-68</t>
  </si>
  <si>
    <t>Khmel'nyts'ka Oblast'</t>
  </si>
  <si>
    <t>UA-35</t>
  </si>
  <si>
    <t>Kirovohrads'ka Oblast'</t>
  </si>
  <si>
    <t>UA-30</t>
  </si>
  <si>
    <t>Kyïv</t>
  </si>
  <si>
    <t>UA-32</t>
  </si>
  <si>
    <t>Kyïvs'ka Oblast'</t>
  </si>
  <si>
    <t>UA-46</t>
  </si>
  <si>
    <t>L'vivs'ka Oblast'</t>
  </si>
  <si>
    <t>UA-09</t>
  </si>
  <si>
    <t>Luhans'ka Oblast'</t>
  </si>
  <si>
    <t>UA-48</t>
  </si>
  <si>
    <t>Mykolaïvs'ka Oblast'</t>
  </si>
  <si>
    <t>UA-51</t>
  </si>
  <si>
    <t>Odes'ka Oblast'</t>
  </si>
  <si>
    <t>UA-53</t>
  </si>
  <si>
    <t>Poltavs'ka Oblast'</t>
  </si>
  <si>
    <t>UA-43</t>
  </si>
  <si>
    <t>Respublika Krym</t>
  </si>
  <si>
    <t>UA-56</t>
  </si>
  <si>
    <t>Rivnens'ka Oblast'</t>
  </si>
  <si>
    <t>UA-40</t>
  </si>
  <si>
    <t>Sevastopol'</t>
  </si>
  <si>
    <t>UA-59</t>
  </si>
  <si>
    <t>Sums'ka Oblast'</t>
  </si>
  <si>
    <t>UA-61</t>
  </si>
  <si>
    <t>Ternopil's'ka Oblast'</t>
  </si>
  <si>
    <t>UA-05</t>
  </si>
  <si>
    <t>Vinnyts'ka Oblast'</t>
  </si>
  <si>
    <t>UA-07</t>
  </si>
  <si>
    <t>Volyns'ka Oblast'</t>
  </si>
  <si>
    <t>UA-21</t>
  </si>
  <si>
    <t>Zakarpats'ka Oblast'</t>
  </si>
  <si>
    <t>UA-23</t>
  </si>
  <si>
    <t>Zaporiz'ka Oblast'</t>
  </si>
  <si>
    <t>UA-18</t>
  </si>
  <si>
    <t>Zhytomyrs'ka Oblast'</t>
  </si>
  <si>
    <t>AE-AJ</t>
  </si>
  <si>
    <t>'Ajmān</t>
  </si>
  <si>
    <t>emirate</t>
  </si>
  <si>
    <t>AE-AZ</t>
  </si>
  <si>
    <t>Abu Dhabi</t>
  </si>
  <si>
    <t>Abū Z̧aby</t>
  </si>
  <si>
    <t>AE-FU</t>
  </si>
  <si>
    <t>Al Fujayrah</t>
  </si>
  <si>
    <t>AE-SH</t>
  </si>
  <si>
    <t>Ash Shāriqah</t>
  </si>
  <si>
    <t>AE-DU</t>
  </si>
  <si>
    <t>Dubai</t>
  </si>
  <si>
    <t>Dubayy</t>
  </si>
  <si>
    <t>AE-RK</t>
  </si>
  <si>
    <t>Ra's al Khaymah</t>
  </si>
  <si>
    <t>Sharjah</t>
  </si>
  <si>
    <t>AE-UQ</t>
  </si>
  <si>
    <t>Umm al Qaywayn</t>
  </si>
  <si>
    <t>GB-ABE</t>
  </si>
  <si>
    <t>Aberdeen City</t>
  </si>
  <si>
    <t>council area</t>
  </si>
  <si>
    <t>GB-ABD</t>
  </si>
  <si>
    <t>Aberdeenshire</t>
  </si>
  <si>
    <t>GB-SWA</t>
  </si>
  <si>
    <t>Abertawe GB-ATA</t>
  </si>
  <si>
    <t>GB-ANS</t>
  </si>
  <si>
    <t>Angus</t>
  </si>
  <si>
    <t>GB-ANT</t>
  </si>
  <si>
    <t>Antrim</t>
  </si>
  <si>
    <t>district council area</t>
  </si>
  <si>
    <t>GB-ARD</t>
  </si>
  <si>
    <t>Ards</t>
  </si>
  <si>
    <t>GB-AGB</t>
  </si>
  <si>
    <t>Argyll and Bute</t>
  </si>
  <si>
    <t>GB-ARM</t>
  </si>
  <si>
    <t>Armagh</t>
  </si>
  <si>
    <t>GB-BLA</t>
  </si>
  <si>
    <t>Ballymena</t>
  </si>
  <si>
    <t>GB-BLY</t>
  </si>
  <si>
    <t>Ballymoney</t>
  </si>
  <si>
    <t>GB-BNB</t>
  </si>
  <si>
    <t>Banbridge</t>
  </si>
  <si>
    <t>GB-BDG</t>
  </si>
  <si>
    <t>Barking and Dagenham</t>
  </si>
  <si>
    <t>London borough</t>
  </si>
  <si>
    <t>GB-BNE</t>
  </si>
  <si>
    <t>Barnet</t>
  </si>
  <si>
    <t>GB-BNS</t>
  </si>
  <si>
    <t>Barnsley</t>
  </si>
  <si>
    <t>metropolitan district</t>
  </si>
  <si>
    <t>GB-BAS</t>
  </si>
  <si>
    <t>Bath and North East Somerset</t>
  </si>
  <si>
    <t>GB-BDF</t>
  </si>
  <si>
    <t>Bedford</t>
  </si>
  <si>
    <t>GB-BFS</t>
  </si>
  <si>
    <t>Belfast</t>
  </si>
  <si>
    <t>GB-BEX</t>
  </si>
  <si>
    <t>Bexley</t>
  </si>
  <si>
    <t>GB-BIR</t>
  </si>
  <si>
    <t>Birmingham</t>
  </si>
  <si>
    <t>GB-BBD</t>
  </si>
  <si>
    <t>Blackburn with Darwen</t>
  </si>
  <si>
    <t>GB-BPL</t>
  </si>
  <si>
    <t>Blackpool</t>
  </si>
  <si>
    <t>GB-BGW</t>
  </si>
  <si>
    <t>Blaenau Gwent</t>
  </si>
  <si>
    <t>GB-BOL</t>
  </si>
  <si>
    <t>Bolton</t>
  </si>
  <si>
    <t>GB-BMH</t>
  </si>
  <si>
    <t>Bournemouth</t>
  </si>
  <si>
    <t>GB-BRC</t>
  </si>
  <si>
    <t>Bracknell Forest</t>
  </si>
  <si>
    <t>GB-BRD</t>
  </si>
  <si>
    <t>Bradford</t>
  </si>
  <si>
    <t>GB-BEN</t>
  </si>
  <si>
    <t>Brent</t>
  </si>
  <si>
    <t>GB-BGE</t>
  </si>
  <si>
    <t>Bridgend</t>
  </si>
  <si>
    <t>GB-BNH</t>
  </si>
  <si>
    <t>Brighton and Hove</t>
  </si>
  <si>
    <t>GB-BST</t>
  </si>
  <si>
    <t>Bristol, City of</t>
  </si>
  <si>
    <t>GB-VGL</t>
  </si>
  <si>
    <t>Bro Morgannwg GB-BMG</t>
  </si>
  <si>
    <t>GB-BRY</t>
  </si>
  <si>
    <t>Bromley</t>
  </si>
  <si>
    <t>GB-BKM</t>
  </si>
  <si>
    <t>Buckinghamshire</t>
  </si>
  <si>
    <t>two-tier county</t>
  </si>
  <si>
    <t>GB-BUR</t>
  </si>
  <si>
    <t>Bury</t>
  </si>
  <si>
    <t>GB-CRF</t>
  </si>
  <si>
    <t>Caerdydd GB-CRD</t>
  </si>
  <si>
    <t>GB-CAY</t>
  </si>
  <si>
    <t>Caerffili GB-CAF</t>
  </si>
  <si>
    <t>Caerphilly</t>
  </si>
  <si>
    <t>GB-CLD</t>
  </si>
  <si>
    <t>Calderdale</t>
  </si>
  <si>
    <t>GB-CAM</t>
  </si>
  <si>
    <t>Cambridgeshire</t>
  </si>
  <si>
    <t>GB-CMD</t>
  </si>
  <si>
    <t>Camden</t>
  </si>
  <si>
    <t>Cardiff</t>
  </si>
  <si>
    <t>GB-CMN</t>
  </si>
  <si>
    <t>Carmarthenshire</t>
  </si>
  <si>
    <t>GB-CKF</t>
  </si>
  <si>
    <t>Carrickfergus</t>
  </si>
  <si>
    <t>GB-NWP</t>
  </si>
  <si>
    <t>Casnewydd GB-CNW</t>
  </si>
  <si>
    <t>GB-NTL</t>
  </si>
  <si>
    <t>Castell-nedd Port Talbot GB-CTL</t>
  </si>
  <si>
    <t>GB-CSR</t>
  </si>
  <si>
    <t>Castlereagh</t>
  </si>
  <si>
    <t>GB-CBF</t>
  </si>
  <si>
    <t>Central Bedfordshire</t>
  </si>
  <si>
    <t>GB-CGN</t>
  </si>
  <si>
    <t>Ceredigion</t>
  </si>
  <si>
    <t>GB-CHE</t>
  </si>
  <si>
    <t>Cheshire East</t>
  </si>
  <si>
    <t>GB-CHW</t>
  </si>
  <si>
    <t>Cheshire West and Chester</t>
  </si>
  <si>
    <t>GB-CLK</t>
  </si>
  <si>
    <t>Clackmannanshire</t>
  </si>
  <si>
    <t>GB-CLR</t>
  </si>
  <si>
    <t>Coleraine</t>
  </si>
  <si>
    <t>GB-CWY</t>
  </si>
  <si>
    <t>Conwy</t>
  </si>
  <si>
    <t>GB-CKT</t>
  </si>
  <si>
    <t>Cookstown</t>
  </si>
  <si>
    <t>GB-CON</t>
  </si>
  <si>
    <t>Cornwall</t>
  </si>
  <si>
    <t>GB-COV</t>
  </si>
  <si>
    <t>Coventry</t>
  </si>
  <si>
    <t>GB-CGV</t>
  </si>
  <si>
    <t>Craigavon</t>
  </si>
  <si>
    <t>GB-CRY</t>
  </si>
  <si>
    <t>Croydon</t>
  </si>
  <si>
    <t>GB-CMA</t>
  </si>
  <si>
    <t>Cumbria</t>
  </si>
  <si>
    <t>GB-WLS</t>
  </si>
  <si>
    <t>Cymru GB-CYM</t>
  </si>
  <si>
    <t>GB-DAL</t>
  </si>
  <si>
    <t>Darlington</t>
  </si>
  <si>
    <t>GB-DEN</t>
  </si>
  <si>
    <t>Denbighshire</t>
  </si>
  <si>
    <t>GB-DER</t>
  </si>
  <si>
    <t>Derby</t>
  </si>
  <si>
    <t>GB-DBY</t>
  </si>
  <si>
    <t>Derbyshire</t>
  </si>
  <si>
    <t>GB-DRY</t>
  </si>
  <si>
    <t>Derry</t>
  </si>
  <si>
    <t>GB-DEV</t>
  </si>
  <si>
    <t>Devon</t>
  </si>
  <si>
    <t>GB-DNC</t>
  </si>
  <si>
    <t>Doncaster</t>
  </si>
  <si>
    <t>GB-DOR</t>
  </si>
  <si>
    <t>Dorset</t>
  </si>
  <si>
    <t>GB-DOW</t>
  </si>
  <si>
    <t>Down</t>
  </si>
  <si>
    <t>GB-DUD</t>
  </si>
  <si>
    <t>Dudley</t>
  </si>
  <si>
    <t>GB-DGY</t>
  </si>
  <si>
    <t>Dumfries and Galloway</t>
  </si>
  <si>
    <t>GB-DND</t>
  </si>
  <si>
    <t>Dundee City</t>
  </si>
  <si>
    <t>GB-DGN</t>
  </si>
  <si>
    <t>Dungannon</t>
  </si>
  <si>
    <t>GB-DUR</t>
  </si>
  <si>
    <t>Durham</t>
  </si>
  <si>
    <t>GB-EAL</t>
  </si>
  <si>
    <t>Ealing</t>
  </si>
  <si>
    <t>GB-EAY</t>
  </si>
  <si>
    <t>East Ayrshire</t>
  </si>
  <si>
    <t>GB-EDU</t>
  </si>
  <si>
    <t>East Dunbartonshire</t>
  </si>
  <si>
    <t>GB-ELN</t>
  </si>
  <si>
    <t>East Lothian</t>
  </si>
  <si>
    <t>GB-ERW</t>
  </si>
  <si>
    <t>East Renfrewshire</t>
  </si>
  <si>
    <t>GB-ERY</t>
  </si>
  <si>
    <t>East Riding of Yorkshire</t>
  </si>
  <si>
    <t>GB-ESX</t>
  </si>
  <si>
    <t>East Sussex</t>
  </si>
  <si>
    <t>GB-EDH</t>
  </si>
  <si>
    <t>Edinburgh, City of</t>
  </si>
  <si>
    <t>GB-ELS</t>
  </si>
  <si>
    <t>Eilean Siar</t>
  </si>
  <si>
    <t>GB-ENF</t>
  </si>
  <si>
    <t>Enfield</t>
  </si>
  <si>
    <t>GB-ENG</t>
  </si>
  <si>
    <t>England</t>
  </si>
  <si>
    <t>GB-EAW</t>
  </si>
  <si>
    <t>England and Wales</t>
  </si>
  <si>
    <t>nation</t>
  </si>
  <si>
    <t>GB-ESS</t>
  </si>
  <si>
    <t>Essex</t>
  </si>
  <si>
    <t>GB-FAL</t>
  </si>
  <si>
    <t>Falkirk</t>
  </si>
  <si>
    <t>GB-FER</t>
  </si>
  <si>
    <t>Fermanagh</t>
  </si>
  <si>
    <t>GB-FIF</t>
  </si>
  <si>
    <t>Fife</t>
  </si>
  <si>
    <t>GB-FLN</t>
  </si>
  <si>
    <t>Flintshire</t>
  </si>
  <si>
    <t>GB-GAT</t>
  </si>
  <si>
    <t>Gateshead</t>
  </si>
  <si>
    <t>GB-GLG</t>
  </si>
  <si>
    <t>Glasgow City</t>
  </si>
  <si>
    <t>GB-GLS</t>
  </si>
  <si>
    <t>Gloucestershire</t>
  </si>
  <si>
    <t>GB-GBN</t>
  </si>
  <si>
    <t>Great Britain</t>
  </si>
  <si>
    <t>GB-GRE</t>
  </si>
  <si>
    <t>Greenwich</t>
  </si>
  <si>
    <t>GB-GWN</t>
  </si>
  <si>
    <t>Gwynedd</t>
  </si>
  <si>
    <t>GB-HCK</t>
  </si>
  <si>
    <t>Hackney</t>
  </si>
  <si>
    <t>GB-HAL</t>
  </si>
  <si>
    <t>Halton</t>
  </si>
  <si>
    <t>GB-HMF</t>
  </si>
  <si>
    <t>Hammersmith and Fulham</t>
  </si>
  <si>
    <t>GB-HAM</t>
  </si>
  <si>
    <t>Hampshire</t>
  </si>
  <si>
    <t>GB-HRY</t>
  </si>
  <si>
    <t>Haringey</t>
  </si>
  <si>
    <t>GB-HRW</t>
  </si>
  <si>
    <t>Harrow</t>
  </si>
  <si>
    <t>GB-HPL</t>
  </si>
  <si>
    <t>Hartlepool</t>
  </si>
  <si>
    <t>GB-HAV</t>
  </si>
  <si>
    <t>Havering</t>
  </si>
  <si>
    <t>GB-HEF</t>
  </si>
  <si>
    <t>Herefordshire</t>
  </si>
  <si>
    <t>GB-HRT</t>
  </si>
  <si>
    <t>Hertfordshire</t>
  </si>
  <si>
    <t>GB-HLD</t>
  </si>
  <si>
    <t>Highland</t>
  </si>
  <si>
    <t>GB-HIL</t>
  </si>
  <si>
    <t>Hillingdon</t>
  </si>
  <si>
    <t>GB-HNS</t>
  </si>
  <si>
    <t>Hounslow</t>
  </si>
  <si>
    <t>GB-IVC</t>
  </si>
  <si>
    <t>Inverclyde</t>
  </si>
  <si>
    <t>GB-AGY</t>
  </si>
  <si>
    <t>Isle of Anglesey</t>
  </si>
  <si>
    <t>GB-IOW</t>
  </si>
  <si>
    <t>Isle of Wight</t>
  </si>
  <si>
    <t>GB-ISL</t>
  </si>
  <si>
    <t>Islington</t>
  </si>
  <si>
    <t>GB-KEC</t>
  </si>
  <si>
    <t>Kensington and Chelsea</t>
  </si>
  <si>
    <t>GB-KEN</t>
  </si>
  <si>
    <t>Kent</t>
  </si>
  <si>
    <t>GB-KHL</t>
  </si>
  <si>
    <t>Kingston upon Hull</t>
  </si>
  <si>
    <t>GB-KTT</t>
  </si>
  <si>
    <t>Kingston upon Thames</t>
  </si>
  <si>
    <t>GB-KIR</t>
  </si>
  <si>
    <t>Kirklees</t>
  </si>
  <si>
    <t>GB-KWL</t>
  </si>
  <si>
    <t>Knowsley</t>
  </si>
  <si>
    <t>GB-LBH</t>
  </si>
  <si>
    <t>Lambeth</t>
  </si>
  <si>
    <t>GB-LAN</t>
  </si>
  <si>
    <t>Lancashire</t>
  </si>
  <si>
    <t>GB-LRN</t>
  </si>
  <si>
    <t>Larne</t>
  </si>
  <si>
    <t>GB-LDS</t>
  </si>
  <si>
    <t>Leeds</t>
  </si>
  <si>
    <t>GB-LCE</t>
  </si>
  <si>
    <t>Leicester</t>
  </si>
  <si>
    <t>GB-LEC</t>
  </si>
  <si>
    <t>Leicestershire</t>
  </si>
  <si>
    <t>GB-LEW</t>
  </si>
  <si>
    <t>Lewisham</t>
  </si>
  <si>
    <t>GB-LMV</t>
  </si>
  <si>
    <t>Limavady</t>
  </si>
  <si>
    <t>GB-LIN</t>
  </si>
  <si>
    <t>Lincolnshire</t>
  </si>
  <si>
    <t>GB-LSB</t>
  </si>
  <si>
    <t>Lisburn</t>
  </si>
  <si>
    <t>GB-LIV</t>
  </si>
  <si>
    <t>Liverpool</t>
  </si>
  <si>
    <t>GB-LND</t>
  </si>
  <si>
    <t>London, City of</t>
  </si>
  <si>
    <t>city corporation</t>
  </si>
  <si>
    <t>GB-LUT</t>
  </si>
  <si>
    <t>Luton</t>
  </si>
  <si>
    <t>GB-MFT</t>
  </si>
  <si>
    <t>Magherafelt</t>
  </si>
  <si>
    <t>GB-MAN</t>
  </si>
  <si>
    <t>GB-MDW</t>
  </si>
  <si>
    <t>Medway</t>
  </si>
  <si>
    <t>GB-MTY</t>
  </si>
  <si>
    <t>Merthyr Tudful GB-MTU</t>
  </si>
  <si>
    <t>Merthyr Tydfil</t>
  </si>
  <si>
    <t>GB-MRT</t>
  </si>
  <si>
    <t>Merton</t>
  </si>
  <si>
    <t>GB-MDB</t>
  </si>
  <si>
    <t>Middlesbrough</t>
  </si>
  <si>
    <t>GB-MLN</t>
  </si>
  <si>
    <t>Midlothian</t>
  </si>
  <si>
    <t>GB-MIK</t>
  </si>
  <si>
    <t>Milton Keynes</t>
  </si>
  <si>
    <t>GB-MON</t>
  </si>
  <si>
    <t>Monmouthshire</t>
  </si>
  <si>
    <t>GB-MRY</t>
  </si>
  <si>
    <t>Moray</t>
  </si>
  <si>
    <t>GB-MYL</t>
  </si>
  <si>
    <t>Moyle</t>
  </si>
  <si>
    <t>Neath Port Talbot</t>
  </si>
  <si>
    <t>GB-NET</t>
  </si>
  <si>
    <t>Newcastle upon Tyne</t>
  </si>
  <si>
    <t>GB-NWM</t>
  </si>
  <si>
    <t>Newham</t>
  </si>
  <si>
    <t>Newport</t>
  </si>
  <si>
    <t>GB-NYM</t>
  </si>
  <si>
    <t>Newry and Mourne</t>
  </si>
  <si>
    <t>GB-NTA</t>
  </si>
  <si>
    <t>Newtownabbey</t>
  </si>
  <si>
    <t>GB-NFK</t>
  </si>
  <si>
    <t>Norfolk</t>
  </si>
  <si>
    <t>GB-NAY</t>
  </si>
  <si>
    <t>North Ayrshire</t>
  </si>
  <si>
    <t>GB-NDN</t>
  </si>
  <si>
    <t>North Down</t>
  </si>
  <si>
    <t>GB-NEL</t>
  </si>
  <si>
    <t>North East Lincolnshire</t>
  </si>
  <si>
    <t>GB-NLK</t>
  </si>
  <si>
    <t>North Lanarkshire</t>
  </si>
  <si>
    <t>GB-NLN</t>
  </si>
  <si>
    <t>North Lincolnshire</t>
  </si>
  <si>
    <t>GB-NSM</t>
  </si>
  <si>
    <t>North Somerset</t>
  </si>
  <si>
    <t>GB-NTY</t>
  </si>
  <si>
    <t>North Tyneside</t>
  </si>
  <si>
    <t>GB-NYK</t>
  </si>
  <si>
    <t>North Yorkshire</t>
  </si>
  <si>
    <t>GB-NTH</t>
  </si>
  <si>
    <t>Northamptonshire</t>
  </si>
  <si>
    <t>GB-NIR</t>
  </si>
  <si>
    <t>Northern Ireland</t>
  </si>
  <si>
    <t>GB-NBL</t>
  </si>
  <si>
    <t>Northumberland</t>
  </si>
  <si>
    <t>GB-NGM</t>
  </si>
  <si>
    <t>Nottingham</t>
  </si>
  <si>
    <t>GB-NTT</t>
  </si>
  <si>
    <t>Nottinghamshire</t>
  </si>
  <si>
    <t>GB-OLD</t>
  </si>
  <si>
    <t>Oldham</t>
  </si>
  <si>
    <t>GB-OMH</t>
  </si>
  <si>
    <t>Omagh</t>
  </si>
  <si>
    <t>GB-ORK</t>
  </si>
  <si>
    <t>Orkney Islands</t>
  </si>
  <si>
    <t>GB-OXF</t>
  </si>
  <si>
    <t>Oxfordshire</t>
  </si>
  <si>
    <t>GB-PEM</t>
  </si>
  <si>
    <t>Pembrokeshire</t>
  </si>
  <si>
    <t>Pen-y-bont ar Ogwr GB-POG</t>
  </si>
  <si>
    <t>GB-PKN</t>
  </si>
  <si>
    <t>Perth and Kinross</t>
  </si>
  <si>
    <t>GB-PTE</t>
  </si>
  <si>
    <t>Peterborough</t>
  </si>
  <si>
    <t>GB-PLY</t>
  </si>
  <si>
    <t>Plymouth</t>
  </si>
  <si>
    <t>GB-POL</t>
  </si>
  <si>
    <t>Poole</t>
  </si>
  <si>
    <t>GB-POR</t>
  </si>
  <si>
    <t>Portsmouth</t>
  </si>
  <si>
    <t>GB-POW</t>
  </si>
  <si>
    <t>Powys</t>
  </si>
  <si>
    <t>GB-RDG</t>
  </si>
  <si>
    <t>Reading</t>
  </si>
  <si>
    <t>GB-RDB</t>
  </si>
  <si>
    <t>Redbridge</t>
  </si>
  <si>
    <t>GB-RCC</t>
  </si>
  <si>
    <t>Redcar and Cleveland</t>
  </si>
  <si>
    <t>GB-RFW</t>
  </si>
  <si>
    <t>Renfrewshire</t>
  </si>
  <si>
    <t>GB-RCT</t>
  </si>
  <si>
    <t>Rhondda, Cynon, Taff</t>
  </si>
  <si>
    <t>Rhondda, Cynon,Taf</t>
  </si>
  <si>
    <t>GB-RIC</t>
  </si>
  <si>
    <t>Richmond upon Thames</t>
  </si>
  <si>
    <t>GB-RCH</t>
  </si>
  <si>
    <t>Rochdale</t>
  </si>
  <si>
    <t>GB-ROT</t>
  </si>
  <si>
    <t>Rotherham</t>
  </si>
  <si>
    <t>GB-RUT</t>
  </si>
  <si>
    <t>Rutland</t>
  </si>
  <si>
    <t>GB-SLF</t>
  </si>
  <si>
    <t>Salford</t>
  </si>
  <si>
    <t>GB-SAW</t>
  </si>
  <si>
    <t>Sandwell</t>
  </si>
  <si>
    <t>GB-SCT</t>
  </si>
  <si>
    <t>Scotland</t>
  </si>
  <si>
    <t>GB-SCB</t>
  </si>
  <si>
    <t>Scottish Borders, The</t>
  </si>
  <si>
    <t>GB-SFT</t>
  </si>
  <si>
    <t>Sefton</t>
  </si>
  <si>
    <t>GB-SHF</t>
  </si>
  <si>
    <t>Sheffield</t>
  </si>
  <si>
    <t>GB-ZET</t>
  </si>
  <si>
    <t>Shetland Islands</t>
  </si>
  <si>
    <t>GB-SHR</t>
  </si>
  <si>
    <t>Shropshire</t>
  </si>
  <si>
    <t>Sir Benfro GB-BNF</t>
  </si>
  <si>
    <t>Sir Ceredigion</t>
  </si>
  <si>
    <t>Sir Ddinbych GB-DDB</t>
  </si>
  <si>
    <t>Sir Fynwy GB-FYN</t>
  </si>
  <si>
    <t>Sir Gaerfyrddin GB-GFY</t>
  </si>
  <si>
    <t>Sir Ynys Môn GB-YNM</t>
  </si>
  <si>
    <t>Sir y Fflint GB-FFL</t>
  </si>
  <si>
    <t>GB-SLG</t>
  </si>
  <si>
    <t>Slough</t>
  </si>
  <si>
    <t>GB-SOL</t>
  </si>
  <si>
    <t>Solihull</t>
  </si>
  <si>
    <t>GB-SOM</t>
  </si>
  <si>
    <t>Somerset</t>
  </si>
  <si>
    <t>GB-SAY</t>
  </si>
  <si>
    <t>South Ayrshire</t>
  </si>
  <si>
    <t>GB-SGC</t>
  </si>
  <si>
    <t>South Gloucestershire</t>
  </si>
  <si>
    <t>GB-SLK</t>
  </si>
  <si>
    <t>South Lanarkshire</t>
  </si>
  <si>
    <t>GB-STY</t>
  </si>
  <si>
    <t>South Tyneside</t>
  </si>
  <si>
    <t>GB-STH</t>
  </si>
  <si>
    <t>Southampton</t>
  </si>
  <si>
    <t>GB-SOS</t>
  </si>
  <si>
    <t>Southend-on-Sea</t>
  </si>
  <si>
    <t>GB-SWK</t>
  </si>
  <si>
    <t>Southwark</t>
  </si>
  <si>
    <t>GB-SHN</t>
  </si>
  <si>
    <t>St. Helens</t>
  </si>
  <si>
    <t>GB-STS</t>
  </si>
  <si>
    <t>Staffordshire</t>
  </si>
  <si>
    <t>GB-STG</t>
  </si>
  <si>
    <t>Stirling</t>
  </si>
  <si>
    <t>GB-SKP</t>
  </si>
  <si>
    <t>Stockport</t>
  </si>
  <si>
    <t>GB-STT</t>
  </si>
  <si>
    <t>Stockton-on-Tees</t>
  </si>
  <si>
    <t>GB-STE</t>
  </si>
  <si>
    <t>Stoke-on-Trent</t>
  </si>
  <si>
    <t>GB-STB</t>
  </si>
  <si>
    <t>Strabane</t>
  </si>
  <si>
    <t>GB-SFK</t>
  </si>
  <si>
    <t>Suffolk</t>
  </si>
  <si>
    <t>GB-SND</t>
  </si>
  <si>
    <t>Sunderland</t>
  </si>
  <si>
    <t>GB-SRY</t>
  </si>
  <si>
    <t>Surrey</t>
  </si>
  <si>
    <t>GB-STN</t>
  </si>
  <si>
    <t>Sutton</t>
  </si>
  <si>
    <t>Swansea</t>
  </si>
  <si>
    <t>GB-SWD</t>
  </si>
  <si>
    <t>Swindon</t>
  </si>
  <si>
    <t>GB-TAM</t>
  </si>
  <si>
    <t>Tameside</t>
  </si>
  <si>
    <t>GB-TFW</t>
  </si>
  <si>
    <t>Telford and Wrekin</t>
  </si>
  <si>
    <t>GB-THR</t>
  </si>
  <si>
    <t>Thurrock</t>
  </si>
  <si>
    <t>GB-TOF</t>
  </si>
  <si>
    <t>Tor-faen</t>
  </si>
  <si>
    <t>GB-TOB</t>
  </si>
  <si>
    <t>Torbay</t>
  </si>
  <si>
    <t>Torfaen</t>
  </si>
  <si>
    <t>GB-TWH</t>
  </si>
  <si>
    <t>Tower Hamlets</t>
  </si>
  <si>
    <t>GB-TRF</t>
  </si>
  <si>
    <t>Trafford</t>
  </si>
  <si>
    <t>GB-UKM</t>
  </si>
  <si>
    <t>Vale of Glamorgan, The</t>
  </si>
  <si>
    <t>GB-WKF</t>
  </si>
  <si>
    <t>Wakefield</t>
  </si>
  <si>
    <t>Wales</t>
  </si>
  <si>
    <t>GB-WLL</t>
  </si>
  <si>
    <t>Walsall</t>
  </si>
  <si>
    <t>GB-WFT</t>
  </si>
  <si>
    <t>Waltham Forest</t>
  </si>
  <si>
    <t>GB-WND</t>
  </si>
  <si>
    <t>Wandsworth</t>
  </si>
  <si>
    <t>GB-WRT</t>
  </si>
  <si>
    <t>Warrington</t>
  </si>
  <si>
    <t>GB-WAR</t>
  </si>
  <si>
    <t>Warwickshire</t>
  </si>
  <si>
    <t>GB-WBK</t>
  </si>
  <si>
    <t>West Berkshire</t>
  </si>
  <si>
    <t>GB-WDU</t>
  </si>
  <si>
    <t>West Dunbartonshire</t>
  </si>
  <si>
    <t>GB-WLN</t>
  </si>
  <si>
    <t>West Lothian</t>
  </si>
  <si>
    <t>GB-WSX</t>
  </si>
  <si>
    <t>West Sussex</t>
  </si>
  <si>
    <t>GB-WSM</t>
  </si>
  <si>
    <t>Westminster</t>
  </si>
  <si>
    <t>GB-WGN</t>
  </si>
  <si>
    <t>Wigan</t>
  </si>
  <si>
    <t>GB-WIL</t>
  </si>
  <si>
    <t>Wiltshire</t>
  </si>
  <si>
    <t>GB-WNM</t>
  </si>
  <si>
    <t>Windsor and Maidenhead</t>
  </si>
  <si>
    <t>GB-WRL</t>
  </si>
  <si>
    <t>Wirral</t>
  </si>
  <si>
    <t>GB-WOK</t>
  </si>
  <si>
    <t>Wokingham</t>
  </si>
  <si>
    <t>GB-WLV</t>
  </si>
  <si>
    <t>Wolverhampton</t>
  </si>
  <si>
    <t>GB-WOR</t>
  </si>
  <si>
    <t>Worcestershire</t>
  </si>
  <si>
    <t>GB-WRX</t>
  </si>
  <si>
    <t>Wrecsam GB-WRC</t>
  </si>
  <si>
    <t>Wrexham</t>
  </si>
  <si>
    <t>GB-YOR</t>
  </si>
  <si>
    <t>York</t>
  </si>
  <si>
    <t>US-AL</t>
  </si>
  <si>
    <t>Alabama</t>
  </si>
  <si>
    <t>US-AK</t>
  </si>
  <si>
    <t>Alaska</t>
  </si>
  <si>
    <t>US-AS</t>
  </si>
  <si>
    <t>American Samoa (see also separate entry under AS)</t>
  </si>
  <si>
    <t>outlying area</t>
  </si>
  <si>
    <t>US-AZ</t>
  </si>
  <si>
    <t>Arizona</t>
  </si>
  <si>
    <t>US-AR</t>
  </si>
  <si>
    <t>Arkansas</t>
  </si>
  <si>
    <t>US-CA</t>
  </si>
  <si>
    <t>California</t>
  </si>
  <si>
    <t>US-CO</t>
  </si>
  <si>
    <t>Colorado</t>
  </si>
  <si>
    <t>US-CT</t>
  </si>
  <si>
    <t>Connecticut</t>
  </si>
  <si>
    <t>US-DE</t>
  </si>
  <si>
    <t>Delaware</t>
  </si>
  <si>
    <t>US-DC</t>
  </si>
  <si>
    <t>District of Columbia</t>
  </si>
  <si>
    <t>US-FL</t>
  </si>
  <si>
    <t>Florida</t>
  </si>
  <si>
    <t>US-GA</t>
  </si>
  <si>
    <t>Georgia</t>
  </si>
  <si>
    <t>US-GU</t>
  </si>
  <si>
    <t>Guam (see also separate entry under GU)</t>
  </si>
  <si>
    <t>US-HI</t>
  </si>
  <si>
    <t>Hawaii</t>
  </si>
  <si>
    <t>US-ID</t>
  </si>
  <si>
    <t>Idaho</t>
  </si>
  <si>
    <t>US-IL</t>
  </si>
  <si>
    <t>Illinois</t>
  </si>
  <si>
    <t>US-IN</t>
  </si>
  <si>
    <t>Indiana</t>
  </si>
  <si>
    <t>US-IA</t>
  </si>
  <si>
    <t>Iowa</t>
  </si>
  <si>
    <t>US-KS</t>
  </si>
  <si>
    <t>Kansas</t>
  </si>
  <si>
    <t>US-KY</t>
  </si>
  <si>
    <t>Kentucky</t>
  </si>
  <si>
    <t>US-LA</t>
  </si>
  <si>
    <t>Louisiana</t>
  </si>
  <si>
    <t>US-ME</t>
  </si>
  <si>
    <t>Maine</t>
  </si>
  <si>
    <t>US-MD</t>
  </si>
  <si>
    <t>US-MA</t>
  </si>
  <si>
    <t>Massachusetts</t>
  </si>
  <si>
    <t>US-MI</t>
  </si>
  <si>
    <t>Michigan</t>
  </si>
  <si>
    <t>US-MN</t>
  </si>
  <si>
    <t>Minnesota</t>
  </si>
  <si>
    <t>US-MS</t>
  </si>
  <si>
    <t>Mississippi</t>
  </si>
  <si>
    <t>US-MO</t>
  </si>
  <si>
    <t>Missouri</t>
  </si>
  <si>
    <t>US-MT</t>
  </si>
  <si>
    <t>US-NE</t>
  </si>
  <si>
    <t>Nebraska</t>
  </si>
  <si>
    <t>US-NV</t>
  </si>
  <si>
    <t>Nevada</t>
  </si>
  <si>
    <t>US-NH</t>
  </si>
  <si>
    <t>New Hampshire</t>
  </si>
  <si>
    <t>US-NJ</t>
  </si>
  <si>
    <t>New Jersey</t>
  </si>
  <si>
    <t>US-NM</t>
  </si>
  <si>
    <t>New Mexico</t>
  </si>
  <si>
    <t>US-NY</t>
  </si>
  <si>
    <t>New York</t>
  </si>
  <si>
    <t>US-NC</t>
  </si>
  <si>
    <t>North Carolina</t>
  </si>
  <si>
    <t>US-ND</t>
  </si>
  <si>
    <t>North Dakota</t>
  </si>
  <si>
    <t>US-MP</t>
  </si>
  <si>
    <t>Northern Mariana Islands (see also separate entry under MP)</t>
  </si>
  <si>
    <t>US-OH</t>
  </si>
  <si>
    <t>Ohio</t>
  </si>
  <si>
    <t>US-OK</t>
  </si>
  <si>
    <t>Oklahoma</t>
  </si>
  <si>
    <t>US-OR</t>
  </si>
  <si>
    <t>Oregon</t>
  </si>
  <si>
    <t>US-PA</t>
  </si>
  <si>
    <t>Pennsylvania</t>
  </si>
  <si>
    <t>US-PR</t>
  </si>
  <si>
    <t>Puerto Rico (see also separate entry under PR)</t>
  </si>
  <si>
    <t>US-RI</t>
  </si>
  <si>
    <t>Rhode Island</t>
  </si>
  <si>
    <t>US-SC</t>
  </si>
  <si>
    <t>South Carolina</t>
  </si>
  <si>
    <t>US-SD</t>
  </si>
  <si>
    <t>South Dakota</t>
  </si>
  <si>
    <t>US-TN</t>
  </si>
  <si>
    <t>Tennessee</t>
  </si>
  <si>
    <t>US-TX</t>
  </si>
  <si>
    <t>Texas</t>
  </si>
  <si>
    <t>US-UM</t>
  </si>
  <si>
    <t>United States Minor Outlying Islands (see also separate entry under UM)</t>
  </si>
  <si>
    <t>US-UT</t>
  </si>
  <si>
    <t>Utah</t>
  </si>
  <si>
    <t>US-VT</t>
  </si>
  <si>
    <t>Vermont</t>
  </si>
  <si>
    <t>US-VI</t>
  </si>
  <si>
    <t>Virgin Islands, U.S. (see also separate entry under VI)</t>
  </si>
  <si>
    <t>US-VA</t>
  </si>
  <si>
    <t>Virginia</t>
  </si>
  <si>
    <t>US-WA</t>
  </si>
  <si>
    <t>Washington</t>
  </si>
  <si>
    <t>US-WV</t>
  </si>
  <si>
    <t>West Virginia</t>
  </si>
  <si>
    <t>US-WI</t>
  </si>
  <si>
    <t>Wisconsin</t>
  </si>
  <si>
    <t>US-WY</t>
  </si>
  <si>
    <t>Wyoming</t>
  </si>
  <si>
    <t>UM-81</t>
  </si>
  <si>
    <t>islands, groups of islands</t>
  </si>
  <si>
    <t>UM-84</t>
  </si>
  <si>
    <t>UM-86</t>
  </si>
  <si>
    <t>UM-67</t>
  </si>
  <si>
    <t>UM-89</t>
  </si>
  <si>
    <t>UM-71</t>
  </si>
  <si>
    <t>Midway Islands</t>
  </si>
  <si>
    <t>UM-76</t>
  </si>
  <si>
    <t>UM-95</t>
  </si>
  <si>
    <t>UM-79</t>
  </si>
  <si>
    <t>UY-AR</t>
  </si>
  <si>
    <t>Artigas</t>
  </si>
  <si>
    <t>UY-CA</t>
  </si>
  <si>
    <t>Canelones</t>
  </si>
  <si>
    <t>UY-CL</t>
  </si>
  <si>
    <t>Cerro Largo</t>
  </si>
  <si>
    <t>UY-CO</t>
  </si>
  <si>
    <t>Colonia</t>
  </si>
  <si>
    <t>UY-DU</t>
  </si>
  <si>
    <t>Durazno</t>
  </si>
  <si>
    <t>UY-FS</t>
  </si>
  <si>
    <t>Flores</t>
  </si>
  <si>
    <t>UY-FD</t>
  </si>
  <si>
    <t>UY-LA</t>
  </si>
  <si>
    <t>Lavalleja</t>
  </si>
  <si>
    <t>UY-MA</t>
  </si>
  <si>
    <t>Maldonado</t>
  </si>
  <si>
    <t>UY-MO</t>
  </si>
  <si>
    <t>Montevideo</t>
  </si>
  <si>
    <t>UY-PA</t>
  </si>
  <si>
    <t>Paysandú</t>
  </si>
  <si>
    <t>UY-RV</t>
  </si>
  <si>
    <t>Rivera</t>
  </si>
  <si>
    <t>UY-RO</t>
  </si>
  <si>
    <t>Rocha</t>
  </si>
  <si>
    <t>UY-RN</t>
  </si>
  <si>
    <t>UY-SA</t>
  </si>
  <si>
    <t>Salto</t>
  </si>
  <si>
    <t>UY-SJ</t>
  </si>
  <si>
    <t>UY-SO</t>
  </si>
  <si>
    <t>Soriano</t>
  </si>
  <si>
    <t>UY-TA</t>
  </si>
  <si>
    <t>Tacuarembó</t>
  </si>
  <si>
    <t>UY-TT</t>
  </si>
  <si>
    <t>Treinta y Tres</t>
  </si>
  <si>
    <t>UZ-AN</t>
  </si>
  <si>
    <t>Andijon</t>
  </si>
  <si>
    <t>UZ-BU</t>
  </si>
  <si>
    <t>Buxoro</t>
  </si>
  <si>
    <t>UZ-FA</t>
  </si>
  <si>
    <t>Farg'ona</t>
  </si>
  <si>
    <t>UZ-JI</t>
  </si>
  <si>
    <t>Jizzax</t>
  </si>
  <si>
    <t>UZ-NG</t>
  </si>
  <si>
    <t>Namangan</t>
  </si>
  <si>
    <t>UZ-NW</t>
  </si>
  <si>
    <t>Navoiy</t>
  </si>
  <si>
    <t>UZ-QA</t>
  </si>
  <si>
    <t>Qashqadaryo</t>
  </si>
  <si>
    <t>UZ-QR</t>
  </si>
  <si>
    <t>Qoraqalpog'iston Respublikasi</t>
  </si>
  <si>
    <t>UZ-SA</t>
  </si>
  <si>
    <t>Samarqand</t>
  </si>
  <si>
    <t>UZ-SI</t>
  </si>
  <si>
    <t>Sirdaryo</t>
  </si>
  <si>
    <t>UZ-SU</t>
  </si>
  <si>
    <t>Surxondaryo</t>
  </si>
  <si>
    <t>UZ-TK</t>
  </si>
  <si>
    <t>Toshkent</t>
  </si>
  <si>
    <t>UZ-TO</t>
  </si>
  <si>
    <t>UZ-XO</t>
  </si>
  <si>
    <t>Xorazm</t>
  </si>
  <si>
    <t>VU-MAP</t>
  </si>
  <si>
    <t>Malampa</t>
  </si>
  <si>
    <t>VU-PAM</t>
  </si>
  <si>
    <t>Pénama</t>
  </si>
  <si>
    <t>VU-SAM</t>
  </si>
  <si>
    <t>Sanma</t>
  </si>
  <si>
    <t>VU-SEE</t>
  </si>
  <si>
    <t>Shéfa</t>
  </si>
  <si>
    <t>VU-TAE</t>
  </si>
  <si>
    <t>Taféa</t>
  </si>
  <si>
    <t>VU-TOB</t>
  </si>
  <si>
    <t>Torba</t>
  </si>
  <si>
    <t>VENEZUELA, BOLIVARIAN REPUBLIC OF</t>
  </si>
  <si>
    <t>VE-Z</t>
  </si>
  <si>
    <t>VE-B</t>
  </si>
  <si>
    <t>Anzoátegui</t>
  </si>
  <si>
    <t>VE-C</t>
  </si>
  <si>
    <t>Apure</t>
  </si>
  <si>
    <t>VE-D</t>
  </si>
  <si>
    <t>Aragua</t>
  </si>
  <si>
    <t>VE-E</t>
  </si>
  <si>
    <t>Barinas</t>
  </si>
  <si>
    <t>VE-F</t>
  </si>
  <si>
    <t>VE-G</t>
  </si>
  <si>
    <t>Carabobo</t>
  </si>
  <si>
    <t>VE-H</t>
  </si>
  <si>
    <t>Cojedes</t>
  </si>
  <si>
    <t>VE-Y</t>
  </si>
  <si>
    <t>Delta Amacuro</t>
  </si>
  <si>
    <t>VE-W</t>
  </si>
  <si>
    <t>Dependencias Federales</t>
  </si>
  <si>
    <t>federal dependency</t>
  </si>
  <si>
    <t>VE-A</t>
  </si>
  <si>
    <t>Distrito Capital</t>
  </si>
  <si>
    <t>VE-I</t>
  </si>
  <si>
    <t>Falcón</t>
  </si>
  <si>
    <t>VE-J</t>
  </si>
  <si>
    <t>Guárico</t>
  </si>
  <si>
    <t>VE-K</t>
  </si>
  <si>
    <t>Lara</t>
  </si>
  <si>
    <t>VE-M</t>
  </si>
  <si>
    <t>Miranda</t>
  </si>
  <si>
    <t>VE-N</t>
  </si>
  <si>
    <t>Monagas</t>
  </si>
  <si>
    <t>VE-L</t>
  </si>
  <si>
    <t>Mérida</t>
  </si>
  <si>
    <t>VE-O</t>
  </si>
  <si>
    <t>Nueva Esparta</t>
  </si>
  <si>
    <t>VE-P</t>
  </si>
  <si>
    <t>Portuguesa</t>
  </si>
  <si>
    <t>VE-R</t>
  </si>
  <si>
    <t>VE-T</t>
  </si>
  <si>
    <t>Trujillo</t>
  </si>
  <si>
    <t>VE-S</t>
  </si>
  <si>
    <t>Táchira</t>
  </si>
  <si>
    <t>VE-X</t>
  </si>
  <si>
    <t>Vargas</t>
  </si>
  <si>
    <t>VE-U</t>
  </si>
  <si>
    <t>Yaracuy</t>
  </si>
  <si>
    <t>VE-V</t>
  </si>
  <si>
    <t>Zulia</t>
  </si>
  <si>
    <t>VN-44</t>
  </si>
  <si>
    <t>An Giang</t>
  </si>
  <si>
    <t>VN-43</t>
  </si>
  <si>
    <t>Ba Ria-Vung Tau</t>
  </si>
  <si>
    <t>VN-54</t>
  </si>
  <si>
    <t>Bac Giang</t>
  </si>
  <si>
    <t>VN-53</t>
  </si>
  <si>
    <t>Bac Kan</t>
  </si>
  <si>
    <t>VN-55</t>
  </si>
  <si>
    <t>Bac Lieu</t>
  </si>
  <si>
    <t>VN-56</t>
  </si>
  <si>
    <t>Bac Ninh</t>
  </si>
  <si>
    <t>VN-50</t>
  </si>
  <si>
    <t>Ben Tre</t>
  </si>
  <si>
    <t>VN-31</t>
  </si>
  <si>
    <t>Binh Dinh</t>
  </si>
  <si>
    <t>VN-57</t>
  </si>
  <si>
    <t>Binh Duong</t>
  </si>
  <si>
    <t>VN-58</t>
  </si>
  <si>
    <t>Binh Phuoc</t>
  </si>
  <si>
    <t>VN-40</t>
  </si>
  <si>
    <t>Binh Thuan</t>
  </si>
  <si>
    <t>VN-59</t>
  </si>
  <si>
    <t>Ca Mau</t>
  </si>
  <si>
    <t>VN-CT</t>
  </si>
  <si>
    <t>Can Tho</t>
  </si>
  <si>
    <t>VN-04</t>
  </si>
  <si>
    <t>Cao Bang</t>
  </si>
  <si>
    <t>VN-DN</t>
  </si>
  <si>
    <t>Da Nang</t>
  </si>
  <si>
    <t>VN-33</t>
  </si>
  <si>
    <t>Dak Lak</t>
  </si>
  <si>
    <t>VN-72</t>
  </si>
  <si>
    <t>Dak Nong</t>
  </si>
  <si>
    <t>VN-71</t>
  </si>
  <si>
    <t>Dien Bien</t>
  </si>
  <si>
    <t>VN-39</t>
  </si>
  <si>
    <t>Dong Nai</t>
  </si>
  <si>
    <t>VN-45</t>
  </si>
  <si>
    <t>Dong Thap</t>
  </si>
  <si>
    <t>VN-30</t>
  </si>
  <si>
    <t>Gia Lai</t>
  </si>
  <si>
    <t>VN-03</t>
  </si>
  <si>
    <t>Ha Giang</t>
  </si>
  <si>
    <t>VN-63</t>
  </si>
  <si>
    <t>Ha Nam</t>
  </si>
  <si>
    <t>VN-HN</t>
  </si>
  <si>
    <t>Ha Noi</t>
  </si>
  <si>
    <t>VN-15</t>
  </si>
  <si>
    <t>Ha Tay</t>
  </si>
  <si>
    <t>VN-23</t>
  </si>
  <si>
    <t>Ha Tinh</t>
  </si>
  <si>
    <t>VN-61</t>
  </si>
  <si>
    <t>Hai Duong</t>
  </si>
  <si>
    <t>VN-HP</t>
  </si>
  <si>
    <t>Hai Phong</t>
  </si>
  <si>
    <t>VN-73</t>
  </si>
  <si>
    <t>Hau Giang</t>
  </si>
  <si>
    <t>VN-SG</t>
  </si>
  <si>
    <t>Ho Chi Minh</t>
  </si>
  <si>
    <t>VN-14</t>
  </si>
  <si>
    <t>Hoa Binh</t>
  </si>
  <si>
    <t>VN-66</t>
  </si>
  <si>
    <t>Hung Yen</t>
  </si>
  <si>
    <t>VN-34</t>
  </si>
  <si>
    <t>Khanh Hoa</t>
  </si>
  <si>
    <t>VN-47</t>
  </si>
  <si>
    <t>Kien Giang</t>
  </si>
  <si>
    <t>VN-28</t>
  </si>
  <si>
    <t>Kon Tum</t>
  </si>
  <si>
    <t>VN-01</t>
  </si>
  <si>
    <t>Lai Chau</t>
  </si>
  <si>
    <t>VN-35</t>
  </si>
  <si>
    <t>Lam Dong</t>
  </si>
  <si>
    <t>VN-09</t>
  </si>
  <si>
    <t>Lang Son</t>
  </si>
  <si>
    <t>VN-02</t>
  </si>
  <si>
    <t>Lao Cai</t>
  </si>
  <si>
    <t>VN-41</t>
  </si>
  <si>
    <t>Long An</t>
  </si>
  <si>
    <t>VN-67</t>
  </si>
  <si>
    <t>Nam Dinh</t>
  </si>
  <si>
    <t>VN-22</t>
  </si>
  <si>
    <t>Nghe An</t>
  </si>
  <si>
    <t>VN-18</t>
  </si>
  <si>
    <t>Ninh Binh</t>
  </si>
  <si>
    <t>VN-36</t>
  </si>
  <si>
    <t>Ninh Thuan</t>
  </si>
  <si>
    <t>VN-68</t>
  </si>
  <si>
    <t>Phu Tho</t>
  </si>
  <si>
    <t>VN-32</t>
  </si>
  <si>
    <t>Phu Yen</t>
  </si>
  <si>
    <t>VN-24</t>
  </si>
  <si>
    <t>Quang Binh</t>
  </si>
  <si>
    <t>VN-27</t>
  </si>
  <si>
    <t>Quang Nam</t>
  </si>
  <si>
    <t>VN-29</t>
  </si>
  <si>
    <t>Quang Ngai</t>
  </si>
  <si>
    <t>VN-13</t>
  </si>
  <si>
    <t>Quang Ninh</t>
  </si>
  <si>
    <t>VN-25</t>
  </si>
  <si>
    <t>Quang Tri</t>
  </si>
  <si>
    <t>VN-52</t>
  </si>
  <si>
    <t>Soc Trang</t>
  </si>
  <si>
    <t>VN-05</t>
  </si>
  <si>
    <t>Son La</t>
  </si>
  <si>
    <t>VN-37</t>
  </si>
  <si>
    <t>Tay Ninh</t>
  </si>
  <si>
    <t>VN-20</t>
  </si>
  <si>
    <t>Thai Binh</t>
  </si>
  <si>
    <t>VN-69</t>
  </si>
  <si>
    <t>Thai Nguyen</t>
  </si>
  <si>
    <t>VN-21</t>
  </si>
  <si>
    <t>Thanh Hoa</t>
  </si>
  <si>
    <t>VN-26</t>
  </si>
  <si>
    <t>Thua Thien-Hue</t>
  </si>
  <si>
    <t>VN-46</t>
  </si>
  <si>
    <t>Tien Giang</t>
  </si>
  <si>
    <t>VN-51</t>
  </si>
  <si>
    <t>Tra Vinh</t>
  </si>
  <si>
    <t>VN-07</t>
  </si>
  <si>
    <t>Tuyen Quang</t>
  </si>
  <si>
    <t>VN-49</t>
  </si>
  <si>
    <t>Vinh Long</t>
  </si>
  <si>
    <t>VN-70</t>
  </si>
  <si>
    <t>Vinh Phuc</t>
  </si>
  <si>
    <t>VN-06</t>
  </si>
  <si>
    <t>Yen Bai</t>
  </si>
  <si>
    <t>YE-AD</t>
  </si>
  <si>
    <t>'Adan</t>
  </si>
  <si>
    <t>YE-AM</t>
  </si>
  <si>
    <t>'Amrān</t>
  </si>
  <si>
    <t>YE-AB</t>
  </si>
  <si>
    <t>Abyān</t>
  </si>
  <si>
    <t>YE-DA</t>
  </si>
  <si>
    <t>Aḑ Ḑāli'</t>
  </si>
  <si>
    <t>YE-BA</t>
  </si>
  <si>
    <t>Al Bayḑā'</t>
  </si>
  <si>
    <t>YE-JA</t>
  </si>
  <si>
    <t>YE-MR</t>
  </si>
  <si>
    <t>Al Mahrah</t>
  </si>
  <si>
    <t>YE-MW</t>
  </si>
  <si>
    <t>Al Maḩwīt</t>
  </si>
  <si>
    <t>YE-HU</t>
  </si>
  <si>
    <t>Al Ḩudaydah</t>
  </si>
  <si>
    <t>YE-DH</t>
  </si>
  <si>
    <t>Dhamār</t>
  </si>
  <si>
    <t>YE-IB</t>
  </si>
  <si>
    <t>Ibb</t>
  </si>
  <si>
    <t>YE-LA</t>
  </si>
  <si>
    <t>Laḩij</t>
  </si>
  <si>
    <t>YE-MA</t>
  </si>
  <si>
    <t>Ma'rib</t>
  </si>
  <si>
    <t>YE-RA</t>
  </si>
  <si>
    <t>Raymah</t>
  </si>
  <si>
    <t>YE-SH</t>
  </si>
  <si>
    <t>Shabwah</t>
  </si>
  <si>
    <t>YE-TA</t>
  </si>
  <si>
    <t>Tāʻizz</t>
  </si>
  <si>
    <t>YE-SN</t>
  </si>
  <si>
    <t>Şanʻā'</t>
  </si>
  <si>
    <t>YE-SA</t>
  </si>
  <si>
    <t>Şanʻā' [city]</t>
  </si>
  <si>
    <t>YE-SD</t>
  </si>
  <si>
    <t>Şāʻdah</t>
  </si>
  <si>
    <t>YE-HJ</t>
  </si>
  <si>
    <t>Ḩajjah</t>
  </si>
  <si>
    <t>YE-HD</t>
  </si>
  <si>
    <t>Ḩaḑramawt</t>
  </si>
  <si>
    <t>ZM-02</t>
  </si>
  <si>
    <t>ZM-08</t>
  </si>
  <si>
    <t>Copperbelt</t>
  </si>
  <si>
    <t>ZM-03</t>
  </si>
  <si>
    <t>ZM-04</t>
  </si>
  <si>
    <t>Luapula</t>
  </si>
  <si>
    <t>ZM-09</t>
  </si>
  <si>
    <t>Lusaka</t>
  </si>
  <si>
    <t>ZM-06</t>
  </si>
  <si>
    <t>North-Western</t>
  </si>
  <si>
    <t>ZM-05</t>
  </si>
  <si>
    <t>ZM-07</t>
  </si>
  <si>
    <t>ZM-01</t>
  </si>
  <si>
    <t>ZW-BU</t>
  </si>
  <si>
    <t>Bulawayo</t>
  </si>
  <si>
    <t>ZW-HA</t>
  </si>
  <si>
    <t>Harare</t>
  </si>
  <si>
    <t>ZW-MA</t>
  </si>
  <si>
    <t>Manicaland</t>
  </si>
  <si>
    <t>ZW-MC</t>
  </si>
  <si>
    <t>Mashonaland Central</t>
  </si>
  <si>
    <t>ZW-ME</t>
  </si>
  <si>
    <t>Mashonaland East</t>
  </si>
  <si>
    <t>ZW-MW</t>
  </si>
  <si>
    <t>Mashonaland West</t>
  </si>
  <si>
    <t>ZW-MV</t>
  </si>
  <si>
    <t>Masvingo</t>
  </si>
  <si>
    <t>ZW-MN</t>
  </si>
  <si>
    <t>Matabeleland North</t>
  </si>
  <si>
    <t>ZW-MS</t>
  </si>
  <si>
    <t>Matabeleland South</t>
  </si>
  <si>
    <t>ZW-MI</t>
  </si>
  <si>
    <t>Midlands</t>
  </si>
  <si>
    <r>
      <t xml:space="preserve">Geopolitical Entity
</t>
    </r>
    <r>
      <rPr>
        <i/>
        <sz val="10"/>
        <color rgb="FF0000CC"/>
        <rFont val="Arial"/>
        <family val="2"/>
      </rPr>
      <t>(linked to corresponding specification)</t>
    </r>
  </si>
  <si>
    <t>Recommended</t>
  </si>
  <si>
    <r>
      <t xml:space="preserve">GENC Registry Page
</t>
    </r>
    <r>
      <rPr>
        <i/>
        <sz val="10"/>
        <color rgb="FF0000CC"/>
        <rFont val="Arial"/>
        <family val="2"/>
      </rPr>
      <t>(link)</t>
    </r>
  </si>
  <si>
    <r>
      <t xml:space="preserve">Short URN-based Identifier
</t>
    </r>
    <r>
      <rPr>
        <i/>
        <sz val="10"/>
        <color rgb="FF0000CC"/>
        <rFont val="Arial"/>
        <family val="2"/>
      </rPr>
      <t>(XML Resource link)</t>
    </r>
  </si>
  <si>
    <t>Kunaṟ</t>
  </si>
  <si>
    <t>Paktiyā</t>
  </si>
  <si>
    <t>Panjshir</t>
  </si>
  <si>
    <t>Aïn Temouchent</t>
  </si>
  <si>
    <t>Bejaïa</t>
  </si>
  <si>
    <t>Boumerdes</t>
  </si>
  <si>
    <t>M’sila</t>
  </si>
  <si>
    <t>Tamanrasset</t>
  </si>
  <si>
    <t>Kuando Kubango</t>
  </si>
  <si>
    <t>Kwanza Norte</t>
  </si>
  <si>
    <t>Kwanza Sul</t>
  </si>
  <si>
    <t>Malanje</t>
  </si>
  <si>
    <t>Buenos Aires, Ciudad Autónoma de</t>
  </si>
  <si>
    <t>Tierra del Fuego, Antártida e Islas del Atlántico Sur</t>
  </si>
  <si>
    <t>Aragatsotn</t>
  </si>
  <si>
    <t>Geghark’unik’</t>
  </si>
  <si>
    <t>Kotayk’</t>
  </si>
  <si>
    <t>Lorri</t>
  </si>
  <si>
    <t>Shirak</t>
  </si>
  <si>
    <t>Syunik’</t>
  </si>
  <si>
    <t>Tavush</t>
  </si>
  <si>
    <t>Vayots’ Dzor</t>
  </si>
  <si>
    <t>Yerevan</t>
  </si>
  <si>
    <t>Ağcabədi</t>
  </si>
  <si>
    <t>Gəncə</t>
  </si>
  <si>
    <t>Kəngərli</t>
  </si>
  <si>
    <t>Mingəçevir</t>
  </si>
  <si>
    <t>Qəbələ</t>
  </si>
  <si>
    <t>Sədərək</t>
  </si>
  <si>
    <t>Şəki</t>
  </si>
  <si>
    <t>Şəmkir</t>
  </si>
  <si>
    <t>Şərur</t>
  </si>
  <si>
    <t>Siyəzən</t>
  </si>
  <si>
    <t>Tərtər</t>
  </si>
  <si>
    <t>Xankəndi</t>
  </si>
  <si>
    <t>Xocavənd</t>
  </si>
  <si>
    <t>Zəngilan</t>
  </si>
  <si>
    <t>Zərdab</t>
  </si>
  <si>
    <t>Moore’s Island</t>
  </si>
  <si>
    <t>Al ‘Āşimah</t>
  </si>
  <si>
    <t>Bāgerhāt</t>
  </si>
  <si>
    <t>Barisāl</t>
  </si>
  <si>
    <t>Brāhmanbāria</t>
  </si>
  <si>
    <t>Chāndpur</t>
  </si>
  <si>
    <t>Chapai Nawābganj</t>
  </si>
  <si>
    <t>Chuādānga</t>
  </si>
  <si>
    <t>Cox’s Bāzār</t>
  </si>
  <si>
    <t>Dinājpur</t>
  </si>
  <si>
    <t>Farīdpur</t>
  </si>
  <si>
    <t>Gāzipur</t>
  </si>
  <si>
    <t>Gopālganj</t>
  </si>
  <si>
    <t>Jaipurhāt</t>
  </si>
  <si>
    <t>Jamālpur</t>
  </si>
  <si>
    <t>Jhālakāti</t>
  </si>
  <si>
    <t>Khagrāchari</t>
  </si>
  <si>
    <t>Kishorganj</t>
  </si>
  <si>
    <t>Kurīgrām</t>
  </si>
  <si>
    <t>Lālmonirhāt</t>
  </si>
  <si>
    <t>Mādārīpur</t>
  </si>
  <si>
    <t>Māgura</t>
  </si>
  <si>
    <t>Mānikganj</t>
  </si>
  <si>
    <t>Moulvibāzār</t>
  </si>
  <si>
    <t>Nārāyanganj</t>
  </si>
  <si>
    <t>Nator</t>
  </si>
  <si>
    <t>Nilphāmāri</t>
  </si>
  <si>
    <t>Noākhāli</t>
  </si>
  <si>
    <t>Pābna</t>
  </si>
  <si>
    <t>Panchāgarh</t>
  </si>
  <si>
    <t>Patuākhāli</t>
  </si>
  <si>
    <t>Rājbāri</t>
  </si>
  <si>
    <t>Rājshāhi</t>
  </si>
  <si>
    <t>Sātkhira</t>
  </si>
  <si>
    <t>Shariyatpur</t>
  </si>
  <si>
    <t>Sirājganj</t>
  </si>
  <si>
    <t>Sunāmganj</t>
  </si>
  <si>
    <t>Thākurgaon</t>
  </si>
  <si>
    <t>Brestskaya Voblasts’</t>
  </si>
  <si>
    <t>Homyel’skaya Voblasts’</t>
  </si>
  <si>
    <t>Hrodzyenskaya Voblasts’</t>
  </si>
  <si>
    <t>Mahilyowskaya Voblasts’</t>
  </si>
  <si>
    <t>Minsk</t>
  </si>
  <si>
    <t>Minskaya Voblasts’</t>
  </si>
  <si>
    <t>Vitsyebskaya Voblasts’</t>
  </si>
  <si>
    <t>Brabant Wallon</t>
  </si>
  <si>
    <t>Brussels-Capital Region</t>
  </si>
  <si>
    <t>Flanders</t>
  </si>
  <si>
    <t>Wallonia</t>
  </si>
  <si>
    <t>BM-01</t>
  </si>
  <si>
    <t>Devonshire</t>
  </si>
  <si>
    <t>BM-03</t>
  </si>
  <si>
    <t>Hamilton</t>
  </si>
  <si>
    <t>BM-02</t>
  </si>
  <si>
    <t>BM-04</t>
  </si>
  <si>
    <t>Paget</t>
  </si>
  <si>
    <t>BM-05</t>
  </si>
  <si>
    <t>BM-06</t>
  </si>
  <si>
    <t>BM-07</t>
  </si>
  <si>
    <t>Saint George’s</t>
  </si>
  <si>
    <t>BM-08</t>
  </si>
  <si>
    <t>Sandys</t>
  </si>
  <si>
    <t>BM-09</t>
  </si>
  <si>
    <t>Smith’s</t>
  </si>
  <si>
    <t>BM-10</t>
  </si>
  <si>
    <t>BM-11</t>
  </si>
  <si>
    <t>Warwick</t>
  </si>
  <si>
    <t>Haa</t>
  </si>
  <si>
    <t>Mongar</t>
  </si>
  <si>
    <t>Samdrup Jongkhar</t>
  </si>
  <si>
    <t>Bosansko-Podrinjski Kanton</t>
  </si>
  <si>
    <t>Bosnia and Herzegovina, Federation of</t>
  </si>
  <si>
    <t>federation</t>
  </si>
  <si>
    <t>Brcko District</t>
  </si>
  <si>
    <t>Hercegovačko-Bosanski Kanton</t>
  </si>
  <si>
    <t>Hercegovačko-Neretvanski Kanton</t>
  </si>
  <si>
    <t>Posavski Kanton</t>
  </si>
  <si>
    <t>Sarajevo, Kanton</t>
  </si>
  <si>
    <t>Srednjobosanski Kanton</t>
  </si>
  <si>
    <t>Srpska, Republika</t>
  </si>
  <si>
    <t>Tuzlanski Kanton</t>
  </si>
  <si>
    <t>Unsko-Sanski Kanton</t>
  </si>
  <si>
    <t>Zapadno-Hercegovački Kanton</t>
  </si>
  <si>
    <t>Zeničko-Dobojski Kanton</t>
  </si>
  <si>
    <t>BW-CH</t>
  </si>
  <si>
    <t>Chobe</t>
  </si>
  <si>
    <t>BW-FR</t>
  </si>
  <si>
    <t>Francistown</t>
  </si>
  <si>
    <t>BW-GA</t>
  </si>
  <si>
    <t>Gaborone</t>
  </si>
  <si>
    <t>BW-JW</t>
  </si>
  <si>
    <t>Jwaneng</t>
  </si>
  <si>
    <t>town</t>
  </si>
  <si>
    <t>BW-LO</t>
  </si>
  <si>
    <t>Lobatse</t>
  </si>
  <si>
    <t>BW-SP</t>
  </si>
  <si>
    <t>Selibe Phikwe</t>
  </si>
  <si>
    <t>BW-ST</t>
  </si>
  <si>
    <t>Sowa Town</t>
  </si>
  <si>
    <t>Brunei and Muara</t>
  </si>
  <si>
    <t>Khaskovo</t>
  </si>
  <si>
    <t>Kŭrdzhali</t>
  </si>
  <si>
    <t>Sofiya</t>
  </si>
  <si>
    <t>Sofiya-Grad</t>
  </si>
  <si>
    <t>Tŭrgovishte</t>
  </si>
  <si>
    <t>Veliko Tŭrnovo</t>
  </si>
  <si>
    <t>Tuy</t>
  </si>
  <si>
    <t>Ayeyawady</t>
  </si>
  <si>
    <t>Chin State</t>
  </si>
  <si>
    <t>Kachin State</t>
  </si>
  <si>
    <t>Kayah State</t>
  </si>
  <si>
    <t>Kayin State</t>
  </si>
  <si>
    <t>Mon State</t>
  </si>
  <si>
    <t>MM-18</t>
  </si>
  <si>
    <t>Nay Pyi Taw</t>
  </si>
  <si>
    <t>union territory</t>
  </si>
  <si>
    <t>Rakhine State</t>
  </si>
  <si>
    <t>Shan State</t>
  </si>
  <si>
    <t>Taninthayi</t>
  </si>
  <si>
    <t>CV-SO</t>
  </si>
  <si>
    <t>São Lourenço dos Órgãos</t>
  </si>
  <si>
    <t>Banteay Meanchey</t>
  </si>
  <si>
    <t>Battambang</t>
  </si>
  <si>
    <t>Kampong Cham</t>
  </si>
  <si>
    <t>Kampong Speu</t>
  </si>
  <si>
    <t>Kampong Thom</t>
  </si>
  <si>
    <t>Kandal</t>
  </si>
  <si>
    <t>Kep</t>
  </si>
  <si>
    <t>Koh Kong</t>
  </si>
  <si>
    <t>Kratie</t>
  </si>
  <si>
    <t>Mondolkiri</t>
  </si>
  <si>
    <t>Oddar Meanchey</t>
  </si>
  <si>
    <t>Pailin</t>
  </si>
  <si>
    <t>Prey Veng</t>
  </si>
  <si>
    <t>Pursat</t>
  </si>
  <si>
    <t>Ratanakiri</t>
  </si>
  <si>
    <t>Siem Reap</t>
  </si>
  <si>
    <t>Sihanoukville</t>
  </si>
  <si>
    <t>Stung Treng</t>
  </si>
  <si>
    <t>Svay Rieng</t>
  </si>
  <si>
    <t>Takeo</t>
  </si>
  <si>
    <t>KH-25</t>
  </si>
  <si>
    <t>Tbong Khmum</t>
  </si>
  <si>
    <t>Yukon</t>
  </si>
  <si>
    <t>Kémo</t>
  </si>
  <si>
    <t>Mambéré-Kadéï</t>
  </si>
  <si>
    <t>Nana-Grébizi</t>
  </si>
  <si>
    <t>Sangha-Mbaéré</t>
  </si>
  <si>
    <t>Barh el Gazel</t>
  </si>
  <si>
    <t>TD-EE</t>
  </si>
  <si>
    <t>Ennedi-Est</t>
  </si>
  <si>
    <t>TD-EO</t>
  </si>
  <si>
    <t>Ennedi-Ouest</t>
  </si>
  <si>
    <t>Hadjer-Lamis</t>
  </si>
  <si>
    <t>Logone Occidental</t>
  </si>
  <si>
    <t>Logone Oriental</t>
  </si>
  <si>
    <t>Mayo-Kébbi Est</t>
  </si>
  <si>
    <t>Mayo-Kébbi Ouest</t>
  </si>
  <si>
    <t>Ville de N’Djaména</t>
  </si>
  <si>
    <t>Aysén</t>
  </si>
  <si>
    <t>Biobío</t>
  </si>
  <si>
    <t>Libertador General Bernardo O’Higgins</t>
  </si>
  <si>
    <t>Magallanes y de la Antártica Chilena</t>
  </si>
  <si>
    <t>Región Metropolitana</t>
  </si>
  <si>
    <t>Inner Mongolia</t>
  </si>
  <si>
    <t>Tibet</t>
  </si>
  <si>
    <t>Bogotá</t>
  </si>
  <si>
    <t>San Andrés y Providencia</t>
  </si>
  <si>
    <t>autonomous island</t>
  </si>
  <si>
    <t>CG-16</t>
  </si>
  <si>
    <t>Pointe-Noire</t>
  </si>
  <si>
    <t>Kasaï-Occidental</t>
  </si>
  <si>
    <t>Kasaï-Oriental</t>
  </si>
  <si>
    <t>CI-20</t>
  </si>
  <si>
    <t>Abidjan</t>
  </si>
  <si>
    <t>Bas-Sassandra</t>
  </si>
  <si>
    <t>CI-21</t>
  </si>
  <si>
    <t>Denguélé</t>
  </si>
  <si>
    <t>CI-22</t>
  </si>
  <si>
    <t>Gôh-Djiboua</t>
  </si>
  <si>
    <t>Lacs</t>
  </si>
  <si>
    <t>Lagunes</t>
  </si>
  <si>
    <t>Montagnes</t>
  </si>
  <si>
    <t>CI-23</t>
  </si>
  <si>
    <t>Sassandra-Marahoué</t>
  </si>
  <si>
    <t>Savanes</t>
  </si>
  <si>
    <t>Vallée du Bandama</t>
  </si>
  <si>
    <t>CI-24</t>
  </si>
  <si>
    <t>Woroba</t>
  </si>
  <si>
    <t>CI-25</t>
  </si>
  <si>
    <t>Yamoussoukro</t>
  </si>
  <si>
    <t>Zanzan</t>
  </si>
  <si>
    <t>Bjelovarsko-Bilogorska Županija</t>
  </si>
  <si>
    <t>Brodsko-Posavska Županija</t>
  </si>
  <si>
    <t>Dubrovačko-Neretvanska Županija</t>
  </si>
  <si>
    <t>Istarska Županija</t>
  </si>
  <si>
    <t>Karlovačka Županija</t>
  </si>
  <si>
    <t>Koprivničko-Križevačka Županija</t>
  </si>
  <si>
    <t>Krapinsko-Zagorska Županija</t>
  </si>
  <si>
    <t>Ličko-Senjska Županija</t>
  </si>
  <si>
    <t>Međimurska Županija</t>
  </si>
  <si>
    <t>Osječko-Baranjska Županija</t>
  </si>
  <si>
    <t>Požeško-Slavonska Županija</t>
  </si>
  <si>
    <t>Primorsko-Goranska Županija</t>
  </si>
  <si>
    <t>Šibensko-Kninska Županija</t>
  </si>
  <si>
    <t>Sisačko-Moslavačka Županija</t>
  </si>
  <si>
    <t>Splitsko-Dalmatinska Županija</t>
  </si>
  <si>
    <t>Varaždinska Županija</t>
  </si>
  <si>
    <t>Virovitičko-Podravska Županija</t>
  </si>
  <si>
    <t>Vukovarsko-Srijemska Županija</t>
  </si>
  <si>
    <t>Zadarska Županija</t>
  </si>
  <si>
    <t>Zagreb, Grad</t>
  </si>
  <si>
    <t>Zagrebačka Županija</t>
  </si>
  <si>
    <t>CU-15</t>
  </si>
  <si>
    <t>Artemisa</t>
  </si>
  <si>
    <t>CU-16</t>
  </si>
  <si>
    <t>Mayabeque</t>
  </si>
  <si>
    <t>Ammóchostos</t>
  </si>
  <si>
    <t>Kerýneia</t>
  </si>
  <si>
    <t>Lárnaka</t>
  </si>
  <si>
    <t>Lefkosía</t>
  </si>
  <si>
    <t>Lemesós</t>
  </si>
  <si>
    <t>Páfos</t>
  </si>
  <si>
    <t>Brno-Venkov</t>
  </si>
  <si>
    <t>Frýdek-Místek</t>
  </si>
  <si>
    <t xml:space="preserve">Jihočeský Kraj </t>
  </si>
  <si>
    <t>Jihomoravský Kraj</t>
  </si>
  <si>
    <t>Karlovarský Kraj</t>
  </si>
  <si>
    <t>Královéhradecký Kraj</t>
  </si>
  <si>
    <t>Kroměříž</t>
  </si>
  <si>
    <t>Liberecký Kraj</t>
  </si>
  <si>
    <t>Město Brno</t>
  </si>
  <si>
    <t xml:space="preserve">Moravskoslezský Kraj </t>
  </si>
  <si>
    <t>Olomoucký Kraj</t>
  </si>
  <si>
    <t>Ostrava-Město</t>
  </si>
  <si>
    <t>Pardubický Kraj</t>
  </si>
  <si>
    <t>Plzeň-Jih</t>
  </si>
  <si>
    <t>Plzeň-Město</t>
  </si>
  <si>
    <t>Plzeň-Sever</t>
  </si>
  <si>
    <t>Plzeňský Kraj</t>
  </si>
  <si>
    <t>Praha, Hlavní Město</t>
  </si>
  <si>
    <t>Praha Čtrnáct</t>
  </si>
  <si>
    <t>Praha Čtyři</t>
  </si>
  <si>
    <t>Praha Deset</t>
  </si>
  <si>
    <t>Praha Devět</t>
  </si>
  <si>
    <t>Praha Dva</t>
  </si>
  <si>
    <t>Praha Dvanáct</t>
  </si>
  <si>
    <t>Praha Jeden</t>
  </si>
  <si>
    <t xml:space="preserve">Praha Jedenáct </t>
  </si>
  <si>
    <t>Praha Osm</t>
  </si>
  <si>
    <t>Praha Patnáct</t>
  </si>
  <si>
    <t>Praha Pět</t>
  </si>
  <si>
    <t>Praha Sedm</t>
  </si>
  <si>
    <t>Praha Šest</t>
  </si>
  <si>
    <t>Praha Tři</t>
  </si>
  <si>
    <t>Praha Třináct</t>
  </si>
  <si>
    <t>Praha-Východ</t>
  </si>
  <si>
    <t>Praha-Západ</t>
  </si>
  <si>
    <t>Prostějov</t>
  </si>
  <si>
    <t>Středočeský Kraj</t>
  </si>
  <si>
    <t>Uherské Hradiště</t>
  </si>
  <si>
    <t>Ústecký Kraj</t>
  </si>
  <si>
    <t>Žd’ár nad Sázavou</t>
  </si>
  <si>
    <t>Zlínský Kraj</t>
  </si>
  <si>
    <t>Hovedstaden</t>
  </si>
  <si>
    <t>Midtjylland</t>
  </si>
  <si>
    <t>Nordjylland</t>
  </si>
  <si>
    <t>Sjælland</t>
  </si>
  <si>
    <t>Syddanmark</t>
  </si>
  <si>
    <t>Baoruco</t>
  </si>
  <si>
    <t>DO-33</t>
  </si>
  <si>
    <t>Cibao Nordeste</t>
  </si>
  <si>
    <t>DO-34</t>
  </si>
  <si>
    <t>Cibao Noroeste</t>
  </si>
  <si>
    <t>DO-35</t>
  </si>
  <si>
    <t>Cibao Norte</t>
  </si>
  <si>
    <t>DO-36</t>
  </si>
  <si>
    <t>Cibao Sur</t>
  </si>
  <si>
    <t>Distrito Nacional</t>
  </si>
  <si>
    <t>Elías Piña</t>
  </si>
  <si>
    <t>El Seibo</t>
  </si>
  <si>
    <t>DO-37</t>
  </si>
  <si>
    <t>El Valle</t>
  </si>
  <si>
    <t>DO-38</t>
  </si>
  <si>
    <t>Enriquillo</t>
  </si>
  <si>
    <t>Hermanas Mirabal</t>
  </si>
  <si>
    <t>DO-39</t>
  </si>
  <si>
    <t>Higuamo</t>
  </si>
  <si>
    <t>DO-40</t>
  </si>
  <si>
    <t>Ozama</t>
  </si>
  <si>
    <t>DO-41</t>
  </si>
  <si>
    <t>Valdesia</t>
  </si>
  <si>
    <t>DO-42</t>
  </si>
  <si>
    <t>Yuma</t>
  </si>
  <si>
    <t>Al Ismā‘īlīyah</t>
  </si>
  <si>
    <t>Būr Sa‘īd</t>
  </si>
  <si>
    <t>Janūb Sīnā’</t>
  </si>
  <si>
    <t>Shamāl Sīnā’</t>
  </si>
  <si>
    <t>Ānseba</t>
  </si>
  <si>
    <t>Debubawī K’eyih Bahrī</t>
  </si>
  <si>
    <t>Gash Barka</t>
  </si>
  <si>
    <t>Ma’ākel</t>
  </si>
  <si>
    <t>Semēnawī K’eyih Bahrī</t>
  </si>
  <si>
    <t>FJ-01</t>
  </si>
  <si>
    <t>Ba</t>
  </si>
  <si>
    <t>FJ-02</t>
  </si>
  <si>
    <t>Bua</t>
  </si>
  <si>
    <t>FJ-03</t>
  </si>
  <si>
    <t>Cakaudrove</t>
  </si>
  <si>
    <t>FJ-04</t>
  </si>
  <si>
    <t>Kadavu</t>
  </si>
  <si>
    <t>FJ-05</t>
  </si>
  <si>
    <t>Lau</t>
  </si>
  <si>
    <t>FJ-06</t>
  </si>
  <si>
    <t>Lomaiviti</t>
  </si>
  <si>
    <t>FJ-07</t>
  </si>
  <si>
    <t>Macuata</t>
  </si>
  <si>
    <t>FJ-08</t>
  </si>
  <si>
    <t>Nadroga and Navosa</t>
  </si>
  <si>
    <t>FJ-09</t>
  </si>
  <si>
    <t>Naitasiri</t>
  </si>
  <si>
    <t>FJ-10</t>
  </si>
  <si>
    <t>Namosi</t>
  </si>
  <si>
    <t>FJ-11</t>
  </si>
  <si>
    <t>Ra</t>
  </si>
  <si>
    <t>FJ-12</t>
  </si>
  <si>
    <t>Rewa</t>
  </si>
  <si>
    <t>FJ-13</t>
  </si>
  <si>
    <t>Serua</t>
  </si>
  <si>
    <t>FJ-14</t>
  </si>
  <si>
    <t>Tailevu</t>
  </si>
  <si>
    <t>Ahvenanmaa</t>
  </si>
  <si>
    <t>Belfort</t>
  </si>
  <si>
    <t>Corsica</t>
  </si>
  <si>
    <t>Côte-d’Or</t>
  </si>
  <si>
    <t>Côtes-d’Armor</t>
  </si>
  <si>
    <t>Pays de la Loire</t>
  </si>
  <si>
    <t>Provence-Alpes-Côte d’Azur</t>
  </si>
  <si>
    <t>Val-d’Oise</t>
  </si>
  <si>
    <t>Imereti</t>
  </si>
  <si>
    <t>K’akheti</t>
  </si>
  <si>
    <t>Kvemo Kartli</t>
  </si>
  <si>
    <t>Mtskheta Mtianeti</t>
  </si>
  <si>
    <t>Rach’a-Lechkhumi da Kvemo Svaneti</t>
  </si>
  <si>
    <t>Samegrelo-Zemo Svaneti</t>
  </si>
  <si>
    <t>Samtskhe-Javakheti</t>
  </si>
  <si>
    <t>Shida Kartli</t>
  </si>
  <si>
    <t>Tbilisi</t>
  </si>
  <si>
    <t>Bavaria</t>
  </si>
  <si>
    <t>Hesse</t>
  </si>
  <si>
    <t>Lower Saxony</t>
  </si>
  <si>
    <t>Mecklenburg-Western Pomerania</t>
  </si>
  <si>
    <t>North Rhine-Westphalia</t>
  </si>
  <si>
    <t>Rhineland-Palatinate</t>
  </si>
  <si>
    <t>Saxony</t>
  </si>
  <si>
    <t>Saxony-Anhalt</t>
  </si>
  <si>
    <t>Thuringia</t>
  </si>
  <si>
    <t>Achaḯa</t>
  </si>
  <si>
    <t>Ágion Óros</t>
  </si>
  <si>
    <t>autonomous monastic state</t>
  </si>
  <si>
    <t>Aitoloakarnanía</t>
  </si>
  <si>
    <t>Anatolikí Makedonía kai Thráki</t>
  </si>
  <si>
    <t>Argolída</t>
  </si>
  <si>
    <t>Arkadía</t>
  </si>
  <si>
    <t>Árta</t>
  </si>
  <si>
    <t>Attikí</t>
  </si>
  <si>
    <t>Chalkidikí</t>
  </si>
  <si>
    <t>Chaniá</t>
  </si>
  <si>
    <t>Chíos</t>
  </si>
  <si>
    <t>Dodekánisa</t>
  </si>
  <si>
    <t>Dráma</t>
  </si>
  <si>
    <t>Dytikí Elláda</t>
  </si>
  <si>
    <t>Dytikí Makedonía</t>
  </si>
  <si>
    <t>Évros</t>
  </si>
  <si>
    <t>Evrytanía</t>
  </si>
  <si>
    <t>Évvoia</t>
  </si>
  <si>
    <t>Flórina</t>
  </si>
  <si>
    <t>Fokída</t>
  </si>
  <si>
    <t>Fthiótida</t>
  </si>
  <si>
    <t>Grevená</t>
  </si>
  <si>
    <t>Ileía</t>
  </si>
  <si>
    <t>Imathía</t>
  </si>
  <si>
    <t>Ioánnina</t>
  </si>
  <si>
    <t>Ionía Nísia</t>
  </si>
  <si>
    <t>Ípeiros</t>
  </si>
  <si>
    <t>Irakleío</t>
  </si>
  <si>
    <t>Kardítsa</t>
  </si>
  <si>
    <t>Kastoriá</t>
  </si>
  <si>
    <t>Kavála</t>
  </si>
  <si>
    <t>Kefallinía</t>
  </si>
  <si>
    <t>Kentrikí Makedonía</t>
  </si>
  <si>
    <t>Kérkyra</t>
  </si>
  <si>
    <t>Kilkís</t>
  </si>
  <si>
    <t>Korinthía</t>
  </si>
  <si>
    <t>Kozáni</t>
  </si>
  <si>
    <t>Kríti</t>
  </si>
  <si>
    <t>Kykládes</t>
  </si>
  <si>
    <t>Lakonía</t>
  </si>
  <si>
    <t>Lárisa</t>
  </si>
  <si>
    <t>Lasíthi</t>
  </si>
  <si>
    <t>Lefkáda</t>
  </si>
  <si>
    <t>Lésvos</t>
  </si>
  <si>
    <t>Magnisía</t>
  </si>
  <si>
    <t>Messinía</t>
  </si>
  <si>
    <t>Notío Aigaío</t>
  </si>
  <si>
    <t>Pélla</t>
  </si>
  <si>
    <t>Peloponnísos</t>
  </si>
  <si>
    <t>Piería</t>
  </si>
  <si>
    <t>Préveza</t>
  </si>
  <si>
    <t>Rethýmnis</t>
  </si>
  <si>
    <t>Rodópi</t>
  </si>
  <si>
    <t>Sámos</t>
  </si>
  <si>
    <t>Sérres</t>
  </si>
  <si>
    <t>Stereá Elláda</t>
  </si>
  <si>
    <t>Thesprotía</t>
  </si>
  <si>
    <t>Thessalía</t>
  </si>
  <si>
    <t>Thessaloníki</t>
  </si>
  <si>
    <t>Tríkala</t>
  </si>
  <si>
    <t>Voiotía</t>
  </si>
  <si>
    <t>Voreío Aigaío</t>
  </si>
  <si>
    <t>Xánthi</t>
  </si>
  <si>
    <t>Zakyýnthos</t>
  </si>
  <si>
    <t>Kujalleq</t>
  </si>
  <si>
    <t>Qaasuitsup</t>
  </si>
  <si>
    <t>Qeqqata</t>
  </si>
  <si>
    <t>Sermersooq</t>
  </si>
  <si>
    <t>N’Zérékoré</t>
  </si>
  <si>
    <t>urban county</t>
  </si>
  <si>
    <t>Höfuðborgarsvæði</t>
  </si>
  <si>
    <t>Norðurland Eystra</t>
  </si>
  <si>
    <t>Norðurland Vestra</t>
  </si>
  <si>
    <t>Arunāchal Pradesh</t>
  </si>
  <si>
    <t>Bihār</t>
  </si>
  <si>
    <t>Chandīgarh</t>
  </si>
  <si>
    <t>Chhattīsgarh</t>
  </si>
  <si>
    <t>Dādra and Nagar Haveli</t>
  </si>
  <si>
    <t>Damān and Diu</t>
  </si>
  <si>
    <t>national capital territory</t>
  </si>
  <si>
    <t>Gujarāt</t>
  </si>
  <si>
    <t>Haryāna</t>
  </si>
  <si>
    <t>Himāchal Pradesh</t>
  </si>
  <si>
    <t>Jammu and Kashmīr</t>
  </si>
  <si>
    <t>Karnātaka</t>
  </si>
  <si>
    <t>Mahārāshtra</t>
  </si>
  <si>
    <t>Meghālaya</t>
  </si>
  <si>
    <t>Nāgāland</t>
  </si>
  <si>
    <t>Odisha</t>
  </si>
  <si>
    <t>Puducherry</t>
  </si>
  <si>
    <t>Rājasthān</t>
  </si>
  <si>
    <t xml:space="preserve">Tamil Nādu </t>
  </si>
  <si>
    <t>IN-TG</t>
  </si>
  <si>
    <t>Telangana</t>
  </si>
  <si>
    <t>IN-UT</t>
  </si>
  <si>
    <t>Uttarakhand</t>
  </si>
  <si>
    <t>Jakarta</t>
  </si>
  <si>
    <t>ID-KU</t>
  </si>
  <si>
    <t>Kalimantan Utara</t>
  </si>
  <si>
    <t>Kepulauan Bangka Belitung</t>
  </si>
  <si>
    <t>ID-PP</t>
  </si>
  <si>
    <t>IR-32</t>
  </si>
  <si>
    <t>Alborz</t>
  </si>
  <si>
    <t>Chahār Maḩāl va Bakhtīārī</t>
  </si>
  <si>
    <t>Khorāsān-e Jonūbī</t>
  </si>
  <si>
    <t>Khorāsān-e Raẕavī</t>
  </si>
  <si>
    <t>Khorāsān-e Shomālī</t>
  </si>
  <si>
    <t>Kohgīlūyeh va Bowyer Aḩmad</t>
  </si>
  <si>
    <t>Karbalā’</t>
  </si>
  <si>
    <t>IQ-KI</t>
  </si>
  <si>
    <t>Kirkūk</t>
  </si>
  <si>
    <t>IE-CR</t>
  </si>
  <si>
    <t>IE-DU</t>
  </si>
  <si>
    <t>IE-DR</t>
  </si>
  <si>
    <t>Dún Laoghaire-Rathdown</t>
  </si>
  <si>
    <t>IE-FI</t>
  </si>
  <si>
    <t>Fingal</t>
  </si>
  <si>
    <t>IE-GA</t>
  </si>
  <si>
    <t>IE-LC</t>
  </si>
  <si>
    <t>city and county</t>
  </si>
  <si>
    <t>IE-SD</t>
  </si>
  <si>
    <t>South Dublin</t>
  </si>
  <si>
    <t>IE-WF</t>
  </si>
  <si>
    <t>Haifa</t>
  </si>
  <si>
    <t>Tel Aviv</t>
  </si>
  <si>
    <t>Forli</t>
  </si>
  <si>
    <t>L’Aquila</t>
  </si>
  <si>
    <t>Lombardy</t>
  </si>
  <si>
    <t>Piedmont</t>
  </si>
  <si>
    <t>Reggio di Calabria</t>
  </si>
  <si>
    <t>Tuscany</t>
  </si>
  <si>
    <t>Valle d’Aosta</t>
  </si>
  <si>
    <t>Hokkaidō</t>
  </si>
  <si>
    <t>Hyōgo</t>
  </si>
  <si>
    <t>Kōchi</t>
  </si>
  <si>
    <t>Kyōto</t>
  </si>
  <si>
    <t>Ōita</t>
  </si>
  <si>
    <t>Ōsaka</t>
  </si>
  <si>
    <t>Tōkyō</t>
  </si>
  <si>
    <t>‘Ajlūn</t>
  </si>
  <si>
    <t>Al ‘Aqabah</t>
  </si>
  <si>
    <t>Al Balqā’</t>
  </si>
  <si>
    <t>Az Zarqā’</t>
  </si>
  <si>
    <t>Ma‘ān</t>
  </si>
  <si>
    <t>Aqmola</t>
  </si>
  <si>
    <t>Aqtöbe</t>
  </si>
  <si>
    <t>Atyraū</t>
  </si>
  <si>
    <t>Batys Qazaqstan</t>
  </si>
  <si>
    <t>KZ-BAY</t>
  </si>
  <si>
    <t>Bayqongyr</t>
  </si>
  <si>
    <t>Mangghystaū</t>
  </si>
  <si>
    <t>Ongtüstik Qazaqstan</t>
  </si>
  <si>
    <t>Pavlodar</t>
  </si>
  <si>
    <t>Qaraghandy</t>
  </si>
  <si>
    <t>Qostanay</t>
  </si>
  <si>
    <t>Qyzylorda</t>
  </si>
  <si>
    <t>Shyghys Qazaqstan</t>
  </si>
  <si>
    <t>Soltüstik Qazaqstan</t>
  </si>
  <si>
    <t>Zhambyl</t>
  </si>
  <si>
    <t>KE-01</t>
  </si>
  <si>
    <t>Baringo</t>
  </si>
  <si>
    <t>KE-02</t>
  </si>
  <si>
    <t>Bomet</t>
  </si>
  <si>
    <t>KE-03</t>
  </si>
  <si>
    <t>Bungoma</t>
  </si>
  <si>
    <t>KE-04</t>
  </si>
  <si>
    <t>KE-05</t>
  </si>
  <si>
    <t>Elgeyo/Marakwet</t>
  </si>
  <si>
    <t>KE-06</t>
  </si>
  <si>
    <t>Embu</t>
  </si>
  <si>
    <t>KE-07</t>
  </si>
  <si>
    <t>Garissa</t>
  </si>
  <si>
    <t>KE-08</t>
  </si>
  <si>
    <t>Homa Bay</t>
  </si>
  <si>
    <t>KE-09</t>
  </si>
  <si>
    <t>Isiolo</t>
  </si>
  <si>
    <t>KE-10</t>
  </si>
  <si>
    <t>Kajiado</t>
  </si>
  <si>
    <t>KE-11</t>
  </si>
  <si>
    <t>Kakamega</t>
  </si>
  <si>
    <t>KE-12</t>
  </si>
  <si>
    <t>Kericho</t>
  </si>
  <si>
    <t>KE-13</t>
  </si>
  <si>
    <t>Kiambu</t>
  </si>
  <si>
    <t>KE-14</t>
  </si>
  <si>
    <t>Kilifi</t>
  </si>
  <si>
    <t>KE-15</t>
  </si>
  <si>
    <t>Kirinyaga</t>
  </si>
  <si>
    <t>KE-16</t>
  </si>
  <si>
    <t>Kisii</t>
  </si>
  <si>
    <t>KE-17</t>
  </si>
  <si>
    <t>Kisumu</t>
  </si>
  <si>
    <t>KE-18</t>
  </si>
  <si>
    <t>Kitui</t>
  </si>
  <si>
    <t>KE-19</t>
  </si>
  <si>
    <t>Kwale</t>
  </si>
  <si>
    <t>KE-20</t>
  </si>
  <si>
    <t>Laikipia</t>
  </si>
  <si>
    <t>KE-21</t>
  </si>
  <si>
    <t>Lamu</t>
  </si>
  <si>
    <t>KE-22</t>
  </si>
  <si>
    <t>Machakos</t>
  </si>
  <si>
    <t>KE-23</t>
  </si>
  <si>
    <t>Makueni</t>
  </si>
  <si>
    <t>KE-24</t>
  </si>
  <si>
    <t>Mandera</t>
  </si>
  <si>
    <t>KE-25</t>
  </si>
  <si>
    <t>Marsabit</t>
  </si>
  <si>
    <t>KE-26</t>
  </si>
  <si>
    <t>Meru</t>
  </si>
  <si>
    <t>KE-27</t>
  </si>
  <si>
    <t>Migori</t>
  </si>
  <si>
    <t>KE-28</t>
  </si>
  <si>
    <t>Mombasa</t>
  </si>
  <si>
    <t>KE-29</t>
  </si>
  <si>
    <t>Murang’a</t>
  </si>
  <si>
    <t>KE-30</t>
  </si>
  <si>
    <t>Nairobi City</t>
  </si>
  <si>
    <t>KE-31</t>
  </si>
  <si>
    <t>Nakuru</t>
  </si>
  <si>
    <t>KE-32</t>
  </si>
  <si>
    <t>Nandi</t>
  </si>
  <si>
    <t>KE-33</t>
  </si>
  <si>
    <t>Narok</t>
  </si>
  <si>
    <t>KE-34</t>
  </si>
  <si>
    <t>Nyamira</t>
  </si>
  <si>
    <t>KE-35</t>
  </si>
  <si>
    <t>Nyandarua</t>
  </si>
  <si>
    <t>KE-36</t>
  </si>
  <si>
    <t>Nyeri</t>
  </si>
  <si>
    <t>KE-37</t>
  </si>
  <si>
    <t>Samburu</t>
  </si>
  <si>
    <t>KE-38</t>
  </si>
  <si>
    <t>Siaya</t>
  </si>
  <si>
    <t>KE-39</t>
  </si>
  <si>
    <t>Taita/Taveta</t>
  </si>
  <si>
    <t>KE-40</t>
  </si>
  <si>
    <t>Tana River</t>
  </si>
  <si>
    <t>KE-41</t>
  </si>
  <si>
    <t>Tharaka-Nithi</t>
  </si>
  <si>
    <t>KE-42</t>
  </si>
  <si>
    <t>Trans Nzoia</t>
  </si>
  <si>
    <t>KE-43</t>
  </si>
  <si>
    <t>Turkana</t>
  </si>
  <si>
    <t>KE-44</t>
  </si>
  <si>
    <t>Uasin Gishu</t>
  </si>
  <si>
    <t>KE-45</t>
  </si>
  <si>
    <t>Vihiga</t>
  </si>
  <si>
    <t>KE-46</t>
  </si>
  <si>
    <t>Wajir</t>
  </si>
  <si>
    <t>KE-47</t>
  </si>
  <si>
    <t>West Pokot</t>
  </si>
  <si>
    <t>Chagang</t>
  </si>
  <si>
    <t>Hambuk</t>
  </si>
  <si>
    <t>Hamnam</t>
  </si>
  <si>
    <t>Hwangbuk</t>
  </si>
  <si>
    <t>Hwangnam</t>
  </si>
  <si>
    <t>Kangwŏn</t>
  </si>
  <si>
    <t>Nasŏn</t>
  </si>
  <si>
    <t>P’yŏngbuk</t>
  </si>
  <si>
    <t>P’yŏngnam</t>
  </si>
  <si>
    <t>P’yŏngyang</t>
  </si>
  <si>
    <t>Yanggang</t>
  </si>
  <si>
    <t>Busan</t>
  </si>
  <si>
    <t>Chungbuk</t>
  </si>
  <si>
    <t>Chungnam</t>
  </si>
  <si>
    <t>Daegu</t>
  </si>
  <si>
    <t>Daejeon</t>
  </si>
  <si>
    <t>Gangwon</t>
  </si>
  <si>
    <t>Gwangju</t>
  </si>
  <si>
    <t>Gyeongbuk</t>
  </si>
  <si>
    <t>Gyeonggi</t>
  </si>
  <si>
    <t>Gyeongnam</t>
  </si>
  <si>
    <t>Incheon</t>
  </si>
  <si>
    <t>Jeju</t>
  </si>
  <si>
    <t>Jeonbuk</t>
  </si>
  <si>
    <t>Jeonnam</t>
  </si>
  <si>
    <t>KR-50</t>
  </si>
  <si>
    <t>Sejong</t>
  </si>
  <si>
    <t>special self-governing city</t>
  </si>
  <si>
    <t>Seoul</t>
  </si>
  <si>
    <t>Ulsan</t>
  </si>
  <si>
    <t>XK-01</t>
  </si>
  <si>
    <t>Deçan</t>
  </si>
  <si>
    <t>XK-02</t>
  </si>
  <si>
    <t>Dragash</t>
  </si>
  <si>
    <t>XK-03</t>
  </si>
  <si>
    <t>Ferizaj</t>
  </si>
  <si>
    <t>XK-04</t>
  </si>
  <si>
    <t>Fushë Kosovë</t>
  </si>
  <si>
    <t>XK-05</t>
  </si>
  <si>
    <t>Gjakovë</t>
  </si>
  <si>
    <t>XK-06</t>
  </si>
  <si>
    <t>Gjilan</t>
  </si>
  <si>
    <t>XK-07</t>
  </si>
  <si>
    <t>Gllogovc</t>
  </si>
  <si>
    <t>XK-08</t>
  </si>
  <si>
    <t>Graçanicë</t>
  </si>
  <si>
    <t>XK-09</t>
  </si>
  <si>
    <t>Hani i Elezit</t>
  </si>
  <si>
    <t>XK-10</t>
  </si>
  <si>
    <t>Istog</t>
  </si>
  <si>
    <t>XK-11</t>
  </si>
  <si>
    <t>Junik</t>
  </si>
  <si>
    <t>XK-12</t>
  </si>
  <si>
    <t>Kaçanik</t>
  </si>
  <si>
    <t>XK-13</t>
  </si>
  <si>
    <t>Kamenicë</t>
  </si>
  <si>
    <t>XK-14</t>
  </si>
  <si>
    <t>Klinë</t>
  </si>
  <si>
    <t>XK-15</t>
  </si>
  <si>
    <t>Kllokot</t>
  </si>
  <si>
    <t>XK-16</t>
  </si>
  <si>
    <t>Leposaviq</t>
  </si>
  <si>
    <t>XK-17</t>
  </si>
  <si>
    <t>Lipjan</t>
  </si>
  <si>
    <t>XK-18</t>
  </si>
  <si>
    <t>Malishevë</t>
  </si>
  <si>
    <t>XK-19</t>
  </si>
  <si>
    <t>Mamushë</t>
  </si>
  <si>
    <t>XK-20</t>
  </si>
  <si>
    <t>Mitrovicë</t>
  </si>
  <si>
    <t>XK-21</t>
  </si>
  <si>
    <t>Novobërdë</t>
  </si>
  <si>
    <t>XK-22</t>
  </si>
  <si>
    <t>Obiliq</t>
  </si>
  <si>
    <t>XK-23</t>
  </si>
  <si>
    <t>Partesh</t>
  </si>
  <si>
    <t>XK-24</t>
  </si>
  <si>
    <t>Pejë</t>
  </si>
  <si>
    <t>XK-25</t>
  </si>
  <si>
    <t>Podujevë</t>
  </si>
  <si>
    <t>XK-26</t>
  </si>
  <si>
    <t>Prishtinë</t>
  </si>
  <si>
    <t>XK-27</t>
  </si>
  <si>
    <t>Prizren</t>
  </si>
  <si>
    <t>XK-28</t>
  </si>
  <si>
    <t>Rahovec</t>
  </si>
  <si>
    <t>XK-29</t>
  </si>
  <si>
    <t>Ranillug</t>
  </si>
  <si>
    <t>XK-30</t>
  </si>
  <si>
    <t>Shtërpcë</t>
  </si>
  <si>
    <t>XK-31</t>
  </si>
  <si>
    <t>Shtime</t>
  </si>
  <si>
    <t>XK-32</t>
  </si>
  <si>
    <t>Skënderaj</t>
  </si>
  <si>
    <t>XK-33</t>
  </si>
  <si>
    <t>Suharekë</t>
  </si>
  <si>
    <t>XK-34</t>
  </si>
  <si>
    <t>Viti</t>
  </si>
  <si>
    <t>XK-35</t>
  </si>
  <si>
    <t>Vushtrri</t>
  </si>
  <si>
    <t>XK-36</t>
  </si>
  <si>
    <t>Zubin Potok</t>
  </si>
  <si>
    <t>XK-37</t>
  </si>
  <si>
    <t>Zveçan</t>
  </si>
  <si>
    <t>Al Jahrā’</t>
  </si>
  <si>
    <t>Chüy</t>
  </si>
  <si>
    <t>KG-GO</t>
  </si>
  <si>
    <t>Attapu</t>
  </si>
  <si>
    <t>Bolikhamxai</t>
  </si>
  <si>
    <t>Champasak</t>
  </si>
  <si>
    <t>Louangnamtha</t>
  </si>
  <si>
    <t>Louangphabang</t>
  </si>
  <si>
    <t>Oudômxai</t>
  </si>
  <si>
    <t>Phôngsali</t>
  </si>
  <si>
    <t>Salavan</t>
  </si>
  <si>
    <t>Viangchan</t>
  </si>
  <si>
    <t>Xaignabouli</t>
  </si>
  <si>
    <t>Xékong</t>
  </si>
  <si>
    <t>Xiangkhouang</t>
  </si>
  <si>
    <t>Ādažu Novads</t>
  </si>
  <si>
    <t>Aglonas Novads</t>
  </si>
  <si>
    <t>Aizkraukles Novads</t>
  </si>
  <si>
    <t>Aizputes Novads</t>
  </si>
  <si>
    <t>Aknīstes Novads</t>
  </si>
  <si>
    <t>Alojas Novads</t>
  </si>
  <si>
    <t>Alsungas Novads</t>
  </si>
  <si>
    <t>Alūksnes Novads</t>
  </si>
  <si>
    <t>Amatas Novads</t>
  </si>
  <si>
    <t>Apes Novads</t>
  </si>
  <si>
    <t>Auces Novads</t>
  </si>
  <si>
    <t>Babītes Novads</t>
  </si>
  <si>
    <t>Baldones Novads</t>
  </si>
  <si>
    <t>Baltinavas Novads</t>
  </si>
  <si>
    <t>Balvu Novads</t>
  </si>
  <si>
    <t>Bauskas Novads</t>
  </si>
  <si>
    <t>Beverīnas Novads</t>
  </si>
  <si>
    <t>Brocēnu Novads</t>
  </si>
  <si>
    <t>Burtnieku Novads</t>
  </si>
  <si>
    <t>Carnikavas Novads</t>
  </si>
  <si>
    <t>Cēsu Novads</t>
  </si>
  <si>
    <t>Cesvaines Novads</t>
  </si>
  <si>
    <t>Ciblas Novads</t>
  </si>
  <si>
    <t>Dagdas Novads</t>
  </si>
  <si>
    <t>republican city</t>
  </si>
  <si>
    <t>Daugavpils Novads</t>
  </si>
  <si>
    <t>Dobeles Novads</t>
  </si>
  <si>
    <t>Dundagas Novads</t>
  </si>
  <si>
    <t>Durbes Novads</t>
  </si>
  <si>
    <t>Engures Novads</t>
  </si>
  <si>
    <t>Ērgļu Novads</t>
  </si>
  <si>
    <t>Garkalnes Novads</t>
  </si>
  <si>
    <t>Grobiņas Novads</t>
  </si>
  <si>
    <t>Gulbenes Novads</t>
  </si>
  <si>
    <t>Iecavas Novads</t>
  </si>
  <si>
    <t>Ikšķiles Novads</t>
  </si>
  <si>
    <t>Ilūkstes Novads</t>
  </si>
  <si>
    <t>Inčukalna Novads</t>
  </si>
  <si>
    <t>Jaunjelgavas Novads</t>
  </si>
  <si>
    <t>Jaunpiebalgas Novads</t>
  </si>
  <si>
    <t>Jaunpils Novads</t>
  </si>
  <si>
    <t>Jēkabpils Novads</t>
  </si>
  <si>
    <t>Jelgavas Novads</t>
  </si>
  <si>
    <t>Kandavas Novads</t>
  </si>
  <si>
    <t>Kārsavas Novads</t>
  </si>
  <si>
    <t>Ķeguma Novads</t>
  </si>
  <si>
    <t>Ķekavas Novads</t>
  </si>
  <si>
    <t>Kocēnu Novads</t>
  </si>
  <si>
    <t>Kokneses Novads</t>
  </si>
  <si>
    <t>Krāslavas Novads</t>
  </si>
  <si>
    <t>Krimuldas Novads</t>
  </si>
  <si>
    <t>Krustpils Novads</t>
  </si>
  <si>
    <t>Kuldīgas Novads</t>
  </si>
  <si>
    <t>Lielvārdes Novads</t>
  </si>
  <si>
    <t>Līgatnes Novads</t>
  </si>
  <si>
    <t>Limbažu Novads</t>
  </si>
  <si>
    <t>Līvānu Novads</t>
  </si>
  <si>
    <t>Lubānas Novads</t>
  </si>
  <si>
    <t>Ludzas Novads</t>
  </si>
  <si>
    <t>Madonas Novads</t>
  </si>
  <si>
    <t>Mālpils Novads</t>
  </si>
  <si>
    <t>Mārupes Novads</t>
  </si>
  <si>
    <t>Mazsalacas Novads</t>
  </si>
  <si>
    <t>Mērsraga Novads</t>
  </si>
  <si>
    <t>Naukšēnu Novads</t>
  </si>
  <si>
    <t>Neretas Novads</t>
  </si>
  <si>
    <t>Nīcas Novads</t>
  </si>
  <si>
    <t>Ogres Novads</t>
  </si>
  <si>
    <t>Olaines Novads</t>
  </si>
  <si>
    <t>Ozolnieku Novads</t>
  </si>
  <si>
    <t>Pārgaujas Novads</t>
  </si>
  <si>
    <t>Pāvilostas Novads</t>
  </si>
  <si>
    <t>Pļaviņu Novads</t>
  </si>
  <si>
    <t>Preiļu Novads</t>
  </si>
  <si>
    <t>Priekules Novads</t>
  </si>
  <si>
    <t>Priekuļu Novads</t>
  </si>
  <si>
    <t>Raunas Novads</t>
  </si>
  <si>
    <t>Rēzeknes Novads</t>
  </si>
  <si>
    <t>Riebiņu Novads</t>
  </si>
  <si>
    <t>Rojas Novads</t>
  </si>
  <si>
    <t>Ropažu Novads</t>
  </si>
  <si>
    <t>Rucavas Novads</t>
  </si>
  <si>
    <t>Rugāju Novads</t>
  </si>
  <si>
    <t>Rūjienas Novads</t>
  </si>
  <si>
    <t>Rundāles Novads</t>
  </si>
  <si>
    <t>Salacgrīvas Novads</t>
  </si>
  <si>
    <t>Salas Novads</t>
  </si>
  <si>
    <t>Salaspils Novads</t>
  </si>
  <si>
    <t>Saldus Novads</t>
  </si>
  <si>
    <t>Saulkrastu Novads</t>
  </si>
  <si>
    <t>Sējas Novads</t>
  </si>
  <si>
    <t>Siguldas Novads</t>
  </si>
  <si>
    <t>Skrīveru Novads</t>
  </si>
  <si>
    <t>Skrundas Novads</t>
  </si>
  <si>
    <t>Smiltenes Novads</t>
  </si>
  <si>
    <t>Stopiņu Novads</t>
  </si>
  <si>
    <t>Strenču Novads</t>
  </si>
  <si>
    <t>Talsu Novads</t>
  </si>
  <si>
    <t>Tērvetes Novads</t>
  </si>
  <si>
    <t>Tukuma Novads</t>
  </si>
  <si>
    <t>Vaiņodes Novads</t>
  </si>
  <si>
    <t>Valkas Novads</t>
  </si>
  <si>
    <t>Varakļānu Novads</t>
  </si>
  <si>
    <t>Vārkavas Novads</t>
  </si>
  <si>
    <t>Vecpiebalgas Novads</t>
  </si>
  <si>
    <t>Vecumnieku Novads</t>
  </si>
  <si>
    <t>Ventspils Novads</t>
  </si>
  <si>
    <t>Viesītes Novads</t>
  </si>
  <si>
    <t>Viļakas Novads</t>
  </si>
  <si>
    <t>Viļānu Novads</t>
  </si>
  <si>
    <t>Zilupes Novads</t>
  </si>
  <si>
    <t>Mohale’s Hoek</t>
  </si>
  <si>
    <t>Qacha’s Nek</t>
  </si>
  <si>
    <t>River Cess</t>
  </si>
  <si>
    <t>Al Jafārah</t>
  </si>
  <si>
    <t>Wādī ash Shāţi’</t>
  </si>
  <si>
    <t>LT-01</t>
  </si>
  <si>
    <t>Akmenė</t>
  </si>
  <si>
    <t xml:space="preserve">district municipality </t>
  </si>
  <si>
    <t>LT-02</t>
  </si>
  <si>
    <t>Alytaus miestas</t>
  </si>
  <si>
    <t xml:space="preserve">city municipality </t>
  </si>
  <si>
    <t>LT-03</t>
  </si>
  <si>
    <t>Alytus</t>
  </si>
  <si>
    <t>LT-04</t>
  </si>
  <si>
    <t>Anykščiai</t>
  </si>
  <si>
    <t>LT-05</t>
  </si>
  <si>
    <t>Birštono</t>
  </si>
  <si>
    <t xml:space="preserve">municipality </t>
  </si>
  <si>
    <t>LT-06</t>
  </si>
  <si>
    <t>Biržai</t>
  </si>
  <si>
    <t>LT-07</t>
  </si>
  <si>
    <t>Druskininkai</t>
  </si>
  <si>
    <t>LT-08</t>
  </si>
  <si>
    <t>Elektrénai</t>
  </si>
  <si>
    <t>LT-09</t>
  </si>
  <si>
    <t>Ignalina</t>
  </si>
  <si>
    <t>LT-10</t>
  </si>
  <si>
    <t>Jonava</t>
  </si>
  <si>
    <t>LT-11</t>
  </si>
  <si>
    <t>Joniškis</t>
  </si>
  <si>
    <t>LT-12</t>
  </si>
  <si>
    <t>Jurbarkas</t>
  </si>
  <si>
    <t>LT-13</t>
  </si>
  <si>
    <t>Kaišiadorys</t>
  </si>
  <si>
    <t>LT-14</t>
  </si>
  <si>
    <t>Kalvarijos</t>
  </si>
  <si>
    <t>LT-16</t>
  </si>
  <si>
    <t>Kaunas</t>
  </si>
  <si>
    <t>LT-15</t>
  </si>
  <si>
    <t>Kauno miestas</t>
  </si>
  <si>
    <t>LT-17</t>
  </si>
  <si>
    <t>Kazlų Rūdos</t>
  </si>
  <si>
    <t>LT-18</t>
  </si>
  <si>
    <t>Kėdainiai</t>
  </si>
  <si>
    <t>LT-19</t>
  </si>
  <si>
    <t>Kelmė</t>
  </si>
  <si>
    <t>LT-21</t>
  </si>
  <si>
    <t>Klaipėda</t>
  </si>
  <si>
    <t>LT-20</t>
  </si>
  <si>
    <t>Klaipėdos miestas</t>
  </si>
  <si>
    <t>LT-22</t>
  </si>
  <si>
    <t>Kretinga</t>
  </si>
  <si>
    <t>LT-23</t>
  </si>
  <si>
    <t>Kupiškis</t>
  </si>
  <si>
    <t>LT-24</t>
  </si>
  <si>
    <t>Lazdijai</t>
  </si>
  <si>
    <t>LT-25</t>
  </si>
  <si>
    <t>Marijampolė</t>
  </si>
  <si>
    <t>LT-26</t>
  </si>
  <si>
    <t>Mažeikiai</t>
  </si>
  <si>
    <t>LT-27</t>
  </si>
  <si>
    <t>Molėtai</t>
  </si>
  <si>
    <t>LT-28</t>
  </si>
  <si>
    <t>Neringa</t>
  </si>
  <si>
    <t>LT-29</t>
  </si>
  <si>
    <t>Pagégiai</t>
  </si>
  <si>
    <t>LT-30</t>
  </si>
  <si>
    <t>Pakruojis</t>
  </si>
  <si>
    <t>LT-31</t>
  </si>
  <si>
    <t>Palangos miestas</t>
  </si>
  <si>
    <t>LT-32</t>
  </si>
  <si>
    <t>Panevėžio miestas</t>
  </si>
  <si>
    <t>LT-33</t>
  </si>
  <si>
    <t>Panevėžys</t>
  </si>
  <si>
    <t>LT-34</t>
  </si>
  <si>
    <t>Pasvalys</t>
  </si>
  <si>
    <t>LT-35</t>
  </si>
  <si>
    <t>Plungė</t>
  </si>
  <si>
    <t>LT-36</t>
  </si>
  <si>
    <t>Prienai</t>
  </si>
  <si>
    <t>LT-37</t>
  </si>
  <si>
    <t>Radviliškis</t>
  </si>
  <si>
    <t>LT-38</t>
  </si>
  <si>
    <t>Raseiniai</t>
  </si>
  <si>
    <t>LT-39</t>
  </si>
  <si>
    <t>Rietavo</t>
  </si>
  <si>
    <t>LT-40</t>
  </si>
  <si>
    <t>Rokiškis</t>
  </si>
  <si>
    <t>LT-41</t>
  </si>
  <si>
    <t>Šakiai</t>
  </si>
  <si>
    <t>LT-42</t>
  </si>
  <si>
    <t>Šalčininkai</t>
  </si>
  <si>
    <t>LT-44</t>
  </si>
  <si>
    <t>Šiauliai</t>
  </si>
  <si>
    <t>LT-43</t>
  </si>
  <si>
    <t>Šiaulių miestas</t>
  </si>
  <si>
    <t>LT-45</t>
  </si>
  <si>
    <t>Šilalė</t>
  </si>
  <si>
    <t>LT-46</t>
  </si>
  <si>
    <t>Šilutė</t>
  </si>
  <si>
    <t>LT-47</t>
  </si>
  <si>
    <t>Širvintos</t>
  </si>
  <si>
    <t>LT-48</t>
  </si>
  <si>
    <t>Skuodas</t>
  </si>
  <si>
    <t>LT-49</t>
  </si>
  <si>
    <t>Švenčionys</t>
  </si>
  <si>
    <t>LT-50</t>
  </si>
  <si>
    <t>Tauragė</t>
  </si>
  <si>
    <t>LT-51</t>
  </si>
  <si>
    <t>Telšiai</t>
  </si>
  <si>
    <t>LT-52</t>
  </si>
  <si>
    <t>Trakai</t>
  </si>
  <si>
    <t>LT-53</t>
  </si>
  <si>
    <t>Ukmergė</t>
  </si>
  <si>
    <t>LT-54</t>
  </si>
  <si>
    <t>Utena</t>
  </si>
  <si>
    <t>LT-55</t>
  </si>
  <si>
    <t>Varėna</t>
  </si>
  <si>
    <t>LT-56</t>
  </si>
  <si>
    <t>Vilkaviškis</t>
  </si>
  <si>
    <t>LT-57</t>
  </si>
  <si>
    <t>Vilniaus miestas</t>
  </si>
  <si>
    <t>LT-58</t>
  </si>
  <si>
    <t>Vilnius</t>
  </si>
  <si>
    <t>LT-59</t>
  </si>
  <si>
    <t>Visaginas</t>
  </si>
  <si>
    <t>LT-60</t>
  </si>
  <si>
    <t>Zarasai</t>
  </si>
  <si>
    <t>LU-D</t>
  </si>
  <si>
    <t>Diekirch</t>
  </si>
  <si>
    <t>LU-G</t>
  </si>
  <si>
    <t>Grevenmacher</t>
  </si>
  <si>
    <t>Čučer-Sandevo</t>
  </si>
  <si>
    <t>Mavrovo i Rostuša</t>
  </si>
  <si>
    <t>MK-85</t>
  </si>
  <si>
    <t>Skopje</t>
  </si>
  <si>
    <t xml:space="preserve">Kuala Lumpur </t>
  </si>
  <si>
    <t>Labuan</t>
  </si>
  <si>
    <t>Putrajaya</t>
  </si>
  <si>
    <t>Mathi Dhekunu</t>
  </si>
  <si>
    <t>Mathi Uthuru</t>
  </si>
  <si>
    <t>Medhu Dhekunu</t>
  </si>
  <si>
    <t>Medhu Uthuru</t>
  </si>
  <si>
    <t>locality</t>
  </si>
  <si>
    <t>Imdina</t>
  </si>
  <si>
    <t>Imġarr</t>
  </si>
  <si>
    <t>Imqabba</t>
  </si>
  <si>
    <t>Imsida</t>
  </si>
  <si>
    <t>Imtarfa</t>
  </si>
  <si>
    <t>Rabat (Ghawdex)</t>
  </si>
  <si>
    <t>Ta’ Xbiex</t>
  </si>
  <si>
    <t>Żebbuġ</t>
  </si>
  <si>
    <t>Żebbuġ (Ghawdex)</t>
  </si>
  <si>
    <t>Bikini &amp; Kili</t>
  </si>
  <si>
    <t>Enewtak &amp; Ujelang</t>
  </si>
  <si>
    <t>Ralik Chain</t>
  </si>
  <si>
    <t>Ratak Chain</t>
  </si>
  <si>
    <t>Utrik</t>
  </si>
  <si>
    <t>Dakhlet Nouadhibou</t>
  </si>
  <si>
    <t>Cargados Carajos</t>
  </si>
  <si>
    <t>Rodrigues</t>
  </si>
  <si>
    <t>Coahuila de Zaragoza</t>
  </si>
  <si>
    <t>Michoacán de Ocampo</t>
  </si>
  <si>
    <t>Querétaro de Arteaga</t>
  </si>
  <si>
    <t>Bender</t>
  </si>
  <si>
    <t>Găgăuzia</t>
  </si>
  <si>
    <t>Ştefan-Vodă</t>
  </si>
  <si>
    <t>Stînga Nistrului</t>
  </si>
  <si>
    <t>Darhan-Uul</t>
  </si>
  <si>
    <t>Govĭsümber</t>
  </si>
  <si>
    <t>ME-22</t>
  </si>
  <si>
    <t>Gusinje</t>
  </si>
  <si>
    <t>Herceg Novi</t>
  </si>
  <si>
    <t>Nikšić</t>
  </si>
  <si>
    <t>ME-23</t>
  </si>
  <si>
    <t>Petnjica</t>
  </si>
  <si>
    <t>MS-01</t>
  </si>
  <si>
    <t>Saint Anthony</t>
  </si>
  <si>
    <t>MS-02</t>
  </si>
  <si>
    <t>Saint Georges</t>
  </si>
  <si>
    <t>MS-03</t>
  </si>
  <si>
    <t>Agadir Ida Outanane</t>
  </si>
  <si>
    <t>El Kelaa des Sraghna</t>
  </si>
  <si>
    <t>Er Rachidia</t>
  </si>
  <si>
    <t>Guelmim-Es Semara</t>
  </si>
  <si>
    <t>Laâyoune-Boujdour-Sakia El Hamra</t>
  </si>
  <si>
    <t>Oriental</t>
  </si>
  <si>
    <t>Rabat-Salé-Zemmour-Zaër</t>
  </si>
  <si>
    <t>Skhirat-Temara</t>
  </si>
  <si>
    <t>Souss-Massa-Drâa</t>
  </si>
  <si>
    <t>Tanger-Asilah</t>
  </si>
  <si>
    <t>Taroudannt</t>
  </si>
  <si>
    <t>//Karas</t>
  </si>
  <si>
    <t>NA-KE</t>
  </si>
  <si>
    <t>Kavango East</t>
  </si>
  <si>
    <t>NA-KW</t>
  </si>
  <si>
    <t>Kavango West</t>
  </si>
  <si>
    <t>Zambezi</t>
  </si>
  <si>
    <t>Bāgmatī</t>
  </si>
  <si>
    <t>Bherī</t>
  </si>
  <si>
    <t>Dhawalāgiri</t>
  </si>
  <si>
    <t>Gandakī</t>
  </si>
  <si>
    <t>Karnālī</t>
  </si>
  <si>
    <t>Kosī</t>
  </si>
  <si>
    <t>Lumbinī</t>
  </si>
  <si>
    <t>Mahākālī</t>
  </si>
  <si>
    <t>Mechī</t>
  </si>
  <si>
    <t>Nārāyanī</t>
  </si>
  <si>
    <t>Rāptī</t>
  </si>
  <si>
    <t>Sagarmāthā</t>
  </si>
  <si>
    <t>Setī</t>
  </si>
  <si>
    <t>NC-01</t>
  </si>
  <si>
    <t>Province Îles</t>
  </si>
  <si>
    <t>NC-02</t>
  </si>
  <si>
    <t>Province Nord</t>
  </si>
  <si>
    <t>NC-03</t>
  </si>
  <si>
    <t>Province Sud</t>
  </si>
  <si>
    <t>Chatham Islands</t>
  </si>
  <si>
    <t>Gisborne</t>
  </si>
  <si>
    <t>Hawke’s Bay</t>
  </si>
  <si>
    <t>Marlborough</t>
  </si>
  <si>
    <t>Nelson</t>
  </si>
  <si>
    <t>Tasman</t>
  </si>
  <si>
    <t>Federal Capital Territory</t>
  </si>
  <si>
    <t>Nasarawa</t>
  </si>
  <si>
    <t>OM-JB</t>
  </si>
  <si>
    <t>Janūb al Bāţinah</t>
  </si>
  <si>
    <t>OM-JS</t>
  </si>
  <si>
    <t>Janūb ash Sharqīyah</t>
  </si>
  <si>
    <t>OM-SB</t>
  </si>
  <si>
    <t>Shamāl al Bāţinah</t>
  </si>
  <si>
    <t>OM-SS</t>
  </si>
  <si>
    <t>Shamāl ash Sharqīyah</t>
  </si>
  <si>
    <t>Balochistān</t>
  </si>
  <si>
    <t>Hatohobei</t>
  </si>
  <si>
    <t>Emberá-Wounaan</t>
  </si>
  <si>
    <t>PA-10</t>
  </si>
  <si>
    <t>Panamá Oeste</t>
  </si>
  <si>
    <t>PG-HLA</t>
  </si>
  <si>
    <t>Hela</t>
  </si>
  <si>
    <t>PG-JWK</t>
  </si>
  <si>
    <t>Jiwaka</t>
  </si>
  <si>
    <t>National Capital</t>
  </si>
  <si>
    <t>West Sepik</t>
  </si>
  <si>
    <t>Callao</t>
  </si>
  <si>
    <t>Cusco</t>
  </si>
  <si>
    <t>PH-ANG</t>
  </si>
  <si>
    <t>Angeles</t>
  </si>
  <si>
    <t>highly urbanized city</t>
  </si>
  <si>
    <t>PH-ATP</t>
  </si>
  <si>
    <t>Antipolo</t>
  </si>
  <si>
    <t>independent component city</t>
  </si>
  <si>
    <t>PH-BAC</t>
  </si>
  <si>
    <t>Bacolod</t>
  </si>
  <si>
    <t>PH-BAG</t>
  </si>
  <si>
    <t>Baguio</t>
  </si>
  <si>
    <t>Bicol Region</t>
  </si>
  <si>
    <t>PH-BUT</t>
  </si>
  <si>
    <t>Butuan</t>
  </si>
  <si>
    <t>PH-CGO</t>
  </si>
  <si>
    <t>Cagayan de Oro</t>
  </si>
  <si>
    <t>Cagayan Valley</t>
  </si>
  <si>
    <t>CALABARZON</t>
  </si>
  <si>
    <t>PH-CAL</t>
  </si>
  <si>
    <t>Caloocan</t>
  </si>
  <si>
    <t>CARAGA Region</t>
  </si>
  <si>
    <t>PH-CBU</t>
  </si>
  <si>
    <t>Central Luzon</t>
  </si>
  <si>
    <t>Central Visayas</t>
  </si>
  <si>
    <t>Cordillera Administrative Region</t>
  </si>
  <si>
    <t>PH-COT</t>
  </si>
  <si>
    <t>PH-DAG</t>
  </si>
  <si>
    <t>Dagupan</t>
  </si>
  <si>
    <t>PH-DVO</t>
  </si>
  <si>
    <t>Davao</t>
  </si>
  <si>
    <t>Eastern Visayas</t>
  </si>
  <si>
    <t>PH-GNS</t>
  </si>
  <si>
    <t>General Santos</t>
  </si>
  <si>
    <t>PH-ILG</t>
  </si>
  <si>
    <t>Iligan</t>
  </si>
  <si>
    <t>Ilocos</t>
  </si>
  <si>
    <t>PH-ILO</t>
  </si>
  <si>
    <t>PH-LAP</t>
  </si>
  <si>
    <t>Lapu-Lapu</t>
  </si>
  <si>
    <t>PH-ILP</t>
  </si>
  <si>
    <t>Las Piñas</t>
  </si>
  <si>
    <t>PH-LUC</t>
  </si>
  <si>
    <t>Lucena</t>
  </si>
  <si>
    <t>PH-MAK</t>
  </si>
  <si>
    <t>Makati</t>
  </si>
  <si>
    <t>PH-MAL</t>
  </si>
  <si>
    <t>Malabon</t>
  </si>
  <si>
    <t>PH-MDY</t>
  </si>
  <si>
    <t>Mandaluyong</t>
  </si>
  <si>
    <t>PH-MDU</t>
  </si>
  <si>
    <t>Mandaue</t>
  </si>
  <si>
    <t>PH-MAN</t>
  </si>
  <si>
    <t>Manila</t>
  </si>
  <si>
    <t>PH-MAR</t>
  </si>
  <si>
    <t>Marikina</t>
  </si>
  <si>
    <t>MIMAROPA</t>
  </si>
  <si>
    <t>Mountain</t>
  </si>
  <si>
    <t>PH-MUN</t>
  </si>
  <si>
    <t>Muntinlupa</t>
  </si>
  <si>
    <t>PH-NAG</t>
  </si>
  <si>
    <t>Naga</t>
  </si>
  <si>
    <t>PH-NAV</t>
  </si>
  <si>
    <t>Navotas</t>
  </si>
  <si>
    <t>Northern Mindanao</t>
  </si>
  <si>
    <t>Occidental Mindoro</t>
  </si>
  <si>
    <t>PH-OLG</t>
  </si>
  <si>
    <t>Olongapo</t>
  </si>
  <si>
    <t>Oriental Mindoro</t>
  </si>
  <si>
    <t>PH-ORM</t>
  </si>
  <si>
    <t>Ormoc</t>
  </si>
  <si>
    <t>PH-PAR</t>
  </si>
  <si>
    <t>Parañaque</t>
  </si>
  <si>
    <t>PH-PAS</t>
  </si>
  <si>
    <t>Pasay</t>
  </si>
  <si>
    <t>PH-PSG</t>
  </si>
  <si>
    <t>Pasig</t>
  </si>
  <si>
    <t>PH-PPR</t>
  </si>
  <si>
    <t>Puerto Princesa</t>
  </si>
  <si>
    <t>PH-QZN</t>
  </si>
  <si>
    <t>PH-SNJ</t>
  </si>
  <si>
    <t>PH-SAN</t>
  </si>
  <si>
    <t>SOCCSKSARGEN Region</t>
  </si>
  <si>
    <t>PH-TAC</t>
  </si>
  <si>
    <t>Tacloban</t>
  </si>
  <si>
    <t>PH-TAG</t>
  </si>
  <si>
    <t>Taguig</t>
  </si>
  <si>
    <t>PH-VAL</t>
  </si>
  <si>
    <t>Valenzuela</t>
  </si>
  <si>
    <t>Western Visayas</t>
  </si>
  <si>
    <t>PH-ZAM</t>
  </si>
  <si>
    <t>Zamboanga</t>
  </si>
  <si>
    <t>Zamboanga Peninsula</t>
  </si>
  <si>
    <t>Kujawsko-Pomorskie</t>
  </si>
  <si>
    <t>Warmińsko-Mazurskie</t>
  </si>
  <si>
    <t>Azores</t>
  </si>
  <si>
    <t>Madeira</t>
  </si>
  <si>
    <t>Az̧ Z̧a‘āyin</t>
  </si>
  <si>
    <t>Adygeya</t>
  </si>
  <si>
    <t>Altay</t>
  </si>
  <si>
    <t>Altayskiy Kray</t>
  </si>
  <si>
    <t>Amurskaya Oblast’</t>
  </si>
  <si>
    <t>Arkhangel’skaya Oblast’</t>
  </si>
  <si>
    <t>Astrakhanskaya Oblast’</t>
  </si>
  <si>
    <t>Bashkortostan</t>
  </si>
  <si>
    <t>Belgorodskaya Oblast’</t>
  </si>
  <si>
    <t>Bryanskaya Oblast’</t>
  </si>
  <si>
    <t>Buryatiya</t>
  </si>
  <si>
    <t>Chechnya</t>
  </si>
  <si>
    <t>Chelyabinskaya Oblast’</t>
  </si>
  <si>
    <t>Chukotskiy Avtonomnyy Okrug</t>
  </si>
  <si>
    <t>Chuvashiya</t>
  </si>
  <si>
    <t>Dagestan</t>
  </si>
  <si>
    <t>Ingushetiya</t>
  </si>
  <si>
    <t>Irkutskaya Oblast’</t>
  </si>
  <si>
    <t>Ivanovskaya Oblast’</t>
  </si>
  <si>
    <t>Kabardino-Balkariya</t>
  </si>
  <si>
    <t>Kaliningradskaya Oblast’</t>
  </si>
  <si>
    <t>Kalmykiya</t>
  </si>
  <si>
    <t>Kaluzhskaya Oblast’</t>
  </si>
  <si>
    <t>Kamchatskiy Kray</t>
  </si>
  <si>
    <t>Karachayevo-Cherkesiya</t>
  </si>
  <si>
    <t>Kareliya</t>
  </si>
  <si>
    <t>Kemerovskaya Oblast’</t>
  </si>
  <si>
    <t>Khabarovskiy Kray</t>
  </si>
  <si>
    <t>Khakasiya</t>
  </si>
  <si>
    <t>Khanty-Mansiyskiy Avtonomnyy Okrug-Yugra</t>
  </si>
  <si>
    <t>Kirovskaya Oblast’</t>
  </si>
  <si>
    <t>Komi</t>
  </si>
  <si>
    <t>Kostromskaya Oblast’</t>
  </si>
  <si>
    <t>Krasnodarskiy Kray</t>
  </si>
  <si>
    <t>Krasnoyarskiy Kray</t>
  </si>
  <si>
    <t>Kurganskaya Oblast’</t>
  </si>
  <si>
    <t>Kurskaya Oblast’</t>
  </si>
  <si>
    <t>Leningradskaya Oblast’</t>
  </si>
  <si>
    <t>Lipetskaya Oblast’</t>
  </si>
  <si>
    <t>Magadanskaya Oblast’</t>
  </si>
  <si>
    <t>Mariy-El</t>
  </si>
  <si>
    <t>Mordoviya</t>
  </si>
  <si>
    <t>Moskovskaya Oblast’</t>
  </si>
  <si>
    <t>Murmanskaya Oblast’</t>
  </si>
  <si>
    <t>Nenetskiy Avtonomnyy Okrug</t>
  </si>
  <si>
    <t>Nizhegorodskaya Oblast’</t>
  </si>
  <si>
    <t>North Ossetia</t>
  </si>
  <si>
    <t>Novgorodskaya Oblast’</t>
  </si>
  <si>
    <t>Novosibirskaya Oblast’</t>
  </si>
  <si>
    <t>Omskaya Oblast’</t>
  </si>
  <si>
    <t>Orenburgskaya Oblast’</t>
  </si>
  <si>
    <t>Orlovskaya Oblast’</t>
  </si>
  <si>
    <t>Penzenskaya Oblast’</t>
  </si>
  <si>
    <t>Permskiy Kray</t>
  </si>
  <si>
    <t>Primorskiy Kray</t>
  </si>
  <si>
    <t>Pskovskaya Oblast’</t>
  </si>
  <si>
    <t>Rostovskaya Oblast’</t>
  </si>
  <si>
    <t>Ryazanskaya Oblast’</t>
  </si>
  <si>
    <t>Sakha (Yakutiya)</t>
  </si>
  <si>
    <t>Sakhalinskaya Oblast’</t>
  </si>
  <si>
    <t>Samarskaya Oblast’</t>
  </si>
  <si>
    <t>Saratovskaya Oblast’</t>
  </si>
  <si>
    <t>Smolenskaya Oblast’</t>
  </si>
  <si>
    <t>Stavropol’skiy Kray</t>
  </si>
  <si>
    <t>Sverdlovskaya Oblast’</t>
  </si>
  <si>
    <t>Tambovskaya Oblast’</t>
  </si>
  <si>
    <t>Tatarstan</t>
  </si>
  <si>
    <t>Tomskaya Oblast’</t>
  </si>
  <si>
    <t>Tul’skaya Oblast’</t>
  </si>
  <si>
    <t>Tverskaya Oblast’</t>
  </si>
  <si>
    <t>Tyumenskaya Oblast’</t>
  </si>
  <si>
    <t>Tyva</t>
  </si>
  <si>
    <t>Udmurtiya</t>
  </si>
  <si>
    <t>Ul’yanovskaya Oblast’</t>
  </si>
  <si>
    <t>Vladimirskaya Oblast’</t>
  </si>
  <si>
    <t>Volgogradskaya Oblast’</t>
  </si>
  <si>
    <t>Vologodskaya Oblast’</t>
  </si>
  <si>
    <t>Voronezhskaya Oblast’</t>
  </si>
  <si>
    <t>Yamalo-Nenetskiy Avtonomnyy Okrug</t>
  </si>
  <si>
    <t>Yaroslavskaya Oblast’</t>
  </si>
  <si>
    <t>Yevreyskaya Avtonomnaya Oblast’</t>
  </si>
  <si>
    <t>Zabaykal’skiy Kray</t>
  </si>
  <si>
    <t>Eastern Province</t>
  </si>
  <si>
    <t>Kigali</t>
  </si>
  <si>
    <t>Northern Province</t>
  </si>
  <si>
    <t>Southern Province</t>
  </si>
  <si>
    <t>Western Province</t>
  </si>
  <si>
    <t>administrative area</t>
  </si>
  <si>
    <t>Saint John Capesterre</t>
  </si>
  <si>
    <t>Saint Paul Capesterre</t>
  </si>
  <si>
    <t>Anse-la-Raye</t>
  </si>
  <si>
    <t>LC-12</t>
  </si>
  <si>
    <t>Canaries</t>
  </si>
  <si>
    <t>Gros-Islet</t>
  </si>
  <si>
    <t>Vieux-Fort</t>
  </si>
  <si>
    <t>A‘ana</t>
  </si>
  <si>
    <t>Fa‘asaleleaga</t>
  </si>
  <si>
    <t>Gaga‘emauga</t>
  </si>
  <si>
    <t>Satupa‘itea</t>
  </si>
  <si>
    <t>Va‘a-o-Fonoti</t>
  </si>
  <si>
    <t>San Marino Città</t>
  </si>
  <si>
    <t>Al Madīnah al Munawwarah</t>
  </si>
  <si>
    <t>‘Asīr</t>
  </si>
  <si>
    <t>Ḩā’il</t>
  </si>
  <si>
    <t>Jāzān</t>
  </si>
  <si>
    <t>Makkah al Mukarramah</t>
  </si>
  <si>
    <t>RS-30</t>
  </si>
  <si>
    <t>Ada</t>
  </si>
  <si>
    <t>RS-31</t>
  </si>
  <si>
    <t>Aleksandrovac</t>
  </si>
  <si>
    <t>RS-32</t>
  </si>
  <si>
    <t>Aleksinac</t>
  </si>
  <si>
    <t>RS-33</t>
  </si>
  <si>
    <t>Alibunar</t>
  </si>
  <si>
    <t>RS-34</t>
  </si>
  <si>
    <t>Apatin</t>
  </si>
  <si>
    <t>RS-35</t>
  </si>
  <si>
    <t>Aranđelovac</t>
  </si>
  <si>
    <t>RS-36</t>
  </si>
  <si>
    <t>Arilje</t>
  </si>
  <si>
    <t>RS-37</t>
  </si>
  <si>
    <t>Babušnica</t>
  </si>
  <si>
    <t>RS-38</t>
  </si>
  <si>
    <t>Bač</t>
  </si>
  <si>
    <t>RS-39</t>
  </si>
  <si>
    <t>Bačka Palanka</t>
  </si>
  <si>
    <t>RS-40</t>
  </si>
  <si>
    <t>Bačka Topola</t>
  </si>
  <si>
    <t>RS-41</t>
  </si>
  <si>
    <t>Bački Petrovac</t>
  </si>
  <si>
    <t>RS-42</t>
  </si>
  <si>
    <t>Bajina Bašta</t>
  </si>
  <si>
    <t>RS-43</t>
  </si>
  <si>
    <t>Batočina</t>
  </si>
  <si>
    <t>RS-44</t>
  </si>
  <si>
    <t>Bečej</t>
  </si>
  <si>
    <t>RS-45</t>
  </si>
  <si>
    <t>Bela Crkva</t>
  </si>
  <si>
    <t>RS-46</t>
  </si>
  <si>
    <t>Bela Palanka</t>
  </si>
  <si>
    <t>RS-47</t>
  </si>
  <si>
    <t xml:space="preserve">Beočin </t>
  </si>
  <si>
    <t>RS-48</t>
  </si>
  <si>
    <t>Blace</t>
  </si>
  <si>
    <t>RS-49</t>
  </si>
  <si>
    <t>Bogatić</t>
  </si>
  <si>
    <t>RS-50</t>
  </si>
  <si>
    <t>Bojnik</t>
  </si>
  <si>
    <t>RS-51</t>
  </si>
  <si>
    <t>Boljevac</t>
  </si>
  <si>
    <t>RS-52</t>
  </si>
  <si>
    <t>Bor</t>
  </si>
  <si>
    <t>Borski Okrug</t>
  </si>
  <si>
    <t>RS-53</t>
  </si>
  <si>
    <t>Bosilegrad</t>
  </si>
  <si>
    <t>Braničevski Okrug</t>
  </si>
  <si>
    <t>RS-54</t>
  </si>
  <si>
    <t>Brus</t>
  </si>
  <si>
    <t>RS-55</t>
  </si>
  <si>
    <t>Bujanovac</t>
  </si>
  <si>
    <t>RS-56</t>
  </si>
  <si>
    <t>Čačak</t>
  </si>
  <si>
    <t>RS-57</t>
  </si>
  <si>
    <t>Čajetina</t>
  </si>
  <si>
    <t>RS-58</t>
  </si>
  <si>
    <t>Ćićevac</t>
  </si>
  <si>
    <t>RS-59</t>
  </si>
  <si>
    <t>Čoka</t>
  </si>
  <si>
    <t>RS-60</t>
  </si>
  <si>
    <t>Crna Trava</t>
  </si>
  <si>
    <t>RS-61</t>
  </si>
  <si>
    <t>Ćuprija</t>
  </si>
  <si>
    <t>RS-62</t>
  </si>
  <si>
    <t>Despotovac</t>
  </si>
  <si>
    <t>RS-63</t>
  </si>
  <si>
    <t>Dimitrovgrad</t>
  </si>
  <si>
    <t>RS-64</t>
  </si>
  <si>
    <t>Doljevac</t>
  </si>
  <si>
    <t>RS-65</t>
  </si>
  <si>
    <t>Gadžin Han</t>
  </si>
  <si>
    <t>RS-66</t>
  </si>
  <si>
    <t>Golubac</t>
  </si>
  <si>
    <t>RS-67</t>
  </si>
  <si>
    <t>Gornji Milanovac</t>
  </si>
  <si>
    <t>RS-68</t>
  </si>
  <si>
    <t>Inđija</t>
  </si>
  <si>
    <t>RS-69</t>
  </si>
  <si>
    <t>Irig</t>
  </si>
  <si>
    <t>RS-70</t>
  </si>
  <si>
    <t>Ivanjica</t>
  </si>
  <si>
    <t>Jablanički Okrug</t>
  </si>
  <si>
    <t>RS-71</t>
  </si>
  <si>
    <t>Jagodina</t>
  </si>
  <si>
    <t>Južno Bački Okrug</t>
  </si>
  <si>
    <t>Južno Banatski Okrug</t>
  </si>
  <si>
    <t>RS-72</t>
  </si>
  <si>
    <t>Kanjiža</t>
  </si>
  <si>
    <t>RS-73</t>
  </si>
  <si>
    <t>Kikinda</t>
  </si>
  <si>
    <t>RS-74</t>
  </si>
  <si>
    <t>Kladovo</t>
  </si>
  <si>
    <t>RS-75</t>
  </si>
  <si>
    <t>Knić</t>
  </si>
  <si>
    <t>RS-76</t>
  </si>
  <si>
    <t>Knjaževac</t>
  </si>
  <si>
    <t>RS-77</t>
  </si>
  <si>
    <t>Koceljeva</t>
  </si>
  <si>
    <t>Kolubarski Okrug</t>
  </si>
  <si>
    <t>RS-78</t>
  </si>
  <si>
    <t>Kosjerić</t>
  </si>
  <si>
    <t>RS-79</t>
  </si>
  <si>
    <t>Kovačica</t>
  </si>
  <si>
    <t>RS-80</t>
  </si>
  <si>
    <t>Kovin</t>
  </si>
  <si>
    <t>RS-81</t>
  </si>
  <si>
    <t>Kragujevac</t>
  </si>
  <si>
    <t>RS-82</t>
  </si>
  <si>
    <t>Kraljevo</t>
  </si>
  <si>
    <t>RS-83</t>
  </si>
  <si>
    <t>Krupanj</t>
  </si>
  <si>
    <t>RS-84</t>
  </si>
  <si>
    <t>Kruševac</t>
  </si>
  <si>
    <t>RS-85</t>
  </si>
  <si>
    <t>Kučevo</t>
  </si>
  <si>
    <t>RS-86</t>
  </si>
  <si>
    <t>Kula</t>
  </si>
  <si>
    <t>RS-87</t>
  </si>
  <si>
    <t>Kuršumlija</t>
  </si>
  <si>
    <t>RS-88</t>
  </si>
  <si>
    <t>Lajkovac</t>
  </si>
  <si>
    <t>RS-89</t>
  </si>
  <si>
    <t>Lapovo</t>
  </si>
  <si>
    <t>RS-90</t>
  </si>
  <si>
    <t>Lebane</t>
  </si>
  <si>
    <t>RS-91</t>
  </si>
  <si>
    <t>Leskovac</t>
  </si>
  <si>
    <t>RS-92</t>
  </si>
  <si>
    <t>Ljig</t>
  </si>
  <si>
    <t>RS-93</t>
  </si>
  <si>
    <t>Ljubovija</t>
  </si>
  <si>
    <t>RS-94</t>
  </si>
  <si>
    <t>Loznica</t>
  </si>
  <si>
    <t>RS-95</t>
  </si>
  <si>
    <t>Lučani</t>
  </si>
  <si>
    <t>Mačvanski Okrug</t>
  </si>
  <si>
    <t>RS-96</t>
  </si>
  <si>
    <t>Majdanpek</t>
  </si>
  <si>
    <t>RS-97</t>
  </si>
  <si>
    <t>Mali Iđoš</t>
  </si>
  <si>
    <t>RS-98</t>
  </si>
  <si>
    <t>Mali Zvornik</t>
  </si>
  <si>
    <t>RS-99</t>
  </si>
  <si>
    <t>Malo Crniće</t>
  </si>
  <si>
    <t>RS-100</t>
  </si>
  <si>
    <t>Medveđa</t>
  </si>
  <si>
    <t>RS-101</t>
  </si>
  <si>
    <t>Merošina</t>
  </si>
  <si>
    <t>RS-102</t>
  </si>
  <si>
    <t>Mionica</t>
  </si>
  <si>
    <t>Moravički Okrug</t>
  </si>
  <si>
    <t>RS-103</t>
  </si>
  <si>
    <t>Negotin</t>
  </si>
  <si>
    <t>RS-104</t>
  </si>
  <si>
    <t>Niš</t>
  </si>
  <si>
    <t>Nišavski Okrug</t>
  </si>
  <si>
    <t>RS-105</t>
  </si>
  <si>
    <t>Nova Crnja</t>
  </si>
  <si>
    <t>RS-106</t>
  </si>
  <si>
    <t>Nova Varoš</t>
  </si>
  <si>
    <t>RS-107</t>
  </si>
  <si>
    <t>Novi Bečej</t>
  </si>
  <si>
    <t>RS-108</t>
  </si>
  <si>
    <t>Novi Kneževac</t>
  </si>
  <si>
    <t>RS-109</t>
  </si>
  <si>
    <t>Novi Pazar</t>
  </si>
  <si>
    <t>RS-110</t>
  </si>
  <si>
    <t>Novi Sad</t>
  </si>
  <si>
    <t>RS-111</t>
  </si>
  <si>
    <t>Odžaci</t>
  </si>
  <si>
    <t>RS-112</t>
  </si>
  <si>
    <t>Opovo</t>
  </si>
  <si>
    <t>RS-113</t>
  </si>
  <si>
    <t>Osečina</t>
  </si>
  <si>
    <t>RS-114</t>
  </si>
  <si>
    <t>Pančevo</t>
  </si>
  <si>
    <t>RS-115</t>
  </si>
  <si>
    <t>Paraćin</t>
  </si>
  <si>
    <t>Pčinjski Okrug</t>
  </si>
  <si>
    <t>RS-116</t>
  </si>
  <si>
    <t>Pećinci</t>
  </si>
  <si>
    <t>RS-117</t>
  </si>
  <si>
    <t>Petrovac na Mlavi</t>
  </si>
  <si>
    <t>RS-118</t>
  </si>
  <si>
    <t>Pirot</t>
  </si>
  <si>
    <t>Pirotski Okrug</t>
  </si>
  <si>
    <t>RS-119</t>
  </si>
  <si>
    <t>Plandište</t>
  </si>
  <si>
    <t>Podunavski Okrug</t>
  </si>
  <si>
    <t>Pomoravski Okrug</t>
  </si>
  <si>
    <t>RS-120</t>
  </si>
  <si>
    <t>Požarevac</t>
  </si>
  <si>
    <t>RS-121</t>
  </si>
  <si>
    <t>Požega</t>
  </si>
  <si>
    <t>RS-122</t>
  </si>
  <si>
    <t>Preševo</t>
  </si>
  <si>
    <t>RS-123</t>
  </si>
  <si>
    <t>Priboj</t>
  </si>
  <si>
    <t>RS-124</t>
  </si>
  <si>
    <t>Prijepolje</t>
  </si>
  <si>
    <t>RS-125</t>
  </si>
  <si>
    <t>Prokuplje</t>
  </si>
  <si>
    <t>RS-126</t>
  </si>
  <si>
    <t>Rača</t>
  </si>
  <si>
    <t>Rasinski Okrug</t>
  </si>
  <si>
    <t>RS-127</t>
  </si>
  <si>
    <t>Raška</t>
  </si>
  <si>
    <t>Raški Okrug</t>
  </si>
  <si>
    <t>RS-128</t>
  </si>
  <si>
    <t>Ražanj</t>
  </si>
  <si>
    <t>RS-129</t>
  </si>
  <si>
    <t>Rekovac</t>
  </si>
  <si>
    <t>RS-130</t>
  </si>
  <si>
    <t>Ruma</t>
  </si>
  <si>
    <t>RS-131</t>
  </si>
  <si>
    <t>Šabac</t>
  </si>
  <si>
    <t>RS-132</t>
  </si>
  <si>
    <t>Sečanj</t>
  </si>
  <si>
    <t>RS-133</t>
  </si>
  <si>
    <t>Senta</t>
  </si>
  <si>
    <t>Severno Bački Okrug</t>
  </si>
  <si>
    <t>Severno Banatski Okrug</t>
  </si>
  <si>
    <t>RS-134</t>
  </si>
  <si>
    <t>Šid</t>
  </si>
  <si>
    <t>RS-135</t>
  </si>
  <si>
    <t>Sjenica</t>
  </si>
  <si>
    <t>RS-136</t>
  </si>
  <si>
    <t>Smederevo</t>
  </si>
  <si>
    <t>RS-137</t>
  </si>
  <si>
    <t>Smederevska Palanka</t>
  </si>
  <si>
    <t>RS-138</t>
  </si>
  <si>
    <t>Sokobanja</t>
  </si>
  <si>
    <t>RS-139</t>
  </si>
  <si>
    <t>Sombor</t>
  </si>
  <si>
    <t>RS-140</t>
  </si>
  <si>
    <t>Srbobran</t>
  </si>
  <si>
    <t>Srednje Banatski Okrug</t>
  </si>
  <si>
    <t>RS-141</t>
  </si>
  <si>
    <t>Sremska Mitrovica</t>
  </si>
  <si>
    <t>RS-142</t>
  </si>
  <si>
    <t>Sremski Karlovci</t>
  </si>
  <si>
    <t>Sremski Okrug</t>
  </si>
  <si>
    <t>RS-143</t>
  </si>
  <si>
    <t>Stara Pazova</t>
  </si>
  <si>
    <t>RS-144</t>
  </si>
  <si>
    <t>Subotica</t>
  </si>
  <si>
    <t>Šumadijski Okrug</t>
  </si>
  <si>
    <t>RS-145</t>
  </si>
  <si>
    <t>Surdulica</t>
  </si>
  <si>
    <t>RS-146</t>
  </si>
  <si>
    <t>Svilajnac</t>
  </si>
  <si>
    <t>RS-147</t>
  </si>
  <si>
    <t>Svrljig</t>
  </si>
  <si>
    <t>RS-148</t>
  </si>
  <si>
    <t>Temerin</t>
  </si>
  <si>
    <t>RS-149</t>
  </si>
  <si>
    <t>Titel</t>
  </si>
  <si>
    <t>Toplički Okrug</t>
  </si>
  <si>
    <t>RS-150</t>
  </si>
  <si>
    <t>Topola</t>
  </si>
  <si>
    <t>RS-151</t>
  </si>
  <si>
    <t>Trgovište</t>
  </si>
  <si>
    <t>RS-152</t>
  </si>
  <si>
    <t>Trstenik</t>
  </si>
  <si>
    <t>RS-153</t>
  </si>
  <si>
    <t>Tutin</t>
  </si>
  <si>
    <t>RS-154</t>
  </si>
  <si>
    <t>Ub</t>
  </si>
  <si>
    <t>RS-155</t>
  </si>
  <si>
    <t>Užice</t>
  </si>
  <si>
    <t>RS-156</t>
  </si>
  <si>
    <t>Valjevo</t>
  </si>
  <si>
    <t>RS-157</t>
  </si>
  <si>
    <t>Varvarin</t>
  </si>
  <si>
    <t>RS-158</t>
  </si>
  <si>
    <t>Velika Plana</t>
  </si>
  <si>
    <t>RS-159</t>
  </si>
  <si>
    <t>Veliko Gradište</t>
  </si>
  <si>
    <t>RS-160</t>
  </si>
  <si>
    <t>Vladičin Han</t>
  </si>
  <si>
    <t>RS-161</t>
  </si>
  <si>
    <t>Vladimirci</t>
  </si>
  <si>
    <t>RS-162</t>
  </si>
  <si>
    <t>Vlasotince</t>
  </si>
  <si>
    <t>RS-163</t>
  </si>
  <si>
    <t>Vranje</t>
  </si>
  <si>
    <t>RS-164</t>
  </si>
  <si>
    <t>Vrbas</t>
  </si>
  <si>
    <t>RS-165</t>
  </si>
  <si>
    <t>Vrnjačka Banja</t>
  </si>
  <si>
    <t>RS-166</t>
  </si>
  <si>
    <t>Vršac</t>
  </si>
  <si>
    <t>RS-167</t>
  </si>
  <si>
    <t>Žabalj</t>
  </si>
  <si>
    <t>RS-168</t>
  </si>
  <si>
    <t>Žabari</t>
  </si>
  <si>
    <t>RS-169</t>
  </si>
  <si>
    <t>Žagubica</t>
  </si>
  <si>
    <t>RS-170</t>
  </si>
  <si>
    <t>Zaječar</t>
  </si>
  <si>
    <t>Zaječarski Okrug</t>
  </si>
  <si>
    <t>Zapadno Bački Okrug</t>
  </si>
  <si>
    <t>RS-171</t>
  </si>
  <si>
    <t>Žitište</t>
  </si>
  <si>
    <t>RS-172</t>
  </si>
  <si>
    <t>Žitorađa</t>
  </si>
  <si>
    <t>Zlatiborski Okrug</t>
  </si>
  <si>
    <t>RS-173</t>
  </si>
  <si>
    <t>Zrenjanin</t>
  </si>
  <si>
    <t>Inner Islands</t>
  </si>
  <si>
    <t>Western Area</t>
  </si>
  <si>
    <t>Banskobystrický</t>
  </si>
  <si>
    <t>Bratislavský</t>
  </si>
  <si>
    <t>Košický</t>
  </si>
  <si>
    <t>Nitriansky</t>
  </si>
  <si>
    <t>Prešovský</t>
  </si>
  <si>
    <t>Trenčiansky</t>
  </si>
  <si>
    <t>Trnavský</t>
  </si>
  <si>
    <t>Žilinský</t>
  </si>
  <si>
    <t>Gorenja Vas-Poljane</t>
  </si>
  <si>
    <t>urban commune</t>
  </si>
  <si>
    <t>Kostanjevica na Krki</t>
  </si>
  <si>
    <t>SI-212</t>
  </si>
  <si>
    <t>Mirna</t>
  </si>
  <si>
    <t>SI-194</t>
  </si>
  <si>
    <t>Šmartno pri Litiji</t>
  </si>
  <si>
    <t>Sveti Jurij ob Ščavnici</t>
  </si>
  <si>
    <t>Honiara</t>
  </si>
  <si>
    <t>Makira and Ulawa</t>
  </si>
  <si>
    <t>Northern Bahr el Ghazal</t>
  </si>
  <si>
    <t>Western Bahr el Ghazal</t>
  </si>
  <si>
    <t>Andalusia</t>
  </si>
  <si>
    <t>Aragon</t>
  </si>
  <si>
    <t>Baleares</t>
  </si>
  <si>
    <t>Balearic Islands</t>
  </si>
  <si>
    <t>Basque Country</t>
  </si>
  <si>
    <t>Canary Islands</t>
  </si>
  <si>
    <t>Castille-La Mancha</t>
  </si>
  <si>
    <t>Castille-Leon</t>
  </si>
  <si>
    <t>Catalonia</t>
  </si>
  <si>
    <t>Gerona</t>
  </si>
  <si>
    <t>Lérida</t>
  </si>
  <si>
    <t>Navarre</t>
  </si>
  <si>
    <t>Ampara</t>
  </si>
  <si>
    <t>Anuradhapura</t>
  </si>
  <si>
    <t>Batticaloa</t>
  </si>
  <si>
    <t>Colombo</t>
  </si>
  <si>
    <t>Galle</t>
  </si>
  <si>
    <t>Hambantota</t>
  </si>
  <si>
    <t>Jaffna</t>
  </si>
  <si>
    <t>Kalutara</t>
  </si>
  <si>
    <t>Kandy</t>
  </si>
  <si>
    <t>Kegalla</t>
  </si>
  <si>
    <t>Kilinochchi</t>
  </si>
  <si>
    <t>Kurunegala</t>
  </si>
  <si>
    <t>Mannar</t>
  </si>
  <si>
    <t>Matale</t>
  </si>
  <si>
    <t>Matara</t>
  </si>
  <si>
    <t>Monaragala</t>
  </si>
  <si>
    <t>Mullaittivu</t>
  </si>
  <si>
    <t>North Western</t>
  </si>
  <si>
    <t>Nuwara Eliya</t>
  </si>
  <si>
    <t>Polonnaruwa</t>
  </si>
  <si>
    <t>Puttalam</t>
  </si>
  <si>
    <t>Sabaragamuwa</t>
  </si>
  <si>
    <t>Trincomalee</t>
  </si>
  <si>
    <t>Uva</t>
  </si>
  <si>
    <t>Vavuniya</t>
  </si>
  <si>
    <t>Al Qaḑārif</t>
  </si>
  <si>
    <t>An Nīl al Abyaḑ</t>
  </si>
  <si>
    <t>Ash Shimālīyah</t>
  </si>
  <si>
    <t>SD-KW</t>
  </si>
  <si>
    <t>Gharb Kurdufān</t>
  </si>
  <si>
    <t>Nahr an Nīl</t>
  </si>
  <si>
    <t>Shimāl Dārfūr</t>
  </si>
  <si>
    <t>Shimāl Kurdufān</t>
  </si>
  <si>
    <t>Wasaţ Dārfūr</t>
  </si>
  <si>
    <t>Blekinge</t>
  </si>
  <si>
    <t>Dalarna</t>
  </si>
  <si>
    <t>Gävleborg</t>
  </si>
  <si>
    <t>Gotland</t>
  </si>
  <si>
    <t>Halland</t>
  </si>
  <si>
    <t>Jämtland</t>
  </si>
  <si>
    <t>Jönköping</t>
  </si>
  <si>
    <t>Kalmar</t>
  </si>
  <si>
    <t>Kronoberg</t>
  </si>
  <si>
    <t>Norrbotten</t>
  </si>
  <si>
    <t>Örebro</t>
  </si>
  <si>
    <t>Östergötland</t>
  </si>
  <si>
    <t>Skåne</t>
  </si>
  <si>
    <t>Södermanland</t>
  </si>
  <si>
    <t>Stockholm</t>
  </si>
  <si>
    <t>Uppsala</t>
  </si>
  <si>
    <t>Värmland</t>
  </si>
  <si>
    <t>Västerbotten</t>
  </si>
  <si>
    <t>Västernorrland</t>
  </si>
  <si>
    <t>Västmanland</t>
  </si>
  <si>
    <t>Västra Götaland</t>
  </si>
  <si>
    <t>As Suwaydā’</t>
  </si>
  <si>
    <t>Dar‘ā</t>
  </si>
  <si>
    <t>TW-KIN</t>
  </si>
  <si>
    <t>Kinmen</t>
  </si>
  <si>
    <t>TW-LIE</t>
  </si>
  <si>
    <t>Lienchiang</t>
  </si>
  <si>
    <t>New Taipei</t>
  </si>
  <si>
    <t>Yilan</t>
  </si>
  <si>
    <t>TJ-DU</t>
  </si>
  <si>
    <t>Dushanbe</t>
  </si>
  <si>
    <t>capital region</t>
  </si>
  <si>
    <t>TJ-NO</t>
  </si>
  <si>
    <t>Nohiyahoi Tobei Jumhurí</t>
  </si>
  <si>
    <t>TZ-27</t>
  </si>
  <si>
    <t>Geita</t>
  </si>
  <si>
    <t>TZ-28</t>
  </si>
  <si>
    <t>Katavi</t>
  </si>
  <si>
    <t>TZ-29</t>
  </si>
  <si>
    <t>Njombe</t>
  </si>
  <si>
    <t>TZ-30</t>
  </si>
  <si>
    <t>Simiyu</t>
  </si>
  <si>
    <t>Zanzibar Central/South</t>
  </si>
  <si>
    <t>Zanzibar Urban/West</t>
  </si>
  <si>
    <t>TH-38</t>
  </si>
  <si>
    <t>Bueng Kan</t>
  </si>
  <si>
    <t>Buriram</t>
  </si>
  <si>
    <t>Krung Thep</t>
  </si>
  <si>
    <t>Nong Bua Lamphu</t>
  </si>
  <si>
    <t>Sara Buri</t>
  </si>
  <si>
    <t>Sisaket</t>
  </si>
  <si>
    <t>Liquiçá</t>
  </si>
  <si>
    <t>Oecussi-Ambeno</t>
  </si>
  <si>
    <t>Centrale</t>
  </si>
  <si>
    <t>Maritime</t>
  </si>
  <si>
    <t>‘Eua</t>
  </si>
  <si>
    <t>Ha‘apai</t>
  </si>
  <si>
    <t>Ongo Niua</t>
  </si>
  <si>
    <t>Vava‘u</t>
  </si>
  <si>
    <t>Couva/Tabaquite/Talparo</t>
  </si>
  <si>
    <t>Mayaro/Rio Claro</t>
  </si>
  <si>
    <t>Penal/Debe</t>
  </si>
  <si>
    <t>San Juan/Laventille</t>
  </si>
  <si>
    <t>TT-TOB</t>
  </si>
  <si>
    <t>Tobago</t>
  </si>
  <si>
    <t>ward</t>
  </si>
  <si>
    <t>Tunapuna/Piarco</t>
  </si>
  <si>
    <t>Kébili</t>
  </si>
  <si>
    <t>Kef</t>
  </si>
  <si>
    <t>L’Ariana</t>
  </si>
  <si>
    <t>Manouba</t>
  </si>
  <si>
    <t>Médenine</t>
  </si>
  <si>
    <t>Nanumaga</t>
  </si>
  <si>
    <t>TV-NUI</t>
  </si>
  <si>
    <t>UG-322</t>
  </si>
  <si>
    <t>Agago</t>
  </si>
  <si>
    <t xml:space="preserve">district </t>
  </si>
  <si>
    <t>UG-323</t>
  </si>
  <si>
    <t>Alebtong</t>
  </si>
  <si>
    <t>UG-324</t>
  </si>
  <si>
    <t>Amudat</t>
  </si>
  <si>
    <t>UG-325</t>
  </si>
  <si>
    <t>Buhweju</t>
  </si>
  <si>
    <t>UG-117</t>
  </si>
  <si>
    <t>Buikwe</t>
  </si>
  <si>
    <t>UG-118</t>
  </si>
  <si>
    <t>Bukomansimbi</t>
  </si>
  <si>
    <t>UG-225</t>
  </si>
  <si>
    <t>Bulambuli</t>
  </si>
  <si>
    <t>UG-119</t>
  </si>
  <si>
    <t>Butambala</t>
  </si>
  <si>
    <t>UG-120</t>
  </si>
  <si>
    <t>Buvuma</t>
  </si>
  <si>
    <t>UG-226</t>
  </si>
  <si>
    <t>Buyende</t>
  </si>
  <si>
    <t>UG-121</t>
  </si>
  <si>
    <t>Gomba</t>
  </si>
  <si>
    <t>UG-122</t>
  </si>
  <si>
    <t>Kalungu</t>
  </si>
  <si>
    <t>UG-227</t>
  </si>
  <si>
    <t>Kibuku</t>
  </si>
  <si>
    <t>UG-420</t>
  </si>
  <si>
    <t>Kiryandongo</t>
  </si>
  <si>
    <t>UG-326</t>
  </si>
  <si>
    <t>Kole</t>
  </si>
  <si>
    <t>UG-228</t>
  </si>
  <si>
    <t>Kween</t>
  </si>
  <si>
    <t>UG-123</t>
  </si>
  <si>
    <t>Kyankwanzi</t>
  </si>
  <si>
    <t>UG-421</t>
  </si>
  <si>
    <t>Kyegegwa</t>
  </si>
  <si>
    <t>UG-327</t>
  </si>
  <si>
    <t>Lamwo</t>
  </si>
  <si>
    <t>UG-229</t>
  </si>
  <si>
    <t>Luuka</t>
  </si>
  <si>
    <t>UG-124</t>
  </si>
  <si>
    <t>Lwengo</t>
  </si>
  <si>
    <t>UG-422</t>
  </si>
  <si>
    <t>Mitooma</t>
  </si>
  <si>
    <t>UG-230</t>
  </si>
  <si>
    <t>Namayingo</t>
  </si>
  <si>
    <t>UG-328</t>
  </si>
  <si>
    <t>Napak</t>
  </si>
  <si>
    <t>UG-231</t>
  </si>
  <si>
    <t>Ngora</t>
  </si>
  <si>
    <t>UG-423</t>
  </si>
  <si>
    <t>Ntoroko</t>
  </si>
  <si>
    <t>UG-329</t>
  </si>
  <si>
    <t>Nwoya</t>
  </si>
  <si>
    <t>UG-330</t>
  </si>
  <si>
    <t>Otuke</t>
  </si>
  <si>
    <t>UG-424</t>
  </si>
  <si>
    <t>Rubirizi</t>
  </si>
  <si>
    <t>UG-232</t>
  </si>
  <si>
    <t>Serere</t>
  </si>
  <si>
    <t>UG-425</t>
  </si>
  <si>
    <t>Sheema</t>
  </si>
  <si>
    <t>UG-331</t>
  </si>
  <si>
    <t>Zombo</t>
  </si>
  <si>
    <t>Cherkas’ka Oblast’</t>
  </si>
  <si>
    <t>Chernihivs’ka Oblast’</t>
  </si>
  <si>
    <t>Chernivets’ka Oblast’</t>
  </si>
  <si>
    <t>Dnipropetrovs’ka Oblast’</t>
  </si>
  <si>
    <t>Donets’ka Oblast’</t>
  </si>
  <si>
    <t>Ivano-Frankivs’ka Oblast’</t>
  </si>
  <si>
    <t>Kharkivs’ka Oblast’</t>
  </si>
  <si>
    <t>Khersons’ka Oblast’</t>
  </si>
  <si>
    <t>Khmel’nyts’ka Oblast’</t>
  </si>
  <si>
    <t>Kirovohrads’ka Oblast’</t>
  </si>
  <si>
    <t>Krym, Avtonomna Respublika</t>
  </si>
  <si>
    <t>Kyyiv, Misto</t>
  </si>
  <si>
    <t>Kyyivs’ka Oblast’</t>
  </si>
  <si>
    <t>Luhans’ka Oblast’</t>
  </si>
  <si>
    <t>L’vivs’ka Oblast’</t>
  </si>
  <si>
    <t>Mykolayivs’ka Oblast’</t>
  </si>
  <si>
    <t>Odes’ka Oblast’</t>
  </si>
  <si>
    <t>Poltavs’ka Oblast’</t>
  </si>
  <si>
    <t>Rivnens’ka Oblast’</t>
  </si>
  <si>
    <t>Sevastopol’, Misto</t>
  </si>
  <si>
    <t>Sums’ka Oblast’</t>
  </si>
  <si>
    <t>Ternopil’s’ka Oblast’</t>
  </si>
  <si>
    <t>Vinnyts’ka Oblast’</t>
  </si>
  <si>
    <t>Volyns’ka Oblast’</t>
  </si>
  <si>
    <t>Zakarpats’ka Oblast’</t>
  </si>
  <si>
    <t>Zaporiz’ka Oblast’</t>
  </si>
  <si>
    <t>Zhytomyrs’ka Oblast’</t>
  </si>
  <si>
    <t>‘Ajmān</t>
  </si>
  <si>
    <t>Ra’s al Khaymah</t>
  </si>
  <si>
    <t>Dungannon and South Tyrone</t>
  </si>
  <si>
    <t>GB-IOS</t>
  </si>
  <si>
    <t>Isles of Scilly</t>
  </si>
  <si>
    <t>Kingston upon Hull, City of</t>
  </si>
  <si>
    <t>Rhondda Cynon Taff</t>
  </si>
  <si>
    <t>Farg‘ona</t>
  </si>
  <si>
    <t>Qoraqalpog‘iston</t>
  </si>
  <si>
    <t>Penama</t>
  </si>
  <si>
    <t>Shefa</t>
  </si>
  <si>
    <t>Tafea</t>
  </si>
  <si>
    <t>Bắc Giang</t>
  </si>
  <si>
    <t>Bắc Kạn</t>
  </si>
  <si>
    <t>Bạc Liêu</t>
  </si>
  <si>
    <t>Bắc Ninh</t>
  </si>
  <si>
    <t>Bà Rịa-Vũng Tàu</t>
  </si>
  <si>
    <t>Bến Tre</t>
  </si>
  <si>
    <t>Bình Định</t>
  </si>
  <si>
    <t>Bình Dương</t>
  </si>
  <si>
    <t>Bình Phước</t>
  </si>
  <si>
    <t>Bình Thuận</t>
  </si>
  <si>
    <t>Cà Mau</t>
  </si>
  <si>
    <t>Cần Thơ</t>
  </si>
  <si>
    <t>Cao Bằng</t>
  </si>
  <si>
    <t>Đắk Lắk</t>
  </si>
  <si>
    <t>Đắk Nông</t>
  </si>
  <si>
    <t>Đà Nẵng</t>
  </si>
  <si>
    <t>Điện Biên</t>
  </si>
  <si>
    <t>Đồng Nai</t>
  </si>
  <si>
    <t>Đồng Tháp</t>
  </si>
  <si>
    <t>Hà Giang</t>
  </si>
  <si>
    <t>Hải Dương</t>
  </si>
  <si>
    <t>Hải Phòng</t>
  </si>
  <si>
    <t>Hà Nam</t>
  </si>
  <si>
    <t>Hà Nội</t>
  </si>
  <si>
    <t>Hà Tĩnh</t>
  </si>
  <si>
    <t>Hậu Giang</t>
  </si>
  <si>
    <t>Hòa Bình</t>
  </si>
  <si>
    <t>Hồ Chí Minh</t>
  </si>
  <si>
    <t>Hưng Yên</t>
  </si>
  <si>
    <t>Khánh Hòa</t>
  </si>
  <si>
    <t>Kiến Giang</t>
  </si>
  <si>
    <t>Lai Châu</t>
  </si>
  <si>
    <t>Lâm Đồng</t>
  </si>
  <si>
    <t>Lạng Sơn</t>
  </si>
  <si>
    <t>Lào Cai</t>
  </si>
  <si>
    <t>Nam Định</t>
  </si>
  <si>
    <t>Nghệ An</t>
  </si>
  <si>
    <t>Ninh Bình</t>
  </si>
  <si>
    <t>Ninh Thuận</t>
  </si>
  <si>
    <t>Phú Thọ</t>
  </si>
  <si>
    <t>Phú Yên</t>
  </si>
  <si>
    <t>Quảng Bình</t>
  </si>
  <si>
    <t>Quảng Nam</t>
  </si>
  <si>
    <t>Quảng Ngãi</t>
  </si>
  <si>
    <t>Quảng Ninh</t>
  </si>
  <si>
    <t>Quảng Trị</t>
  </si>
  <si>
    <t>Sóc Trăng</t>
  </si>
  <si>
    <t>Sơn La</t>
  </si>
  <si>
    <t>Tây Ninh</t>
  </si>
  <si>
    <t>Thái Bình</t>
  </si>
  <si>
    <t>Thái Nguyên</t>
  </si>
  <si>
    <t>Thanh Hóa</t>
  </si>
  <si>
    <t>Thừa Thiên-Huế</t>
  </si>
  <si>
    <t>Tiền Giang</t>
  </si>
  <si>
    <t>Trà Vinh</t>
  </si>
  <si>
    <t>Tuyên Quang</t>
  </si>
  <si>
    <t>Vĩnh Long</t>
  </si>
  <si>
    <t>Vĩnh Phúc</t>
  </si>
  <si>
    <t>Yên Bái</t>
  </si>
  <si>
    <t>Abyan</t>
  </si>
  <si>
    <t>‘Adan</t>
  </si>
  <si>
    <t>Aḑ Ḑāli‘</t>
  </si>
  <si>
    <t>Al Bayḑā’</t>
  </si>
  <si>
    <t>Amānat al ‘Āşimah</t>
  </si>
  <si>
    <t>‘Amrān</t>
  </si>
  <si>
    <t>YE-SU</t>
  </si>
  <si>
    <t>Arkhabīl Suquţrá</t>
  </si>
  <si>
    <t>Ma’rib</t>
  </si>
  <si>
    <t>Şa‘dah</t>
  </si>
  <si>
    <t>Şan‘ā’</t>
  </si>
  <si>
    <t>Ta‘izz</t>
  </si>
  <si>
    <t>ZM-10</t>
  </si>
  <si>
    <t>Muchinga</t>
  </si>
  <si>
    <t>CONGO (KINSHASHA)</t>
  </si>
  <si>
    <t>Row</t>
  </si>
  <si>
    <t>Geopolitical Entity</t>
  </si>
  <si>
    <t>GENC</t>
  </si>
  <si>
    <t>ISO 3166-2</t>
  </si>
  <si>
    <t>Worksheet</t>
  </si>
  <si>
    <t>Explanation</t>
  </si>
  <si>
    <t>NCIt GENC data</t>
  </si>
  <si>
    <t>ISO-3166</t>
  </si>
  <si>
    <t>Country Comparison</t>
  </si>
  <si>
    <t>ISO 3166-2 NCImeta</t>
  </si>
  <si>
    <t>Original GENC Administrative Subdivision</t>
  </si>
  <si>
    <t>The GENC subset of data for countries, including the NCIt code, 2 letter GENC  code, 3 letter GENC code and GENC country code</t>
  </si>
  <si>
    <t>ISO 3166 data</t>
  </si>
  <si>
    <t>A comparison between ISO 3166 and GENC v3</t>
  </si>
  <si>
    <t>The GENC v3 data from https://www.fgdc.gov/standards/news/GENC</t>
  </si>
  <si>
    <t>The ISO 3166-2 data inserted into the NCI metathesaurus</t>
  </si>
  <si>
    <t>A comparison between ISO 3166-2 and GENC v3 administrative subdivisions; these were lined up on the 6 character code.</t>
  </si>
  <si>
    <t>Administrative Subdivision Comparison*</t>
  </si>
  <si>
    <r>
      <t xml:space="preserve">*Many of the </t>
    </r>
    <r>
      <rPr>
        <sz val="10"/>
        <color rgb="FFFF0000"/>
        <rFont val="Arial"/>
        <family val="2"/>
      </rPr>
      <t>FALSEs</t>
    </r>
    <r>
      <rPr>
        <sz val="10"/>
        <rFont val="Arial"/>
        <family val="2"/>
      </rPr>
      <t xml:space="preserve"> were generated due to transliterative differences in the Preferred Name, and the propensity of ISO 3166-2 to have multiple Preferred Names per division. Additionally, there is a difference betweeen the assigned subdivision categories. Cells shaded pink are duplicate 6 character codes.</t>
    </r>
  </si>
  <si>
    <t>Comparison</t>
  </si>
  <si>
    <t>ISO 3166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</si>
</sst>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"/>
  </numFmts>
  <fonts count="19" x14ac:knownFonts="1">
    <font>
      <sz val="10"/>
      <name val="Arial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3" tint="0.39997558519241921"/>
      <name val="Arial"/>
      <family val="2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b/>
      <sz val="10"/>
      <color rgb="FF0000CC"/>
      <name val="Arial"/>
      <family val="2"/>
    </font>
    <font>
      <b/>
      <sz val="10"/>
      <name val="Arial"/>
      <family val="2"/>
    </font>
    <font>
      <b/>
      <sz val="10"/>
      <color rgb="FF00206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i/>
      <sz val="10"/>
      <color rgb="FF0000CC"/>
      <name val="Arial"/>
      <family val="2"/>
    </font>
    <font>
      <b/>
      <sz val="10"/>
      <color theme="1"/>
      <name val="Arial"/>
      <family val="2"/>
    </font>
    <font>
      <sz val="10"/>
      <color rgb="FFDCDCDC"/>
      <name val="Arial"/>
      <family val="2"/>
    </font>
    <font>
      <sz val="11"/>
      <color rgb="FFFA7D00"/>
      <name val="Calibri"/>
      <family val="2"/>
      <scheme val="minor"/>
    </font>
    <font>
      <b/>
      <sz val="10"/>
      <color rgb="FF0070C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3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15" fillId="0" borderId="30" applyNumberFormat="0" applyFill="0" applyAlignment="0" applyProtection="0"/>
  </cellStyleXfs>
  <cellXfs count="95">
    <xf numFmtId="0" fontId="0" fillId="0" borderId="0" xfId="0"/>
    <xf numFmtId="0" fontId="1" fillId="0" borderId="0" xfId="0" applyFo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/>
    <xf numFmtId="0" fontId="0" fillId="0" borderId="0" xfId="0" applyAlignment="1">
      <alignment horizontal="left" vertical="top"/>
    </xf>
    <xf numFmtId="0" fontId="7" fillId="7" borderId="10" xfId="0" applyFont="1" applyFill="1" applyBorder="1" applyAlignment="1">
      <alignment horizontal="left" vertical="top" wrapText="1"/>
    </xf>
    <xf numFmtId="0" fontId="9" fillId="7" borderId="11" xfId="0" applyFont="1" applyFill="1" applyBorder="1" applyAlignment="1">
      <alignment horizontal="left" vertical="top" wrapText="1"/>
    </xf>
    <xf numFmtId="0" fontId="9" fillId="7" borderId="10" xfId="0" applyFont="1" applyFill="1" applyBorder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0" fontId="7" fillId="2" borderId="14" xfId="0" applyFont="1" applyFill="1" applyBorder="1" applyAlignment="1">
      <alignment horizontal="left" vertical="top" wrapText="1"/>
    </xf>
    <xf numFmtId="0" fontId="7" fillId="2" borderId="15" xfId="0" applyFont="1" applyFill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1" fillId="0" borderId="6" xfId="0" applyFont="1" applyBorder="1" applyAlignment="1">
      <alignment horizontal="left" vertical="top"/>
    </xf>
    <xf numFmtId="0" fontId="11" fillId="0" borderId="16" xfId="0" applyFont="1" applyBorder="1" applyAlignment="1">
      <alignment horizontal="left" vertical="top"/>
    </xf>
    <xf numFmtId="0" fontId="10" fillId="0" borderId="17" xfId="1" applyBorder="1" applyAlignment="1">
      <alignment horizontal="left" vertical="top"/>
    </xf>
    <xf numFmtId="0" fontId="10" fillId="0" borderId="7" xfId="1" applyBorder="1" applyAlignment="1">
      <alignment horizontal="left" vertical="top"/>
    </xf>
    <xf numFmtId="0" fontId="11" fillId="0" borderId="0" xfId="0" applyFont="1"/>
    <xf numFmtId="0" fontId="11" fillId="0" borderId="0" xfId="0" applyFont="1" applyBorder="1" applyAlignment="1">
      <alignment horizontal="left" vertical="top"/>
    </xf>
    <xf numFmtId="0" fontId="11" fillId="0" borderId="18" xfId="0" applyFont="1" applyBorder="1" applyAlignment="1">
      <alignment horizontal="left" vertical="top"/>
    </xf>
    <xf numFmtId="0" fontId="10" fillId="0" borderId="19" xfId="1" applyBorder="1" applyAlignment="1">
      <alignment horizontal="left" vertical="top"/>
    </xf>
    <xf numFmtId="0" fontId="10" fillId="0" borderId="9" xfId="1" applyBorder="1" applyAlignment="1">
      <alignment horizontal="left" vertical="top"/>
    </xf>
    <xf numFmtId="0" fontId="11" fillId="0" borderId="20" xfId="0" applyFont="1" applyBorder="1" applyAlignment="1">
      <alignment horizontal="left" vertical="top"/>
    </xf>
    <xf numFmtId="0" fontId="11" fillId="0" borderId="21" xfId="0" applyFont="1" applyBorder="1" applyAlignment="1">
      <alignment horizontal="left" vertical="top"/>
    </xf>
    <xf numFmtId="0" fontId="10" fillId="0" borderId="22" xfId="1" applyBorder="1" applyAlignment="1">
      <alignment horizontal="left" vertical="top"/>
    </xf>
    <xf numFmtId="0" fontId="10" fillId="0" borderId="13" xfId="1" applyBorder="1" applyAlignment="1">
      <alignment horizontal="left" vertical="top"/>
    </xf>
    <xf numFmtId="0" fontId="11" fillId="0" borderId="24" xfId="0" applyFont="1" applyBorder="1" applyAlignment="1">
      <alignment horizontal="left" vertical="top"/>
    </xf>
    <xf numFmtId="0" fontId="11" fillId="0" borderId="25" xfId="0" applyFont="1" applyBorder="1" applyAlignment="1">
      <alignment horizontal="left" vertical="top"/>
    </xf>
    <xf numFmtId="0" fontId="10" fillId="0" borderId="26" xfId="1" applyBorder="1" applyAlignment="1">
      <alignment horizontal="left" vertical="top"/>
    </xf>
    <xf numFmtId="0" fontId="10" fillId="0" borderId="27" xfId="1" applyBorder="1" applyAlignment="1">
      <alignment horizontal="left" vertical="top"/>
    </xf>
    <xf numFmtId="0" fontId="14" fillId="0" borderId="0" xfId="0" applyFont="1" applyBorder="1" applyAlignment="1">
      <alignment horizontal="left" vertical="top"/>
    </xf>
    <xf numFmtId="0" fontId="14" fillId="0" borderId="18" xfId="0" applyFont="1" applyBorder="1" applyAlignment="1">
      <alignment horizontal="left" vertical="top"/>
    </xf>
    <xf numFmtId="0" fontId="14" fillId="0" borderId="20" xfId="0" applyFont="1" applyBorder="1" applyAlignment="1">
      <alignment horizontal="left" vertical="top"/>
    </xf>
    <xf numFmtId="0" fontId="14" fillId="0" borderId="21" xfId="0" applyFont="1" applyBorder="1" applyAlignment="1">
      <alignment horizontal="left" vertical="top"/>
    </xf>
    <xf numFmtId="0" fontId="14" fillId="0" borderId="24" xfId="0" applyFont="1" applyBorder="1" applyAlignment="1">
      <alignment horizontal="left" vertical="top"/>
    </xf>
    <xf numFmtId="0" fontId="14" fillId="0" borderId="25" xfId="0" applyFont="1" applyBorder="1" applyAlignment="1">
      <alignment horizontal="left" vertical="top"/>
    </xf>
    <xf numFmtId="0" fontId="11" fillId="0" borderId="10" xfId="0" applyFont="1" applyBorder="1" applyAlignment="1">
      <alignment horizontal="left" vertical="top"/>
    </xf>
    <xf numFmtId="0" fontId="11" fillId="0" borderId="28" xfId="0" applyFont="1" applyBorder="1" applyAlignment="1">
      <alignment horizontal="left" vertical="top"/>
    </xf>
    <xf numFmtId="0" fontId="10" fillId="0" borderId="29" xfId="1" applyBorder="1" applyAlignment="1">
      <alignment horizontal="left" vertical="top"/>
    </xf>
    <xf numFmtId="0" fontId="10" fillId="0" borderId="15" xfId="1" applyBorder="1" applyAlignment="1">
      <alignment horizontal="left" vertical="top"/>
    </xf>
    <xf numFmtId="0" fontId="11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0" fontId="11" fillId="0" borderId="0" xfId="0" applyFont="1" applyFill="1" applyBorder="1" applyAlignment="1" applyProtection="1">
      <alignment horizontal="left" vertical="top"/>
      <protection locked="0"/>
    </xf>
    <xf numFmtId="0" fontId="1" fillId="0" borderId="0" xfId="0" applyFont="1" applyFill="1" applyAlignment="1">
      <alignment horizontal="left" vertical="top"/>
    </xf>
    <xf numFmtId="0" fontId="1" fillId="0" borderId="0" xfId="1" applyFont="1" applyFill="1" applyBorder="1" applyAlignment="1">
      <alignment horizontal="left" vertical="top"/>
    </xf>
    <xf numFmtId="0" fontId="6" fillId="6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Fill="1" applyBorder="1"/>
    <xf numFmtId="0" fontId="1" fillId="0" borderId="0" xfId="0" applyFont="1" applyFill="1" applyBorder="1" applyAlignment="1">
      <alignment horizontal="left" vertical="top"/>
    </xf>
    <xf numFmtId="0" fontId="1" fillId="0" borderId="0" xfId="0" applyFont="1" applyFill="1" applyBorder="1"/>
    <xf numFmtId="0" fontId="0" fillId="0" borderId="0" xfId="0" applyFill="1" applyBorder="1" applyAlignment="1">
      <alignment wrapText="1"/>
    </xf>
    <xf numFmtId="0" fontId="0" fillId="0" borderId="0" xfId="0" applyFill="1" applyBorder="1" applyProtection="1">
      <protection locked="0"/>
    </xf>
    <xf numFmtId="0" fontId="1" fillId="0" borderId="0" xfId="0" applyFont="1" applyFill="1" applyBorder="1" applyAlignment="1" applyProtection="1">
      <alignment horizontal="left" vertical="top"/>
      <protection locked="0"/>
    </xf>
    <xf numFmtId="0" fontId="2" fillId="8" borderId="0" xfId="0" applyFont="1" applyFill="1"/>
    <xf numFmtId="0" fontId="10" fillId="0" borderId="0" xfId="1"/>
    <xf numFmtId="0" fontId="1" fillId="0" borderId="0" xfId="0" applyFont="1" applyAlignment="1">
      <alignment wrapText="1"/>
    </xf>
    <xf numFmtId="0" fontId="0" fillId="0" borderId="0" xfId="0" applyFill="1"/>
    <xf numFmtId="0" fontId="15" fillId="0" borderId="0" xfId="2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left" vertical="top"/>
    </xf>
    <xf numFmtId="0" fontId="1" fillId="0" borderId="10" xfId="0" applyFont="1" applyFill="1" applyBorder="1" applyAlignment="1">
      <alignment horizontal="center" vertical="center" wrapText="1"/>
    </xf>
    <xf numFmtId="0" fontId="16" fillId="10" borderId="31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3" fillId="9" borderId="31" xfId="0" applyFont="1" applyFill="1" applyBorder="1" applyAlignment="1">
      <alignment horizontal="center" vertical="center" wrapText="1"/>
    </xf>
    <xf numFmtId="164" fontId="6" fillId="6" borderId="0" xfId="0" applyNumberFormat="1" applyFont="1" applyFill="1" applyAlignment="1">
      <alignment horizontal="left" vertical="top" wrapText="1"/>
    </xf>
    <xf numFmtId="164" fontId="0" fillId="0" borderId="0" xfId="0" applyNumberFormat="1" applyAlignment="1">
      <alignment horizontal="left" vertical="top"/>
    </xf>
    <xf numFmtId="164" fontId="2" fillId="3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3" fillId="5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10" fillId="0" borderId="23" xfId="1" applyBorder="1" applyAlignment="1">
      <alignment horizontal="left" vertical="top"/>
    </xf>
    <xf numFmtId="0" fontId="11" fillId="0" borderId="8" xfId="0" applyFont="1" applyBorder="1" applyAlignment="1">
      <alignment horizontal="left" vertical="top"/>
    </xf>
    <xf numFmtId="0" fontId="11" fillId="0" borderId="12" xfId="0" applyFont="1" applyBorder="1" applyAlignment="1">
      <alignment horizontal="left" vertical="top"/>
    </xf>
    <xf numFmtId="0" fontId="10" fillId="0" borderId="5" xfId="1" applyBorder="1" applyAlignment="1">
      <alignment horizontal="left" vertical="top"/>
    </xf>
    <xf numFmtId="0" fontId="11" fillId="0" borderId="14" xfId="0" applyFont="1" applyBorder="1" applyAlignment="1">
      <alignment horizontal="left" vertical="top"/>
    </xf>
    <xf numFmtId="0" fontId="5" fillId="0" borderId="20" xfId="0" applyFont="1" applyFill="1" applyBorder="1" applyAlignment="1">
      <alignment horizontal="center"/>
    </xf>
    <xf numFmtId="0" fontId="8" fillId="0" borderId="20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18" fillId="4" borderId="20" xfId="0" applyFont="1" applyFill="1" applyBorder="1" applyAlignment="1">
      <alignment horizontal="center"/>
    </xf>
    <xf numFmtId="0" fontId="2" fillId="11" borderId="20" xfId="0" applyFont="1" applyFill="1" applyBorder="1" applyAlignment="1">
      <alignment horizontal="center"/>
    </xf>
    <xf numFmtId="0" fontId="18" fillId="11" borderId="20" xfId="0" applyFont="1" applyFill="1" applyBorder="1" applyAlignment="1">
      <alignment horizontal="center"/>
    </xf>
  </cellXfs>
  <cellStyles count="3">
    <cellStyle name="Hyperlink" xfId="1" builtinId="8"/>
    <cellStyle name="Linked Cell" xfId="2" builtinId="24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v2.CountryCodes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v2.CountryCodes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abSelected="1" zoomScale="130" zoomScaleNormal="130" workbookViewId="0">
      <pane ySplit="1" topLeftCell="A2" activePane="bottomLeft" state="frozen"/>
      <selection pane="bottomLeft" activeCell="A3" sqref="A3"/>
    </sheetView>
  </sheetViews>
  <sheetFormatPr defaultRowHeight="12.75" x14ac:dyDescent="0.2"/>
  <cols>
    <col min="1" max="1" width="46" customWidth="1"/>
    <col min="2" max="2" width="113.28515625" customWidth="1"/>
  </cols>
  <sheetData>
    <row r="1" spans="1:2" x14ac:dyDescent="0.2">
      <c r="A1" s="60" t="s">
        <v>13958</v>
      </c>
      <c r="B1" s="60" t="s">
        <v>13959</v>
      </c>
    </row>
    <row r="3" spans="1:2" x14ac:dyDescent="0.2">
      <c r="A3" s="61" t="s">
        <v>13960</v>
      </c>
      <c r="B3" s="1" t="s">
        <v>13965</v>
      </c>
    </row>
    <row r="4" spans="1:2" x14ac:dyDescent="0.2">
      <c r="A4" s="61" t="s">
        <v>13961</v>
      </c>
      <c r="B4" s="1" t="s">
        <v>13966</v>
      </c>
    </row>
    <row r="5" spans="1:2" x14ac:dyDescent="0.2">
      <c r="A5" s="61" t="s">
        <v>13962</v>
      </c>
      <c r="B5" s="1" t="s">
        <v>13967</v>
      </c>
    </row>
    <row r="6" spans="1:2" x14ac:dyDescent="0.2">
      <c r="A6" s="61" t="s">
        <v>13964</v>
      </c>
      <c r="B6" s="1" t="s">
        <v>13968</v>
      </c>
    </row>
    <row r="7" spans="1:2" x14ac:dyDescent="0.2">
      <c r="A7" s="61" t="s">
        <v>13963</v>
      </c>
      <c r="B7" s="1" t="s">
        <v>13969</v>
      </c>
    </row>
    <row r="8" spans="1:2" x14ac:dyDescent="0.2">
      <c r="A8" s="61" t="s">
        <v>13971</v>
      </c>
      <c r="B8" s="1" t="s">
        <v>13970</v>
      </c>
    </row>
    <row r="9" spans="1:2" ht="38.25" x14ac:dyDescent="0.2">
      <c r="B9" s="62" t="s">
        <v>13972</v>
      </c>
    </row>
  </sheetData>
  <hyperlinks>
    <hyperlink ref="A3" location="'NCIt GENC data'!A1" display="NCIt GENC data"/>
    <hyperlink ref="A4" location="'ISO-3166'!A1" display="ISO-3166"/>
    <hyperlink ref="A5" location="'Country Comparison'!A1" display="Country Comparison"/>
    <hyperlink ref="A6" location="'Original GENC AS'!A1" display="Original GENC AS"/>
    <hyperlink ref="A7" location="'ISO 3166-2 NCImeta'!A1" display="ISO 3166-2 NCImeta"/>
    <hyperlink ref="A8" location="'AS Comparison'!A1" display="Administrative Subdivision Comparison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H281"/>
  <sheetViews>
    <sheetView workbookViewId="0">
      <pane ySplit="1" topLeftCell="A236" activePane="bottomLeft" state="frozen"/>
      <selection activeCell="B1" sqref="B1"/>
      <selection pane="bottomLeft" activeCell="E35" sqref="E35"/>
    </sheetView>
  </sheetViews>
  <sheetFormatPr defaultColWidth="16.5703125" defaultRowHeight="12.75" x14ac:dyDescent="0.2"/>
  <cols>
    <col min="1" max="1" width="19.140625" style="12" customWidth="1"/>
    <col min="2" max="2" width="18.85546875" style="12" customWidth="1"/>
    <col min="3" max="3" width="22.42578125" style="12" customWidth="1"/>
    <col min="4" max="4" width="12.7109375" style="12" customWidth="1"/>
    <col min="5" max="5" width="16.5703125" style="12"/>
    <col min="6" max="6" width="10.5703125" style="72" customWidth="1"/>
    <col min="7" max="7" width="16.5703125" style="12"/>
    <col min="8" max="8" width="49" style="12" customWidth="1"/>
    <col min="9" max="16384" width="16.5703125" style="12"/>
  </cols>
  <sheetData>
    <row r="1" spans="1:8" s="53" customFormat="1" ht="33.6" customHeight="1" x14ac:dyDescent="0.2">
      <c r="A1" s="52" t="s">
        <v>1387</v>
      </c>
      <c r="B1" s="52" t="s">
        <v>1388</v>
      </c>
      <c r="C1" s="52" t="s">
        <v>1389</v>
      </c>
      <c r="D1" s="52" t="s">
        <v>1390</v>
      </c>
      <c r="E1" s="52" t="s">
        <v>1391</v>
      </c>
      <c r="F1" s="71" t="s">
        <v>1392</v>
      </c>
      <c r="G1" s="52" t="s">
        <v>1393</v>
      </c>
      <c r="H1" s="52" t="s">
        <v>1394</v>
      </c>
    </row>
    <row r="2" spans="1:8" x14ac:dyDescent="0.2">
      <c r="A2" s="12" t="s">
        <v>406</v>
      </c>
      <c r="B2" s="12" t="s">
        <v>1561</v>
      </c>
      <c r="C2" s="12" t="s">
        <v>500</v>
      </c>
      <c r="D2" s="12" t="s">
        <v>499</v>
      </c>
      <c r="E2" s="12" t="s">
        <v>405</v>
      </c>
      <c r="F2" s="72">
        <v>4</v>
      </c>
      <c r="G2" s="12" t="s">
        <v>1397</v>
      </c>
      <c r="H2" s="12" t="s">
        <v>1398</v>
      </c>
    </row>
    <row r="3" spans="1:8" x14ac:dyDescent="0.2">
      <c r="A3" s="12" t="s">
        <v>1699</v>
      </c>
      <c r="B3" s="12" t="s">
        <v>1700</v>
      </c>
      <c r="C3" s="12" t="s">
        <v>503</v>
      </c>
      <c r="D3" s="12" t="s">
        <v>502</v>
      </c>
      <c r="E3" s="12" t="s">
        <v>501</v>
      </c>
      <c r="F3" s="72">
        <v>900</v>
      </c>
      <c r="G3" s="12" t="s">
        <v>1397</v>
      </c>
      <c r="H3" s="12" t="s">
        <v>1398</v>
      </c>
    </row>
    <row r="4" spans="1:8" x14ac:dyDescent="0.2">
      <c r="A4" s="12" t="s">
        <v>404</v>
      </c>
      <c r="B4" s="12" t="s">
        <v>1588</v>
      </c>
      <c r="C4" s="12" t="s">
        <v>505</v>
      </c>
      <c r="D4" s="12" t="s">
        <v>504</v>
      </c>
      <c r="E4" s="12" t="s">
        <v>403</v>
      </c>
      <c r="F4" s="72">
        <v>8</v>
      </c>
      <c r="G4" s="12" t="s">
        <v>1397</v>
      </c>
      <c r="H4" s="12" t="s">
        <v>1398</v>
      </c>
    </row>
    <row r="5" spans="1:8" x14ac:dyDescent="0.2">
      <c r="A5" s="12" t="s">
        <v>408</v>
      </c>
      <c r="B5" s="12" t="s">
        <v>1586</v>
      </c>
      <c r="C5" s="12" t="s">
        <v>507</v>
      </c>
      <c r="D5" s="12" t="s">
        <v>506</v>
      </c>
      <c r="E5" s="12" t="s">
        <v>407</v>
      </c>
      <c r="F5" s="72">
        <v>12</v>
      </c>
      <c r="G5" s="12" t="s">
        <v>1397</v>
      </c>
      <c r="H5" s="12" t="s">
        <v>1398</v>
      </c>
    </row>
    <row r="6" spans="1:8" x14ac:dyDescent="0.2">
      <c r="A6" s="12" t="s">
        <v>410</v>
      </c>
      <c r="B6" s="12" t="s">
        <v>1506</v>
      </c>
      <c r="C6" s="12" t="s">
        <v>509</v>
      </c>
      <c r="D6" s="12" t="s">
        <v>508</v>
      </c>
      <c r="E6" s="12" t="s">
        <v>409</v>
      </c>
      <c r="F6" s="72">
        <v>16</v>
      </c>
      <c r="G6" s="12" t="s">
        <v>1397</v>
      </c>
      <c r="H6" s="12" t="s">
        <v>1398</v>
      </c>
    </row>
    <row r="7" spans="1:8" x14ac:dyDescent="0.2">
      <c r="A7" s="12" t="s">
        <v>414</v>
      </c>
      <c r="B7" s="12" t="s">
        <v>1677</v>
      </c>
      <c r="C7" s="12" t="s">
        <v>511</v>
      </c>
      <c r="D7" s="12" t="s">
        <v>510</v>
      </c>
      <c r="E7" s="12" t="s">
        <v>413</v>
      </c>
      <c r="F7" s="72">
        <v>20</v>
      </c>
      <c r="G7" s="12" t="s">
        <v>1397</v>
      </c>
      <c r="H7" s="12" t="s">
        <v>1398</v>
      </c>
    </row>
    <row r="8" spans="1:8" x14ac:dyDescent="0.2">
      <c r="A8" s="12" t="s">
        <v>416</v>
      </c>
      <c r="B8" s="12" t="s">
        <v>1703</v>
      </c>
      <c r="C8" s="12" t="s">
        <v>513</v>
      </c>
      <c r="D8" s="12" t="s">
        <v>512</v>
      </c>
      <c r="E8" s="12" t="s">
        <v>415</v>
      </c>
      <c r="F8" s="72">
        <v>24</v>
      </c>
      <c r="G8" s="12" t="s">
        <v>1397</v>
      </c>
      <c r="H8" s="12" t="s">
        <v>1398</v>
      </c>
    </row>
    <row r="9" spans="1:8" x14ac:dyDescent="0.2">
      <c r="A9" s="12" t="s">
        <v>412</v>
      </c>
      <c r="B9" s="12" t="s">
        <v>1613</v>
      </c>
      <c r="C9" s="12" t="s">
        <v>515</v>
      </c>
      <c r="D9" s="12" t="s">
        <v>514</v>
      </c>
      <c r="E9" s="12" t="s">
        <v>411</v>
      </c>
      <c r="F9" s="72">
        <v>660</v>
      </c>
      <c r="G9" s="12" t="s">
        <v>1397</v>
      </c>
      <c r="H9" s="12" t="s">
        <v>1398</v>
      </c>
    </row>
    <row r="10" spans="1:8" x14ac:dyDescent="0.2">
      <c r="A10" s="12" t="s">
        <v>418</v>
      </c>
      <c r="B10" s="12" t="s">
        <v>1630</v>
      </c>
      <c r="C10" s="12" t="s">
        <v>517</v>
      </c>
      <c r="D10" s="12" t="s">
        <v>516</v>
      </c>
      <c r="E10" s="12" t="s">
        <v>417</v>
      </c>
      <c r="F10" s="72">
        <v>10</v>
      </c>
      <c r="G10" s="12" t="s">
        <v>1397</v>
      </c>
      <c r="H10" s="12" t="s">
        <v>1398</v>
      </c>
    </row>
    <row r="11" spans="1:8" x14ac:dyDescent="0.2">
      <c r="A11" s="12" t="s">
        <v>422</v>
      </c>
      <c r="B11" s="12" t="s">
        <v>1664</v>
      </c>
      <c r="C11" s="12" t="s">
        <v>519</v>
      </c>
      <c r="D11" s="12" t="s">
        <v>518</v>
      </c>
      <c r="E11" s="12" t="s">
        <v>421</v>
      </c>
      <c r="F11" s="72">
        <v>28</v>
      </c>
      <c r="G11" s="12" t="s">
        <v>1397</v>
      </c>
      <c r="H11" s="12" t="s">
        <v>1398</v>
      </c>
    </row>
    <row r="12" spans="1:8" x14ac:dyDescent="0.2">
      <c r="A12" s="12" t="s">
        <v>420</v>
      </c>
      <c r="B12" s="12" t="s">
        <v>1663</v>
      </c>
      <c r="C12" s="12" t="s">
        <v>521</v>
      </c>
      <c r="D12" s="12" t="s">
        <v>520</v>
      </c>
      <c r="E12" s="12" t="s">
        <v>419</v>
      </c>
      <c r="F12" s="72">
        <v>32</v>
      </c>
      <c r="G12" s="12" t="s">
        <v>1397</v>
      </c>
      <c r="H12" s="12" t="s">
        <v>1398</v>
      </c>
    </row>
    <row r="13" spans="1:8" x14ac:dyDescent="0.2">
      <c r="A13" s="12" t="s">
        <v>430</v>
      </c>
      <c r="B13" s="12" t="s">
        <v>1660</v>
      </c>
      <c r="C13" s="12" t="s">
        <v>523</v>
      </c>
      <c r="D13" s="12" t="s">
        <v>522</v>
      </c>
      <c r="E13" s="12" t="s">
        <v>429</v>
      </c>
      <c r="F13" s="72">
        <v>51</v>
      </c>
      <c r="G13" s="12" t="s">
        <v>1397</v>
      </c>
      <c r="H13" s="12" t="s">
        <v>1398</v>
      </c>
    </row>
    <row r="14" spans="1:8" x14ac:dyDescent="0.2">
      <c r="A14" s="12" t="s">
        <v>424</v>
      </c>
      <c r="B14" s="12" t="s">
        <v>1435</v>
      </c>
      <c r="C14" s="12" t="s">
        <v>525</v>
      </c>
      <c r="D14" s="12" t="s">
        <v>524</v>
      </c>
      <c r="E14" s="12" t="s">
        <v>423</v>
      </c>
      <c r="F14" s="72">
        <v>533</v>
      </c>
      <c r="G14" s="12" t="s">
        <v>1397</v>
      </c>
      <c r="H14" s="12" t="s">
        <v>1398</v>
      </c>
    </row>
    <row r="15" spans="1:8" x14ac:dyDescent="0.2">
      <c r="A15" s="12" t="s">
        <v>1458</v>
      </c>
      <c r="B15" s="12" t="s">
        <v>1459</v>
      </c>
      <c r="C15" s="12" t="s">
        <v>528</v>
      </c>
      <c r="D15" s="12" t="s">
        <v>527</v>
      </c>
      <c r="E15" s="12" t="s">
        <v>526</v>
      </c>
      <c r="F15" s="72">
        <v>902</v>
      </c>
      <c r="G15" s="12" t="s">
        <v>1397</v>
      </c>
      <c r="H15" s="12" t="s">
        <v>1398</v>
      </c>
    </row>
    <row r="16" spans="1:8" x14ac:dyDescent="0.2">
      <c r="A16" s="12" t="s">
        <v>426</v>
      </c>
      <c r="B16" s="12" t="s">
        <v>1643</v>
      </c>
      <c r="C16" s="12" t="s">
        <v>530</v>
      </c>
      <c r="D16" s="12" t="s">
        <v>529</v>
      </c>
      <c r="E16" s="12" t="s">
        <v>425</v>
      </c>
      <c r="F16" s="72">
        <v>36</v>
      </c>
      <c r="G16" s="12" t="s">
        <v>1397</v>
      </c>
      <c r="H16" s="12" t="s">
        <v>1398</v>
      </c>
    </row>
    <row r="17" spans="1:8" x14ac:dyDescent="0.2">
      <c r="A17" s="12" t="s">
        <v>428</v>
      </c>
      <c r="B17" s="12" t="s">
        <v>1644</v>
      </c>
      <c r="C17" s="12" t="s">
        <v>532</v>
      </c>
      <c r="D17" s="12" t="s">
        <v>531</v>
      </c>
      <c r="E17" s="12" t="s">
        <v>427</v>
      </c>
      <c r="F17" s="72">
        <v>40</v>
      </c>
      <c r="G17" s="12" t="s">
        <v>1397</v>
      </c>
      <c r="H17" s="12" t="s">
        <v>1398</v>
      </c>
    </row>
    <row r="18" spans="1:8" x14ac:dyDescent="0.2">
      <c r="A18" s="12" t="s">
        <v>432</v>
      </c>
      <c r="B18" s="12" t="s">
        <v>1641</v>
      </c>
      <c r="C18" s="12" t="s">
        <v>534</v>
      </c>
      <c r="D18" s="12" t="s">
        <v>533</v>
      </c>
      <c r="E18" s="12" t="s">
        <v>431</v>
      </c>
      <c r="F18" s="72">
        <v>31</v>
      </c>
      <c r="G18" s="12" t="s">
        <v>1397</v>
      </c>
      <c r="H18" s="12" t="s">
        <v>1398</v>
      </c>
    </row>
    <row r="19" spans="1:8" x14ac:dyDescent="0.2">
      <c r="A19" s="12" t="s">
        <v>440</v>
      </c>
      <c r="B19" s="12" t="s">
        <v>1622</v>
      </c>
      <c r="C19" s="12" t="s">
        <v>536</v>
      </c>
      <c r="D19" s="12" t="s">
        <v>535</v>
      </c>
      <c r="E19" s="12" t="s">
        <v>439</v>
      </c>
      <c r="F19" s="72">
        <v>44</v>
      </c>
      <c r="G19" s="12" t="s">
        <v>1397</v>
      </c>
      <c r="H19" s="12" t="s">
        <v>1398</v>
      </c>
    </row>
    <row r="20" spans="1:8" x14ac:dyDescent="0.2">
      <c r="A20" s="12" t="s">
        <v>446</v>
      </c>
      <c r="B20" s="12" t="s">
        <v>1620</v>
      </c>
      <c r="C20" s="12" t="s">
        <v>538</v>
      </c>
      <c r="D20" s="12" t="s">
        <v>537</v>
      </c>
      <c r="E20" s="12" t="s">
        <v>445</v>
      </c>
      <c r="F20" s="72">
        <v>48</v>
      </c>
      <c r="G20" s="12" t="s">
        <v>1397</v>
      </c>
      <c r="H20" s="12" t="s">
        <v>1398</v>
      </c>
    </row>
    <row r="21" spans="1:8" x14ac:dyDescent="0.2">
      <c r="A21" s="12" t="s">
        <v>1456</v>
      </c>
      <c r="B21" s="12" t="s">
        <v>1457</v>
      </c>
      <c r="C21" s="12" t="s">
        <v>541</v>
      </c>
      <c r="D21" s="12" t="s">
        <v>540</v>
      </c>
      <c r="E21" s="12" t="s">
        <v>539</v>
      </c>
      <c r="F21" s="72">
        <v>903</v>
      </c>
      <c r="G21" s="12" t="s">
        <v>1397</v>
      </c>
      <c r="H21" s="12" t="s">
        <v>1398</v>
      </c>
    </row>
    <row r="22" spans="1:8" x14ac:dyDescent="0.2">
      <c r="A22" s="12" t="s">
        <v>442</v>
      </c>
      <c r="B22" s="12" t="s">
        <v>1619</v>
      </c>
      <c r="C22" s="12" t="s">
        <v>543</v>
      </c>
      <c r="D22" s="12" t="s">
        <v>542</v>
      </c>
      <c r="E22" s="12" t="s">
        <v>441</v>
      </c>
      <c r="F22" s="72">
        <v>50</v>
      </c>
      <c r="G22" s="12" t="s">
        <v>1397</v>
      </c>
      <c r="H22" s="12" t="s">
        <v>1398</v>
      </c>
    </row>
    <row r="23" spans="1:8" x14ac:dyDescent="0.2">
      <c r="A23" s="12" t="s">
        <v>436</v>
      </c>
      <c r="B23" s="12" t="s">
        <v>1624</v>
      </c>
      <c r="C23" s="12" t="s">
        <v>545</v>
      </c>
      <c r="D23" s="12" t="s">
        <v>544</v>
      </c>
      <c r="E23" s="12" t="s">
        <v>435</v>
      </c>
      <c r="F23" s="72">
        <v>52</v>
      </c>
      <c r="G23" s="12" t="s">
        <v>1397</v>
      </c>
      <c r="H23" s="12" t="s">
        <v>1398</v>
      </c>
    </row>
    <row r="24" spans="1:8" x14ac:dyDescent="0.2">
      <c r="A24" s="12" t="s">
        <v>1462</v>
      </c>
      <c r="B24" s="12" t="s">
        <v>1463</v>
      </c>
      <c r="C24" s="12" t="s">
        <v>548</v>
      </c>
      <c r="D24" s="12" t="s">
        <v>547</v>
      </c>
      <c r="E24" s="12" t="s">
        <v>546</v>
      </c>
      <c r="F24" s="72">
        <v>904</v>
      </c>
      <c r="G24" s="12" t="s">
        <v>1397</v>
      </c>
      <c r="H24" s="12" t="s">
        <v>1398</v>
      </c>
    </row>
    <row r="25" spans="1:8" x14ac:dyDescent="0.2">
      <c r="A25" s="12" t="s">
        <v>438</v>
      </c>
      <c r="B25" s="12" t="s">
        <v>1531</v>
      </c>
      <c r="C25" s="12" t="s">
        <v>550</v>
      </c>
      <c r="D25" s="12" t="s">
        <v>549</v>
      </c>
      <c r="E25" s="12" t="s">
        <v>437</v>
      </c>
      <c r="F25" s="72">
        <v>112</v>
      </c>
      <c r="G25" s="12" t="s">
        <v>1397</v>
      </c>
      <c r="H25" s="12" t="s">
        <v>1398</v>
      </c>
    </row>
    <row r="26" spans="1:8" x14ac:dyDescent="0.2">
      <c r="A26" s="12" t="s">
        <v>434</v>
      </c>
      <c r="B26" s="12" t="s">
        <v>1606</v>
      </c>
      <c r="C26" s="12" t="s">
        <v>552</v>
      </c>
      <c r="D26" s="12" t="s">
        <v>551</v>
      </c>
      <c r="E26" s="12" t="s">
        <v>433</v>
      </c>
      <c r="F26" s="72">
        <v>56</v>
      </c>
      <c r="G26" s="12" t="s">
        <v>1397</v>
      </c>
      <c r="H26" s="12" t="s">
        <v>1398</v>
      </c>
    </row>
    <row r="27" spans="1:8" x14ac:dyDescent="0.2">
      <c r="A27" s="12" t="s">
        <v>444</v>
      </c>
      <c r="B27" s="12" t="s">
        <v>1599</v>
      </c>
      <c r="C27" s="12" t="s">
        <v>554</v>
      </c>
      <c r="D27" s="12" t="s">
        <v>553</v>
      </c>
      <c r="E27" s="12" t="s">
        <v>443</v>
      </c>
      <c r="F27" s="72">
        <v>84</v>
      </c>
      <c r="G27" s="12" t="s">
        <v>1397</v>
      </c>
      <c r="H27" s="12" t="s">
        <v>1398</v>
      </c>
    </row>
    <row r="28" spans="1:8" x14ac:dyDescent="0.2">
      <c r="A28" s="12" t="s">
        <v>448</v>
      </c>
      <c r="B28" s="12" t="s">
        <v>1602</v>
      </c>
      <c r="C28" s="12" t="s">
        <v>556</v>
      </c>
      <c r="D28" s="12" t="s">
        <v>555</v>
      </c>
      <c r="E28" s="12" t="s">
        <v>447</v>
      </c>
      <c r="F28" s="72">
        <v>204</v>
      </c>
      <c r="G28" s="12" t="s">
        <v>1397</v>
      </c>
      <c r="H28" s="12" t="s">
        <v>1398</v>
      </c>
    </row>
    <row r="29" spans="1:8" x14ac:dyDescent="0.2">
      <c r="A29" s="12" t="s">
        <v>450</v>
      </c>
      <c r="B29" s="12" t="s">
        <v>1601</v>
      </c>
      <c r="C29" s="12" t="s">
        <v>558</v>
      </c>
      <c r="D29" s="12" t="s">
        <v>557</v>
      </c>
      <c r="E29" s="12" t="s">
        <v>449</v>
      </c>
      <c r="F29" s="72">
        <v>60</v>
      </c>
      <c r="G29" s="12" t="s">
        <v>1397</v>
      </c>
      <c r="H29" s="12" t="s">
        <v>1398</v>
      </c>
    </row>
    <row r="30" spans="1:8" x14ac:dyDescent="0.2">
      <c r="A30" s="12" t="s">
        <v>452</v>
      </c>
      <c r="B30" s="12" t="s">
        <v>1604</v>
      </c>
      <c r="C30" s="12" t="s">
        <v>560</v>
      </c>
      <c r="D30" s="12" t="s">
        <v>559</v>
      </c>
      <c r="E30" s="12" t="s">
        <v>451</v>
      </c>
      <c r="F30" s="72">
        <v>64</v>
      </c>
      <c r="G30" s="12" t="s">
        <v>1397</v>
      </c>
      <c r="H30" s="12" t="s">
        <v>1398</v>
      </c>
    </row>
    <row r="31" spans="1:8" x14ac:dyDescent="0.2">
      <c r="A31" s="12" t="s">
        <v>456</v>
      </c>
      <c r="B31" s="12" t="s">
        <v>1559</v>
      </c>
      <c r="C31" s="12" t="s">
        <v>562</v>
      </c>
      <c r="D31" s="12" t="s">
        <v>561</v>
      </c>
      <c r="E31" s="12" t="s">
        <v>455</v>
      </c>
      <c r="F31" s="72">
        <v>68</v>
      </c>
      <c r="G31" s="12" t="s">
        <v>1397</v>
      </c>
      <c r="H31" s="12" t="s">
        <v>1398</v>
      </c>
    </row>
    <row r="32" spans="1:8" x14ac:dyDescent="0.2">
      <c r="A32" s="12" t="s">
        <v>454</v>
      </c>
      <c r="B32" s="12" t="s">
        <v>1546</v>
      </c>
      <c r="C32" s="12" t="s">
        <v>564</v>
      </c>
      <c r="D32" s="12" t="s">
        <v>563</v>
      </c>
      <c r="E32" s="12" t="s">
        <v>453</v>
      </c>
      <c r="F32" s="72">
        <v>535</v>
      </c>
      <c r="G32" s="12" t="s">
        <v>1397</v>
      </c>
      <c r="H32" s="12" t="s">
        <v>1398</v>
      </c>
    </row>
    <row r="33" spans="1:8" x14ac:dyDescent="0.2">
      <c r="A33" s="12" t="s">
        <v>468</v>
      </c>
      <c r="B33" s="12" t="s">
        <v>1550</v>
      </c>
      <c r="C33" s="12" t="s">
        <v>566</v>
      </c>
      <c r="D33" s="12" t="s">
        <v>565</v>
      </c>
      <c r="E33" s="12" t="s">
        <v>467</v>
      </c>
      <c r="F33" s="72">
        <v>70</v>
      </c>
      <c r="G33" s="12" t="s">
        <v>1397</v>
      </c>
      <c r="H33" s="12" t="s">
        <v>1398</v>
      </c>
    </row>
    <row r="34" spans="1:8" x14ac:dyDescent="0.2">
      <c r="A34" s="12" t="s">
        <v>462</v>
      </c>
      <c r="B34" s="12" t="s">
        <v>1551</v>
      </c>
      <c r="C34" s="12" t="s">
        <v>568</v>
      </c>
      <c r="D34" s="12" t="s">
        <v>567</v>
      </c>
      <c r="E34" s="12" t="s">
        <v>461</v>
      </c>
      <c r="F34" s="72">
        <v>72</v>
      </c>
      <c r="G34" s="12" t="s">
        <v>1397</v>
      </c>
      <c r="H34" s="12" t="s">
        <v>1398</v>
      </c>
    </row>
    <row r="35" spans="1:8" x14ac:dyDescent="0.2">
      <c r="A35" s="12" t="s">
        <v>464</v>
      </c>
      <c r="B35" s="12" t="s">
        <v>1562</v>
      </c>
      <c r="C35" s="12" t="s">
        <v>570</v>
      </c>
      <c r="D35" s="12" t="s">
        <v>569</v>
      </c>
      <c r="E35" s="12" t="s">
        <v>463</v>
      </c>
      <c r="F35" s="72">
        <v>74</v>
      </c>
      <c r="G35" s="12" t="s">
        <v>1397</v>
      </c>
      <c r="H35" s="12" t="s">
        <v>1398</v>
      </c>
    </row>
    <row r="36" spans="1:8" x14ac:dyDescent="0.2">
      <c r="A36" s="12" t="s">
        <v>470</v>
      </c>
      <c r="B36" s="12" t="s">
        <v>1541</v>
      </c>
      <c r="C36" s="12" t="s">
        <v>572</v>
      </c>
      <c r="D36" s="12" t="s">
        <v>571</v>
      </c>
      <c r="E36" s="12" t="s">
        <v>469</v>
      </c>
      <c r="F36" s="72">
        <v>76</v>
      </c>
      <c r="G36" s="12" t="s">
        <v>1397</v>
      </c>
      <c r="H36" s="12" t="s">
        <v>1398</v>
      </c>
    </row>
    <row r="37" spans="1:8" x14ac:dyDescent="0.2">
      <c r="A37" s="12" t="s">
        <v>466</v>
      </c>
      <c r="B37" s="12" t="s">
        <v>1542</v>
      </c>
      <c r="C37" s="12" t="s">
        <v>574</v>
      </c>
      <c r="D37" s="12" t="s">
        <v>573</v>
      </c>
      <c r="E37" s="12" t="s">
        <v>465</v>
      </c>
      <c r="F37" s="72">
        <v>86</v>
      </c>
      <c r="G37" s="12" t="s">
        <v>1397</v>
      </c>
      <c r="H37" s="12" t="s">
        <v>1398</v>
      </c>
    </row>
    <row r="38" spans="1:8" x14ac:dyDescent="0.2">
      <c r="A38" s="12" t="s">
        <v>460</v>
      </c>
      <c r="B38" s="12" t="s">
        <v>1543</v>
      </c>
      <c r="C38" s="12" t="s">
        <v>576</v>
      </c>
      <c r="D38" s="12" t="s">
        <v>575</v>
      </c>
      <c r="E38" s="12" t="s">
        <v>459</v>
      </c>
      <c r="F38" s="72">
        <v>96</v>
      </c>
      <c r="G38" s="12" t="s">
        <v>1397</v>
      </c>
      <c r="H38" s="12" t="s">
        <v>1398</v>
      </c>
    </row>
    <row r="39" spans="1:8" x14ac:dyDescent="0.2">
      <c r="A39" s="12" t="s">
        <v>472</v>
      </c>
      <c r="B39" s="12" t="s">
        <v>1544</v>
      </c>
      <c r="C39" s="12" t="s">
        <v>578</v>
      </c>
      <c r="D39" s="12" t="s">
        <v>577</v>
      </c>
      <c r="E39" s="12" t="s">
        <v>471</v>
      </c>
      <c r="F39" s="72">
        <v>100</v>
      </c>
      <c r="G39" s="12" t="s">
        <v>1397</v>
      </c>
      <c r="H39" s="12" t="s">
        <v>1398</v>
      </c>
    </row>
    <row r="40" spans="1:8" x14ac:dyDescent="0.2">
      <c r="A40" s="12" t="s">
        <v>476</v>
      </c>
      <c r="B40" s="12" t="s">
        <v>1547</v>
      </c>
      <c r="C40" s="12" t="s">
        <v>580</v>
      </c>
      <c r="D40" s="12" t="s">
        <v>579</v>
      </c>
      <c r="E40" s="12" t="s">
        <v>475</v>
      </c>
      <c r="F40" s="72">
        <v>854</v>
      </c>
      <c r="G40" s="12" t="s">
        <v>1397</v>
      </c>
      <c r="H40" s="12" t="s">
        <v>1398</v>
      </c>
    </row>
    <row r="41" spans="1:8" x14ac:dyDescent="0.2">
      <c r="A41" s="12" t="s">
        <v>474</v>
      </c>
      <c r="B41" s="12" t="s">
        <v>1530</v>
      </c>
      <c r="C41" s="12" t="s">
        <v>584</v>
      </c>
      <c r="D41" s="12" t="s">
        <v>583</v>
      </c>
      <c r="E41" s="12" t="s">
        <v>473</v>
      </c>
      <c r="F41" s="72">
        <v>108</v>
      </c>
      <c r="G41" s="12" t="s">
        <v>1397</v>
      </c>
      <c r="H41" s="12" t="s">
        <v>1398</v>
      </c>
    </row>
    <row r="42" spans="1:8" x14ac:dyDescent="0.2">
      <c r="A42" s="12" t="s">
        <v>482</v>
      </c>
      <c r="B42" s="12" t="s">
        <v>1526</v>
      </c>
      <c r="C42" s="12" t="s">
        <v>586</v>
      </c>
      <c r="D42" s="12" t="s">
        <v>585</v>
      </c>
      <c r="E42" s="12" t="s">
        <v>481</v>
      </c>
      <c r="F42" s="72">
        <v>116</v>
      </c>
      <c r="G42" s="12" t="s">
        <v>1397</v>
      </c>
      <c r="H42" s="12" t="s">
        <v>1398</v>
      </c>
    </row>
    <row r="43" spans="1:8" x14ac:dyDescent="0.2">
      <c r="A43" s="12" t="s">
        <v>478</v>
      </c>
      <c r="B43" s="12" t="s">
        <v>1527</v>
      </c>
      <c r="C43" s="12" t="s">
        <v>588</v>
      </c>
      <c r="D43" s="12" t="s">
        <v>587</v>
      </c>
      <c r="E43" s="12" t="s">
        <v>477</v>
      </c>
      <c r="F43" s="72">
        <v>120</v>
      </c>
      <c r="G43" s="12" t="s">
        <v>1397</v>
      </c>
      <c r="H43" s="12" t="s">
        <v>1398</v>
      </c>
    </row>
    <row r="44" spans="1:8" x14ac:dyDescent="0.2">
      <c r="A44" s="12" t="s">
        <v>484</v>
      </c>
      <c r="B44" s="12" t="s">
        <v>1514</v>
      </c>
      <c r="C44" s="12" t="s">
        <v>590</v>
      </c>
      <c r="D44" s="12" t="s">
        <v>589</v>
      </c>
      <c r="E44" s="12" t="s">
        <v>483</v>
      </c>
      <c r="F44" s="72">
        <v>124</v>
      </c>
      <c r="G44" s="12" t="s">
        <v>1397</v>
      </c>
      <c r="H44" s="12" t="s">
        <v>1398</v>
      </c>
    </row>
    <row r="45" spans="1:8" x14ac:dyDescent="0.2">
      <c r="A45" s="12" t="s">
        <v>480</v>
      </c>
      <c r="B45" s="12" t="s">
        <v>1513</v>
      </c>
      <c r="C45" s="12" t="s">
        <v>1086</v>
      </c>
      <c r="D45" s="12" t="s">
        <v>591</v>
      </c>
      <c r="E45" s="12" t="s">
        <v>479</v>
      </c>
      <c r="F45" s="72">
        <v>132</v>
      </c>
      <c r="G45" s="12" t="s">
        <v>1397</v>
      </c>
      <c r="H45" s="12" t="s">
        <v>1398</v>
      </c>
    </row>
    <row r="46" spans="1:8" x14ac:dyDescent="0.2">
      <c r="A46" s="12" t="s">
        <v>486</v>
      </c>
      <c r="B46" s="12" t="s">
        <v>1500</v>
      </c>
      <c r="C46" s="12" t="s">
        <v>593</v>
      </c>
      <c r="D46" s="12" t="s">
        <v>592</v>
      </c>
      <c r="E46" s="12" t="s">
        <v>485</v>
      </c>
      <c r="F46" s="72">
        <v>136</v>
      </c>
      <c r="G46" s="12" t="s">
        <v>1397</v>
      </c>
      <c r="H46" s="12" t="s">
        <v>1398</v>
      </c>
    </row>
    <row r="47" spans="1:8" x14ac:dyDescent="0.2">
      <c r="A47" s="12" t="s">
        <v>490</v>
      </c>
      <c r="B47" s="12" t="s">
        <v>1656</v>
      </c>
      <c r="C47" s="12" t="s">
        <v>595</v>
      </c>
      <c r="D47" s="12" t="s">
        <v>594</v>
      </c>
      <c r="E47" s="12" t="s">
        <v>489</v>
      </c>
      <c r="F47" s="72">
        <v>140</v>
      </c>
      <c r="G47" s="12" t="s">
        <v>1397</v>
      </c>
      <c r="H47" s="12" t="s">
        <v>1398</v>
      </c>
    </row>
    <row r="48" spans="1:8" x14ac:dyDescent="0.2">
      <c r="A48" s="12" t="s">
        <v>488</v>
      </c>
      <c r="B48" s="12" t="s">
        <v>1647</v>
      </c>
      <c r="C48" s="12" t="s">
        <v>597</v>
      </c>
      <c r="D48" s="12" t="s">
        <v>596</v>
      </c>
      <c r="E48" s="12" t="s">
        <v>487</v>
      </c>
      <c r="F48" s="72">
        <v>148</v>
      </c>
      <c r="G48" s="12" t="s">
        <v>1397</v>
      </c>
      <c r="H48" s="12" t="s">
        <v>1398</v>
      </c>
    </row>
    <row r="49" spans="1:8" x14ac:dyDescent="0.2">
      <c r="A49" s="12" t="s">
        <v>494</v>
      </c>
      <c r="B49" s="12" t="s">
        <v>1686</v>
      </c>
      <c r="C49" s="12" t="s">
        <v>599</v>
      </c>
      <c r="D49" s="12" t="s">
        <v>598</v>
      </c>
      <c r="E49" s="12" t="s">
        <v>493</v>
      </c>
      <c r="F49" s="72">
        <v>152</v>
      </c>
      <c r="G49" s="12" t="s">
        <v>1397</v>
      </c>
      <c r="H49" s="12" t="s">
        <v>1398</v>
      </c>
    </row>
    <row r="50" spans="1:8" x14ac:dyDescent="0.2">
      <c r="A50" s="12" t="s">
        <v>496</v>
      </c>
      <c r="B50" s="12" t="s">
        <v>1685</v>
      </c>
      <c r="C50" s="12" t="s">
        <v>601</v>
      </c>
      <c r="D50" s="12" t="s">
        <v>600</v>
      </c>
      <c r="E50" s="12" t="s">
        <v>495</v>
      </c>
      <c r="F50" s="72">
        <v>156</v>
      </c>
      <c r="G50" s="12" t="s">
        <v>1397</v>
      </c>
      <c r="H50" s="12" t="s">
        <v>1398</v>
      </c>
    </row>
    <row r="51" spans="1:8" x14ac:dyDescent="0.2">
      <c r="A51" s="12" t="s">
        <v>492</v>
      </c>
      <c r="B51" s="12" t="s">
        <v>1488</v>
      </c>
      <c r="C51" s="12" t="s">
        <v>603</v>
      </c>
      <c r="D51" s="12" t="s">
        <v>602</v>
      </c>
      <c r="E51" s="12" t="s">
        <v>491</v>
      </c>
      <c r="F51" s="72">
        <v>162</v>
      </c>
      <c r="G51" s="12" t="s">
        <v>1397</v>
      </c>
      <c r="H51" s="12" t="s">
        <v>1398</v>
      </c>
    </row>
    <row r="52" spans="1:8" x14ac:dyDescent="0.2">
      <c r="A52" s="12" t="s">
        <v>1460</v>
      </c>
      <c r="B52" s="12" t="s">
        <v>1461</v>
      </c>
      <c r="C52" s="12" t="s">
        <v>606</v>
      </c>
      <c r="D52" s="12" t="s">
        <v>605</v>
      </c>
      <c r="E52" s="12" t="s">
        <v>604</v>
      </c>
      <c r="F52" s="72">
        <v>905</v>
      </c>
      <c r="G52" s="12" t="s">
        <v>1397</v>
      </c>
      <c r="H52" s="12" t="s">
        <v>1398</v>
      </c>
    </row>
    <row r="53" spans="1:8" x14ac:dyDescent="0.2">
      <c r="A53" s="12" t="s">
        <v>305</v>
      </c>
      <c r="B53" s="12" t="s">
        <v>1589</v>
      </c>
      <c r="C53" s="12" t="s">
        <v>608</v>
      </c>
      <c r="D53" s="12" t="s">
        <v>607</v>
      </c>
      <c r="E53" s="12" t="s">
        <v>304</v>
      </c>
      <c r="F53" s="72">
        <v>166</v>
      </c>
      <c r="G53" s="12" t="s">
        <v>1397</v>
      </c>
      <c r="H53" s="12" t="s">
        <v>1398</v>
      </c>
    </row>
    <row r="54" spans="1:8" x14ac:dyDescent="0.2">
      <c r="A54" s="12" t="s">
        <v>303</v>
      </c>
      <c r="B54" s="12" t="s">
        <v>1573</v>
      </c>
      <c r="C54" s="12" t="s">
        <v>610</v>
      </c>
      <c r="D54" s="12" t="s">
        <v>609</v>
      </c>
      <c r="E54" s="12" t="s">
        <v>302</v>
      </c>
      <c r="F54" s="72">
        <v>170</v>
      </c>
      <c r="G54" s="12" t="s">
        <v>1397</v>
      </c>
      <c r="H54" s="12" t="s">
        <v>1398</v>
      </c>
    </row>
    <row r="55" spans="1:8" x14ac:dyDescent="0.2">
      <c r="A55" s="12" t="s">
        <v>309</v>
      </c>
      <c r="B55" s="12" t="s">
        <v>1555</v>
      </c>
      <c r="C55" s="12" t="s">
        <v>612</v>
      </c>
      <c r="D55" s="12" t="s">
        <v>611</v>
      </c>
      <c r="E55" s="12" t="s">
        <v>308</v>
      </c>
      <c r="F55" s="72">
        <v>174</v>
      </c>
      <c r="G55" s="12" t="s">
        <v>1397</v>
      </c>
      <c r="H55" s="12" t="s">
        <v>1398</v>
      </c>
    </row>
    <row r="56" spans="1:8" x14ac:dyDescent="0.2">
      <c r="A56" s="12" t="s">
        <v>307</v>
      </c>
      <c r="B56" s="12" t="s">
        <v>1617</v>
      </c>
      <c r="C56" s="12" t="s">
        <v>614</v>
      </c>
      <c r="D56" s="12" t="s">
        <v>613</v>
      </c>
      <c r="E56" s="12" t="s">
        <v>306</v>
      </c>
      <c r="F56" s="72">
        <v>178</v>
      </c>
      <c r="G56" s="12" t="s">
        <v>1397</v>
      </c>
      <c r="H56" s="12" t="s">
        <v>1398</v>
      </c>
    </row>
    <row r="57" spans="1:8" x14ac:dyDescent="0.2">
      <c r="A57" s="12" t="s">
        <v>329</v>
      </c>
      <c r="B57" s="12" t="s">
        <v>1405</v>
      </c>
      <c r="C57" s="12" t="s">
        <v>616</v>
      </c>
      <c r="D57" s="12" t="s">
        <v>615</v>
      </c>
      <c r="E57" s="12" t="s">
        <v>328</v>
      </c>
      <c r="F57" s="72">
        <v>180</v>
      </c>
      <c r="G57" s="12" t="s">
        <v>1397</v>
      </c>
      <c r="H57" s="12" t="s">
        <v>1398</v>
      </c>
    </row>
    <row r="58" spans="1:8" x14ac:dyDescent="0.2">
      <c r="A58" s="12" t="s">
        <v>313</v>
      </c>
      <c r="B58" s="12" t="s">
        <v>1616</v>
      </c>
      <c r="C58" s="12" t="s">
        <v>618</v>
      </c>
      <c r="D58" s="12" t="s">
        <v>617</v>
      </c>
      <c r="E58" s="12" t="s">
        <v>312</v>
      </c>
      <c r="F58" s="72">
        <v>184</v>
      </c>
      <c r="G58" s="12" t="s">
        <v>1397</v>
      </c>
      <c r="H58" s="12" t="s">
        <v>1398</v>
      </c>
    </row>
    <row r="59" spans="1:8" x14ac:dyDescent="0.2">
      <c r="A59" s="12" t="s">
        <v>1470</v>
      </c>
      <c r="B59" s="12" t="s">
        <v>1471</v>
      </c>
      <c r="C59" s="12" t="s">
        <v>621</v>
      </c>
      <c r="D59" s="12" t="s">
        <v>620</v>
      </c>
      <c r="E59" s="12" t="s">
        <v>619</v>
      </c>
      <c r="F59" s="72">
        <v>906</v>
      </c>
      <c r="G59" s="12" t="s">
        <v>1397</v>
      </c>
      <c r="H59" s="12" t="s">
        <v>1398</v>
      </c>
    </row>
    <row r="60" spans="1:8" x14ac:dyDescent="0.2">
      <c r="A60" s="12" t="s">
        <v>317</v>
      </c>
      <c r="B60" s="12" t="s">
        <v>1600</v>
      </c>
      <c r="C60" s="12" t="s">
        <v>623</v>
      </c>
      <c r="D60" s="12" t="s">
        <v>622</v>
      </c>
      <c r="E60" s="12" t="s">
        <v>316</v>
      </c>
      <c r="F60" s="72">
        <v>188</v>
      </c>
      <c r="G60" s="12" t="s">
        <v>1397</v>
      </c>
      <c r="H60" s="12" t="s">
        <v>1398</v>
      </c>
    </row>
    <row r="61" spans="1:8" x14ac:dyDescent="0.2">
      <c r="A61" s="12" t="s">
        <v>315</v>
      </c>
      <c r="B61" s="12" t="s">
        <v>1516</v>
      </c>
      <c r="C61" s="12" t="s">
        <v>1517</v>
      </c>
      <c r="D61" s="12" t="s">
        <v>624</v>
      </c>
      <c r="E61" s="12" t="s">
        <v>314</v>
      </c>
      <c r="F61" s="72">
        <v>384</v>
      </c>
      <c r="G61" s="12" t="s">
        <v>1397</v>
      </c>
      <c r="H61" s="12" t="s">
        <v>1398</v>
      </c>
    </row>
    <row r="62" spans="1:8" x14ac:dyDescent="0.2">
      <c r="A62" s="12" t="s">
        <v>319</v>
      </c>
      <c r="B62" s="12" t="s">
        <v>1597</v>
      </c>
      <c r="C62" s="12" t="s">
        <v>626</v>
      </c>
      <c r="D62" s="12" t="s">
        <v>625</v>
      </c>
      <c r="E62" s="12" t="s">
        <v>318</v>
      </c>
      <c r="F62" s="72">
        <v>191</v>
      </c>
      <c r="G62" s="12" t="s">
        <v>1397</v>
      </c>
      <c r="H62" s="12" t="s">
        <v>1398</v>
      </c>
    </row>
    <row r="63" spans="1:8" x14ac:dyDescent="0.2">
      <c r="A63" s="12" t="s">
        <v>311</v>
      </c>
      <c r="B63" s="12" t="s">
        <v>1598</v>
      </c>
      <c r="C63" s="12" t="s">
        <v>628</v>
      </c>
      <c r="D63" s="12" t="s">
        <v>627</v>
      </c>
      <c r="E63" s="12" t="s">
        <v>310</v>
      </c>
      <c r="F63" s="72">
        <v>192</v>
      </c>
      <c r="G63" s="12" t="s">
        <v>1397</v>
      </c>
      <c r="H63" s="12" t="s">
        <v>1398</v>
      </c>
    </row>
    <row r="64" spans="1:8" x14ac:dyDescent="0.2">
      <c r="A64" s="12" t="s">
        <v>321</v>
      </c>
      <c r="B64" s="12" t="s">
        <v>1545</v>
      </c>
      <c r="C64" s="12" t="s">
        <v>630</v>
      </c>
      <c r="D64" s="12" t="s">
        <v>629</v>
      </c>
      <c r="E64" s="12" t="s">
        <v>320</v>
      </c>
      <c r="F64" s="72">
        <v>531</v>
      </c>
      <c r="G64" s="12" t="s">
        <v>1397</v>
      </c>
      <c r="H64" s="12" t="s">
        <v>1398</v>
      </c>
    </row>
    <row r="65" spans="1:8" x14ac:dyDescent="0.2">
      <c r="A65" s="12" t="s">
        <v>323</v>
      </c>
      <c r="B65" s="12" t="s">
        <v>1512</v>
      </c>
      <c r="C65" s="12" t="s">
        <v>632</v>
      </c>
      <c r="D65" s="12" t="s">
        <v>631</v>
      </c>
      <c r="E65" s="12" t="s">
        <v>322</v>
      </c>
      <c r="F65" s="72">
        <v>196</v>
      </c>
      <c r="G65" s="12" t="s">
        <v>1397</v>
      </c>
      <c r="H65" s="12" t="s">
        <v>1398</v>
      </c>
    </row>
    <row r="66" spans="1:8" x14ac:dyDescent="0.2">
      <c r="A66" s="12" t="s">
        <v>325</v>
      </c>
      <c r="B66" s="12" t="s">
        <v>1479</v>
      </c>
      <c r="C66" s="12" t="s">
        <v>634</v>
      </c>
      <c r="D66" s="12" t="s">
        <v>633</v>
      </c>
      <c r="E66" s="12" t="s">
        <v>324</v>
      </c>
      <c r="F66" s="72">
        <v>203</v>
      </c>
      <c r="G66" s="12" t="s">
        <v>1397</v>
      </c>
      <c r="H66" s="12" t="s">
        <v>1398</v>
      </c>
    </row>
    <row r="67" spans="1:8" x14ac:dyDescent="0.2">
      <c r="A67" s="12" t="s">
        <v>327</v>
      </c>
      <c r="B67" s="12" t="s">
        <v>1499</v>
      </c>
      <c r="C67" s="12" t="s">
        <v>636</v>
      </c>
      <c r="D67" s="12" t="s">
        <v>635</v>
      </c>
      <c r="E67" s="12" t="s">
        <v>326</v>
      </c>
      <c r="F67" s="72">
        <v>208</v>
      </c>
      <c r="G67" s="12" t="s">
        <v>1397</v>
      </c>
      <c r="H67" s="12" t="s">
        <v>1398</v>
      </c>
    </row>
    <row r="68" spans="1:8" x14ac:dyDescent="0.2">
      <c r="A68" s="12" t="s">
        <v>1695</v>
      </c>
      <c r="B68" s="12" t="s">
        <v>1696</v>
      </c>
      <c r="C68" s="12" t="s">
        <v>639</v>
      </c>
      <c r="D68" s="12" t="s">
        <v>638</v>
      </c>
      <c r="E68" s="12" t="s">
        <v>637</v>
      </c>
      <c r="F68" s="72">
        <v>907</v>
      </c>
      <c r="G68" s="12" t="s">
        <v>1397</v>
      </c>
      <c r="H68" s="12" t="s">
        <v>1398</v>
      </c>
    </row>
    <row r="69" spans="1:8" x14ac:dyDescent="0.2">
      <c r="A69" s="12" t="s">
        <v>1468</v>
      </c>
      <c r="B69" s="12" t="s">
        <v>1469</v>
      </c>
      <c r="C69" s="12" t="s">
        <v>642</v>
      </c>
      <c r="D69" s="12" t="s">
        <v>641</v>
      </c>
      <c r="E69" s="12" t="s">
        <v>640</v>
      </c>
      <c r="F69" s="72">
        <v>908</v>
      </c>
      <c r="G69" s="12" t="s">
        <v>1397</v>
      </c>
      <c r="H69" s="12" t="s">
        <v>1398</v>
      </c>
    </row>
    <row r="70" spans="1:8" x14ac:dyDescent="0.2">
      <c r="A70" s="12" t="s">
        <v>333</v>
      </c>
      <c r="B70" s="12" t="s">
        <v>1510</v>
      </c>
      <c r="C70" s="12" t="s">
        <v>644</v>
      </c>
      <c r="D70" s="12" t="s">
        <v>643</v>
      </c>
      <c r="E70" s="12" t="s">
        <v>332</v>
      </c>
      <c r="F70" s="72">
        <v>262</v>
      </c>
      <c r="G70" s="12" t="s">
        <v>1397</v>
      </c>
      <c r="H70" s="12" t="s">
        <v>1398</v>
      </c>
    </row>
    <row r="71" spans="1:8" x14ac:dyDescent="0.2">
      <c r="A71" s="12" t="s">
        <v>331</v>
      </c>
      <c r="B71" s="12" t="s">
        <v>1623</v>
      </c>
      <c r="C71" s="12" t="s">
        <v>646</v>
      </c>
      <c r="D71" s="12" t="s">
        <v>645</v>
      </c>
      <c r="E71" s="12" t="s">
        <v>330</v>
      </c>
      <c r="F71" s="72">
        <v>212</v>
      </c>
      <c r="G71" s="12" t="s">
        <v>1397</v>
      </c>
      <c r="H71" s="12" t="s">
        <v>1398</v>
      </c>
    </row>
    <row r="72" spans="1:8" x14ac:dyDescent="0.2">
      <c r="A72" s="12" t="s">
        <v>335</v>
      </c>
      <c r="B72" s="12" t="s">
        <v>1625</v>
      </c>
      <c r="C72" s="12" t="s">
        <v>648</v>
      </c>
      <c r="D72" s="12" t="s">
        <v>647</v>
      </c>
      <c r="E72" s="12" t="s">
        <v>334</v>
      </c>
      <c r="F72" s="72">
        <v>214</v>
      </c>
      <c r="G72" s="12" t="s">
        <v>1397</v>
      </c>
      <c r="H72" s="12" t="s">
        <v>1398</v>
      </c>
    </row>
    <row r="73" spans="1:8" x14ac:dyDescent="0.2">
      <c r="A73" s="12" t="s">
        <v>337</v>
      </c>
      <c r="B73" s="12" t="s">
        <v>1603</v>
      </c>
      <c r="C73" s="12" t="s">
        <v>650</v>
      </c>
      <c r="D73" s="12" t="s">
        <v>649</v>
      </c>
      <c r="E73" s="12" t="s">
        <v>336</v>
      </c>
      <c r="F73" s="72">
        <v>218</v>
      </c>
      <c r="G73" s="12" t="s">
        <v>1397</v>
      </c>
      <c r="H73" s="12" t="s">
        <v>1398</v>
      </c>
    </row>
    <row r="74" spans="1:8" x14ac:dyDescent="0.2">
      <c r="A74" s="12" t="s">
        <v>341</v>
      </c>
      <c r="B74" s="12" t="s">
        <v>1607</v>
      </c>
      <c r="C74" s="12" t="s">
        <v>652</v>
      </c>
      <c r="D74" s="12" t="s">
        <v>651</v>
      </c>
      <c r="E74" s="12" t="s">
        <v>340</v>
      </c>
      <c r="F74" s="72">
        <v>818</v>
      </c>
      <c r="G74" s="12" t="s">
        <v>1397</v>
      </c>
      <c r="H74" s="12" t="s">
        <v>1398</v>
      </c>
    </row>
    <row r="75" spans="1:8" x14ac:dyDescent="0.2">
      <c r="A75" s="12" t="s">
        <v>339</v>
      </c>
      <c r="B75" s="12" t="s">
        <v>1608</v>
      </c>
      <c r="C75" s="12" t="s">
        <v>654</v>
      </c>
      <c r="D75" s="12" t="s">
        <v>653</v>
      </c>
      <c r="E75" s="12" t="s">
        <v>338</v>
      </c>
      <c r="F75" s="72">
        <v>222</v>
      </c>
      <c r="G75" s="12" t="s">
        <v>1397</v>
      </c>
      <c r="H75" s="12" t="s">
        <v>1398</v>
      </c>
    </row>
    <row r="76" spans="1:8" x14ac:dyDescent="0.2">
      <c r="A76" s="12" t="s">
        <v>349</v>
      </c>
      <c r="B76" s="12" t="s">
        <v>1565</v>
      </c>
      <c r="C76" s="12" t="s">
        <v>666</v>
      </c>
      <c r="D76" s="12" t="s">
        <v>665</v>
      </c>
      <c r="E76" s="12" t="s">
        <v>348</v>
      </c>
      <c r="F76" s="72">
        <v>226</v>
      </c>
      <c r="G76" s="12" t="s">
        <v>1397</v>
      </c>
      <c r="H76" s="12" t="s">
        <v>1398</v>
      </c>
    </row>
    <row r="77" spans="1:8" x14ac:dyDescent="0.2">
      <c r="A77" s="12" t="s">
        <v>351</v>
      </c>
      <c r="B77" s="12" t="s">
        <v>1566</v>
      </c>
      <c r="C77" s="12" t="s">
        <v>668</v>
      </c>
      <c r="D77" s="12" t="s">
        <v>667</v>
      </c>
      <c r="E77" s="12" t="s">
        <v>350</v>
      </c>
      <c r="F77" s="72">
        <v>232</v>
      </c>
      <c r="G77" s="12" t="s">
        <v>1397</v>
      </c>
      <c r="H77" s="12" t="s">
        <v>1398</v>
      </c>
    </row>
    <row r="78" spans="1:8" x14ac:dyDescent="0.2">
      <c r="A78" s="12" t="s">
        <v>345</v>
      </c>
      <c r="B78" s="12" t="s">
        <v>1708</v>
      </c>
      <c r="C78" s="12" t="s">
        <v>670</v>
      </c>
      <c r="D78" s="12" t="s">
        <v>669</v>
      </c>
      <c r="E78" s="12" t="s">
        <v>344</v>
      </c>
      <c r="F78" s="72">
        <v>233</v>
      </c>
      <c r="G78" s="12" t="s">
        <v>1397</v>
      </c>
      <c r="H78" s="12" t="s">
        <v>1398</v>
      </c>
    </row>
    <row r="79" spans="1:8" x14ac:dyDescent="0.2">
      <c r="A79" s="12" t="s">
        <v>347</v>
      </c>
      <c r="B79" s="12" t="s">
        <v>1706</v>
      </c>
      <c r="C79" s="12" t="s">
        <v>672</v>
      </c>
      <c r="D79" s="12" t="s">
        <v>671</v>
      </c>
      <c r="E79" s="12" t="s">
        <v>346</v>
      </c>
      <c r="F79" s="72">
        <v>231</v>
      </c>
      <c r="G79" s="12" t="s">
        <v>1397</v>
      </c>
      <c r="H79" s="12" t="s">
        <v>1398</v>
      </c>
    </row>
    <row r="80" spans="1:8" x14ac:dyDescent="0.2">
      <c r="A80" s="12" t="s">
        <v>1441</v>
      </c>
      <c r="B80" s="12" t="s">
        <v>1442</v>
      </c>
      <c r="C80" s="12" t="s">
        <v>675</v>
      </c>
      <c r="D80" s="12" t="s">
        <v>674</v>
      </c>
      <c r="E80" s="12" t="s">
        <v>673</v>
      </c>
      <c r="F80" s="72">
        <v>915</v>
      </c>
      <c r="G80" s="12" t="s">
        <v>1397</v>
      </c>
      <c r="H80" s="12" t="s">
        <v>1398</v>
      </c>
    </row>
    <row r="81" spans="1:8" x14ac:dyDescent="0.2">
      <c r="A81" s="12" t="s">
        <v>353</v>
      </c>
      <c r="B81" s="12" t="s">
        <v>1709</v>
      </c>
      <c r="C81" s="12" t="s">
        <v>677</v>
      </c>
      <c r="D81" s="12" t="s">
        <v>676</v>
      </c>
      <c r="E81" s="12" t="s">
        <v>352</v>
      </c>
      <c r="F81" s="72">
        <v>238</v>
      </c>
      <c r="G81" s="12" t="s">
        <v>1397</v>
      </c>
      <c r="H81" s="12" t="s">
        <v>1398</v>
      </c>
    </row>
    <row r="82" spans="1:8" x14ac:dyDescent="0.2">
      <c r="A82" s="12" t="s">
        <v>355</v>
      </c>
      <c r="B82" s="12" t="s">
        <v>1688</v>
      </c>
      <c r="C82" s="12" t="s">
        <v>679</v>
      </c>
      <c r="D82" s="12" t="s">
        <v>678</v>
      </c>
      <c r="E82" s="12" t="s">
        <v>354</v>
      </c>
      <c r="F82" s="72">
        <v>234</v>
      </c>
      <c r="G82" s="12" t="s">
        <v>1397</v>
      </c>
      <c r="H82" s="12" t="s">
        <v>1398</v>
      </c>
    </row>
    <row r="83" spans="1:8" x14ac:dyDescent="0.2">
      <c r="A83" s="12" t="s">
        <v>357</v>
      </c>
      <c r="B83" s="12" t="s">
        <v>1669</v>
      </c>
      <c r="C83" s="12" t="s">
        <v>681</v>
      </c>
      <c r="D83" s="12" t="s">
        <v>680</v>
      </c>
      <c r="E83" s="12" t="s">
        <v>356</v>
      </c>
      <c r="F83" s="72">
        <v>242</v>
      </c>
      <c r="G83" s="12" t="s">
        <v>1397</v>
      </c>
      <c r="H83" s="12" t="s">
        <v>1398</v>
      </c>
    </row>
    <row r="84" spans="1:8" x14ac:dyDescent="0.2">
      <c r="A84" s="12" t="s">
        <v>359</v>
      </c>
      <c r="B84" s="12" t="s">
        <v>1676</v>
      </c>
      <c r="C84" s="12" t="s">
        <v>683</v>
      </c>
      <c r="D84" s="12" t="s">
        <v>682</v>
      </c>
      <c r="E84" s="12" t="s">
        <v>358</v>
      </c>
      <c r="F84" s="72">
        <v>246</v>
      </c>
      <c r="G84" s="12" t="s">
        <v>1397</v>
      </c>
      <c r="H84" s="12" t="s">
        <v>1398</v>
      </c>
    </row>
    <row r="85" spans="1:8" x14ac:dyDescent="0.2">
      <c r="A85" s="12" t="s">
        <v>367</v>
      </c>
      <c r="B85" s="12" t="s">
        <v>1650</v>
      </c>
      <c r="C85" s="12" t="s">
        <v>685</v>
      </c>
      <c r="D85" s="12" t="s">
        <v>684</v>
      </c>
      <c r="E85" s="12" t="s">
        <v>366</v>
      </c>
      <c r="F85" s="72">
        <v>250</v>
      </c>
      <c r="G85" s="12" t="s">
        <v>1397</v>
      </c>
      <c r="H85" s="12" t="s">
        <v>1398</v>
      </c>
    </row>
    <row r="86" spans="1:8" x14ac:dyDescent="0.2">
      <c r="A86" s="12" t="s">
        <v>363</v>
      </c>
      <c r="B86" s="12" t="s">
        <v>1654</v>
      </c>
      <c r="C86" s="12" t="s">
        <v>687</v>
      </c>
      <c r="D86" s="12" t="s">
        <v>686</v>
      </c>
      <c r="E86" s="12" t="s">
        <v>362</v>
      </c>
      <c r="F86" s="72">
        <v>254</v>
      </c>
      <c r="G86" s="12" t="s">
        <v>1397</v>
      </c>
      <c r="H86" s="12" t="s">
        <v>1398</v>
      </c>
    </row>
    <row r="87" spans="1:8" x14ac:dyDescent="0.2">
      <c r="A87" s="12" t="s">
        <v>369</v>
      </c>
      <c r="B87" s="12" t="s">
        <v>1652</v>
      </c>
      <c r="C87" s="12" t="s">
        <v>689</v>
      </c>
      <c r="D87" s="12" t="s">
        <v>688</v>
      </c>
      <c r="E87" s="12" t="s">
        <v>368</v>
      </c>
      <c r="F87" s="72">
        <v>258</v>
      </c>
      <c r="G87" s="12" t="s">
        <v>1397</v>
      </c>
      <c r="H87" s="12" t="s">
        <v>1398</v>
      </c>
    </row>
    <row r="88" spans="1:8" x14ac:dyDescent="0.2">
      <c r="A88" s="12" t="s">
        <v>365</v>
      </c>
      <c r="B88" s="12" t="s">
        <v>1558</v>
      </c>
      <c r="C88" s="12" t="s">
        <v>691</v>
      </c>
      <c r="D88" s="12" t="s">
        <v>690</v>
      </c>
      <c r="E88" s="12" t="s">
        <v>364</v>
      </c>
      <c r="F88" s="72">
        <v>260</v>
      </c>
      <c r="G88" s="12" t="s">
        <v>1397</v>
      </c>
      <c r="H88" s="12" t="s">
        <v>1398</v>
      </c>
    </row>
    <row r="89" spans="1:8" x14ac:dyDescent="0.2">
      <c r="A89" s="12" t="s">
        <v>373</v>
      </c>
      <c r="B89" s="12" t="s">
        <v>1659</v>
      </c>
      <c r="C89" s="12" t="s">
        <v>693</v>
      </c>
      <c r="D89" s="12" t="s">
        <v>692</v>
      </c>
      <c r="E89" s="12" t="s">
        <v>372</v>
      </c>
      <c r="F89" s="72">
        <v>266</v>
      </c>
      <c r="G89" s="12" t="s">
        <v>1397</v>
      </c>
      <c r="H89" s="12" t="s">
        <v>1398</v>
      </c>
    </row>
    <row r="90" spans="1:8" x14ac:dyDescent="0.2">
      <c r="A90" s="12" t="s">
        <v>1439</v>
      </c>
      <c r="B90" s="12" t="s">
        <v>1440</v>
      </c>
      <c r="C90" s="12" t="s">
        <v>698</v>
      </c>
      <c r="D90" s="12" t="s">
        <v>697</v>
      </c>
      <c r="E90" s="12" t="s">
        <v>696</v>
      </c>
      <c r="F90" s="72">
        <v>916</v>
      </c>
      <c r="G90" s="12" t="s">
        <v>1397</v>
      </c>
      <c r="H90" s="12" t="s">
        <v>1398</v>
      </c>
    </row>
    <row r="91" spans="1:8" x14ac:dyDescent="0.2">
      <c r="A91" s="12" t="s">
        <v>1474</v>
      </c>
      <c r="B91" s="12" t="s">
        <v>1475</v>
      </c>
      <c r="C91" s="12" t="s">
        <v>656</v>
      </c>
      <c r="E91" s="12" t="s">
        <v>655</v>
      </c>
      <c r="F91" s="72">
        <v>909</v>
      </c>
      <c r="G91" s="12" t="s">
        <v>1397</v>
      </c>
      <c r="H91" s="12" t="s">
        <v>1398</v>
      </c>
    </row>
    <row r="92" spans="1:8" x14ac:dyDescent="0.2">
      <c r="A92" s="12" t="s">
        <v>1472</v>
      </c>
      <c r="B92" s="12" t="s">
        <v>1473</v>
      </c>
      <c r="C92" s="12" t="s">
        <v>658</v>
      </c>
      <c r="E92" s="12" t="s">
        <v>657</v>
      </c>
      <c r="F92" s="72">
        <v>910</v>
      </c>
      <c r="G92" s="12" t="s">
        <v>1397</v>
      </c>
      <c r="H92" s="12" t="s">
        <v>1398</v>
      </c>
    </row>
    <row r="93" spans="1:8" x14ac:dyDescent="0.2">
      <c r="A93" s="12" t="s">
        <v>1466</v>
      </c>
      <c r="B93" s="12" t="s">
        <v>1467</v>
      </c>
      <c r="C93" s="12" t="s">
        <v>660</v>
      </c>
      <c r="E93" s="12" t="s">
        <v>659</v>
      </c>
      <c r="F93" s="72">
        <v>911</v>
      </c>
      <c r="G93" s="12" t="s">
        <v>1397</v>
      </c>
      <c r="H93" s="12" t="s">
        <v>1398</v>
      </c>
    </row>
    <row r="94" spans="1:8" x14ac:dyDescent="0.2">
      <c r="A94" s="12" t="s">
        <v>1448</v>
      </c>
      <c r="B94" s="12" t="s">
        <v>1449</v>
      </c>
      <c r="C94" s="12" t="s">
        <v>662</v>
      </c>
      <c r="E94" s="12" t="s">
        <v>661</v>
      </c>
      <c r="F94" s="72">
        <v>912</v>
      </c>
      <c r="G94" s="12" t="s">
        <v>1397</v>
      </c>
      <c r="H94" s="12" t="s">
        <v>1398</v>
      </c>
    </row>
    <row r="95" spans="1:8" x14ac:dyDescent="0.2">
      <c r="A95" s="12" t="s">
        <v>1445</v>
      </c>
      <c r="B95" s="12" t="s">
        <v>1446</v>
      </c>
      <c r="C95" s="12" t="s">
        <v>664</v>
      </c>
      <c r="E95" s="12" t="s">
        <v>663</v>
      </c>
      <c r="F95" s="72">
        <v>913</v>
      </c>
      <c r="G95" s="12" t="s">
        <v>1397</v>
      </c>
      <c r="H95" s="12" t="s">
        <v>1398</v>
      </c>
    </row>
    <row r="96" spans="1:8" x14ac:dyDescent="0.2">
      <c r="A96" s="12" t="s">
        <v>1443</v>
      </c>
      <c r="B96" s="12" t="s">
        <v>1444</v>
      </c>
      <c r="C96" s="12" t="s">
        <v>1091</v>
      </c>
      <c r="D96" s="12" t="s">
        <v>1089</v>
      </c>
      <c r="E96" s="12" t="s">
        <v>1090</v>
      </c>
      <c r="F96" s="72">
        <v>914</v>
      </c>
      <c r="G96" s="12" t="s">
        <v>1397</v>
      </c>
      <c r="H96" s="12" t="s">
        <v>1398</v>
      </c>
    </row>
    <row r="97" spans="1:8" x14ac:dyDescent="0.2">
      <c r="A97" s="12" t="s">
        <v>377</v>
      </c>
      <c r="B97" s="12" t="s">
        <v>1537</v>
      </c>
      <c r="C97" s="12" t="s">
        <v>700</v>
      </c>
      <c r="D97" s="12" t="s">
        <v>699</v>
      </c>
      <c r="E97" s="12" t="s">
        <v>376</v>
      </c>
      <c r="F97" s="72">
        <v>268</v>
      </c>
      <c r="G97" s="12" t="s">
        <v>1397</v>
      </c>
      <c r="H97" s="12" t="s">
        <v>1398</v>
      </c>
    </row>
    <row r="98" spans="1:8" x14ac:dyDescent="0.2">
      <c r="A98" s="12" t="s">
        <v>375</v>
      </c>
      <c r="B98" s="12" t="s">
        <v>1587</v>
      </c>
      <c r="C98" s="12" t="s">
        <v>702</v>
      </c>
      <c r="D98" s="12" t="s">
        <v>701</v>
      </c>
      <c r="E98" s="12" t="s">
        <v>374</v>
      </c>
      <c r="F98" s="72">
        <v>276</v>
      </c>
      <c r="G98" s="12" t="s">
        <v>1397</v>
      </c>
      <c r="H98" s="12" t="s">
        <v>1398</v>
      </c>
    </row>
    <row r="99" spans="1:8" x14ac:dyDescent="0.2">
      <c r="A99" s="12" t="s">
        <v>381</v>
      </c>
      <c r="B99" s="12" t="s">
        <v>1501</v>
      </c>
      <c r="C99" s="12" t="s">
        <v>704</v>
      </c>
      <c r="D99" s="12" t="s">
        <v>703</v>
      </c>
      <c r="E99" s="12" t="s">
        <v>380</v>
      </c>
      <c r="F99" s="72">
        <v>288</v>
      </c>
      <c r="G99" s="12" t="s">
        <v>1397</v>
      </c>
      <c r="H99" s="12" t="s">
        <v>1398</v>
      </c>
    </row>
    <row r="100" spans="1:8" x14ac:dyDescent="0.2">
      <c r="A100" s="12" t="s">
        <v>379</v>
      </c>
      <c r="B100" s="12" t="s">
        <v>1585</v>
      </c>
      <c r="C100" s="12" t="s">
        <v>706</v>
      </c>
      <c r="D100" s="12" t="s">
        <v>705</v>
      </c>
      <c r="E100" s="12" t="s">
        <v>378</v>
      </c>
      <c r="F100" s="72">
        <v>292</v>
      </c>
      <c r="G100" s="12" t="s">
        <v>1397</v>
      </c>
      <c r="H100" s="12" t="s">
        <v>1398</v>
      </c>
    </row>
    <row r="101" spans="1:8" x14ac:dyDescent="0.2">
      <c r="A101" s="12" t="s">
        <v>1437</v>
      </c>
      <c r="B101" s="12" t="s">
        <v>1438</v>
      </c>
      <c r="C101" s="12" t="s">
        <v>709</v>
      </c>
      <c r="D101" s="12" t="s">
        <v>708</v>
      </c>
      <c r="E101" s="12" t="s">
        <v>707</v>
      </c>
      <c r="F101" s="72">
        <v>917</v>
      </c>
      <c r="G101" s="12" t="s">
        <v>1397</v>
      </c>
      <c r="H101" s="12" t="s">
        <v>1398</v>
      </c>
    </row>
    <row r="102" spans="1:8" x14ac:dyDescent="0.2">
      <c r="A102" s="12" t="s">
        <v>391</v>
      </c>
      <c r="B102" s="12" t="s">
        <v>1593</v>
      </c>
      <c r="C102" s="12" t="s">
        <v>711</v>
      </c>
      <c r="D102" s="12" t="s">
        <v>710</v>
      </c>
      <c r="E102" s="12" t="s">
        <v>390</v>
      </c>
      <c r="F102" s="72">
        <v>300</v>
      </c>
      <c r="G102" s="12" t="s">
        <v>1397</v>
      </c>
      <c r="H102" s="12" t="s">
        <v>1398</v>
      </c>
    </row>
    <row r="103" spans="1:8" x14ac:dyDescent="0.2">
      <c r="A103" s="12" t="s">
        <v>199</v>
      </c>
      <c r="B103" s="12" t="s">
        <v>1594</v>
      </c>
      <c r="C103" s="12" t="s">
        <v>713</v>
      </c>
      <c r="D103" s="12" t="s">
        <v>712</v>
      </c>
      <c r="E103" s="12" t="s">
        <v>400</v>
      </c>
      <c r="F103" s="72">
        <v>304</v>
      </c>
      <c r="G103" s="12" t="s">
        <v>1397</v>
      </c>
      <c r="H103" s="12" t="s">
        <v>1398</v>
      </c>
    </row>
    <row r="104" spans="1:8" x14ac:dyDescent="0.2">
      <c r="A104" s="12" t="s">
        <v>395</v>
      </c>
      <c r="B104" s="12" t="s">
        <v>1552</v>
      </c>
      <c r="C104" s="12" t="s">
        <v>715</v>
      </c>
      <c r="D104" s="12" t="s">
        <v>714</v>
      </c>
      <c r="E104" s="12" t="s">
        <v>394</v>
      </c>
      <c r="F104" s="72">
        <v>308</v>
      </c>
      <c r="G104" s="12" t="s">
        <v>1397</v>
      </c>
      <c r="H104" s="12" t="s">
        <v>1398</v>
      </c>
    </row>
    <row r="105" spans="1:8" x14ac:dyDescent="0.2">
      <c r="A105" s="12" t="s">
        <v>387</v>
      </c>
      <c r="B105" s="12" t="s">
        <v>1574</v>
      </c>
      <c r="C105" s="12" t="s">
        <v>717</v>
      </c>
      <c r="D105" s="12" t="s">
        <v>716</v>
      </c>
      <c r="E105" s="12" t="s">
        <v>386</v>
      </c>
      <c r="F105" s="72">
        <v>312</v>
      </c>
      <c r="G105" s="12" t="s">
        <v>1397</v>
      </c>
      <c r="H105" s="12" t="s">
        <v>1398</v>
      </c>
    </row>
    <row r="106" spans="1:8" x14ac:dyDescent="0.2">
      <c r="A106" s="12" t="s">
        <v>399</v>
      </c>
      <c r="B106" s="12" t="s">
        <v>1575</v>
      </c>
      <c r="C106" s="12" t="s">
        <v>719</v>
      </c>
      <c r="D106" s="12" t="s">
        <v>718</v>
      </c>
      <c r="E106" s="12" t="s">
        <v>398</v>
      </c>
      <c r="F106" s="72">
        <v>316</v>
      </c>
      <c r="G106" s="12" t="s">
        <v>1397</v>
      </c>
      <c r="H106" s="12" t="s">
        <v>1398</v>
      </c>
    </row>
    <row r="107" spans="1:8" x14ac:dyDescent="0.2">
      <c r="A107" s="12" t="s">
        <v>1452</v>
      </c>
      <c r="B107" s="12" t="s">
        <v>1453</v>
      </c>
      <c r="C107" s="12" t="s">
        <v>722</v>
      </c>
      <c r="D107" s="12" t="s">
        <v>721</v>
      </c>
      <c r="E107" s="12" t="s">
        <v>720</v>
      </c>
      <c r="F107" s="72">
        <v>918</v>
      </c>
      <c r="G107" s="12" t="s">
        <v>1397</v>
      </c>
      <c r="H107" s="12" t="s">
        <v>1398</v>
      </c>
    </row>
    <row r="108" spans="1:8" x14ac:dyDescent="0.2">
      <c r="A108" s="12" t="s">
        <v>397</v>
      </c>
      <c r="B108" s="12" t="s">
        <v>1577</v>
      </c>
      <c r="C108" s="12" t="s">
        <v>724</v>
      </c>
      <c r="D108" s="12" t="s">
        <v>723</v>
      </c>
      <c r="E108" s="12" t="s">
        <v>396</v>
      </c>
      <c r="F108" s="72">
        <v>320</v>
      </c>
      <c r="G108" s="12" t="s">
        <v>1397</v>
      </c>
      <c r="H108" s="12" t="s">
        <v>1398</v>
      </c>
    </row>
    <row r="109" spans="1:8" x14ac:dyDescent="0.2">
      <c r="A109" s="12" t="s">
        <v>393</v>
      </c>
      <c r="B109" s="12" t="s">
        <v>1694</v>
      </c>
      <c r="C109" s="12" t="s">
        <v>726</v>
      </c>
      <c r="D109" s="12" t="s">
        <v>725</v>
      </c>
      <c r="E109" s="12" t="s">
        <v>392</v>
      </c>
      <c r="F109" s="72">
        <v>831</v>
      </c>
      <c r="G109" s="12" t="s">
        <v>1397</v>
      </c>
      <c r="H109" s="12" t="s">
        <v>1398</v>
      </c>
    </row>
    <row r="110" spans="1:8" x14ac:dyDescent="0.2">
      <c r="A110" s="12" t="s">
        <v>389</v>
      </c>
      <c r="B110" s="12" t="s">
        <v>1579</v>
      </c>
      <c r="C110" s="12" t="s">
        <v>728</v>
      </c>
      <c r="D110" s="12" t="s">
        <v>727</v>
      </c>
      <c r="E110" s="12" t="s">
        <v>388</v>
      </c>
      <c r="F110" s="72">
        <v>324</v>
      </c>
      <c r="G110" s="12" t="s">
        <v>1397</v>
      </c>
      <c r="H110" s="12" t="s">
        <v>1398</v>
      </c>
    </row>
    <row r="111" spans="1:8" x14ac:dyDescent="0.2">
      <c r="A111" s="12" t="s">
        <v>385</v>
      </c>
      <c r="B111" s="12" t="s">
        <v>1581</v>
      </c>
      <c r="C111" s="12" t="s">
        <v>730</v>
      </c>
      <c r="D111" s="12" t="s">
        <v>729</v>
      </c>
      <c r="E111" s="12" t="s">
        <v>384</v>
      </c>
      <c r="F111" s="72">
        <v>624</v>
      </c>
      <c r="G111" s="12" t="s">
        <v>1397</v>
      </c>
      <c r="H111" s="12" t="s">
        <v>1398</v>
      </c>
    </row>
    <row r="112" spans="1:8" x14ac:dyDescent="0.2">
      <c r="A112" s="12" t="s">
        <v>383</v>
      </c>
      <c r="B112" s="12" t="s">
        <v>1582</v>
      </c>
      <c r="C112" s="12" t="s">
        <v>732</v>
      </c>
      <c r="D112" s="12" t="s">
        <v>731</v>
      </c>
      <c r="E112" s="12" t="s">
        <v>382</v>
      </c>
      <c r="F112" s="72">
        <v>328</v>
      </c>
      <c r="G112" s="12" t="s">
        <v>1397</v>
      </c>
      <c r="H112" s="12" t="s">
        <v>1398</v>
      </c>
    </row>
    <row r="113" spans="1:8" x14ac:dyDescent="0.2">
      <c r="A113" s="12" t="s">
        <v>201</v>
      </c>
      <c r="B113" s="12" t="s">
        <v>1626</v>
      </c>
      <c r="C113" s="12" t="s">
        <v>734</v>
      </c>
      <c r="D113" s="12" t="s">
        <v>733</v>
      </c>
      <c r="E113" s="12" t="s">
        <v>200</v>
      </c>
      <c r="F113" s="72">
        <v>332</v>
      </c>
      <c r="G113" s="12" t="s">
        <v>1397</v>
      </c>
      <c r="H113" s="12" t="s">
        <v>1398</v>
      </c>
    </row>
    <row r="114" spans="1:8" x14ac:dyDescent="0.2">
      <c r="A114" s="12" t="s">
        <v>203</v>
      </c>
      <c r="B114" s="12" t="s">
        <v>1557</v>
      </c>
      <c r="C114" s="12" t="s">
        <v>736</v>
      </c>
      <c r="D114" s="12" t="s">
        <v>735</v>
      </c>
      <c r="E114" s="12" t="s">
        <v>202</v>
      </c>
      <c r="F114" s="72">
        <v>334</v>
      </c>
      <c r="G114" s="12" t="s">
        <v>1397</v>
      </c>
      <c r="H114" s="12" t="s">
        <v>1398</v>
      </c>
    </row>
    <row r="115" spans="1:8" x14ac:dyDescent="0.2">
      <c r="A115" s="12" t="s">
        <v>98</v>
      </c>
      <c r="B115" s="12" t="s">
        <v>1522</v>
      </c>
      <c r="C115" s="12" t="s">
        <v>1061</v>
      </c>
      <c r="D115" s="12" t="s">
        <v>1060</v>
      </c>
      <c r="E115" s="12" t="s">
        <v>97</v>
      </c>
      <c r="F115" s="72">
        <v>336</v>
      </c>
      <c r="G115" s="12" t="s">
        <v>1397</v>
      </c>
      <c r="H115" s="12" t="s">
        <v>1398</v>
      </c>
    </row>
    <row r="116" spans="1:8" x14ac:dyDescent="0.2">
      <c r="A116" s="12" t="s">
        <v>207</v>
      </c>
      <c r="B116" s="12" t="s">
        <v>1651</v>
      </c>
      <c r="C116" s="12" t="s">
        <v>738</v>
      </c>
      <c r="D116" s="12" t="s">
        <v>737</v>
      </c>
      <c r="E116" s="12" t="s">
        <v>206</v>
      </c>
      <c r="F116" s="72">
        <v>340</v>
      </c>
      <c r="G116" s="12" t="s">
        <v>1397</v>
      </c>
      <c r="H116" s="12" t="s">
        <v>1398</v>
      </c>
    </row>
    <row r="117" spans="1:8" x14ac:dyDescent="0.2">
      <c r="A117" s="12" t="s">
        <v>205</v>
      </c>
      <c r="B117" s="12" t="s">
        <v>1649</v>
      </c>
      <c r="C117" s="12" t="s">
        <v>740</v>
      </c>
      <c r="D117" s="12" t="s">
        <v>739</v>
      </c>
      <c r="E117" s="12" t="s">
        <v>204</v>
      </c>
      <c r="F117" s="72">
        <v>344</v>
      </c>
      <c r="G117" s="12" t="s">
        <v>1397</v>
      </c>
      <c r="H117" s="12" t="s">
        <v>1398</v>
      </c>
    </row>
    <row r="118" spans="1:8" x14ac:dyDescent="0.2">
      <c r="A118" s="12" t="s">
        <v>1450</v>
      </c>
      <c r="B118" s="12" t="s">
        <v>1451</v>
      </c>
      <c r="C118" s="12" t="s">
        <v>743</v>
      </c>
      <c r="D118" s="12" t="s">
        <v>742</v>
      </c>
      <c r="E118" s="12" t="s">
        <v>741</v>
      </c>
      <c r="F118" s="72">
        <v>919</v>
      </c>
      <c r="G118" s="12" t="s">
        <v>1397</v>
      </c>
      <c r="H118" s="12" t="s">
        <v>1398</v>
      </c>
    </row>
    <row r="119" spans="1:8" x14ac:dyDescent="0.2">
      <c r="A119" s="12" t="s">
        <v>209</v>
      </c>
      <c r="B119" s="12" t="s">
        <v>1655</v>
      </c>
      <c r="C119" s="12" t="s">
        <v>745</v>
      </c>
      <c r="D119" s="12" t="s">
        <v>744</v>
      </c>
      <c r="E119" s="12" t="s">
        <v>208</v>
      </c>
      <c r="F119" s="72">
        <v>348</v>
      </c>
      <c r="G119" s="12" t="s">
        <v>1397</v>
      </c>
      <c r="H119" s="12" t="s">
        <v>1398</v>
      </c>
    </row>
    <row r="120" spans="1:8" x14ac:dyDescent="0.2">
      <c r="A120" s="12" t="s">
        <v>211</v>
      </c>
      <c r="B120" s="12" t="s">
        <v>1646</v>
      </c>
      <c r="C120" s="12" t="s">
        <v>747</v>
      </c>
      <c r="D120" s="12" t="s">
        <v>746</v>
      </c>
      <c r="E120" s="12" t="s">
        <v>210</v>
      </c>
      <c r="F120" s="72">
        <v>352</v>
      </c>
      <c r="G120" s="12" t="s">
        <v>1397</v>
      </c>
      <c r="H120" s="12" t="s">
        <v>1398</v>
      </c>
    </row>
    <row r="121" spans="1:8" x14ac:dyDescent="0.2">
      <c r="A121" s="12" t="s">
        <v>213</v>
      </c>
      <c r="B121" s="12" t="s">
        <v>1596</v>
      </c>
      <c r="C121" s="12" t="s">
        <v>749</v>
      </c>
      <c r="D121" s="12" t="s">
        <v>748</v>
      </c>
      <c r="E121" s="12" t="s">
        <v>212</v>
      </c>
      <c r="F121" s="72">
        <v>356</v>
      </c>
      <c r="G121" s="12" t="s">
        <v>1397</v>
      </c>
      <c r="H121" s="12" t="s">
        <v>1398</v>
      </c>
    </row>
    <row r="122" spans="1:8" x14ac:dyDescent="0.2">
      <c r="A122" s="12" t="s">
        <v>215</v>
      </c>
      <c r="B122" s="12" t="s">
        <v>1595</v>
      </c>
      <c r="C122" s="12" t="s">
        <v>751</v>
      </c>
      <c r="D122" s="12" t="s">
        <v>750</v>
      </c>
      <c r="E122" s="12" t="s">
        <v>214</v>
      </c>
      <c r="F122" s="72">
        <v>360</v>
      </c>
      <c r="G122" s="12" t="s">
        <v>1397</v>
      </c>
      <c r="H122" s="12" t="s">
        <v>1398</v>
      </c>
    </row>
    <row r="123" spans="1:8" x14ac:dyDescent="0.2">
      <c r="A123" s="12" t="s">
        <v>221</v>
      </c>
      <c r="B123" s="12" t="s">
        <v>1578</v>
      </c>
      <c r="C123" s="12" t="s">
        <v>753</v>
      </c>
      <c r="D123" s="12" t="s">
        <v>752</v>
      </c>
      <c r="E123" s="12" t="s">
        <v>220</v>
      </c>
      <c r="F123" s="72">
        <v>364</v>
      </c>
      <c r="G123" s="12" t="s">
        <v>1397</v>
      </c>
      <c r="H123" s="12" t="s">
        <v>1398</v>
      </c>
    </row>
    <row r="124" spans="1:8" x14ac:dyDescent="0.2">
      <c r="A124" s="12" t="s">
        <v>227</v>
      </c>
      <c r="B124" s="12" t="s">
        <v>1580</v>
      </c>
      <c r="C124" s="12" t="s">
        <v>755</v>
      </c>
      <c r="D124" s="12" t="s">
        <v>754</v>
      </c>
      <c r="E124" s="12" t="s">
        <v>226</v>
      </c>
      <c r="F124" s="72">
        <v>368</v>
      </c>
      <c r="G124" s="12" t="s">
        <v>1397</v>
      </c>
      <c r="H124" s="12" t="s">
        <v>1398</v>
      </c>
    </row>
    <row r="125" spans="1:8" x14ac:dyDescent="0.2">
      <c r="A125" s="12" t="s">
        <v>219</v>
      </c>
      <c r="B125" s="12" t="s">
        <v>1529</v>
      </c>
      <c r="C125" s="12" t="s">
        <v>757</v>
      </c>
      <c r="D125" s="12" t="s">
        <v>756</v>
      </c>
      <c r="E125" s="12" t="s">
        <v>218</v>
      </c>
      <c r="F125" s="72">
        <v>372</v>
      </c>
      <c r="G125" s="12" t="s">
        <v>1397</v>
      </c>
      <c r="H125" s="12" t="s">
        <v>1398</v>
      </c>
    </row>
    <row r="126" spans="1:8" x14ac:dyDescent="0.2">
      <c r="A126" s="12" t="s">
        <v>223</v>
      </c>
      <c r="B126" s="12" t="s">
        <v>1484</v>
      </c>
      <c r="C126" s="12" t="s">
        <v>759</v>
      </c>
      <c r="D126" s="12" t="s">
        <v>758</v>
      </c>
      <c r="E126" s="12" t="s">
        <v>222</v>
      </c>
      <c r="F126" s="72">
        <v>833</v>
      </c>
      <c r="G126" s="12" t="s">
        <v>1397</v>
      </c>
      <c r="H126" s="12" t="s">
        <v>1398</v>
      </c>
    </row>
    <row r="127" spans="1:8" x14ac:dyDescent="0.2">
      <c r="A127" s="12" t="s">
        <v>225</v>
      </c>
      <c r="B127" s="12" t="s">
        <v>1519</v>
      </c>
      <c r="C127" s="12" t="s">
        <v>761</v>
      </c>
      <c r="D127" s="12" t="s">
        <v>760</v>
      </c>
      <c r="E127" s="12" t="s">
        <v>224</v>
      </c>
      <c r="F127" s="72">
        <v>376</v>
      </c>
      <c r="G127" s="12" t="s">
        <v>1397</v>
      </c>
      <c r="H127" s="12" t="s">
        <v>1398</v>
      </c>
    </row>
    <row r="128" spans="1:8" x14ac:dyDescent="0.2">
      <c r="A128" s="12" t="s">
        <v>217</v>
      </c>
      <c r="B128" s="12" t="s">
        <v>1518</v>
      </c>
      <c r="C128" s="12" t="s">
        <v>763</v>
      </c>
      <c r="D128" s="12" t="s">
        <v>762</v>
      </c>
      <c r="E128" s="12" t="s">
        <v>216</v>
      </c>
      <c r="F128" s="72">
        <v>380</v>
      </c>
      <c r="G128" s="12" t="s">
        <v>1397</v>
      </c>
      <c r="H128" s="12" t="s">
        <v>1398</v>
      </c>
    </row>
    <row r="129" spans="1:8" x14ac:dyDescent="0.2">
      <c r="A129" s="12" t="s">
        <v>235</v>
      </c>
      <c r="B129" s="12" t="s">
        <v>1515</v>
      </c>
      <c r="C129" s="12" t="s">
        <v>765</v>
      </c>
      <c r="D129" s="12" t="s">
        <v>764</v>
      </c>
      <c r="E129" s="12" t="s">
        <v>234</v>
      </c>
      <c r="F129" s="72">
        <v>388</v>
      </c>
      <c r="G129" s="12" t="s">
        <v>1397</v>
      </c>
      <c r="H129" s="12" t="s">
        <v>1398</v>
      </c>
    </row>
    <row r="130" spans="1:8" x14ac:dyDescent="0.2">
      <c r="A130" s="12" t="s">
        <v>1412</v>
      </c>
      <c r="B130" s="12" t="s">
        <v>1413</v>
      </c>
      <c r="C130" s="12" t="s">
        <v>768</v>
      </c>
      <c r="D130" s="12" t="s">
        <v>767</v>
      </c>
      <c r="E130" s="12" t="s">
        <v>766</v>
      </c>
      <c r="F130" s="72">
        <v>920</v>
      </c>
      <c r="G130" s="12" t="s">
        <v>1397</v>
      </c>
      <c r="H130" s="12" t="s">
        <v>1398</v>
      </c>
    </row>
    <row r="131" spans="1:8" x14ac:dyDescent="0.2">
      <c r="A131" s="12" t="s">
        <v>231</v>
      </c>
      <c r="B131" s="12" t="s">
        <v>1521</v>
      </c>
      <c r="C131" s="12" t="s">
        <v>770</v>
      </c>
      <c r="D131" s="12" t="s">
        <v>769</v>
      </c>
      <c r="E131" s="12" t="s">
        <v>230</v>
      </c>
      <c r="F131" s="72">
        <v>392</v>
      </c>
      <c r="G131" s="12" t="s">
        <v>1397</v>
      </c>
      <c r="H131" s="12" t="s">
        <v>1398</v>
      </c>
    </row>
    <row r="132" spans="1:8" x14ac:dyDescent="0.2">
      <c r="A132" s="12" t="s">
        <v>1417</v>
      </c>
      <c r="B132" s="12" t="s">
        <v>1418</v>
      </c>
      <c r="C132" s="12" t="s">
        <v>773</v>
      </c>
      <c r="D132" s="12" t="s">
        <v>772</v>
      </c>
      <c r="E132" s="12" t="s">
        <v>771</v>
      </c>
      <c r="F132" s="72">
        <v>921</v>
      </c>
      <c r="G132" s="12" t="s">
        <v>1397</v>
      </c>
      <c r="H132" s="12" t="s">
        <v>1398</v>
      </c>
    </row>
    <row r="133" spans="1:8" x14ac:dyDescent="0.2">
      <c r="A133" s="12" t="s">
        <v>238</v>
      </c>
      <c r="B133" s="12" t="s">
        <v>1698</v>
      </c>
      <c r="C133" s="12" t="s">
        <v>776</v>
      </c>
      <c r="D133" s="12" t="s">
        <v>775</v>
      </c>
      <c r="E133" s="12" t="s">
        <v>774</v>
      </c>
      <c r="F133" s="72">
        <v>832</v>
      </c>
      <c r="G133" s="12" t="s">
        <v>1397</v>
      </c>
      <c r="H133" s="12" t="s">
        <v>1398</v>
      </c>
    </row>
    <row r="134" spans="1:8" x14ac:dyDescent="0.2">
      <c r="A134" s="12" t="s">
        <v>1415</v>
      </c>
      <c r="B134" s="12" t="s">
        <v>1416</v>
      </c>
      <c r="C134" s="12" t="s">
        <v>779</v>
      </c>
      <c r="D134" s="12" t="s">
        <v>778</v>
      </c>
      <c r="E134" s="12" t="s">
        <v>777</v>
      </c>
      <c r="F134" s="72">
        <v>922</v>
      </c>
      <c r="G134" s="12" t="s">
        <v>1397</v>
      </c>
      <c r="H134" s="12" t="s">
        <v>1398</v>
      </c>
    </row>
    <row r="135" spans="1:8" x14ac:dyDescent="0.2">
      <c r="A135" s="12" t="s">
        <v>237</v>
      </c>
      <c r="B135" s="12" t="s">
        <v>1520</v>
      </c>
      <c r="C135" s="12" t="s">
        <v>781</v>
      </c>
      <c r="D135" s="12" t="s">
        <v>780</v>
      </c>
      <c r="E135" s="12" t="s">
        <v>236</v>
      </c>
      <c r="F135" s="72">
        <v>400</v>
      </c>
      <c r="G135" s="12" t="s">
        <v>1397</v>
      </c>
      <c r="H135" s="12" t="s">
        <v>1398</v>
      </c>
    </row>
    <row r="136" spans="1:8" x14ac:dyDescent="0.2">
      <c r="A136" s="12" t="s">
        <v>1422</v>
      </c>
      <c r="B136" s="12" t="s">
        <v>1423</v>
      </c>
      <c r="C136" s="12" t="s">
        <v>784</v>
      </c>
      <c r="D136" s="12" t="s">
        <v>783</v>
      </c>
      <c r="E136" s="12" t="s">
        <v>782</v>
      </c>
      <c r="F136" s="72">
        <v>923</v>
      </c>
      <c r="G136" s="12" t="s">
        <v>1397</v>
      </c>
      <c r="H136" s="12" t="s">
        <v>1398</v>
      </c>
    </row>
    <row r="137" spans="1:8" x14ac:dyDescent="0.2">
      <c r="A137" s="12" t="s">
        <v>229</v>
      </c>
      <c r="B137" s="12" t="s">
        <v>1560</v>
      </c>
      <c r="C137" s="12" t="s">
        <v>786</v>
      </c>
      <c r="D137" s="12" t="s">
        <v>785</v>
      </c>
      <c r="E137" s="12" t="s">
        <v>228</v>
      </c>
      <c r="F137" s="72">
        <v>398</v>
      </c>
      <c r="G137" s="12" t="s">
        <v>1397</v>
      </c>
      <c r="H137" s="12" t="s">
        <v>1398</v>
      </c>
    </row>
    <row r="138" spans="1:8" x14ac:dyDescent="0.2">
      <c r="A138" s="12" t="s">
        <v>233</v>
      </c>
      <c r="B138" s="12" t="s">
        <v>1549</v>
      </c>
      <c r="C138" s="12" t="s">
        <v>788</v>
      </c>
      <c r="D138" s="12" t="s">
        <v>787</v>
      </c>
      <c r="E138" s="12" t="s">
        <v>232</v>
      </c>
      <c r="F138" s="72">
        <v>404</v>
      </c>
      <c r="G138" s="12" t="s">
        <v>1397</v>
      </c>
      <c r="H138" s="12" t="s">
        <v>1398</v>
      </c>
    </row>
    <row r="139" spans="1:8" x14ac:dyDescent="0.2">
      <c r="A139" s="12" t="s">
        <v>1419</v>
      </c>
      <c r="B139" s="12" t="s">
        <v>1420</v>
      </c>
      <c r="C139" s="12" t="s">
        <v>791</v>
      </c>
      <c r="D139" s="12" t="s">
        <v>790</v>
      </c>
      <c r="E139" s="12" t="s">
        <v>789</v>
      </c>
      <c r="F139" s="72">
        <v>924</v>
      </c>
      <c r="G139" s="12" t="s">
        <v>1397</v>
      </c>
      <c r="H139" s="12" t="s">
        <v>1398</v>
      </c>
    </row>
    <row r="140" spans="1:8" x14ac:dyDescent="0.2">
      <c r="A140" s="12" t="s">
        <v>242</v>
      </c>
      <c r="B140" s="12" t="s">
        <v>1584</v>
      </c>
      <c r="C140" s="12" t="s">
        <v>793</v>
      </c>
      <c r="D140" s="12" t="s">
        <v>792</v>
      </c>
      <c r="E140" s="12" t="s">
        <v>241</v>
      </c>
      <c r="F140" s="72">
        <v>296</v>
      </c>
      <c r="G140" s="12" t="s">
        <v>1397</v>
      </c>
      <c r="H140" s="12" t="s">
        <v>1398</v>
      </c>
    </row>
    <row r="141" spans="1:8" x14ac:dyDescent="0.2">
      <c r="A141" s="12" t="s">
        <v>127</v>
      </c>
      <c r="B141" s="12" t="s">
        <v>1534</v>
      </c>
      <c r="C141" s="12" t="s">
        <v>795</v>
      </c>
      <c r="D141" s="12" t="s">
        <v>794</v>
      </c>
      <c r="E141" s="12" t="s">
        <v>126</v>
      </c>
      <c r="F141" s="72">
        <v>408</v>
      </c>
      <c r="G141" s="12" t="s">
        <v>1397</v>
      </c>
      <c r="H141" s="12" t="s">
        <v>1398</v>
      </c>
    </row>
    <row r="142" spans="1:8" x14ac:dyDescent="0.2">
      <c r="A142" s="12" t="s">
        <v>32</v>
      </c>
      <c r="B142" s="12" t="s">
        <v>1533</v>
      </c>
      <c r="C142" s="12" t="s">
        <v>797</v>
      </c>
      <c r="D142" s="12" t="s">
        <v>796</v>
      </c>
      <c r="E142" s="12" t="s">
        <v>31</v>
      </c>
      <c r="F142" s="72">
        <v>410</v>
      </c>
      <c r="G142" s="12" t="s">
        <v>1397</v>
      </c>
      <c r="H142" s="12" t="s">
        <v>1398</v>
      </c>
    </row>
    <row r="143" spans="1:8" x14ac:dyDescent="0.2">
      <c r="A143" s="12" t="s">
        <v>1464</v>
      </c>
      <c r="B143" s="12" t="s">
        <v>1465</v>
      </c>
      <c r="C143" s="12" t="s">
        <v>800</v>
      </c>
      <c r="D143" s="12" t="s">
        <v>799</v>
      </c>
      <c r="E143" s="12" t="s">
        <v>798</v>
      </c>
      <c r="F143" s="72">
        <v>901</v>
      </c>
      <c r="G143" s="12" t="s">
        <v>1397</v>
      </c>
      <c r="H143" s="12" t="s">
        <v>1398</v>
      </c>
    </row>
    <row r="144" spans="1:8" x14ac:dyDescent="0.2">
      <c r="A144" s="12" t="s">
        <v>240</v>
      </c>
      <c r="B144" s="12" t="s">
        <v>1538</v>
      </c>
      <c r="C144" s="12" t="s">
        <v>802</v>
      </c>
      <c r="D144" s="12" t="s">
        <v>801</v>
      </c>
      <c r="E144" s="12" t="s">
        <v>239</v>
      </c>
      <c r="F144" s="72">
        <v>414</v>
      </c>
      <c r="G144" s="12" t="s">
        <v>1397</v>
      </c>
      <c r="H144" s="12" t="s">
        <v>1398</v>
      </c>
    </row>
    <row r="145" spans="1:8" x14ac:dyDescent="0.2">
      <c r="A145" s="12" t="s">
        <v>244</v>
      </c>
      <c r="B145" s="12" t="s">
        <v>1532</v>
      </c>
      <c r="C145" s="12" t="s">
        <v>804</v>
      </c>
      <c r="D145" s="12" t="s">
        <v>803</v>
      </c>
      <c r="E145" s="12" t="s">
        <v>243</v>
      </c>
      <c r="F145" s="72">
        <v>417</v>
      </c>
      <c r="G145" s="12" t="s">
        <v>1397</v>
      </c>
      <c r="H145" s="12" t="s">
        <v>1398</v>
      </c>
    </row>
    <row r="146" spans="1:8" x14ac:dyDescent="0.2">
      <c r="A146" s="12" t="s">
        <v>246</v>
      </c>
      <c r="B146" s="12" t="s">
        <v>1491</v>
      </c>
      <c r="C146" s="12" t="s">
        <v>806</v>
      </c>
      <c r="D146" s="12" t="s">
        <v>805</v>
      </c>
      <c r="E146" s="12" t="s">
        <v>245</v>
      </c>
      <c r="F146" s="72">
        <v>418</v>
      </c>
      <c r="G146" s="12" t="s">
        <v>1397</v>
      </c>
      <c r="H146" s="12" t="s">
        <v>1398</v>
      </c>
    </row>
    <row r="147" spans="1:8" x14ac:dyDescent="0.2">
      <c r="A147" s="12" t="s">
        <v>248</v>
      </c>
      <c r="B147" s="12" t="s">
        <v>1487</v>
      </c>
      <c r="C147" s="12" t="s">
        <v>808</v>
      </c>
      <c r="D147" s="12" t="s">
        <v>807</v>
      </c>
      <c r="E147" s="12" t="s">
        <v>247</v>
      </c>
      <c r="F147" s="72">
        <v>428</v>
      </c>
      <c r="G147" s="12" t="s">
        <v>1397</v>
      </c>
      <c r="H147" s="12" t="s">
        <v>1398</v>
      </c>
    </row>
    <row r="148" spans="1:8" x14ac:dyDescent="0.2">
      <c r="A148" s="12" t="s">
        <v>250</v>
      </c>
      <c r="B148" s="12" t="s">
        <v>1486</v>
      </c>
      <c r="C148" s="12" t="s">
        <v>810</v>
      </c>
      <c r="D148" s="12" t="s">
        <v>809</v>
      </c>
      <c r="E148" s="12" t="s">
        <v>249</v>
      </c>
      <c r="F148" s="72">
        <v>422</v>
      </c>
      <c r="G148" s="12" t="s">
        <v>1397</v>
      </c>
      <c r="H148" s="12" t="s">
        <v>1398</v>
      </c>
    </row>
    <row r="149" spans="1:8" x14ac:dyDescent="0.2">
      <c r="A149" s="12" t="s">
        <v>252</v>
      </c>
      <c r="B149" s="12" t="s">
        <v>1483</v>
      </c>
      <c r="C149" s="12" t="s">
        <v>812</v>
      </c>
      <c r="D149" s="12" t="s">
        <v>811</v>
      </c>
      <c r="E149" s="12" t="s">
        <v>251</v>
      </c>
      <c r="F149" s="72">
        <v>426</v>
      </c>
      <c r="G149" s="12" t="s">
        <v>1397</v>
      </c>
      <c r="H149" s="12" t="s">
        <v>1398</v>
      </c>
    </row>
    <row r="150" spans="1:8" x14ac:dyDescent="0.2">
      <c r="A150" s="12" t="s">
        <v>258</v>
      </c>
      <c r="B150" s="12" t="s">
        <v>1507</v>
      </c>
      <c r="C150" s="12" t="s">
        <v>814</v>
      </c>
      <c r="D150" s="12" t="s">
        <v>813</v>
      </c>
      <c r="E150" s="12" t="s">
        <v>257</v>
      </c>
      <c r="F150" s="72">
        <v>430</v>
      </c>
      <c r="G150" s="12" t="s">
        <v>1397</v>
      </c>
      <c r="H150" s="12" t="s">
        <v>1398</v>
      </c>
    </row>
    <row r="151" spans="1:8" x14ac:dyDescent="0.2">
      <c r="A151" s="12" t="s">
        <v>260</v>
      </c>
      <c r="B151" s="12" t="s">
        <v>1504</v>
      </c>
      <c r="C151" s="12" t="s">
        <v>816</v>
      </c>
      <c r="D151" s="12" t="s">
        <v>815</v>
      </c>
      <c r="E151" s="12" t="s">
        <v>259</v>
      </c>
      <c r="F151" s="72">
        <v>434</v>
      </c>
      <c r="G151" s="12" t="s">
        <v>1397</v>
      </c>
      <c r="H151" s="12" t="s">
        <v>1398</v>
      </c>
    </row>
    <row r="152" spans="1:8" x14ac:dyDescent="0.2">
      <c r="A152" s="12" t="s">
        <v>256</v>
      </c>
      <c r="B152" s="12" t="s">
        <v>1503</v>
      </c>
      <c r="C152" s="12" t="s">
        <v>818</v>
      </c>
      <c r="D152" s="12" t="s">
        <v>817</v>
      </c>
      <c r="E152" s="12" t="s">
        <v>255</v>
      </c>
      <c r="F152" s="72">
        <v>438</v>
      </c>
      <c r="G152" s="12" t="s">
        <v>1397</v>
      </c>
      <c r="H152" s="12" t="s">
        <v>1398</v>
      </c>
    </row>
    <row r="153" spans="1:8" x14ac:dyDescent="0.2">
      <c r="A153" s="12" t="s">
        <v>254</v>
      </c>
      <c r="B153" s="12" t="s">
        <v>1502</v>
      </c>
      <c r="C153" s="12" t="s">
        <v>820</v>
      </c>
      <c r="D153" s="12" t="s">
        <v>819</v>
      </c>
      <c r="E153" s="12" t="s">
        <v>253</v>
      </c>
      <c r="F153" s="72">
        <v>440</v>
      </c>
      <c r="G153" s="12" t="s">
        <v>1397</v>
      </c>
      <c r="H153" s="12" t="s">
        <v>1398</v>
      </c>
    </row>
    <row r="154" spans="1:8" x14ac:dyDescent="0.2">
      <c r="A154" s="12" t="s">
        <v>262</v>
      </c>
      <c r="B154" s="12" t="s">
        <v>1642</v>
      </c>
      <c r="C154" s="12" t="s">
        <v>822</v>
      </c>
      <c r="D154" s="12" t="s">
        <v>821</v>
      </c>
      <c r="E154" s="12" t="s">
        <v>261</v>
      </c>
      <c r="F154" s="72">
        <v>442</v>
      </c>
      <c r="G154" s="12" t="s">
        <v>1397</v>
      </c>
      <c r="H154" s="12" t="s">
        <v>1398</v>
      </c>
    </row>
    <row r="155" spans="1:8" x14ac:dyDescent="0.2">
      <c r="A155" s="12" t="s">
        <v>272</v>
      </c>
      <c r="B155" s="12" t="s">
        <v>1639</v>
      </c>
      <c r="C155" s="12" t="s">
        <v>824</v>
      </c>
      <c r="D155" s="12" t="s">
        <v>823</v>
      </c>
      <c r="E155" s="12" t="s">
        <v>271</v>
      </c>
      <c r="F155" s="72">
        <v>446</v>
      </c>
      <c r="G155" s="12" t="s">
        <v>1397</v>
      </c>
      <c r="H155" s="12" t="s">
        <v>1398</v>
      </c>
    </row>
    <row r="156" spans="1:8" x14ac:dyDescent="0.2">
      <c r="A156" s="12" t="s">
        <v>60</v>
      </c>
      <c r="B156" s="12" t="s">
        <v>1455</v>
      </c>
      <c r="C156" s="12" t="s">
        <v>826</v>
      </c>
      <c r="D156" s="12" t="s">
        <v>825</v>
      </c>
      <c r="E156" s="12" t="s">
        <v>59</v>
      </c>
      <c r="F156" s="72">
        <v>807</v>
      </c>
      <c r="G156" s="12" t="s">
        <v>1397</v>
      </c>
      <c r="H156" s="12" t="s">
        <v>1398</v>
      </c>
    </row>
    <row r="157" spans="1:8" x14ac:dyDescent="0.2">
      <c r="A157" s="12" t="s">
        <v>268</v>
      </c>
      <c r="B157" s="12" t="s">
        <v>1640</v>
      </c>
      <c r="C157" s="12" t="s">
        <v>828</v>
      </c>
      <c r="D157" s="12" t="s">
        <v>827</v>
      </c>
      <c r="E157" s="12" t="s">
        <v>267</v>
      </c>
      <c r="F157" s="72">
        <v>450</v>
      </c>
      <c r="G157" s="12" t="s">
        <v>1397</v>
      </c>
      <c r="H157" s="12" t="s">
        <v>1398</v>
      </c>
    </row>
    <row r="158" spans="1:8" x14ac:dyDescent="0.2">
      <c r="A158" s="12" t="s">
        <v>264</v>
      </c>
      <c r="B158" s="12" t="s">
        <v>1692</v>
      </c>
      <c r="C158" s="12" t="s">
        <v>830</v>
      </c>
      <c r="D158" s="12" t="s">
        <v>829</v>
      </c>
      <c r="E158" s="12" t="s">
        <v>263</v>
      </c>
      <c r="F158" s="72">
        <v>454</v>
      </c>
      <c r="G158" s="12" t="s">
        <v>1397</v>
      </c>
      <c r="H158" s="12" t="s">
        <v>1398</v>
      </c>
    </row>
    <row r="159" spans="1:8" x14ac:dyDescent="0.2">
      <c r="A159" s="12" t="s">
        <v>266</v>
      </c>
      <c r="B159" s="12" t="s">
        <v>1693</v>
      </c>
      <c r="C159" s="12" t="s">
        <v>832</v>
      </c>
      <c r="D159" s="12" t="s">
        <v>831</v>
      </c>
      <c r="E159" s="12" t="s">
        <v>265</v>
      </c>
      <c r="F159" s="72">
        <v>458</v>
      </c>
      <c r="G159" s="12" t="s">
        <v>1397</v>
      </c>
      <c r="H159" s="12" t="s">
        <v>1398</v>
      </c>
    </row>
    <row r="160" spans="1:8" x14ac:dyDescent="0.2">
      <c r="A160" s="12" t="s">
        <v>270</v>
      </c>
      <c r="B160" s="12" t="s">
        <v>1697</v>
      </c>
      <c r="C160" s="12" t="s">
        <v>834</v>
      </c>
      <c r="D160" s="12" t="s">
        <v>833</v>
      </c>
      <c r="E160" s="12" t="s">
        <v>269</v>
      </c>
      <c r="F160" s="72">
        <v>462</v>
      </c>
      <c r="G160" s="12" t="s">
        <v>1397</v>
      </c>
      <c r="H160" s="12" t="s">
        <v>1398</v>
      </c>
    </row>
    <row r="161" spans="1:8" x14ac:dyDescent="0.2">
      <c r="A161" s="12" t="s">
        <v>280</v>
      </c>
      <c r="B161" s="12" t="s">
        <v>1701</v>
      </c>
      <c r="C161" s="12" t="s">
        <v>836</v>
      </c>
      <c r="D161" s="12" t="s">
        <v>835</v>
      </c>
      <c r="E161" s="12" t="s">
        <v>279</v>
      </c>
      <c r="F161" s="72">
        <v>466</v>
      </c>
      <c r="G161" s="12" t="s">
        <v>1397</v>
      </c>
      <c r="H161" s="12" t="s">
        <v>1398</v>
      </c>
    </row>
    <row r="162" spans="1:8" x14ac:dyDescent="0.2">
      <c r="A162" s="12" t="s">
        <v>276</v>
      </c>
      <c r="B162" s="12" t="s">
        <v>1702</v>
      </c>
      <c r="C162" s="12" t="s">
        <v>838</v>
      </c>
      <c r="D162" s="12" t="s">
        <v>837</v>
      </c>
      <c r="E162" s="12" t="s">
        <v>275</v>
      </c>
      <c r="F162" s="72">
        <v>470</v>
      </c>
      <c r="G162" s="12" t="s">
        <v>1397</v>
      </c>
      <c r="H162" s="12" t="s">
        <v>1398</v>
      </c>
    </row>
    <row r="163" spans="1:8" x14ac:dyDescent="0.2">
      <c r="A163" s="12" t="s">
        <v>278</v>
      </c>
      <c r="B163" s="12" t="s">
        <v>1711</v>
      </c>
      <c r="C163" s="12" t="s">
        <v>840</v>
      </c>
      <c r="D163" s="12" t="s">
        <v>839</v>
      </c>
      <c r="E163" s="12" t="s">
        <v>277</v>
      </c>
      <c r="F163" s="72">
        <v>584</v>
      </c>
      <c r="G163" s="12" t="s">
        <v>1397</v>
      </c>
      <c r="H163" s="12" t="s">
        <v>1398</v>
      </c>
    </row>
    <row r="164" spans="1:8" x14ac:dyDescent="0.2">
      <c r="A164" s="12" t="s">
        <v>274</v>
      </c>
      <c r="B164" s="12" t="s">
        <v>1679</v>
      </c>
      <c r="C164" s="12" t="s">
        <v>842</v>
      </c>
      <c r="D164" s="12" t="s">
        <v>841</v>
      </c>
      <c r="E164" s="12" t="s">
        <v>273</v>
      </c>
      <c r="F164" s="72">
        <v>474</v>
      </c>
      <c r="G164" s="12" t="s">
        <v>1397</v>
      </c>
      <c r="H164" s="12" t="s">
        <v>1398</v>
      </c>
    </row>
    <row r="165" spans="1:8" x14ac:dyDescent="0.2">
      <c r="A165" s="12" t="s">
        <v>286</v>
      </c>
      <c r="B165" s="12" t="s">
        <v>1678</v>
      </c>
      <c r="C165" s="12" t="s">
        <v>844</v>
      </c>
      <c r="D165" s="12" t="s">
        <v>843</v>
      </c>
      <c r="E165" s="12" t="s">
        <v>285</v>
      </c>
      <c r="F165" s="72">
        <v>478</v>
      </c>
      <c r="G165" s="12" t="s">
        <v>1397</v>
      </c>
      <c r="H165" s="12" t="s">
        <v>1398</v>
      </c>
    </row>
    <row r="166" spans="1:8" x14ac:dyDescent="0.2">
      <c r="A166" s="12" t="s">
        <v>282</v>
      </c>
      <c r="B166" s="12" t="s">
        <v>1680</v>
      </c>
      <c r="C166" s="12" t="s">
        <v>846</v>
      </c>
      <c r="D166" s="12" t="s">
        <v>845</v>
      </c>
      <c r="E166" s="12" t="s">
        <v>281</v>
      </c>
      <c r="F166" s="72">
        <v>480</v>
      </c>
      <c r="G166" s="12" t="s">
        <v>1397</v>
      </c>
      <c r="H166" s="12" t="s">
        <v>1398</v>
      </c>
    </row>
    <row r="167" spans="1:8" x14ac:dyDescent="0.2">
      <c r="A167" s="12" t="s">
        <v>284</v>
      </c>
      <c r="B167" s="12" t="s">
        <v>1681</v>
      </c>
      <c r="C167" s="12" t="s">
        <v>848</v>
      </c>
      <c r="D167" s="12" t="s">
        <v>847</v>
      </c>
      <c r="E167" s="12" t="s">
        <v>283</v>
      </c>
      <c r="F167" s="72">
        <v>175</v>
      </c>
      <c r="G167" s="12" t="s">
        <v>1397</v>
      </c>
      <c r="H167" s="12" t="s">
        <v>1398</v>
      </c>
    </row>
    <row r="168" spans="1:8" x14ac:dyDescent="0.2">
      <c r="A168" s="12" t="s">
        <v>288</v>
      </c>
      <c r="B168" s="12" t="s">
        <v>1568</v>
      </c>
      <c r="C168" s="12" t="s">
        <v>850</v>
      </c>
      <c r="D168" s="12" t="s">
        <v>849</v>
      </c>
      <c r="E168" s="12" t="s">
        <v>287</v>
      </c>
      <c r="F168" s="72">
        <v>484</v>
      </c>
      <c r="G168" s="12" t="s">
        <v>1397</v>
      </c>
      <c r="H168" s="12" t="s">
        <v>1398</v>
      </c>
    </row>
    <row r="169" spans="1:8" x14ac:dyDescent="0.2">
      <c r="A169" s="12" t="s">
        <v>361</v>
      </c>
      <c r="B169" s="12" t="s">
        <v>1411</v>
      </c>
      <c r="C169" s="12" t="s">
        <v>852</v>
      </c>
      <c r="D169" s="12" t="s">
        <v>851</v>
      </c>
      <c r="E169" s="12" t="s">
        <v>360</v>
      </c>
      <c r="F169" s="72">
        <v>583</v>
      </c>
      <c r="G169" s="12" t="s">
        <v>1397</v>
      </c>
      <c r="H169" s="12" t="s">
        <v>1398</v>
      </c>
    </row>
    <row r="170" spans="1:8" x14ac:dyDescent="0.2">
      <c r="A170" s="12" t="s">
        <v>1477</v>
      </c>
      <c r="B170" s="12" t="s">
        <v>1478</v>
      </c>
      <c r="C170" s="12" t="s">
        <v>855</v>
      </c>
      <c r="D170" s="12" t="s">
        <v>854</v>
      </c>
      <c r="E170" s="12" t="s">
        <v>853</v>
      </c>
      <c r="F170" s="72">
        <v>925</v>
      </c>
      <c r="G170" s="12" t="s">
        <v>1397</v>
      </c>
      <c r="H170" s="12" t="s">
        <v>1398</v>
      </c>
    </row>
    <row r="171" spans="1:8" x14ac:dyDescent="0.2">
      <c r="A171" s="12" t="s">
        <v>290</v>
      </c>
      <c r="B171" s="12" t="s">
        <v>1609</v>
      </c>
      <c r="C171" s="12" t="s">
        <v>857</v>
      </c>
      <c r="D171" s="12" t="s">
        <v>856</v>
      </c>
      <c r="E171" s="12" t="s">
        <v>289</v>
      </c>
      <c r="F171" s="72">
        <v>498</v>
      </c>
      <c r="G171" s="12" t="s">
        <v>1397</v>
      </c>
      <c r="H171" s="12" t="s">
        <v>1398</v>
      </c>
    </row>
    <row r="172" spans="1:8" x14ac:dyDescent="0.2">
      <c r="A172" s="12" t="s">
        <v>294</v>
      </c>
      <c r="B172" s="12" t="s">
        <v>1612</v>
      </c>
      <c r="C172" s="12" t="s">
        <v>859</v>
      </c>
      <c r="D172" s="12" t="s">
        <v>858</v>
      </c>
      <c r="E172" s="12" t="s">
        <v>293</v>
      </c>
      <c r="F172" s="72">
        <v>492</v>
      </c>
      <c r="G172" s="12" t="s">
        <v>1397</v>
      </c>
      <c r="H172" s="12" t="s">
        <v>1398</v>
      </c>
    </row>
    <row r="173" spans="1:8" x14ac:dyDescent="0.2">
      <c r="A173" s="12" t="s">
        <v>292</v>
      </c>
      <c r="B173" s="12" t="s">
        <v>1614</v>
      </c>
      <c r="C173" s="12" t="s">
        <v>861</v>
      </c>
      <c r="D173" s="12" t="s">
        <v>860</v>
      </c>
      <c r="E173" s="12" t="s">
        <v>291</v>
      </c>
      <c r="F173" s="72">
        <v>496</v>
      </c>
      <c r="G173" s="12" t="s">
        <v>1397</v>
      </c>
      <c r="H173" s="12" t="s">
        <v>1398</v>
      </c>
    </row>
    <row r="174" spans="1:8" x14ac:dyDescent="0.2">
      <c r="A174" s="12" t="s">
        <v>300</v>
      </c>
      <c r="B174" s="12" t="s">
        <v>1691</v>
      </c>
      <c r="C174" s="12" t="s">
        <v>863</v>
      </c>
      <c r="D174" s="12" t="s">
        <v>862</v>
      </c>
      <c r="E174" s="12" t="s">
        <v>299</v>
      </c>
      <c r="F174" s="72">
        <v>499</v>
      </c>
      <c r="G174" s="12" t="s">
        <v>1397</v>
      </c>
      <c r="H174" s="12" t="s">
        <v>1398</v>
      </c>
    </row>
    <row r="175" spans="1:8" x14ac:dyDescent="0.2">
      <c r="A175" s="12" t="s">
        <v>103</v>
      </c>
      <c r="B175" s="12" t="s">
        <v>1610</v>
      </c>
      <c r="C175" s="12" t="s">
        <v>865</v>
      </c>
      <c r="D175" s="12" t="s">
        <v>864</v>
      </c>
      <c r="E175" s="12" t="s">
        <v>301</v>
      </c>
      <c r="F175" s="72">
        <v>500</v>
      </c>
      <c r="G175" s="12" t="s">
        <v>1397</v>
      </c>
      <c r="H175" s="12" t="s">
        <v>1398</v>
      </c>
    </row>
    <row r="176" spans="1:8" x14ac:dyDescent="0.2">
      <c r="A176" s="12" t="s">
        <v>298</v>
      </c>
      <c r="B176" s="12" t="s">
        <v>1497</v>
      </c>
      <c r="C176" s="12" t="s">
        <v>867</v>
      </c>
      <c r="D176" s="12" t="s">
        <v>866</v>
      </c>
      <c r="E176" s="12" t="s">
        <v>297</v>
      </c>
      <c r="F176" s="72">
        <v>504</v>
      </c>
      <c r="G176" s="12" t="s">
        <v>1397</v>
      </c>
      <c r="H176" s="12" t="s">
        <v>1398</v>
      </c>
    </row>
    <row r="177" spans="1:8" x14ac:dyDescent="0.2">
      <c r="A177" s="12" t="s">
        <v>296</v>
      </c>
      <c r="B177" s="12" t="s">
        <v>1493</v>
      </c>
      <c r="C177" s="12" t="s">
        <v>869</v>
      </c>
      <c r="D177" s="12" t="s">
        <v>868</v>
      </c>
      <c r="E177" s="12" t="s">
        <v>295</v>
      </c>
      <c r="F177" s="72">
        <v>508</v>
      </c>
      <c r="G177" s="12" t="s">
        <v>1397</v>
      </c>
      <c r="H177" s="12" t="s">
        <v>1398</v>
      </c>
    </row>
    <row r="178" spans="1:8" x14ac:dyDescent="0.2">
      <c r="A178" s="12" t="s">
        <v>105</v>
      </c>
      <c r="B178" s="12" t="s">
        <v>1528</v>
      </c>
      <c r="C178" s="12" t="s">
        <v>582</v>
      </c>
      <c r="D178" s="12" t="s">
        <v>581</v>
      </c>
      <c r="E178" s="12" t="s">
        <v>104</v>
      </c>
      <c r="F178" s="72">
        <v>104</v>
      </c>
      <c r="G178" s="12" t="s">
        <v>1397</v>
      </c>
      <c r="H178" s="12" t="s">
        <v>1398</v>
      </c>
    </row>
    <row r="179" spans="1:8" x14ac:dyDescent="0.2">
      <c r="A179" s="12" t="s">
        <v>107</v>
      </c>
      <c r="B179" s="12" t="s">
        <v>1505</v>
      </c>
      <c r="C179" s="12" t="s">
        <v>871</v>
      </c>
      <c r="D179" s="12" t="s">
        <v>870</v>
      </c>
      <c r="E179" s="12" t="s">
        <v>106</v>
      </c>
      <c r="F179" s="72">
        <v>516</v>
      </c>
      <c r="G179" s="12" t="s">
        <v>1397</v>
      </c>
      <c r="H179" s="12" t="s">
        <v>1398</v>
      </c>
    </row>
    <row r="180" spans="1:8" x14ac:dyDescent="0.2">
      <c r="A180" s="12" t="s">
        <v>113</v>
      </c>
      <c r="B180" s="12" t="s">
        <v>1508</v>
      </c>
      <c r="C180" s="12" t="s">
        <v>873</v>
      </c>
      <c r="D180" s="12" t="s">
        <v>872</v>
      </c>
      <c r="E180" s="12" t="s">
        <v>112</v>
      </c>
      <c r="F180" s="72">
        <v>520</v>
      </c>
      <c r="G180" s="12" t="s">
        <v>1397</v>
      </c>
      <c r="H180" s="12" t="s">
        <v>1398</v>
      </c>
    </row>
    <row r="181" spans="1:8" x14ac:dyDescent="0.2">
      <c r="A181" s="12" t="s">
        <v>1424</v>
      </c>
      <c r="B181" s="12" t="s">
        <v>1425</v>
      </c>
      <c r="C181" s="12" t="s">
        <v>876</v>
      </c>
      <c r="D181" s="12" t="s">
        <v>875</v>
      </c>
      <c r="E181" s="12" t="s">
        <v>874</v>
      </c>
      <c r="F181" s="72">
        <v>926</v>
      </c>
      <c r="G181" s="12" t="s">
        <v>1397</v>
      </c>
      <c r="H181" s="12" t="s">
        <v>1398</v>
      </c>
    </row>
    <row r="182" spans="1:8" x14ac:dyDescent="0.2">
      <c r="A182" s="12" t="s">
        <v>111</v>
      </c>
      <c r="B182" s="12" t="s">
        <v>1481</v>
      </c>
      <c r="C182" s="12" t="s">
        <v>878</v>
      </c>
      <c r="D182" s="12" t="s">
        <v>877</v>
      </c>
      <c r="E182" s="12" t="s">
        <v>110</v>
      </c>
      <c r="F182" s="72">
        <v>524</v>
      </c>
      <c r="G182" s="12" t="s">
        <v>1397</v>
      </c>
      <c r="H182" s="12" t="s">
        <v>1398</v>
      </c>
    </row>
    <row r="183" spans="1:8" x14ac:dyDescent="0.2">
      <c r="A183" s="12" t="s">
        <v>109</v>
      </c>
      <c r="B183" s="12" t="s">
        <v>1482</v>
      </c>
      <c r="C183" s="12" t="s">
        <v>880</v>
      </c>
      <c r="D183" s="12" t="s">
        <v>879</v>
      </c>
      <c r="E183" s="12" t="s">
        <v>108</v>
      </c>
      <c r="F183" s="72">
        <v>528</v>
      </c>
      <c r="G183" s="12" t="s">
        <v>1397</v>
      </c>
      <c r="H183" s="12" t="s">
        <v>1398</v>
      </c>
    </row>
    <row r="184" spans="1:8" x14ac:dyDescent="0.2">
      <c r="A184" s="12" t="s">
        <v>123</v>
      </c>
      <c r="B184" s="12" t="s">
        <v>1636</v>
      </c>
      <c r="C184" s="12" t="s">
        <v>882</v>
      </c>
      <c r="D184" s="12" t="s">
        <v>881</v>
      </c>
      <c r="E184" s="12" t="s">
        <v>122</v>
      </c>
      <c r="F184" s="72">
        <v>540</v>
      </c>
      <c r="G184" s="12" t="s">
        <v>1397</v>
      </c>
      <c r="H184" s="12" t="s">
        <v>1398</v>
      </c>
    </row>
    <row r="185" spans="1:8" x14ac:dyDescent="0.2">
      <c r="A185" s="12" t="s">
        <v>115</v>
      </c>
      <c r="B185" s="12" t="s">
        <v>1638</v>
      </c>
      <c r="C185" s="12" t="s">
        <v>884</v>
      </c>
      <c r="D185" s="12" t="s">
        <v>883</v>
      </c>
      <c r="E185" s="12" t="s">
        <v>114</v>
      </c>
      <c r="F185" s="72">
        <v>554</v>
      </c>
      <c r="G185" s="12" t="s">
        <v>1397</v>
      </c>
      <c r="H185" s="12" t="s">
        <v>1398</v>
      </c>
    </row>
    <row r="186" spans="1:8" x14ac:dyDescent="0.2">
      <c r="A186" s="12" t="s">
        <v>119</v>
      </c>
      <c r="B186" s="12" t="s">
        <v>1631</v>
      </c>
      <c r="C186" s="12" t="s">
        <v>886</v>
      </c>
      <c r="D186" s="12" t="s">
        <v>885</v>
      </c>
      <c r="E186" s="12" t="s">
        <v>118</v>
      </c>
      <c r="F186" s="72">
        <v>558</v>
      </c>
      <c r="G186" s="12" t="s">
        <v>1397</v>
      </c>
      <c r="H186" s="12" t="s">
        <v>1398</v>
      </c>
    </row>
    <row r="187" spans="1:8" x14ac:dyDescent="0.2">
      <c r="A187" s="12" t="s">
        <v>125</v>
      </c>
      <c r="B187" s="12" t="s">
        <v>1632</v>
      </c>
      <c r="C187" s="12" t="s">
        <v>888</v>
      </c>
      <c r="D187" s="12" t="s">
        <v>887</v>
      </c>
      <c r="E187" s="12" t="s">
        <v>124</v>
      </c>
      <c r="F187" s="72">
        <v>562</v>
      </c>
      <c r="G187" s="12" t="s">
        <v>1397</v>
      </c>
      <c r="H187" s="12" t="s">
        <v>1398</v>
      </c>
    </row>
    <row r="188" spans="1:8" x14ac:dyDescent="0.2">
      <c r="A188" s="12" t="s">
        <v>117</v>
      </c>
      <c r="B188" s="12" t="s">
        <v>1633</v>
      </c>
      <c r="C188" s="12" t="s">
        <v>890</v>
      </c>
      <c r="D188" s="12" t="s">
        <v>889</v>
      </c>
      <c r="E188" s="12" t="s">
        <v>116</v>
      </c>
      <c r="F188" s="72">
        <v>566</v>
      </c>
      <c r="G188" s="12" t="s">
        <v>1397</v>
      </c>
      <c r="H188" s="12" t="s">
        <v>1398</v>
      </c>
    </row>
    <row r="189" spans="1:8" x14ac:dyDescent="0.2">
      <c r="A189" s="12" t="s">
        <v>121</v>
      </c>
      <c r="B189" s="12" t="s">
        <v>1635</v>
      </c>
      <c r="C189" s="12" t="s">
        <v>892</v>
      </c>
      <c r="D189" s="12" t="s">
        <v>891</v>
      </c>
      <c r="E189" s="12" t="s">
        <v>120</v>
      </c>
      <c r="F189" s="72">
        <v>570</v>
      </c>
      <c r="G189" s="12" t="s">
        <v>1397</v>
      </c>
      <c r="H189" s="12" t="s">
        <v>1398</v>
      </c>
    </row>
    <row r="190" spans="1:8" x14ac:dyDescent="0.2">
      <c r="A190" s="12" t="s">
        <v>133</v>
      </c>
      <c r="B190" s="12" t="s">
        <v>1629</v>
      </c>
      <c r="C190" s="12" t="s">
        <v>894</v>
      </c>
      <c r="D190" s="12" t="s">
        <v>893</v>
      </c>
      <c r="E190" s="12" t="s">
        <v>132</v>
      </c>
      <c r="F190" s="72">
        <v>574</v>
      </c>
      <c r="G190" s="12" t="s">
        <v>1397</v>
      </c>
      <c r="H190" s="12" t="s">
        <v>1398</v>
      </c>
    </row>
    <row r="191" spans="1:8" x14ac:dyDescent="0.2">
      <c r="A191" s="12" t="s">
        <v>131</v>
      </c>
      <c r="B191" s="12" t="s">
        <v>1436</v>
      </c>
      <c r="C191" s="12" t="s">
        <v>896</v>
      </c>
      <c r="D191" s="12" t="s">
        <v>895</v>
      </c>
      <c r="E191" s="12" t="s">
        <v>130</v>
      </c>
      <c r="F191" s="72">
        <v>580</v>
      </c>
      <c r="G191" s="12" t="s">
        <v>1397</v>
      </c>
      <c r="H191" s="12" t="s">
        <v>1398</v>
      </c>
    </row>
    <row r="192" spans="1:8" x14ac:dyDescent="0.2">
      <c r="A192" s="12" t="s">
        <v>129</v>
      </c>
      <c r="B192" s="12" t="s">
        <v>1618</v>
      </c>
      <c r="C192" s="12" t="s">
        <v>898</v>
      </c>
      <c r="D192" s="12" t="s">
        <v>897</v>
      </c>
      <c r="E192" s="12" t="s">
        <v>128</v>
      </c>
      <c r="F192" s="72">
        <v>578</v>
      </c>
      <c r="G192" s="12" t="s">
        <v>1397</v>
      </c>
      <c r="H192" s="12" t="s">
        <v>1398</v>
      </c>
    </row>
    <row r="193" spans="1:8" x14ac:dyDescent="0.2">
      <c r="A193" s="12" t="s">
        <v>135</v>
      </c>
      <c r="B193" s="12" t="s">
        <v>1591</v>
      </c>
      <c r="C193" s="12" t="s">
        <v>900</v>
      </c>
      <c r="D193" s="12" t="s">
        <v>899</v>
      </c>
      <c r="E193" s="12" t="s">
        <v>134</v>
      </c>
      <c r="F193" s="72">
        <v>512</v>
      </c>
      <c r="G193" s="12" t="s">
        <v>1397</v>
      </c>
      <c r="H193" s="12" t="s">
        <v>1398</v>
      </c>
    </row>
    <row r="194" spans="1:8" x14ac:dyDescent="0.2">
      <c r="A194" s="12" t="s">
        <v>143</v>
      </c>
      <c r="B194" s="12" t="s">
        <v>1583</v>
      </c>
      <c r="C194" s="12" t="s">
        <v>902</v>
      </c>
      <c r="D194" s="12" t="s">
        <v>901</v>
      </c>
      <c r="E194" s="12" t="s">
        <v>142</v>
      </c>
      <c r="F194" s="72">
        <v>586</v>
      </c>
      <c r="G194" s="12" t="s">
        <v>1397</v>
      </c>
      <c r="H194" s="12" t="s">
        <v>1398</v>
      </c>
    </row>
    <row r="195" spans="1:8" x14ac:dyDescent="0.2">
      <c r="A195" s="12" t="s">
        <v>147</v>
      </c>
      <c r="B195" s="12" t="s">
        <v>1498</v>
      </c>
      <c r="C195" s="12" t="s">
        <v>904</v>
      </c>
      <c r="D195" s="12" t="s">
        <v>903</v>
      </c>
      <c r="E195" s="12" t="s">
        <v>146</v>
      </c>
      <c r="F195" s="72">
        <v>585</v>
      </c>
      <c r="G195" s="12" t="s">
        <v>1397</v>
      </c>
      <c r="H195" s="12" t="s">
        <v>1398</v>
      </c>
    </row>
    <row r="196" spans="1:8" x14ac:dyDescent="0.2">
      <c r="A196" s="12" t="s">
        <v>1428</v>
      </c>
      <c r="B196" s="12" t="s">
        <v>1429</v>
      </c>
      <c r="C196" s="12" t="s">
        <v>908</v>
      </c>
      <c r="D196" s="12" t="s">
        <v>907</v>
      </c>
      <c r="E196" s="12" t="s">
        <v>906</v>
      </c>
      <c r="F196" s="72">
        <v>927</v>
      </c>
      <c r="G196" s="12" t="s">
        <v>1397</v>
      </c>
      <c r="H196" s="12" t="s">
        <v>1398</v>
      </c>
    </row>
    <row r="197" spans="1:8" x14ac:dyDescent="0.2">
      <c r="A197" s="12" t="s">
        <v>141</v>
      </c>
      <c r="B197" s="12" t="s">
        <v>1556</v>
      </c>
      <c r="C197" s="12" t="s">
        <v>910</v>
      </c>
      <c r="D197" s="12" t="s">
        <v>909</v>
      </c>
      <c r="E197" s="12" t="s">
        <v>140</v>
      </c>
      <c r="F197" s="72">
        <v>591</v>
      </c>
      <c r="G197" s="12" t="s">
        <v>1397</v>
      </c>
      <c r="H197" s="12" t="s">
        <v>1398</v>
      </c>
    </row>
    <row r="198" spans="1:8" x14ac:dyDescent="0.2">
      <c r="A198" s="12" t="s">
        <v>137</v>
      </c>
      <c r="B198" s="12" t="s">
        <v>1554</v>
      </c>
      <c r="C198" s="12" t="s">
        <v>912</v>
      </c>
      <c r="D198" s="12" t="s">
        <v>911</v>
      </c>
      <c r="E198" s="12" t="s">
        <v>136</v>
      </c>
      <c r="F198" s="72">
        <v>598</v>
      </c>
      <c r="G198" s="12" t="s">
        <v>1397</v>
      </c>
      <c r="H198" s="12" t="s">
        <v>1398</v>
      </c>
    </row>
    <row r="199" spans="1:8" x14ac:dyDescent="0.2">
      <c r="A199" s="12" t="s">
        <v>1426</v>
      </c>
      <c r="B199" s="12" t="s">
        <v>1427</v>
      </c>
      <c r="C199" s="12" t="s">
        <v>915</v>
      </c>
      <c r="D199" s="12" t="s">
        <v>914</v>
      </c>
      <c r="E199" s="12" t="s">
        <v>913</v>
      </c>
      <c r="F199" s="72">
        <v>928</v>
      </c>
      <c r="G199" s="12" t="s">
        <v>1397</v>
      </c>
      <c r="H199" s="12" t="s">
        <v>1398</v>
      </c>
    </row>
    <row r="200" spans="1:8" x14ac:dyDescent="0.2">
      <c r="A200" s="12" t="s">
        <v>139</v>
      </c>
      <c r="B200" s="12" t="s">
        <v>1553</v>
      </c>
      <c r="C200" s="12" t="s">
        <v>917</v>
      </c>
      <c r="D200" s="12" t="s">
        <v>916</v>
      </c>
      <c r="E200" s="12" t="s">
        <v>138</v>
      </c>
      <c r="F200" s="72">
        <v>600</v>
      </c>
      <c r="G200" s="12" t="s">
        <v>1397</v>
      </c>
      <c r="H200" s="12" t="s">
        <v>1398</v>
      </c>
    </row>
    <row r="201" spans="1:8" x14ac:dyDescent="0.2">
      <c r="A201" s="12" t="s">
        <v>149</v>
      </c>
      <c r="B201" s="12" t="s">
        <v>1682</v>
      </c>
      <c r="C201" s="12" t="s">
        <v>919</v>
      </c>
      <c r="D201" s="12" t="s">
        <v>918</v>
      </c>
      <c r="E201" s="12" t="s">
        <v>148</v>
      </c>
      <c r="F201" s="72">
        <v>604</v>
      </c>
      <c r="G201" s="12" t="s">
        <v>1397</v>
      </c>
      <c r="H201" s="12" t="s">
        <v>1398</v>
      </c>
    </row>
    <row r="202" spans="1:8" x14ac:dyDescent="0.2">
      <c r="A202" s="12" t="s">
        <v>153</v>
      </c>
      <c r="B202" s="12" t="s">
        <v>1668</v>
      </c>
      <c r="C202" s="12" t="s">
        <v>921</v>
      </c>
      <c r="D202" s="12" t="s">
        <v>920</v>
      </c>
      <c r="E202" s="12" t="s">
        <v>152</v>
      </c>
      <c r="F202" s="72">
        <v>608</v>
      </c>
      <c r="G202" s="12" t="s">
        <v>1397</v>
      </c>
      <c r="H202" s="12" t="s">
        <v>1398</v>
      </c>
    </row>
    <row r="203" spans="1:8" x14ac:dyDescent="0.2">
      <c r="A203" s="12" t="s">
        <v>151</v>
      </c>
      <c r="B203" s="12" t="s">
        <v>1645</v>
      </c>
      <c r="C203" s="12" t="s">
        <v>923</v>
      </c>
      <c r="D203" s="12" t="s">
        <v>922</v>
      </c>
      <c r="E203" s="12" t="s">
        <v>150</v>
      </c>
      <c r="F203" s="72">
        <v>612</v>
      </c>
      <c r="G203" s="12" t="s">
        <v>1397</v>
      </c>
      <c r="H203" s="12" t="s">
        <v>1398</v>
      </c>
    </row>
    <row r="204" spans="1:8" x14ac:dyDescent="0.2">
      <c r="A204" s="12" t="s">
        <v>157</v>
      </c>
      <c r="B204" s="12" t="s">
        <v>1637</v>
      </c>
      <c r="C204" s="12" t="s">
        <v>925</v>
      </c>
      <c r="D204" s="12" t="s">
        <v>924</v>
      </c>
      <c r="E204" s="12" t="s">
        <v>156</v>
      </c>
      <c r="F204" s="72">
        <v>616</v>
      </c>
      <c r="G204" s="12" t="s">
        <v>1397</v>
      </c>
      <c r="H204" s="12" t="s">
        <v>1398</v>
      </c>
    </row>
    <row r="205" spans="1:8" x14ac:dyDescent="0.2">
      <c r="A205" s="12" t="s">
        <v>155</v>
      </c>
      <c r="B205" s="12" t="s">
        <v>1634</v>
      </c>
      <c r="C205" s="12" t="s">
        <v>927</v>
      </c>
      <c r="D205" s="12" t="s">
        <v>926</v>
      </c>
      <c r="E205" s="12" t="s">
        <v>154</v>
      </c>
      <c r="F205" s="72">
        <v>620</v>
      </c>
      <c r="G205" s="12" t="s">
        <v>1397</v>
      </c>
      <c r="H205" s="12" t="s">
        <v>1398</v>
      </c>
    </row>
    <row r="206" spans="1:8" x14ac:dyDescent="0.2">
      <c r="A206" s="12" t="s">
        <v>161</v>
      </c>
      <c r="B206" s="12" t="s">
        <v>1707</v>
      </c>
      <c r="C206" s="12" t="s">
        <v>929</v>
      </c>
      <c r="D206" s="12" t="s">
        <v>928</v>
      </c>
      <c r="E206" s="12" t="s">
        <v>160</v>
      </c>
      <c r="F206" s="72">
        <v>630</v>
      </c>
      <c r="G206" s="12" t="s">
        <v>1397</v>
      </c>
      <c r="H206" s="12" t="s">
        <v>1398</v>
      </c>
    </row>
    <row r="207" spans="1:8" x14ac:dyDescent="0.2">
      <c r="A207" s="12" t="s">
        <v>159</v>
      </c>
      <c r="B207" s="12" t="s">
        <v>1705</v>
      </c>
      <c r="C207" s="12" t="s">
        <v>931</v>
      </c>
      <c r="D207" s="12" t="s">
        <v>930</v>
      </c>
      <c r="E207" s="12" t="s">
        <v>158</v>
      </c>
      <c r="F207" s="72">
        <v>634</v>
      </c>
      <c r="G207" s="12" t="s">
        <v>1397</v>
      </c>
      <c r="H207" s="12" t="s">
        <v>1398</v>
      </c>
    </row>
    <row r="208" spans="1:8" x14ac:dyDescent="0.2">
      <c r="A208" s="12" t="s">
        <v>163</v>
      </c>
      <c r="B208" s="12" t="s">
        <v>1536</v>
      </c>
      <c r="C208" s="12" t="s">
        <v>933</v>
      </c>
      <c r="D208" s="12" t="s">
        <v>932</v>
      </c>
      <c r="E208" s="12" t="s">
        <v>162</v>
      </c>
      <c r="F208" s="72">
        <v>638</v>
      </c>
      <c r="G208" s="12" t="s">
        <v>1397</v>
      </c>
      <c r="H208" s="12" t="s">
        <v>1398</v>
      </c>
    </row>
    <row r="209" spans="1:8" x14ac:dyDescent="0.2">
      <c r="A209" s="12" t="s">
        <v>165</v>
      </c>
      <c r="B209" s="12" t="s">
        <v>1628</v>
      </c>
      <c r="C209" s="12" t="s">
        <v>935</v>
      </c>
      <c r="D209" s="12" t="s">
        <v>934</v>
      </c>
      <c r="E209" s="12" t="s">
        <v>164</v>
      </c>
      <c r="F209" s="72">
        <v>642</v>
      </c>
      <c r="G209" s="12" t="s">
        <v>1397</v>
      </c>
      <c r="H209" s="12" t="s">
        <v>1398</v>
      </c>
    </row>
    <row r="210" spans="1:8" x14ac:dyDescent="0.2">
      <c r="A210" s="12" t="s">
        <v>169</v>
      </c>
      <c r="B210" s="12" t="s">
        <v>1576</v>
      </c>
      <c r="C210" s="12" t="s">
        <v>937</v>
      </c>
      <c r="D210" s="12" t="s">
        <v>936</v>
      </c>
      <c r="E210" s="12" t="s">
        <v>168</v>
      </c>
      <c r="F210" s="72">
        <v>643</v>
      </c>
      <c r="G210" s="12" t="s">
        <v>1397</v>
      </c>
      <c r="H210" s="12" t="s">
        <v>1398</v>
      </c>
    </row>
    <row r="211" spans="1:8" x14ac:dyDescent="0.2">
      <c r="A211" s="12" t="s">
        <v>167</v>
      </c>
      <c r="B211" s="12" t="s">
        <v>1570</v>
      </c>
      <c r="C211" s="12" t="s">
        <v>939</v>
      </c>
      <c r="D211" s="12" t="s">
        <v>938</v>
      </c>
      <c r="E211" s="12" t="s">
        <v>166</v>
      </c>
      <c r="F211" s="72">
        <v>646</v>
      </c>
      <c r="G211" s="12" t="s">
        <v>1397</v>
      </c>
      <c r="H211" s="12" t="s">
        <v>1398</v>
      </c>
    </row>
    <row r="212" spans="1:8" x14ac:dyDescent="0.2">
      <c r="A212" s="12" t="s">
        <v>179</v>
      </c>
      <c r="B212" s="12" t="s">
        <v>1476</v>
      </c>
      <c r="C212" s="12" t="s">
        <v>941</v>
      </c>
      <c r="D212" s="12" t="s">
        <v>940</v>
      </c>
      <c r="E212" s="12" t="s">
        <v>178</v>
      </c>
      <c r="F212" s="72">
        <v>652</v>
      </c>
      <c r="G212" s="12" t="s">
        <v>1397</v>
      </c>
      <c r="H212" s="12" t="s">
        <v>1398</v>
      </c>
    </row>
    <row r="213" spans="1:8" x14ac:dyDescent="0.2">
      <c r="A213" s="12" t="s">
        <v>177</v>
      </c>
      <c r="B213" s="12" t="s">
        <v>1671</v>
      </c>
      <c r="C213" s="12" t="s">
        <v>943</v>
      </c>
      <c r="D213" s="12" t="s">
        <v>942</v>
      </c>
      <c r="E213" s="12" t="s">
        <v>176</v>
      </c>
      <c r="F213" s="72">
        <v>654</v>
      </c>
      <c r="G213" s="12" t="s">
        <v>1397</v>
      </c>
      <c r="H213" s="12" t="s">
        <v>1398</v>
      </c>
    </row>
    <row r="214" spans="1:8" x14ac:dyDescent="0.2">
      <c r="A214" s="12" t="s">
        <v>171</v>
      </c>
      <c r="B214" s="12" t="s">
        <v>1434</v>
      </c>
      <c r="C214" s="12" t="s">
        <v>945</v>
      </c>
      <c r="D214" s="12" t="s">
        <v>944</v>
      </c>
      <c r="E214" s="12" t="s">
        <v>170</v>
      </c>
      <c r="F214" s="72">
        <v>659</v>
      </c>
      <c r="G214" s="12" t="s">
        <v>1397</v>
      </c>
      <c r="H214" s="12" t="s">
        <v>1398</v>
      </c>
    </row>
    <row r="215" spans="1:8" x14ac:dyDescent="0.2">
      <c r="A215" s="12" t="s">
        <v>175</v>
      </c>
      <c r="B215" s="12" t="s">
        <v>1569</v>
      </c>
      <c r="C215" s="12" t="s">
        <v>947</v>
      </c>
      <c r="D215" s="12" t="s">
        <v>946</v>
      </c>
      <c r="E215" s="12" t="s">
        <v>174</v>
      </c>
      <c r="F215" s="72">
        <v>662</v>
      </c>
      <c r="G215" s="12" t="s">
        <v>1397</v>
      </c>
      <c r="H215" s="12" t="s">
        <v>1398</v>
      </c>
    </row>
    <row r="216" spans="1:8" x14ac:dyDescent="0.2">
      <c r="A216" s="12" t="s">
        <v>173</v>
      </c>
      <c r="B216" s="12" t="s">
        <v>1447</v>
      </c>
      <c r="C216" s="12" t="s">
        <v>949</v>
      </c>
      <c r="D216" s="12" t="s">
        <v>948</v>
      </c>
      <c r="E216" s="12" t="s">
        <v>172</v>
      </c>
      <c r="F216" s="72">
        <v>663</v>
      </c>
      <c r="G216" s="12" t="s">
        <v>1397</v>
      </c>
      <c r="H216" s="12" t="s">
        <v>1398</v>
      </c>
    </row>
    <row r="217" spans="1:8" x14ac:dyDescent="0.2">
      <c r="A217" s="12" t="s">
        <v>181</v>
      </c>
      <c r="B217" s="12" t="s">
        <v>1667</v>
      </c>
      <c r="C217" s="12" t="s">
        <v>951</v>
      </c>
      <c r="D217" s="12" t="s">
        <v>950</v>
      </c>
      <c r="E217" s="12" t="s">
        <v>180</v>
      </c>
      <c r="F217" s="72">
        <v>666</v>
      </c>
      <c r="G217" s="12" t="s">
        <v>1397</v>
      </c>
      <c r="H217" s="12" t="s">
        <v>1398</v>
      </c>
    </row>
    <row r="218" spans="1:8" x14ac:dyDescent="0.2">
      <c r="A218" s="12" t="s">
        <v>183</v>
      </c>
      <c r="B218" s="12" t="s">
        <v>1572</v>
      </c>
      <c r="C218" s="12" t="s">
        <v>953</v>
      </c>
      <c r="D218" s="12" t="s">
        <v>952</v>
      </c>
      <c r="E218" s="12" t="s">
        <v>182</v>
      </c>
      <c r="F218" s="72">
        <v>670</v>
      </c>
      <c r="G218" s="12" t="s">
        <v>1397</v>
      </c>
      <c r="H218" s="12" t="s">
        <v>1398</v>
      </c>
    </row>
    <row r="219" spans="1:8" x14ac:dyDescent="0.2">
      <c r="A219" s="12" t="s">
        <v>189</v>
      </c>
      <c r="B219" s="12" t="s">
        <v>1511</v>
      </c>
      <c r="C219" s="12" t="s">
        <v>955</v>
      </c>
      <c r="D219" s="12" t="s">
        <v>954</v>
      </c>
      <c r="E219" s="12" t="s">
        <v>188</v>
      </c>
      <c r="F219" s="72">
        <v>882</v>
      </c>
      <c r="G219" s="12" t="s">
        <v>1397</v>
      </c>
      <c r="H219" s="12" t="s">
        <v>1398</v>
      </c>
    </row>
    <row r="220" spans="1:8" x14ac:dyDescent="0.2">
      <c r="A220" s="12" t="s">
        <v>191</v>
      </c>
      <c r="B220" s="12" t="s">
        <v>1571</v>
      </c>
      <c r="C220" s="12" t="s">
        <v>957</v>
      </c>
      <c r="D220" s="12" t="s">
        <v>956</v>
      </c>
      <c r="E220" s="12" t="s">
        <v>190</v>
      </c>
      <c r="F220" s="72">
        <v>674</v>
      </c>
      <c r="G220" s="12" t="s">
        <v>1397</v>
      </c>
      <c r="H220" s="12" t="s">
        <v>1398</v>
      </c>
    </row>
    <row r="221" spans="1:8" x14ac:dyDescent="0.2">
      <c r="A221" s="12" t="s">
        <v>185</v>
      </c>
      <c r="B221" s="12" t="s">
        <v>1564</v>
      </c>
      <c r="C221" s="12" t="s">
        <v>959</v>
      </c>
      <c r="D221" s="12" t="s">
        <v>958</v>
      </c>
      <c r="E221" s="12" t="s">
        <v>184</v>
      </c>
      <c r="F221" s="72">
        <v>678</v>
      </c>
      <c r="G221" s="12" t="s">
        <v>1397</v>
      </c>
      <c r="H221" s="12" t="s">
        <v>1398</v>
      </c>
    </row>
    <row r="222" spans="1:8" x14ac:dyDescent="0.2">
      <c r="A222" s="12" t="s">
        <v>187</v>
      </c>
      <c r="B222" s="12" t="s">
        <v>1563</v>
      </c>
      <c r="C222" s="12" t="s">
        <v>961</v>
      </c>
      <c r="D222" s="12" t="s">
        <v>960</v>
      </c>
      <c r="E222" s="12" t="s">
        <v>186</v>
      </c>
      <c r="F222" s="72">
        <v>682</v>
      </c>
      <c r="G222" s="12" t="s">
        <v>1397</v>
      </c>
      <c r="H222" s="12" t="s">
        <v>1398</v>
      </c>
    </row>
    <row r="223" spans="1:8" x14ac:dyDescent="0.2">
      <c r="A223" s="12" t="s">
        <v>193</v>
      </c>
      <c r="B223" s="12" t="s">
        <v>1592</v>
      </c>
      <c r="C223" s="12" t="s">
        <v>963</v>
      </c>
      <c r="D223" s="12" t="s">
        <v>962</v>
      </c>
      <c r="E223" s="12" t="s">
        <v>192</v>
      </c>
      <c r="F223" s="72">
        <v>686</v>
      </c>
      <c r="G223" s="12" t="s">
        <v>1397</v>
      </c>
      <c r="H223" s="12" t="s">
        <v>1398</v>
      </c>
    </row>
    <row r="224" spans="1:8" x14ac:dyDescent="0.2">
      <c r="A224" s="12" t="s">
        <v>195</v>
      </c>
      <c r="B224" s="12" t="s">
        <v>1690</v>
      </c>
      <c r="C224" s="12" t="s">
        <v>965</v>
      </c>
      <c r="D224" s="12" t="s">
        <v>964</v>
      </c>
      <c r="E224" s="12" t="s">
        <v>194</v>
      </c>
      <c r="F224" s="72">
        <v>688</v>
      </c>
      <c r="G224" s="12" t="s">
        <v>1397</v>
      </c>
      <c r="H224" s="12" t="s">
        <v>1398</v>
      </c>
    </row>
    <row r="225" spans="1:8" x14ac:dyDescent="0.2">
      <c r="A225" s="12" t="s">
        <v>197</v>
      </c>
      <c r="B225" s="12" t="s">
        <v>1590</v>
      </c>
      <c r="C225" s="12" t="s">
        <v>967</v>
      </c>
      <c r="D225" s="12" t="s">
        <v>966</v>
      </c>
      <c r="E225" s="12" t="s">
        <v>196</v>
      </c>
      <c r="F225" s="72">
        <v>690</v>
      </c>
      <c r="G225" s="12" t="s">
        <v>1397</v>
      </c>
      <c r="H225" s="12" t="s">
        <v>1398</v>
      </c>
    </row>
    <row r="226" spans="1:8" x14ac:dyDescent="0.2">
      <c r="A226" s="12" t="s">
        <v>12</v>
      </c>
      <c r="B226" s="12" t="s">
        <v>1684</v>
      </c>
      <c r="C226" s="12" t="s">
        <v>969</v>
      </c>
      <c r="D226" s="12" t="s">
        <v>968</v>
      </c>
      <c r="E226" s="12" t="s">
        <v>198</v>
      </c>
      <c r="F226" s="72">
        <v>694</v>
      </c>
      <c r="G226" s="12" t="s">
        <v>1397</v>
      </c>
      <c r="H226" s="12" t="s">
        <v>1398</v>
      </c>
    </row>
    <row r="227" spans="1:8" x14ac:dyDescent="0.2">
      <c r="A227" s="12" t="s">
        <v>16</v>
      </c>
      <c r="B227" s="12" t="s">
        <v>1687</v>
      </c>
      <c r="C227" s="12" t="s">
        <v>971</v>
      </c>
      <c r="D227" s="12" t="s">
        <v>970</v>
      </c>
      <c r="E227" s="12" t="s">
        <v>15</v>
      </c>
      <c r="F227" s="72">
        <v>702</v>
      </c>
      <c r="G227" s="12" t="s">
        <v>1397</v>
      </c>
      <c r="H227" s="12" t="s">
        <v>1398</v>
      </c>
    </row>
    <row r="228" spans="1:8" x14ac:dyDescent="0.2">
      <c r="A228" s="12" t="s">
        <v>14</v>
      </c>
      <c r="B228" s="12" t="s">
        <v>1548</v>
      </c>
      <c r="C228" s="12" t="s">
        <v>973</v>
      </c>
      <c r="D228" s="12" t="s">
        <v>972</v>
      </c>
      <c r="E228" s="12" t="s">
        <v>13</v>
      </c>
      <c r="F228" s="72">
        <v>534</v>
      </c>
      <c r="G228" s="12" t="s">
        <v>1397</v>
      </c>
      <c r="H228" s="12" t="s">
        <v>1398</v>
      </c>
    </row>
    <row r="229" spans="1:8" x14ac:dyDescent="0.2">
      <c r="A229" s="12" t="s">
        <v>22</v>
      </c>
      <c r="B229" s="12" t="s">
        <v>1480</v>
      </c>
      <c r="C229" s="12" t="s">
        <v>975</v>
      </c>
      <c r="D229" s="12" t="s">
        <v>974</v>
      </c>
      <c r="E229" s="12" t="s">
        <v>21</v>
      </c>
      <c r="F229" s="72">
        <v>703</v>
      </c>
      <c r="G229" s="12" t="s">
        <v>1397</v>
      </c>
      <c r="H229" s="12" t="s">
        <v>1398</v>
      </c>
    </row>
    <row r="230" spans="1:8" x14ac:dyDescent="0.2">
      <c r="A230" s="12" t="s">
        <v>24</v>
      </c>
      <c r="B230" s="12" t="s">
        <v>1689</v>
      </c>
      <c r="C230" s="12" t="s">
        <v>977</v>
      </c>
      <c r="D230" s="12" t="s">
        <v>976</v>
      </c>
      <c r="E230" s="12" t="s">
        <v>23</v>
      </c>
      <c r="F230" s="72">
        <v>705</v>
      </c>
      <c r="G230" s="12" t="s">
        <v>1397</v>
      </c>
      <c r="H230" s="12" t="s">
        <v>1398</v>
      </c>
    </row>
    <row r="231" spans="1:8" x14ac:dyDescent="0.2">
      <c r="A231" s="12" t="s">
        <v>20</v>
      </c>
      <c r="B231" s="12" t="s">
        <v>1704</v>
      </c>
      <c r="C231" s="12" t="s">
        <v>979</v>
      </c>
      <c r="D231" s="12" t="s">
        <v>978</v>
      </c>
      <c r="E231" s="12" t="s">
        <v>19</v>
      </c>
      <c r="F231" s="72">
        <v>90</v>
      </c>
      <c r="G231" s="12" t="s">
        <v>1397</v>
      </c>
      <c r="H231" s="12" t="s">
        <v>1398</v>
      </c>
    </row>
    <row r="232" spans="1:8" x14ac:dyDescent="0.2">
      <c r="A232" s="12" t="s">
        <v>18</v>
      </c>
      <c r="B232" s="12" t="s">
        <v>1710</v>
      </c>
      <c r="C232" s="12" t="s">
        <v>981</v>
      </c>
      <c r="D232" s="12" t="s">
        <v>980</v>
      </c>
      <c r="E232" s="12" t="s">
        <v>17</v>
      </c>
      <c r="F232" s="72">
        <v>706</v>
      </c>
      <c r="G232" s="12" t="s">
        <v>1397</v>
      </c>
      <c r="H232" s="12" t="s">
        <v>1398</v>
      </c>
    </row>
    <row r="233" spans="1:8" x14ac:dyDescent="0.2">
      <c r="A233" s="12" t="s">
        <v>36</v>
      </c>
      <c r="B233" s="12" t="s">
        <v>1658</v>
      </c>
      <c r="C233" s="12" t="s">
        <v>983</v>
      </c>
      <c r="D233" s="12" t="s">
        <v>982</v>
      </c>
      <c r="E233" s="12" t="s">
        <v>35</v>
      </c>
      <c r="F233" s="72">
        <v>710</v>
      </c>
      <c r="G233" s="12" t="s">
        <v>1397</v>
      </c>
      <c r="H233" s="12" t="s">
        <v>1398</v>
      </c>
    </row>
    <row r="234" spans="1:8" x14ac:dyDescent="0.2">
      <c r="A234" s="12" t="s">
        <v>30</v>
      </c>
      <c r="B234" s="12" t="s">
        <v>1567</v>
      </c>
      <c r="C234" s="12" t="s">
        <v>985</v>
      </c>
      <c r="D234" s="12" t="s">
        <v>984</v>
      </c>
      <c r="E234" s="12" t="s">
        <v>29</v>
      </c>
      <c r="F234" s="72">
        <v>239</v>
      </c>
      <c r="G234" s="12" t="s">
        <v>1397</v>
      </c>
      <c r="H234" s="12" t="s">
        <v>1398</v>
      </c>
    </row>
    <row r="235" spans="1:8" x14ac:dyDescent="0.2">
      <c r="A235" s="12" t="s">
        <v>26</v>
      </c>
      <c r="B235" s="12" t="s">
        <v>1712</v>
      </c>
      <c r="C235" s="12" t="s">
        <v>987</v>
      </c>
      <c r="D235" s="12" t="s">
        <v>986</v>
      </c>
      <c r="E235" s="12" t="s">
        <v>25</v>
      </c>
      <c r="F235" s="72">
        <v>728</v>
      </c>
      <c r="G235" s="12" t="s">
        <v>1397</v>
      </c>
      <c r="H235" s="12" t="s">
        <v>1398</v>
      </c>
    </row>
    <row r="236" spans="1:8" x14ac:dyDescent="0.2">
      <c r="A236" s="12" t="s">
        <v>34</v>
      </c>
      <c r="B236" s="12" t="s">
        <v>1648</v>
      </c>
      <c r="C236" s="12" t="s">
        <v>989</v>
      </c>
      <c r="D236" s="12" t="s">
        <v>988</v>
      </c>
      <c r="E236" s="12" t="s">
        <v>33</v>
      </c>
      <c r="F236" s="72">
        <v>724</v>
      </c>
      <c r="G236" s="12" t="s">
        <v>1397</v>
      </c>
      <c r="H236" s="12" t="s">
        <v>1398</v>
      </c>
    </row>
    <row r="237" spans="1:8" x14ac:dyDescent="0.2">
      <c r="A237" s="12" t="s">
        <v>1431</v>
      </c>
      <c r="B237" s="12" t="s">
        <v>1432</v>
      </c>
      <c r="C237" s="12" t="s">
        <v>992</v>
      </c>
      <c r="D237" s="12" t="s">
        <v>991</v>
      </c>
      <c r="E237" s="12" t="s">
        <v>990</v>
      </c>
      <c r="F237" s="72">
        <v>929</v>
      </c>
      <c r="G237" s="12" t="s">
        <v>1397</v>
      </c>
      <c r="H237" s="12" t="s">
        <v>1398</v>
      </c>
    </row>
    <row r="238" spans="1:8" x14ac:dyDescent="0.2">
      <c r="A238" s="12" t="s">
        <v>28</v>
      </c>
      <c r="B238" s="12" t="s">
        <v>1670</v>
      </c>
      <c r="C238" s="12" t="s">
        <v>994</v>
      </c>
      <c r="D238" s="12" t="s">
        <v>993</v>
      </c>
      <c r="E238" s="12" t="s">
        <v>27</v>
      </c>
      <c r="F238" s="72">
        <v>144</v>
      </c>
      <c r="G238" s="12" t="s">
        <v>1397</v>
      </c>
      <c r="H238" s="12" t="s">
        <v>1398</v>
      </c>
    </row>
    <row r="239" spans="1:8" x14ac:dyDescent="0.2">
      <c r="A239" s="12" t="s">
        <v>38</v>
      </c>
      <c r="B239" s="12" t="s">
        <v>1657</v>
      </c>
      <c r="C239" s="12" t="s">
        <v>996</v>
      </c>
      <c r="D239" s="12" t="s">
        <v>995</v>
      </c>
      <c r="E239" s="12" t="s">
        <v>37</v>
      </c>
      <c r="F239" s="72">
        <v>729</v>
      </c>
      <c r="G239" s="12" t="s">
        <v>1397</v>
      </c>
      <c r="H239" s="12" t="s">
        <v>1398</v>
      </c>
    </row>
    <row r="240" spans="1:8" x14ac:dyDescent="0.2">
      <c r="A240" s="12" t="s">
        <v>44</v>
      </c>
      <c r="B240" s="12" t="s">
        <v>1653</v>
      </c>
      <c r="C240" s="12" t="s">
        <v>998</v>
      </c>
      <c r="D240" s="12" t="s">
        <v>997</v>
      </c>
      <c r="E240" s="12" t="s">
        <v>43</v>
      </c>
      <c r="F240" s="72">
        <v>740</v>
      </c>
      <c r="G240" s="12" t="s">
        <v>1397</v>
      </c>
      <c r="H240" s="12" t="s">
        <v>1398</v>
      </c>
    </row>
    <row r="241" spans="1:8" x14ac:dyDescent="0.2">
      <c r="A241" s="12" t="s">
        <v>1406</v>
      </c>
      <c r="B241" s="12" t="s">
        <v>1407</v>
      </c>
      <c r="C241" s="12" t="s">
        <v>1001</v>
      </c>
      <c r="D241" s="12" t="s">
        <v>1000</v>
      </c>
      <c r="E241" s="12" t="s">
        <v>999</v>
      </c>
      <c r="F241" s="72">
        <v>930</v>
      </c>
      <c r="G241" s="12" t="s">
        <v>1397</v>
      </c>
      <c r="H241" s="12" t="s">
        <v>1398</v>
      </c>
    </row>
    <row r="242" spans="1:8" x14ac:dyDescent="0.2">
      <c r="A242" s="12" t="s">
        <v>48</v>
      </c>
      <c r="B242" s="12" t="s">
        <v>1662</v>
      </c>
      <c r="C242" s="12" t="s">
        <v>1003</v>
      </c>
      <c r="D242" s="12" t="s">
        <v>1002</v>
      </c>
      <c r="E242" s="12" t="s">
        <v>47</v>
      </c>
      <c r="F242" s="72">
        <v>748</v>
      </c>
      <c r="G242" s="12" t="s">
        <v>1397</v>
      </c>
      <c r="H242" s="12" t="s">
        <v>1398</v>
      </c>
    </row>
    <row r="243" spans="1:8" x14ac:dyDescent="0.2">
      <c r="A243" s="12" t="s">
        <v>42</v>
      </c>
      <c r="B243" s="12" t="s">
        <v>1665</v>
      </c>
      <c r="C243" s="12" t="s">
        <v>1005</v>
      </c>
      <c r="D243" s="12" t="s">
        <v>1004</v>
      </c>
      <c r="E243" s="12" t="s">
        <v>41</v>
      </c>
      <c r="F243" s="72">
        <v>752</v>
      </c>
      <c r="G243" s="12" t="s">
        <v>1397</v>
      </c>
      <c r="H243" s="12" t="s">
        <v>1398</v>
      </c>
    </row>
    <row r="244" spans="1:8" x14ac:dyDescent="0.2">
      <c r="A244" s="12" t="s">
        <v>50</v>
      </c>
      <c r="B244" s="12" t="s">
        <v>1672</v>
      </c>
      <c r="C244" s="12" t="s">
        <v>1007</v>
      </c>
      <c r="D244" s="12" t="s">
        <v>1006</v>
      </c>
      <c r="E244" s="12" t="s">
        <v>49</v>
      </c>
      <c r="F244" s="72">
        <v>756</v>
      </c>
      <c r="G244" s="12" t="s">
        <v>1397</v>
      </c>
      <c r="H244" s="12" t="s">
        <v>1398</v>
      </c>
    </row>
    <row r="245" spans="1:8" x14ac:dyDescent="0.2">
      <c r="A245" s="12" t="s">
        <v>40</v>
      </c>
      <c r="B245" s="12" t="s">
        <v>1673</v>
      </c>
      <c r="C245" s="12" t="s">
        <v>1009</v>
      </c>
      <c r="D245" s="12" t="s">
        <v>1008</v>
      </c>
      <c r="E245" s="12" t="s">
        <v>39</v>
      </c>
      <c r="F245" s="72">
        <v>760</v>
      </c>
      <c r="G245" s="12" t="s">
        <v>1397</v>
      </c>
      <c r="H245" s="12" t="s">
        <v>1398</v>
      </c>
    </row>
    <row r="246" spans="1:8" x14ac:dyDescent="0.2">
      <c r="A246" s="12" t="s">
        <v>54</v>
      </c>
      <c r="B246" s="12" t="s">
        <v>1675</v>
      </c>
      <c r="C246" s="12" t="s">
        <v>1011</v>
      </c>
      <c r="D246" s="12" t="s">
        <v>1010</v>
      </c>
      <c r="E246" s="12" t="s">
        <v>53</v>
      </c>
      <c r="F246" s="72">
        <v>158</v>
      </c>
      <c r="G246" s="12" t="s">
        <v>1397</v>
      </c>
      <c r="H246" s="12" t="s">
        <v>1398</v>
      </c>
    </row>
    <row r="247" spans="1:8" x14ac:dyDescent="0.2">
      <c r="A247" s="12" t="s">
        <v>56</v>
      </c>
      <c r="B247" s="12" t="s">
        <v>1674</v>
      </c>
      <c r="C247" s="12" t="s">
        <v>1013</v>
      </c>
      <c r="D247" s="12" t="s">
        <v>1012</v>
      </c>
      <c r="E247" s="12" t="s">
        <v>55</v>
      </c>
      <c r="F247" s="72">
        <v>762</v>
      </c>
      <c r="G247" s="12" t="s">
        <v>1397</v>
      </c>
      <c r="H247" s="12" t="s">
        <v>1398</v>
      </c>
    </row>
    <row r="248" spans="1:8" x14ac:dyDescent="0.2">
      <c r="A248" s="12" t="s">
        <v>52</v>
      </c>
      <c r="B248" s="12" t="s">
        <v>1666</v>
      </c>
      <c r="C248" s="12" t="s">
        <v>1015</v>
      </c>
      <c r="D248" s="12" t="s">
        <v>1014</v>
      </c>
      <c r="E248" s="12" t="s">
        <v>51</v>
      </c>
      <c r="F248" s="72">
        <v>834</v>
      </c>
      <c r="G248" s="12" t="s">
        <v>1397</v>
      </c>
      <c r="H248" s="12" t="s">
        <v>1398</v>
      </c>
    </row>
    <row r="249" spans="1:8" x14ac:dyDescent="0.2">
      <c r="A249" s="12" t="s">
        <v>58</v>
      </c>
      <c r="B249" s="12" t="s">
        <v>1683</v>
      </c>
      <c r="C249" s="12" t="s">
        <v>1017</v>
      </c>
      <c r="D249" s="12" t="s">
        <v>1016</v>
      </c>
      <c r="E249" s="12" t="s">
        <v>57</v>
      </c>
      <c r="F249" s="72">
        <v>764</v>
      </c>
      <c r="G249" s="12" t="s">
        <v>1397</v>
      </c>
      <c r="H249" s="12" t="s">
        <v>1398</v>
      </c>
    </row>
    <row r="250" spans="1:8" x14ac:dyDescent="0.2">
      <c r="A250" s="12" t="s">
        <v>371</v>
      </c>
      <c r="B250" s="12" t="s">
        <v>1661</v>
      </c>
      <c r="C250" s="12" t="s">
        <v>695</v>
      </c>
      <c r="D250" s="12" t="s">
        <v>694</v>
      </c>
      <c r="E250" s="12" t="s">
        <v>370</v>
      </c>
      <c r="F250" s="72">
        <v>270</v>
      </c>
      <c r="G250" s="12" t="s">
        <v>1397</v>
      </c>
      <c r="H250" s="12" t="s">
        <v>1398</v>
      </c>
    </row>
    <row r="251" spans="1:8" x14ac:dyDescent="0.2">
      <c r="A251" s="12" t="s">
        <v>343</v>
      </c>
      <c r="B251" s="12" t="s">
        <v>1611</v>
      </c>
      <c r="C251" s="12" t="s">
        <v>1019</v>
      </c>
      <c r="D251" s="12" t="s">
        <v>1018</v>
      </c>
      <c r="E251" s="12" t="s">
        <v>342</v>
      </c>
      <c r="F251" s="72">
        <v>626</v>
      </c>
      <c r="G251" s="12" t="s">
        <v>1397</v>
      </c>
      <c r="H251" s="12" t="s">
        <v>1398</v>
      </c>
    </row>
    <row r="252" spans="1:8" x14ac:dyDescent="0.2">
      <c r="A252" s="12" t="s">
        <v>66</v>
      </c>
      <c r="B252" s="12" t="s">
        <v>1615</v>
      </c>
      <c r="C252" s="12" t="s">
        <v>1021</v>
      </c>
      <c r="D252" s="12" t="s">
        <v>1020</v>
      </c>
      <c r="E252" s="12" t="s">
        <v>65</v>
      </c>
      <c r="F252" s="72">
        <v>768</v>
      </c>
      <c r="G252" s="12" t="s">
        <v>1397</v>
      </c>
      <c r="H252" s="12" t="s">
        <v>1398</v>
      </c>
    </row>
    <row r="253" spans="1:8" x14ac:dyDescent="0.2">
      <c r="A253" s="12" t="s">
        <v>62</v>
      </c>
      <c r="B253" s="12" t="s">
        <v>1627</v>
      </c>
      <c r="C253" s="12" t="s">
        <v>1023</v>
      </c>
      <c r="D253" s="12" t="s">
        <v>1022</v>
      </c>
      <c r="E253" s="12" t="s">
        <v>61</v>
      </c>
      <c r="F253" s="72">
        <v>772</v>
      </c>
      <c r="G253" s="12" t="s">
        <v>1397</v>
      </c>
      <c r="H253" s="12" t="s">
        <v>1398</v>
      </c>
    </row>
    <row r="254" spans="1:8" x14ac:dyDescent="0.2">
      <c r="A254" s="12" t="s">
        <v>64</v>
      </c>
      <c r="B254" s="12" t="s">
        <v>1605</v>
      </c>
      <c r="C254" s="12" t="s">
        <v>1025</v>
      </c>
      <c r="D254" s="12" t="s">
        <v>1024</v>
      </c>
      <c r="E254" s="12" t="s">
        <v>63</v>
      </c>
      <c r="F254" s="72">
        <v>776</v>
      </c>
      <c r="G254" s="12" t="s">
        <v>1397</v>
      </c>
      <c r="H254" s="12" t="s">
        <v>1398</v>
      </c>
    </row>
    <row r="255" spans="1:8" x14ac:dyDescent="0.2">
      <c r="A255" s="12" t="s">
        <v>78</v>
      </c>
      <c r="B255" s="12" t="s">
        <v>1509</v>
      </c>
      <c r="C255" s="12" t="s">
        <v>1027</v>
      </c>
      <c r="D255" s="12" t="s">
        <v>1026</v>
      </c>
      <c r="E255" s="12" t="s">
        <v>77</v>
      </c>
      <c r="F255" s="72">
        <v>780</v>
      </c>
      <c r="G255" s="12" t="s">
        <v>1397</v>
      </c>
      <c r="H255" s="12" t="s">
        <v>1398</v>
      </c>
    </row>
    <row r="256" spans="1:8" x14ac:dyDescent="0.2">
      <c r="A256" s="12" t="s">
        <v>1402</v>
      </c>
      <c r="B256" s="12" t="s">
        <v>1403</v>
      </c>
      <c r="C256" s="12" t="s">
        <v>1030</v>
      </c>
      <c r="D256" s="12" t="s">
        <v>1029</v>
      </c>
      <c r="E256" s="12" t="s">
        <v>1028</v>
      </c>
      <c r="F256" s="72">
        <v>931</v>
      </c>
      <c r="G256" s="12" t="s">
        <v>1397</v>
      </c>
      <c r="H256" s="12" t="s">
        <v>1398</v>
      </c>
    </row>
    <row r="257" spans="1:8" x14ac:dyDescent="0.2">
      <c r="A257" s="12" t="s">
        <v>74</v>
      </c>
      <c r="B257" s="12" t="s">
        <v>1485</v>
      </c>
      <c r="C257" s="12" t="s">
        <v>1032</v>
      </c>
      <c r="D257" s="12" t="s">
        <v>1031</v>
      </c>
      <c r="E257" s="12" t="s">
        <v>73</v>
      </c>
      <c r="F257" s="72">
        <v>788</v>
      </c>
      <c r="G257" s="12" t="s">
        <v>1397</v>
      </c>
      <c r="H257" s="12" t="s">
        <v>1398</v>
      </c>
    </row>
    <row r="258" spans="1:8" x14ac:dyDescent="0.2">
      <c r="A258" s="12" t="s">
        <v>68</v>
      </c>
      <c r="B258" s="12" t="s">
        <v>1492</v>
      </c>
      <c r="C258" s="12" t="s">
        <v>1034</v>
      </c>
      <c r="D258" s="12" t="s">
        <v>1033</v>
      </c>
      <c r="E258" s="12" t="s">
        <v>67</v>
      </c>
      <c r="F258" s="72">
        <v>792</v>
      </c>
      <c r="G258" s="12" t="s">
        <v>1397</v>
      </c>
      <c r="H258" s="12" t="s">
        <v>1398</v>
      </c>
    </row>
    <row r="259" spans="1:8" x14ac:dyDescent="0.2">
      <c r="A259" s="12" t="s">
        <v>76</v>
      </c>
      <c r="B259" s="12" t="s">
        <v>1494</v>
      </c>
      <c r="C259" s="12" t="s">
        <v>1036</v>
      </c>
      <c r="D259" s="12" t="s">
        <v>1035</v>
      </c>
      <c r="E259" s="12" t="s">
        <v>75</v>
      </c>
      <c r="F259" s="72">
        <v>795</v>
      </c>
      <c r="G259" s="12" t="s">
        <v>1397</v>
      </c>
      <c r="H259" s="12" t="s">
        <v>1398</v>
      </c>
    </row>
    <row r="260" spans="1:8" x14ac:dyDescent="0.2">
      <c r="A260" s="12" t="s">
        <v>72</v>
      </c>
      <c r="B260" s="12" t="s">
        <v>1489</v>
      </c>
      <c r="C260" s="12" t="s">
        <v>1038</v>
      </c>
      <c r="D260" s="12" t="s">
        <v>1037</v>
      </c>
      <c r="E260" s="12" t="s">
        <v>71</v>
      </c>
      <c r="F260" s="72">
        <v>796</v>
      </c>
      <c r="G260" s="12" t="s">
        <v>1397</v>
      </c>
      <c r="H260" s="12" t="s">
        <v>1398</v>
      </c>
    </row>
    <row r="261" spans="1:8" x14ac:dyDescent="0.2">
      <c r="A261" s="12" t="s">
        <v>70</v>
      </c>
      <c r="B261" s="12" t="s">
        <v>1490</v>
      </c>
      <c r="C261" s="12" t="s">
        <v>1040</v>
      </c>
      <c r="D261" s="12" t="s">
        <v>1039</v>
      </c>
      <c r="E261" s="12" t="s">
        <v>69</v>
      </c>
      <c r="F261" s="72">
        <v>798</v>
      </c>
      <c r="G261" s="12" t="s">
        <v>1397</v>
      </c>
      <c r="H261" s="12" t="s">
        <v>1398</v>
      </c>
    </row>
    <row r="262" spans="1:8" x14ac:dyDescent="0.2">
      <c r="A262" s="12" t="s">
        <v>80</v>
      </c>
      <c r="B262" s="12" t="s">
        <v>1495</v>
      </c>
      <c r="C262" s="12" t="s">
        <v>1042</v>
      </c>
      <c r="D262" s="12" t="s">
        <v>1041</v>
      </c>
      <c r="E262" s="12" t="s">
        <v>79</v>
      </c>
      <c r="F262" s="72">
        <v>800</v>
      </c>
      <c r="G262" s="12" t="s">
        <v>1397</v>
      </c>
      <c r="H262" s="12" t="s">
        <v>1398</v>
      </c>
    </row>
    <row r="263" spans="1:8" x14ac:dyDescent="0.2">
      <c r="A263" s="12" t="s">
        <v>92</v>
      </c>
      <c r="B263" s="12" t="s">
        <v>1496</v>
      </c>
      <c r="C263" s="12" t="s">
        <v>1044</v>
      </c>
      <c r="D263" s="12" t="s">
        <v>1043</v>
      </c>
      <c r="E263" s="12" t="s">
        <v>91</v>
      </c>
      <c r="F263" s="72">
        <v>804</v>
      </c>
      <c r="G263" s="12" t="s">
        <v>1397</v>
      </c>
      <c r="H263" s="12" t="s">
        <v>1398</v>
      </c>
    </row>
    <row r="264" spans="1:8" x14ac:dyDescent="0.2">
      <c r="A264" s="12" t="s">
        <v>86</v>
      </c>
      <c r="B264" s="12" t="s">
        <v>1535</v>
      </c>
      <c r="C264" s="12" t="s">
        <v>1046</v>
      </c>
      <c r="D264" s="12" t="s">
        <v>1045</v>
      </c>
      <c r="E264" s="12" t="s">
        <v>85</v>
      </c>
      <c r="F264" s="72">
        <v>784</v>
      </c>
      <c r="G264" s="12" t="s">
        <v>1397</v>
      </c>
      <c r="H264" s="12" t="s">
        <v>1398</v>
      </c>
    </row>
    <row r="265" spans="1:8" x14ac:dyDescent="0.2">
      <c r="A265" s="12" t="s">
        <v>82</v>
      </c>
      <c r="B265" s="12" t="s">
        <v>1539</v>
      </c>
      <c r="C265" s="12" t="s">
        <v>1048</v>
      </c>
      <c r="D265" s="12" t="s">
        <v>1047</v>
      </c>
      <c r="E265" s="12" t="s">
        <v>81</v>
      </c>
      <c r="F265" s="72">
        <v>826</v>
      </c>
      <c r="G265" s="12" t="s">
        <v>1397</v>
      </c>
      <c r="H265" s="12" t="s">
        <v>1398</v>
      </c>
    </row>
    <row r="266" spans="1:8" x14ac:dyDescent="0.2">
      <c r="A266" s="12" t="s">
        <v>88</v>
      </c>
      <c r="B266" s="12" t="s">
        <v>1540</v>
      </c>
      <c r="C266" s="12" t="s">
        <v>1050</v>
      </c>
      <c r="D266" s="12" t="s">
        <v>1049</v>
      </c>
      <c r="E266" s="12" t="s">
        <v>87</v>
      </c>
      <c r="F266" s="72">
        <v>840</v>
      </c>
      <c r="G266" s="12" t="s">
        <v>1397</v>
      </c>
      <c r="H266" s="12" t="s">
        <v>1398</v>
      </c>
    </row>
    <row r="267" spans="1:8" x14ac:dyDescent="0.2">
      <c r="A267" s="12" t="s">
        <v>1399</v>
      </c>
      <c r="B267" s="12" t="s">
        <v>1400</v>
      </c>
      <c r="C267" s="12" t="s">
        <v>1053</v>
      </c>
      <c r="D267" s="12" t="s">
        <v>1052</v>
      </c>
      <c r="E267" s="12" t="s">
        <v>1051</v>
      </c>
      <c r="F267" s="72">
        <v>932</v>
      </c>
      <c r="G267" s="12" t="s">
        <v>1397</v>
      </c>
      <c r="H267" s="12" t="s">
        <v>1398</v>
      </c>
    </row>
    <row r="268" spans="1:8" x14ac:dyDescent="0.2">
      <c r="A268" s="12" t="s">
        <v>94</v>
      </c>
      <c r="B268" s="12" t="s">
        <v>1525</v>
      </c>
      <c r="C268" s="12" t="s">
        <v>1055</v>
      </c>
      <c r="D268" s="12" t="s">
        <v>1054</v>
      </c>
      <c r="E268" s="12" t="s">
        <v>93</v>
      </c>
      <c r="F268" s="72">
        <v>858</v>
      </c>
      <c r="G268" s="12" t="s">
        <v>1397</v>
      </c>
      <c r="H268" s="12" t="s">
        <v>1398</v>
      </c>
    </row>
    <row r="269" spans="1:8" x14ac:dyDescent="0.2">
      <c r="A269" s="12" t="s">
        <v>96</v>
      </c>
      <c r="B269" s="12" t="s">
        <v>1523</v>
      </c>
      <c r="C269" s="12" t="s">
        <v>1057</v>
      </c>
      <c r="D269" s="12" t="s">
        <v>1056</v>
      </c>
      <c r="E269" s="12" t="s">
        <v>95</v>
      </c>
      <c r="F269" s="72">
        <v>860</v>
      </c>
      <c r="G269" s="12" t="s">
        <v>1397</v>
      </c>
      <c r="H269" s="12" t="s">
        <v>1398</v>
      </c>
    </row>
    <row r="270" spans="1:8" x14ac:dyDescent="0.2">
      <c r="A270" s="12" t="s">
        <v>1</v>
      </c>
      <c r="B270" s="12" t="s">
        <v>1524</v>
      </c>
      <c r="C270" s="12" t="s">
        <v>1059</v>
      </c>
      <c r="D270" s="12" t="s">
        <v>1058</v>
      </c>
      <c r="E270" s="12" t="s">
        <v>0</v>
      </c>
      <c r="F270" s="72">
        <v>548</v>
      </c>
      <c r="G270" s="12" t="s">
        <v>1397</v>
      </c>
      <c r="H270" s="12" t="s">
        <v>1398</v>
      </c>
    </row>
    <row r="271" spans="1:8" x14ac:dyDescent="0.2">
      <c r="A271" s="12" t="s">
        <v>102</v>
      </c>
      <c r="B271" s="12" t="s">
        <v>1430</v>
      </c>
      <c r="C271" s="12" t="s">
        <v>1063</v>
      </c>
      <c r="D271" s="12" t="s">
        <v>1062</v>
      </c>
      <c r="E271" s="12" t="s">
        <v>101</v>
      </c>
      <c r="F271" s="72">
        <v>862</v>
      </c>
      <c r="G271" s="12" t="s">
        <v>1397</v>
      </c>
      <c r="H271" s="12" t="s">
        <v>1398</v>
      </c>
    </row>
    <row r="272" spans="1:8" x14ac:dyDescent="0.2">
      <c r="A272" s="12" t="s">
        <v>100</v>
      </c>
      <c r="B272" s="12" t="s">
        <v>1433</v>
      </c>
      <c r="C272" s="12" t="s">
        <v>1065</v>
      </c>
      <c r="D272" s="12" t="s">
        <v>1064</v>
      </c>
      <c r="E272" s="12" t="s">
        <v>99</v>
      </c>
      <c r="F272" s="72">
        <v>704</v>
      </c>
      <c r="G272" s="12" t="s">
        <v>1397</v>
      </c>
      <c r="H272" s="12" t="s">
        <v>1398</v>
      </c>
    </row>
    <row r="273" spans="1:8" x14ac:dyDescent="0.2">
      <c r="A273" s="12" t="s">
        <v>458</v>
      </c>
      <c r="B273" s="12" t="s">
        <v>1454</v>
      </c>
      <c r="C273" s="12" t="s">
        <v>1067</v>
      </c>
      <c r="D273" s="12" t="s">
        <v>1066</v>
      </c>
      <c r="E273" s="12" t="s">
        <v>457</v>
      </c>
      <c r="F273" s="72">
        <v>92</v>
      </c>
      <c r="G273" s="12" t="s">
        <v>1397</v>
      </c>
      <c r="H273" s="12" t="s">
        <v>1398</v>
      </c>
    </row>
    <row r="274" spans="1:8" x14ac:dyDescent="0.2">
      <c r="A274" s="12" t="s">
        <v>84</v>
      </c>
      <c r="B274" s="12" t="s">
        <v>1414</v>
      </c>
      <c r="C274" s="12" t="s">
        <v>1069</v>
      </c>
      <c r="D274" s="12" t="s">
        <v>1068</v>
      </c>
      <c r="E274" s="12" t="s">
        <v>83</v>
      </c>
      <c r="F274" s="72">
        <v>850</v>
      </c>
      <c r="G274" s="12" t="s">
        <v>1397</v>
      </c>
      <c r="H274" s="12" t="s">
        <v>1398</v>
      </c>
    </row>
    <row r="275" spans="1:8" x14ac:dyDescent="0.2">
      <c r="A275" s="12" t="s">
        <v>1395</v>
      </c>
      <c r="B275" s="12" t="s">
        <v>1396</v>
      </c>
      <c r="C275" s="12" t="s">
        <v>1072</v>
      </c>
      <c r="D275" s="12" t="s">
        <v>1071</v>
      </c>
      <c r="E275" s="12" t="s">
        <v>1070</v>
      </c>
      <c r="F275" s="72">
        <v>933</v>
      </c>
      <c r="G275" s="12" t="s">
        <v>1397</v>
      </c>
      <c r="H275" s="12" t="s">
        <v>1398</v>
      </c>
    </row>
    <row r="276" spans="1:8" x14ac:dyDescent="0.2">
      <c r="A276" s="12" t="s">
        <v>3</v>
      </c>
      <c r="B276" s="12" t="s">
        <v>1421</v>
      </c>
      <c r="C276" s="12" t="s">
        <v>1074</v>
      </c>
      <c r="D276" s="12" t="s">
        <v>1073</v>
      </c>
      <c r="E276" s="12" t="s">
        <v>2</v>
      </c>
      <c r="F276" s="72">
        <v>876</v>
      </c>
      <c r="G276" s="12" t="s">
        <v>1397</v>
      </c>
      <c r="H276" s="12" t="s">
        <v>1398</v>
      </c>
    </row>
    <row r="277" spans="1:8" x14ac:dyDescent="0.2">
      <c r="A277" s="12" t="s">
        <v>1408</v>
      </c>
      <c r="B277" s="12" t="s">
        <v>1409</v>
      </c>
      <c r="C277" s="12" t="s">
        <v>1077</v>
      </c>
      <c r="D277" s="12" t="s">
        <v>1076</v>
      </c>
      <c r="E277" s="12" t="s">
        <v>1075</v>
      </c>
      <c r="F277" s="72">
        <v>934</v>
      </c>
      <c r="G277" s="12" t="s">
        <v>1397</v>
      </c>
      <c r="H277" s="12" t="s">
        <v>1398</v>
      </c>
    </row>
    <row r="278" spans="1:8" x14ac:dyDescent="0.2">
      <c r="A278" s="12" t="s">
        <v>5</v>
      </c>
      <c r="B278" s="12" t="s">
        <v>1621</v>
      </c>
      <c r="C278" s="12" t="s">
        <v>1079</v>
      </c>
      <c r="D278" s="12" t="s">
        <v>1078</v>
      </c>
      <c r="E278" s="12" t="s">
        <v>4</v>
      </c>
      <c r="F278" s="72">
        <v>732</v>
      </c>
      <c r="G278" s="12" t="s">
        <v>1397</v>
      </c>
      <c r="H278" s="12" t="s">
        <v>1398</v>
      </c>
    </row>
    <row r="279" spans="1:8" x14ac:dyDescent="0.2">
      <c r="A279" s="12" t="s">
        <v>11</v>
      </c>
      <c r="B279" s="12" t="s">
        <v>1410</v>
      </c>
      <c r="C279" s="12" t="s">
        <v>1081</v>
      </c>
      <c r="D279" s="12" t="s">
        <v>1080</v>
      </c>
      <c r="E279" s="12" t="s">
        <v>10</v>
      </c>
      <c r="F279" s="72">
        <v>887</v>
      </c>
      <c r="G279" s="12" t="s">
        <v>1397</v>
      </c>
      <c r="H279" s="12" t="s">
        <v>1398</v>
      </c>
    </row>
    <row r="280" spans="1:8" x14ac:dyDescent="0.2">
      <c r="A280" s="12" t="s">
        <v>9</v>
      </c>
      <c r="B280" s="12" t="s">
        <v>1404</v>
      </c>
      <c r="C280" s="12" t="s">
        <v>1083</v>
      </c>
      <c r="D280" s="12" t="s">
        <v>1082</v>
      </c>
      <c r="E280" s="12" t="s">
        <v>8</v>
      </c>
      <c r="F280" s="72">
        <v>894</v>
      </c>
      <c r="G280" s="12" t="s">
        <v>1397</v>
      </c>
      <c r="H280" s="12" t="s">
        <v>1398</v>
      </c>
    </row>
    <row r="281" spans="1:8" x14ac:dyDescent="0.2">
      <c r="A281" s="12" t="s">
        <v>7</v>
      </c>
      <c r="B281" s="12" t="s">
        <v>1401</v>
      </c>
      <c r="C281" s="12" t="s">
        <v>1085</v>
      </c>
      <c r="D281" s="12" t="s">
        <v>1084</v>
      </c>
      <c r="E281" s="12" t="s">
        <v>6</v>
      </c>
      <c r="F281" s="72">
        <v>716</v>
      </c>
      <c r="G281" s="12" t="s">
        <v>1397</v>
      </c>
      <c r="H281" s="12" t="s">
        <v>1398</v>
      </c>
    </row>
  </sheetData>
  <autoFilter ref="A1:H1">
    <sortState ref="A2:H281">
      <sortCondition ref="B1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D251"/>
  <sheetViews>
    <sheetView workbookViewId="0">
      <pane ySplit="1" topLeftCell="A2" activePane="bottomLeft" state="frozen"/>
      <selection pane="bottomLeft" activeCell="D2" sqref="D2"/>
    </sheetView>
  </sheetViews>
  <sheetFormatPr defaultColWidth="21.7109375" defaultRowHeight="12.75" x14ac:dyDescent="0.2"/>
  <cols>
    <col min="1" max="1" width="10.85546875" style="3" customWidth="1"/>
    <col min="2" max="2" width="11.42578125" style="3" customWidth="1"/>
    <col min="3" max="3" width="10.5703125" style="75" customWidth="1"/>
    <col min="4" max="4" width="50.7109375" customWidth="1"/>
    <col min="5" max="5" width="29.5703125" customWidth="1"/>
  </cols>
  <sheetData>
    <row r="1" spans="1:4" ht="25.5" x14ac:dyDescent="0.2">
      <c r="A1" s="9" t="s">
        <v>1383</v>
      </c>
      <c r="B1" s="9" t="s">
        <v>1384</v>
      </c>
      <c r="C1" s="73" t="s">
        <v>497</v>
      </c>
      <c r="D1" s="9" t="s">
        <v>498</v>
      </c>
    </row>
    <row r="2" spans="1:4" x14ac:dyDescent="0.2">
      <c r="A2" s="2" t="s">
        <v>499</v>
      </c>
      <c r="B2" s="2" t="s">
        <v>405</v>
      </c>
      <c r="C2" s="74">
        <v>4</v>
      </c>
      <c r="D2" t="s">
        <v>1134</v>
      </c>
    </row>
    <row r="3" spans="1:4" x14ac:dyDescent="0.2">
      <c r="A3" s="3" t="s">
        <v>1092</v>
      </c>
      <c r="B3" s="3" t="s">
        <v>401</v>
      </c>
      <c r="C3" s="75">
        <v>248</v>
      </c>
      <c r="D3" t="s">
        <v>1135</v>
      </c>
    </row>
    <row r="4" spans="1:4" x14ac:dyDescent="0.2">
      <c r="A4" s="3" t="s">
        <v>504</v>
      </c>
      <c r="B4" s="3" t="s">
        <v>403</v>
      </c>
      <c r="C4" s="75">
        <v>8</v>
      </c>
      <c r="D4" t="s">
        <v>1136</v>
      </c>
    </row>
    <row r="5" spans="1:4" x14ac:dyDescent="0.2">
      <c r="A5" s="3" t="s">
        <v>506</v>
      </c>
      <c r="B5" s="3" t="s">
        <v>407</v>
      </c>
      <c r="C5" s="75">
        <v>12</v>
      </c>
      <c r="D5" t="s">
        <v>1137</v>
      </c>
    </row>
    <row r="6" spans="1:4" x14ac:dyDescent="0.2">
      <c r="A6" s="3" t="s">
        <v>508</v>
      </c>
      <c r="B6" s="3" t="s">
        <v>409</v>
      </c>
      <c r="C6" s="75">
        <v>16</v>
      </c>
      <c r="D6" t="s">
        <v>1138</v>
      </c>
    </row>
    <row r="7" spans="1:4" x14ac:dyDescent="0.2">
      <c r="A7" s="3" t="s">
        <v>510</v>
      </c>
      <c r="B7" s="3" t="s">
        <v>413</v>
      </c>
      <c r="C7" s="75">
        <v>20</v>
      </c>
      <c r="D7" t="s">
        <v>1139</v>
      </c>
    </row>
    <row r="8" spans="1:4" x14ac:dyDescent="0.2">
      <c r="A8" s="3" t="s">
        <v>512</v>
      </c>
      <c r="B8" s="3" t="s">
        <v>415</v>
      </c>
      <c r="C8" s="75">
        <v>24</v>
      </c>
      <c r="D8" t="s">
        <v>1140</v>
      </c>
    </row>
    <row r="9" spans="1:4" x14ac:dyDescent="0.2">
      <c r="A9" s="3" t="s">
        <v>514</v>
      </c>
      <c r="B9" s="3" t="s">
        <v>411</v>
      </c>
      <c r="C9" s="75">
        <v>660</v>
      </c>
      <c r="D9" t="s">
        <v>1141</v>
      </c>
    </row>
    <row r="10" spans="1:4" x14ac:dyDescent="0.2">
      <c r="A10" s="3" t="s">
        <v>516</v>
      </c>
      <c r="B10" s="3" t="s">
        <v>417</v>
      </c>
      <c r="C10" s="75">
        <v>10</v>
      </c>
      <c r="D10" t="s">
        <v>1142</v>
      </c>
    </row>
    <row r="11" spans="1:4" x14ac:dyDescent="0.2">
      <c r="A11" s="3" t="s">
        <v>518</v>
      </c>
      <c r="B11" s="3" t="s">
        <v>421</v>
      </c>
      <c r="C11" s="75">
        <v>28</v>
      </c>
      <c r="D11" t="s">
        <v>1143</v>
      </c>
    </row>
    <row r="12" spans="1:4" x14ac:dyDescent="0.2">
      <c r="A12" s="3" t="s">
        <v>520</v>
      </c>
      <c r="B12" s="3" t="s">
        <v>419</v>
      </c>
      <c r="C12" s="75">
        <v>32</v>
      </c>
      <c r="D12" t="s">
        <v>1144</v>
      </c>
    </row>
    <row r="13" spans="1:4" x14ac:dyDescent="0.2">
      <c r="A13" s="3" t="s">
        <v>522</v>
      </c>
      <c r="B13" s="3" t="s">
        <v>429</v>
      </c>
      <c r="C13" s="75">
        <v>51</v>
      </c>
      <c r="D13" t="s">
        <v>1145</v>
      </c>
    </row>
    <row r="14" spans="1:4" x14ac:dyDescent="0.2">
      <c r="A14" s="3" t="s">
        <v>524</v>
      </c>
      <c r="B14" s="3" t="s">
        <v>423</v>
      </c>
      <c r="C14" s="75">
        <v>533</v>
      </c>
      <c r="D14" t="s">
        <v>1146</v>
      </c>
    </row>
    <row r="15" spans="1:4" x14ac:dyDescent="0.2">
      <c r="A15" s="3" t="s">
        <v>529</v>
      </c>
      <c r="B15" s="3" t="s">
        <v>425</v>
      </c>
      <c r="C15" s="75">
        <v>36</v>
      </c>
      <c r="D15" t="s">
        <v>1147</v>
      </c>
    </row>
    <row r="16" spans="1:4" x14ac:dyDescent="0.2">
      <c r="A16" s="3" t="s">
        <v>531</v>
      </c>
      <c r="B16" s="3" t="s">
        <v>427</v>
      </c>
      <c r="C16" s="75">
        <v>40</v>
      </c>
      <c r="D16" t="s">
        <v>1148</v>
      </c>
    </row>
    <row r="17" spans="1:4" x14ac:dyDescent="0.2">
      <c r="A17" s="3" t="s">
        <v>533</v>
      </c>
      <c r="B17" s="3" t="s">
        <v>431</v>
      </c>
      <c r="C17" s="75">
        <v>31</v>
      </c>
      <c r="D17" t="s">
        <v>1149</v>
      </c>
    </row>
    <row r="18" spans="1:4" x14ac:dyDescent="0.2">
      <c r="A18" s="3" t="s">
        <v>535</v>
      </c>
      <c r="B18" s="3" t="s">
        <v>439</v>
      </c>
      <c r="C18" s="75">
        <v>44</v>
      </c>
      <c r="D18" t="s">
        <v>1150</v>
      </c>
    </row>
    <row r="19" spans="1:4" x14ac:dyDescent="0.2">
      <c r="A19" s="3" t="s">
        <v>537</v>
      </c>
      <c r="B19" s="3" t="s">
        <v>445</v>
      </c>
      <c r="C19" s="75">
        <v>48</v>
      </c>
      <c r="D19" t="s">
        <v>1151</v>
      </c>
    </row>
    <row r="20" spans="1:4" x14ac:dyDescent="0.2">
      <c r="A20" s="3" t="s">
        <v>542</v>
      </c>
      <c r="B20" s="3" t="s">
        <v>441</v>
      </c>
      <c r="C20" s="75">
        <v>50</v>
      </c>
      <c r="D20" t="s">
        <v>1152</v>
      </c>
    </row>
    <row r="21" spans="1:4" x14ac:dyDescent="0.2">
      <c r="A21" s="3" t="s">
        <v>544</v>
      </c>
      <c r="B21" s="3" t="s">
        <v>435</v>
      </c>
      <c r="C21" s="75">
        <v>52</v>
      </c>
      <c r="D21" t="s">
        <v>1153</v>
      </c>
    </row>
    <row r="22" spans="1:4" x14ac:dyDescent="0.2">
      <c r="A22" s="3" t="s">
        <v>549</v>
      </c>
      <c r="B22" s="3" t="s">
        <v>437</v>
      </c>
      <c r="C22" s="75">
        <v>112</v>
      </c>
      <c r="D22" t="s">
        <v>1154</v>
      </c>
    </row>
    <row r="23" spans="1:4" x14ac:dyDescent="0.2">
      <c r="A23" s="3" t="s">
        <v>551</v>
      </c>
      <c r="B23" s="3" t="s">
        <v>433</v>
      </c>
      <c r="C23" s="75">
        <v>56</v>
      </c>
      <c r="D23" t="s">
        <v>1155</v>
      </c>
    </row>
    <row r="24" spans="1:4" x14ac:dyDescent="0.2">
      <c r="A24" s="3" t="s">
        <v>553</v>
      </c>
      <c r="B24" s="3" t="s">
        <v>443</v>
      </c>
      <c r="C24" s="75">
        <v>84</v>
      </c>
      <c r="D24" t="s">
        <v>1156</v>
      </c>
    </row>
    <row r="25" spans="1:4" x14ac:dyDescent="0.2">
      <c r="A25" s="3" t="s">
        <v>555</v>
      </c>
      <c r="B25" s="3" t="s">
        <v>447</v>
      </c>
      <c r="C25" s="75">
        <v>204</v>
      </c>
      <c r="D25" t="s">
        <v>1157</v>
      </c>
    </row>
    <row r="26" spans="1:4" x14ac:dyDescent="0.2">
      <c r="A26" s="3" t="s">
        <v>557</v>
      </c>
      <c r="B26" s="3" t="s">
        <v>449</v>
      </c>
      <c r="C26" s="75">
        <v>60</v>
      </c>
      <c r="D26" t="s">
        <v>1158</v>
      </c>
    </row>
    <row r="27" spans="1:4" x14ac:dyDescent="0.2">
      <c r="A27" s="3" t="s">
        <v>559</v>
      </c>
      <c r="B27" s="3" t="s">
        <v>451</v>
      </c>
      <c r="C27" s="75">
        <v>64</v>
      </c>
      <c r="D27" t="s">
        <v>1159</v>
      </c>
    </row>
    <row r="28" spans="1:4" x14ac:dyDescent="0.2">
      <c r="A28" s="3" t="s">
        <v>561</v>
      </c>
      <c r="B28" s="3" t="s">
        <v>455</v>
      </c>
      <c r="C28" s="75">
        <v>68</v>
      </c>
      <c r="D28" t="s">
        <v>1160</v>
      </c>
    </row>
    <row r="29" spans="1:4" x14ac:dyDescent="0.2">
      <c r="A29" s="3" t="s">
        <v>563</v>
      </c>
      <c r="B29" s="3" t="s">
        <v>453</v>
      </c>
      <c r="C29" s="75">
        <v>535</v>
      </c>
      <c r="D29" t="s">
        <v>1161</v>
      </c>
    </row>
    <row r="30" spans="1:4" x14ac:dyDescent="0.2">
      <c r="A30" s="3" t="s">
        <v>565</v>
      </c>
      <c r="B30" s="2" t="s">
        <v>467</v>
      </c>
      <c r="C30" s="75">
        <v>70</v>
      </c>
      <c r="D30" t="s">
        <v>1162</v>
      </c>
    </row>
    <row r="31" spans="1:4" x14ac:dyDescent="0.2">
      <c r="A31" s="3" t="s">
        <v>567</v>
      </c>
      <c r="B31" s="3" t="s">
        <v>461</v>
      </c>
      <c r="C31" s="75">
        <v>72</v>
      </c>
      <c r="D31" t="s">
        <v>1163</v>
      </c>
    </row>
    <row r="32" spans="1:4" x14ac:dyDescent="0.2">
      <c r="A32" s="3" t="s">
        <v>569</v>
      </c>
      <c r="B32" s="3" t="s">
        <v>463</v>
      </c>
      <c r="C32" s="75">
        <v>74</v>
      </c>
      <c r="D32" t="s">
        <v>1164</v>
      </c>
    </row>
    <row r="33" spans="1:4" x14ac:dyDescent="0.2">
      <c r="A33" s="3" t="s">
        <v>571</v>
      </c>
      <c r="B33" s="3" t="s">
        <v>469</v>
      </c>
      <c r="C33" s="75">
        <v>76</v>
      </c>
      <c r="D33" t="s">
        <v>1165</v>
      </c>
    </row>
    <row r="34" spans="1:4" x14ac:dyDescent="0.2">
      <c r="A34" s="3" t="s">
        <v>573</v>
      </c>
      <c r="B34" s="3" t="s">
        <v>465</v>
      </c>
      <c r="C34" s="75">
        <v>86</v>
      </c>
      <c r="D34" t="s">
        <v>1166</v>
      </c>
    </row>
    <row r="35" spans="1:4" x14ac:dyDescent="0.2">
      <c r="A35" s="3" t="s">
        <v>575</v>
      </c>
      <c r="B35" s="3" t="s">
        <v>459</v>
      </c>
      <c r="C35" s="75">
        <v>96</v>
      </c>
      <c r="D35" t="s">
        <v>1167</v>
      </c>
    </row>
    <row r="36" spans="1:4" x14ac:dyDescent="0.2">
      <c r="A36" s="3" t="s">
        <v>577</v>
      </c>
      <c r="B36" s="3" t="s">
        <v>471</v>
      </c>
      <c r="C36" s="75">
        <v>100</v>
      </c>
      <c r="D36" t="s">
        <v>1168</v>
      </c>
    </row>
    <row r="37" spans="1:4" x14ac:dyDescent="0.2">
      <c r="A37" s="3" t="s">
        <v>579</v>
      </c>
      <c r="B37" s="3" t="s">
        <v>475</v>
      </c>
      <c r="C37" s="75">
        <v>854</v>
      </c>
      <c r="D37" t="s">
        <v>1169</v>
      </c>
    </row>
    <row r="38" spans="1:4" x14ac:dyDescent="0.2">
      <c r="A38" s="3" t="s">
        <v>583</v>
      </c>
      <c r="B38" s="3" t="s">
        <v>473</v>
      </c>
      <c r="C38" s="75">
        <v>108</v>
      </c>
      <c r="D38" t="s">
        <v>1170</v>
      </c>
    </row>
    <row r="39" spans="1:4" x14ac:dyDescent="0.2">
      <c r="A39" s="3" t="s">
        <v>591</v>
      </c>
      <c r="B39" s="3" t="s">
        <v>479</v>
      </c>
      <c r="C39" s="75">
        <v>132</v>
      </c>
      <c r="D39" t="s">
        <v>1171</v>
      </c>
    </row>
    <row r="40" spans="1:4" x14ac:dyDescent="0.2">
      <c r="A40" s="3" t="s">
        <v>585</v>
      </c>
      <c r="B40" s="3" t="s">
        <v>481</v>
      </c>
      <c r="C40" s="75">
        <v>116</v>
      </c>
      <c r="D40" t="s">
        <v>1172</v>
      </c>
    </row>
    <row r="41" spans="1:4" x14ac:dyDescent="0.2">
      <c r="A41" s="3" t="s">
        <v>587</v>
      </c>
      <c r="B41" s="3" t="s">
        <v>477</v>
      </c>
      <c r="C41" s="75">
        <v>120</v>
      </c>
      <c r="D41" t="s">
        <v>1173</v>
      </c>
    </row>
    <row r="42" spans="1:4" x14ac:dyDescent="0.2">
      <c r="A42" s="3" t="s">
        <v>589</v>
      </c>
      <c r="B42" s="3" t="s">
        <v>483</v>
      </c>
      <c r="C42" s="75">
        <v>124</v>
      </c>
      <c r="D42" t="s">
        <v>1174</v>
      </c>
    </row>
    <row r="43" spans="1:4" x14ac:dyDescent="0.2">
      <c r="A43" s="3" t="s">
        <v>592</v>
      </c>
      <c r="B43" s="3" t="s">
        <v>485</v>
      </c>
      <c r="C43" s="75">
        <v>136</v>
      </c>
      <c r="D43" t="s">
        <v>1175</v>
      </c>
    </row>
    <row r="44" spans="1:4" x14ac:dyDescent="0.2">
      <c r="A44" s="3" t="s">
        <v>594</v>
      </c>
      <c r="B44" s="3" t="s">
        <v>489</v>
      </c>
      <c r="C44" s="75">
        <v>140</v>
      </c>
      <c r="D44" t="s">
        <v>1176</v>
      </c>
    </row>
    <row r="45" spans="1:4" x14ac:dyDescent="0.2">
      <c r="A45" s="3" t="s">
        <v>596</v>
      </c>
      <c r="B45" s="3" t="s">
        <v>487</v>
      </c>
      <c r="C45" s="75">
        <v>148</v>
      </c>
      <c r="D45" t="s">
        <v>1177</v>
      </c>
    </row>
    <row r="46" spans="1:4" x14ac:dyDescent="0.2">
      <c r="A46" s="3" t="s">
        <v>598</v>
      </c>
      <c r="B46" s="3" t="s">
        <v>493</v>
      </c>
      <c r="C46" s="75">
        <v>152</v>
      </c>
      <c r="D46" t="s">
        <v>1178</v>
      </c>
    </row>
    <row r="47" spans="1:4" x14ac:dyDescent="0.2">
      <c r="A47" s="3" t="s">
        <v>600</v>
      </c>
      <c r="B47" s="3" t="s">
        <v>495</v>
      </c>
      <c r="C47" s="75">
        <v>156</v>
      </c>
      <c r="D47" t="s">
        <v>1179</v>
      </c>
    </row>
    <row r="48" spans="1:4" x14ac:dyDescent="0.2">
      <c r="A48" s="3" t="s">
        <v>602</v>
      </c>
      <c r="B48" s="3" t="s">
        <v>491</v>
      </c>
      <c r="C48" s="75">
        <v>162</v>
      </c>
      <c r="D48" t="s">
        <v>1180</v>
      </c>
    </row>
    <row r="49" spans="1:4" x14ac:dyDescent="0.2">
      <c r="A49" s="3" t="s">
        <v>607</v>
      </c>
      <c r="B49" s="3" t="s">
        <v>304</v>
      </c>
      <c r="C49" s="75">
        <v>166</v>
      </c>
      <c r="D49" t="s">
        <v>1181</v>
      </c>
    </row>
    <row r="50" spans="1:4" x14ac:dyDescent="0.2">
      <c r="A50" s="3" t="s">
        <v>609</v>
      </c>
      <c r="B50" s="3" t="s">
        <v>302</v>
      </c>
      <c r="C50" s="75">
        <v>170</v>
      </c>
      <c r="D50" t="s">
        <v>1182</v>
      </c>
    </row>
    <row r="51" spans="1:4" x14ac:dyDescent="0.2">
      <c r="A51" s="3" t="s">
        <v>611</v>
      </c>
      <c r="B51" s="3" t="s">
        <v>308</v>
      </c>
      <c r="C51" s="75">
        <v>174</v>
      </c>
      <c r="D51" t="s">
        <v>1183</v>
      </c>
    </row>
    <row r="52" spans="1:4" x14ac:dyDescent="0.2">
      <c r="A52" s="3" t="s">
        <v>613</v>
      </c>
      <c r="B52" s="3" t="s">
        <v>306</v>
      </c>
      <c r="C52" s="75">
        <v>178</v>
      </c>
      <c r="D52" t="s">
        <v>1184</v>
      </c>
    </row>
    <row r="53" spans="1:4" x14ac:dyDescent="0.2">
      <c r="A53" s="3" t="s">
        <v>615</v>
      </c>
      <c r="B53" s="3" t="s">
        <v>328</v>
      </c>
      <c r="C53" s="75">
        <v>180</v>
      </c>
      <c r="D53" t="s">
        <v>1185</v>
      </c>
    </row>
    <row r="54" spans="1:4" x14ac:dyDescent="0.2">
      <c r="A54" s="3" t="s">
        <v>617</v>
      </c>
      <c r="B54" s="3" t="s">
        <v>312</v>
      </c>
      <c r="C54" s="75">
        <v>184</v>
      </c>
      <c r="D54" t="s">
        <v>1186</v>
      </c>
    </row>
    <row r="55" spans="1:4" x14ac:dyDescent="0.2">
      <c r="A55" s="3" t="s">
        <v>622</v>
      </c>
      <c r="B55" s="3" t="s">
        <v>316</v>
      </c>
      <c r="C55" s="75">
        <v>188</v>
      </c>
      <c r="D55" t="s">
        <v>1187</v>
      </c>
    </row>
    <row r="56" spans="1:4" x14ac:dyDescent="0.2">
      <c r="A56" s="3" t="s">
        <v>624</v>
      </c>
      <c r="B56" s="3" t="s">
        <v>314</v>
      </c>
      <c r="C56" s="75">
        <v>384</v>
      </c>
      <c r="D56" t="s">
        <v>1188</v>
      </c>
    </row>
    <row r="57" spans="1:4" x14ac:dyDescent="0.2">
      <c r="A57" s="3" t="s">
        <v>625</v>
      </c>
      <c r="B57" s="3" t="s">
        <v>318</v>
      </c>
      <c r="C57" s="75">
        <v>191</v>
      </c>
      <c r="D57" t="s">
        <v>1189</v>
      </c>
    </row>
    <row r="58" spans="1:4" x14ac:dyDescent="0.2">
      <c r="A58" s="3" t="s">
        <v>627</v>
      </c>
      <c r="B58" s="3" t="s">
        <v>310</v>
      </c>
      <c r="C58" s="75">
        <v>192</v>
      </c>
      <c r="D58" t="s">
        <v>1190</v>
      </c>
    </row>
    <row r="59" spans="1:4" x14ac:dyDescent="0.2">
      <c r="A59" s="3" t="s">
        <v>629</v>
      </c>
      <c r="B59" s="3" t="s">
        <v>320</v>
      </c>
      <c r="C59" s="75">
        <v>531</v>
      </c>
      <c r="D59" t="s">
        <v>1191</v>
      </c>
    </row>
    <row r="60" spans="1:4" x14ac:dyDescent="0.2">
      <c r="A60" s="3" t="s">
        <v>631</v>
      </c>
      <c r="B60" s="3" t="s">
        <v>322</v>
      </c>
      <c r="C60" s="75">
        <v>196</v>
      </c>
      <c r="D60" t="s">
        <v>1192</v>
      </c>
    </row>
    <row r="61" spans="1:4" x14ac:dyDescent="0.2">
      <c r="A61" s="3" t="s">
        <v>633</v>
      </c>
      <c r="B61" s="3" t="s">
        <v>324</v>
      </c>
      <c r="C61" s="75">
        <v>203</v>
      </c>
      <c r="D61" t="s">
        <v>1193</v>
      </c>
    </row>
    <row r="62" spans="1:4" x14ac:dyDescent="0.2">
      <c r="A62" s="3" t="s">
        <v>635</v>
      </c>
      <c r="B62" s="3" t="s">
        <v>326</v>
      </c>
      <c r="C62" s="75">
        <v>208</v>
      </c>
      <c r="D62" t="s">
        <v>1194</v>
      </c>
    </row>
    <row r="63" spans="1:4" x14ac:dyDescent="0.2">
      <c r="A63" s="3" t="s">
        <v>643</v>
      </c>
      <c r="B63" s="3" t="s">
        <v>332</v>
      </c>
      <c r="C63" s="75">
        <v>262</v>
      </c>
      <c r="D63" t="s">
        <v>1195</v>
      </c>
    </row>
    <row r="64" spans="1:4" x14ac:dyDescent="0.2">
      <c r="A64" s="3" t="s">
        <v>645</v>
      </c>
      <c r="B64" s="3" t="s">
        <v>330</v>
      </c>
      <c r="C64" s="75">
        <v>212</v>
      </c>
      <c r="D64" t="s">
        <v>1196</v>
      </c>
    </row>
    <row r="65" spans="1:4" x14ac:dyDescent="0.2">
      <c r="A65" s="3" t="s">
        <v>647</v>
      </c>
      <c r="B65" s="3" t="s">
        <v>334</v>
      </c>
      <c r="C65" s="75">
        <v>214</v>
      </c>
      <c r="D65" t="s">
        <v>1197</v>
      </c>
    </row>
    <row r="66" spans="1:4" x14ac:dyDescent="0.2">
      <c r="A66" s="3" t="s">
        <v>649</v>
      </c>
      <c r="B66" s="3" t="s">
        <v>336</v>
      </c>
      <c r="C66" s="75">
        <v>218</v>
      </c>
      <c r="D66" t="s">
        <v>1198</v>
      </c>
    </row>
    <row r="67" spans="1:4" x14ac:dyDescent="0.2">
      <c r="A67" s="3" t="s">
        <v>651</v>
      </c>
      <c r="B67" s="3" t="s">
        <v>340</v>
      </c>
      <c r="C67" s="75">
        <v>818</v>
      </c>
      <c r="D67" t="s">
        <v>1199</v>
      </c>
    </row>
    <row r="68" spans="1:4" x14ac:dyDescent="0.2">
      <c r="A68" s="3" t="s">
        <v>653</v>
      </c>
      <c r="B68" s="3" t="s">
        <v>338</v>
      </c>
      <c r="C68" s="75">
        <v>222</v>
      </c>
      <c r="D68" t="s">
        <v>1200</v>
      </c>
    </row>
    <row r="69" spans="1:4" x14ac:dyDescent="0.2">
      <c r="A69" s="3" t="s">
        <v>665</v>
      </c>
      <c r="B69" s="3" t="s">
        <v>348</v>
      </c>
      <c r="C69" s="75">
        <v>226</v>
      </c>
      <c r="D69" t="s">
        <v>1201</v>
      </c>
    </row>
    <row r="70" spans="1:4" x14ac:dyDescent="0.2">
      <c r="A70" s="3" t="s">
        <v>667</v>
      </c>
      <c r="B70" s="3" t="s">
        <v>350</v>
      </c>
      <c r="C70" s="75">
        <v>232</v>
      </c>
      <c r="D70" t="s">
        <v>1202</v>
      </c>
    </row>
    <row r="71" spans="1:4" x14ac:dyDescent="0.2">
      <c r="A71" s="3" t="s">
        <v>669</v>
      </c>
      <c r="B71" s="3" t="s">
        <v>344</v>
      </c>
      <c r="C71" s="75">
        <v>233</v>
      </c>
      <c r="D71" t="s">
        <v>1203</v>
      </c>
    </row>
    <row r="72" spans="1:4" x14ac:dyDescent="0.2">
      <c r="A72" s="3" t="s">
        <v>671</v>
      </c>
      <c r="B72" s="3" t="s">
        <v>346</v>
      </c>
      <c r="C72" s="75">
        <v>231</v>
      </c>
      <c r="D72" t="s">
        <v>1204</v>
      </c>
    </row>
    <row r="73" spans="1:4" x14ac:dyDescent="0.2">
      <c r="A73" s="3" t="s">
        <v>676</v>
      </c>
      <c r="B73" s="3" t="s">
        <v>352</v>
      </c>
      <c r="C73" s="75">
        <v>238</v>
      </c>
      <c r="D73" t="s">
        <v>1205</v>
      </c>
    </row>
    <row r="74" spans="1:4" x14ac:dyDescent="0.2">
      <c r="A74" s="3" t="s">
        <v>678</v>
      </c>
      <c r="B74" s="3" t="s">
        <v>354</v>
      </c>
      <c r="C74" s="75">
        <v>234</v>
      </c>
      <c r="D74" t="s">
        <v>1206</v>
      </c>
    </row>
    <row r="75" spans="1:4" x14ac:dyDescent="0.2">
      <c r="A75" s="3" t="s">
        <v>680</v>
      </c>
      <c r="B75" s="3" t="s">
        <v>356</v>
      </c>
      <c r="C75" s="75">
        <v>242</v>
      </c>
      <c r="D75" t="s">
        <v>1207</v>
      </c>
    </row>
    <row r="76" spans="1:4" x14ac:dyDescent="0.2">
      <c r="A76" s="3" t="s">
        <v>682</v>
      </c>
      <c r="B76" s="3" t="s">
        <v>358</v>
      </c>
      <c r="C76" s="75">
        <v>246</v>
      </c>
      <c r="D76" t="s">
        <v>1208</v>
      </c>
    </row>
    <row r="77" spans="1:4" x14ac:dyDescent="0.2">
      <c r="A77" s="3" t="s">
        <v>684</v>
      </c>
      <c r="B77" s="3" t="s">
        <v>366</v>
      </c>
      <c r="C77" s="75">
        <v>250</v>
      </c>
      <c r="D77" t="s">
        <v>1209</v>
      </c>
    </row>
    <row r="78" spans="1:4" x14ac:dyDescent="0.2">
      <c r="A78" s="3" t="s">
        <v>686</v>
      </c>
      <c r="B78" s="3" t="s">
        <v>362</v>
      </c>
      <c r="C78" s="75">
        <v>254</v>
      </c>
      <c r="D78" t="s">
        <v>1210</v>
      </c>
    </row>
    <row r="79" spans="1:4" x14ac:dyDescent="0.2">
      <c r="A79" s="3" t="s">
        <v>688</v>
      </c>
      <c r="B79" s="3" t="s">
        <v>368</v>
      </c>
      <c r="C79" s="75">
        <v>258</v>
      </c>
      <c r="D79" t="s">
        <v>1211</v>
      </c>
    </row>
    <row r="80" spans="1:4" x14ac:dyDescent="0.2">
      <c r="A80" s="3" t="s">
        <v>690</v>
      </c>
      <c r="B80" s="3" t="s">
        <v>364</v>
      </c>
      <c r="C80" s="75">
        <v>260</v>
      </c>
      <c r="D80" t="s">
        <v>1212</v>
      </c>
    </row>
    <row r="81" spans="1:4" x14ac:dyDescent="0.2">
      <c r="A81" s="3" t="s">
        <v>692</v>
      </c>
      <c r="B81" s="3" t="s">
        <v>372</v>
      </c>
      <c r="C81" s="75">
        <v>266</v>
      </c>
      <c r="D81" t="s">
        <v>1213</v>
      </c>
    </row>
    <row r="82" spans="1:4" x14ac:dyDescent="0.2">
      <c r="A82" s="3" t="s">
        <v>694</v>
      </c>
      <c r="B82" s="3" t="s">
        <v>370</v>
      </c>
      <c r="C82" s="75">
        <v>270</v>
      </c>
      <c r="D82" t="s">
        <v>1214</v>
      </c>
    </row>
    <row r="83" spans="1:4" x14ac:dyDescent="0.2">
      <c r="A83" s="3" t="s">
        <v>699</v>
      </c>
      <c r="B83" s="3" t="s">
        <v>376</v>
      </c>
      <c r="C83" s="75">
        <v>268</v>
      </c>
      <c r="D83" t="s">
        <v>1215</v>
      </c>
    </row>
    <row r="84" spans="1:4" x14ac:dyDescent="0.2">
      <c r="A84" s="3" t="s">
        <v>701</v>
      </c>
      <c r="B84" s="3" t="s">
        <v>374</v>
      </c>
      <c r="C84" s="75">
        <v>276</v>
      </c>
      <c r="D84" t="s">
        <v>1216</v>
      </c>
    </row>
    <row r="85" spans="1:4" x14ac:dyDescent="0.2">
      <c r="A85" s="3" t="s">
        <v>703</v>
      </c>
      <c r="B85" s="3" t="s">
        <v>380</v>
      </c>
      <c r="C85" s="75">
        <v>288</v>
      </c>
      <c r="D85" t="s">
        <v>1217</v>
      </c>
    </row>
    <row r="86" spans="1:4" x14ac:dyDescent="0.2">
      <c r="A86" s="3" t="s">
        <v>705</v>
      </c>
      <c r="B86" s="3" t="s">
        <v>378</v>
      </c>
      <c r="C86" s="75">
        <v>292</v>
      </c>
      <c r="D86" t="s">
        <v>1218</v>
      </c>
    </row>
    <row r="87" spans="1:4" x14ac:dyDescent="0.2">
      <c r="A87" s="3" t="s">
        <v>710</v>
      </c>
      <c r="B87" s="3" t="s">
        <v>390</v>
      </c>
      <c r="C87" s="75">
        <v>300</v>
      </c>
      <c r="D87" t="s">
        <v>1219</v>
      </c>
    </row>
    <row r="88" spans="1:4" x14ac:dyDescent="0.2">
      <c r="A88" s="3" t="s">
        <v>712</v>
      </c>
      <c r="B88" s="3" t="s">
        <v>400</v>
      </c>
      <c r="C88" s="75">
        <v>304</v>
      </c>
      <c r="D88" t="s">
        <v>1220</v>
      </c>
    </row>
    <row r="89" spans="1:4" x14ac:dyDescent="0.2">
      <c r="A89" s="3" t="s">
        <v>714</v>
      </c>
      <c r="B89" s="3" t="s">
        <v>394</v>
      </c>
      <c r="C89" s="75">
        <v>308</v>
      </c>
      <c r="D89" t="s">
        <v>1221</v>
      </c>
    </row>
    <row r="90" spans="1:4" x14ac:dyDescent="0.2">
      <c r="A90" s="3" t="s">
        <v>716</v>
      </c>
      <c r="B90" s="3" t="s">
        <v>386</v>
      </c>
      <c r="C90" s="75">
        <v>312</v>
      </c>
      <c r="D90" t="s">
        <v>1222</v>
      </c>
    </row>
    <row r="91" spans="1:4" x14ac:dyDescent="0.2">
      <c r="A91" s="3" t="s">
        <v>718</v>
      </c>
      <c r="B91" s="3" t="s">
        <v>398</v>
      </c>
      <c r="C91" s="75">
        <v>316</v>
      </c>
      <c r="D91" t="s">
        <v>1223</v>
      </c>
    </row>
    <row r="92" spans="1:4" x14ac:dyDescent="0.2">
      <c r="A92" s="3" t="s">
        <v>723</v>
      </c>
      <c r="B92" s="3" t="s">
        <v>396</v>
      </c>
      <c r="C92" s="75">
        <v>320</v>
      </c>
      <c r="D92" t="s">
        <v>1224</v>
      </c>
    </row>
    <row r="93" spans="1:4" x14ac:dyDescent="0.2">
      <c r="A93" s="3" t="s">
        <v>725</v>
      </c>
      <c r="B93" s="3" t="s">
        <v>392</v>
      </c>
      <c r="C93" s="75">
        <v>831</v>
      </c>
      <c r="D93" t="s">
        <v>1225</v>
      </c>
    </row>
    <row r="94" spans="1:4" x14ac:dyDescent="0.2">
      <c r="A94" s="3" t="s">
        <v>727</v>
      </c>
      <c r="B94" s="3" t="s">
        <v>388</v>
      </c>
      <c r="C94" s="75">
        <v>324</v>
      </c>
      <c r="D94" t="s">
        <v>1226</v>
      </c>
    </row>
    <row r="95" spans="1:4" x14ac:dyDescent="0.2">
      <c r="A95" s="3" t="s">
        <v>729</v>
      </c>
      <c r="B95" s="3" t="s">
        <v>384</v>
      </c>
      <c r="C95" s="75">
        <v>624</v>
      </c>
      <c r="D95" t="s">
        <v>1227</v>
      </c>
    </row>
    <row r="96" spans="1:4" x14ac:dyDescent="0.2">
      <c r="A96" s="3" t="s">
        <v>731</v>
      </c>
      <c r="B96" s="3" t="s">
        <v>382</v>
      </c>
      <c r="C96" s="75">
        <v>328</v>
      </c>
      <c r="D96" t="s">
        <v>1228</v>
      </c>
    </row>
    <row r="97" spans="1:4" x14ac:dyDescent="0.2">
      <c r="A97" s="3" t="s">
        <v>733</v>
      </c>
      <c r="B97" s="3" t="s">
        <v>200</v>
      </c>
      <c r="C97" s="75">
        <v>332</v>
      </c>
      <c r="D97" t="s">
        <v>1229</v>
      </c>
    </row>
    <row r="98" spans="1:4" x14ac:dyDescent="0.2">
      <c r="A98" s="3" t="s">
        <v>735</v>
      </c>
      <c r="B98" s="3" t="s">
        <v>202</v>
      </c>
      <c r="C98" s="75">
        <v>334</v>
      </c>
      <c r="D98" t="s">
        <v>1230</v>
      </c>
    </row>
    <row r="99" spans="1:4" x14ac:dyDescent="0.2">
      <c r="A99" s="3" t="s">
        <v>1060</v>
      </c>
      <c r="B99" s="3" t="s">
        <v>97</v>
      </c>
      <c r="C99" s="75">
        <v>336</v>
      </c>
      <c r="D99" t="s">
        <v>1231</v>
      </c>
    </row>
    <row r="100" spans="1:4" x14ac:dyDescent="0.2">
      <c r="A100" s="3" t="s">
        <v>737</v>
      </c>
      <c r="B100" s="3" t="s">
        <v>206</v>
      </c>
      <c r="C100" s="75">
        <v>340</v>
      </c>
      <c r="D100" t="s">
        <v>1232</v>
      </c>
    </row>
    <row r="101" spans="1:4" x14ac:dyDescent="0.2">
      <c r="A101" s="3" t="s">
        <v>739</v>
      </c>
      <c r="B101" s="3" t="s">
        <v>204</v>
      </c>
      <c r="C101" s="75">
        <v>344</v>
      </c>
      <c r="D101" t="s">
        <v>1233</v>
      </c>
    </row>
    <row r="102" spans="1:4" x14ac:dyDescent="0.2">
      <c r="A102" s="3" t="s">
        <v>744</v>
      </c>
      <c r="B102" s="3" t="s">
        <v>208</v>
      </c>
      <c r="C102" s="75">
        <v>348</v>
      </c>
      <c r="D102" t="s">
        <v>1234</v>
      </c>
    </row>
    <row r="103" spans="1:4" x14ac:dyDescent="0.2">
      <c r="A103" s="3" t="s">
        <v>746</v>
      </c>
      <c r="B103" s="3" t="s">
        <v>210</v>
      </c>
      <c r="C103" s="75">
        <v>352</v>
      </c>
      <c r="D103" t="s">
        <v>1235</v>
      </c>
    </row>
    <row r="104" spans="1:4" x14ac:dyDescent="0.2">
      <c r="A104" s="3" t="s">
        <v>748</v>
      </c>
      <c r="B104" s="3" t="s">
        <v>212</v>
      </c>
      <c r="C104" s="75">
        <v>356</v>
      </c>
      <c r="D104" t="s">
        <v>1236</v>
      </c>
    </row>
    <row r="105" spans="1:4" x14ac:dyDescent="0.2">
      <c r="A105" s="3" t="s">
        <v>750</v>
      </c>
      <c r="B105" s="3" t="s">
        <v>214</v>
      </c>
      <c r="C105" s="75">
        <v>360</v>
      </c>
      <c r="D105" t="s">
        <v>1237</v>
      </c>
    </row>
    <row r="106" spans="1:4" x14ac:dyDescent="0.2">
      <c r="A106" s="3" t="s">
        <v>752</v>
      </c>
      <c r="B106" s="3" t="s">
        <v>220</v>
      </c>
      <c r="C106" s="75">
        <v>364</v>
      </c>
      <c r="D106" t="s">
        <v>1238</v>
      </c>
    </row>
    <row r="107" spans="1:4" x14ac:dyDescent="0.2">
      <c r="A107" s="3" t="s">
        <v>754</v>
      </c>
      <c r="B107" s="3" t="s">
        <v>226</v>
      </c>
      <c r="C107" s="75">
        <v>368</v>
      </c>
      <c r="D107" t="s">
        <v>1239</v>
      </c>
    </row>
    <row r="108" spans="1:4" x14ac:dyDescent="0.2">
      <c r="A108" s="3" t="s">
        <v>756</v>
      </c>
      <c r="B108" s="3" t="s">
        <v>218</v>
      </c>
      <c r="C108" s="75">
        <v>372</v>
      </c>
      <c r="D108" t="s">
        <v>1240</v>
      </c>
    </row>
    <row r="109" spans="1:4" x14ac:dyDescent="0.2">
      <c r="A109" s="3" t="s">
        <v>758</v>
      </c>
      <c r="B109" s="3" t="s">
        <v>222</v>
      </c>
      <c r="C109" s="75">
        <v>833</v>
      </c>
      <c r="D109" t="s">
        <v>1241</v>
      </c>
    </row>
    <row r="110" spans="1:4" x14ac:dyDescent="0.2">
      <c r="A110" s="3" t="s">
        <v>760</v>
      </c>
      <c r="B110" s="3" t="s">
        <v>224</v>
      </c>
      <c r="C110" s="75">
        <v>376</v>
      </c>
      <c r="D110" t="s">
        <v>1242</v>
      </c>
    </row>
    <row r="111" spans="1:4" x14ac:dyDescent="0.2">
      <c r="A111" s="3" t="s">
        <v>762</v>
      </c>
      <c r="B111" s="3" t="s">
        <v>216</v>
      </c>
      <c r="C111" s="75">
        <v>380</v>
      </c>
      <c r="D111" t="s">
        <v>1243</v>
      </c>
    </row>
    <row r="112" spans="1:4" x14ac:dyDescent="0.2">
      <c r="A112" s="3" t="s">
        <v>764</v>
      </c>
      <c r="B112" s="3" t="s">
        <v>234</v>
      </c>
      <c r="C112" s="75">
        <v>388</v>
      </c>
      <c r="D112" t="s">
        <v>1244</v>
      </c>
    </row>
    <row r="113" spans="1:4" x14ac:dyDescent="0.2">
      <c r="A113" s="3" t="s">
        <v>769</v>
      </c>
      <c r="B113" s="3" t="s">
        <v>230</v>
      </c>
      <c r="C113" s="75">
        <v>392</v>
      </c>
      <c r="D113" t="s">
        <v>1245</v>
      </c>
    </row>
    <row r="114" spans="1:4" x14ac:dyDescent="0.2">
      <c r="A114" s="3" t="s">
        <v>775</v>
      </c>
      <c r="B114" s="3" t="s">
        <v>774</v>
      </c>
      <c r="C114" s="75">
        <v>832</v>
      </c>
      <c r="D114" t="s">
        <v>1246</v>
      </c>
    </row>
    <row r="115" spans="1:4" x14ac:dyDescent="0.2">
      <c r="A115" s="3" t="s">
        <v>780</v>
      </c>
      <c r="B115" s="3" t="s">
        <v>236</v>
      </c>
      <c r="C115" s="75">
        <v>400</v>
      </c>
      <c r="D115" t="s">
        <v>1247</v>
      </c>
    </row>
    <row r="116" spans="1:4" x14ac:dyDescent="0.2">
      <c r="A116" s="3" t="s">
        <v>785</v>
      </c>
      <c r="B116" s="3" t="s">
        <v>228</v>
      </c>
      <c r="C116" s="75">
        <v>398</v>
      </c>
      <c r="D116" t="s">
        <v>1248</v>
      </c>
    </row>
    <row r="117" spans="1:4" x14ac:dyDescent="0.2">
      <c r="A117" s="3" t="s">
        <v>787</v>
      </c>
      <c r="B117" s="3" t="s">
        <v>232</v>
      </c>
      <c r="C117" s="75">
        <v>404</v>
      </c>
      <c r="D117" t="s">
        <v>1249</v>
      </c>
    </row>
    <row r="118" spans="1:4" x14ac:dyDescent="0.2">
      <c r="A118" s="3" t="s">
        <v>792</v>
      </c>
      <c r="B118" s="3" t="s">
        <v>241</v>
      </c>
      <c r="C118" s="75">
        <v>296</v>
      </c>
      <c r="D118" t="s">
        <v>1250</v>
      </c>
    </row>
    <row r="119" spans="1:4" x14ac:dyDescent="0.2">
      <c r="A119" s="3" t="s">
        <v>794</v>
      </c>
      <c r="B119" s="3" t="s">
        <v>126</v>
      </c>
      <c r="C119" s="75">
        <v>408</v>
      </c>
      <c r="D119" t="s">
        <v>1251</v>
      </c>
    </row>
    <row r="120" spans="1:4" x14ac:dyDescent="0.2">
      <c r="A120" s="3" t="s">
        <v>796</v>
      </c>
      <c r="B120" s="3" t="s">
        <v>31</v>
      </c>
      <c r="C120" s="75">
        <v>410</v>
      </c>
      <c r="D120" t="s">
        <v>1252</v>
      </c>
    </row>
    <row r="121" spans="1:4" x14ac:dyDescent="0.2">
      <c r="A121" s="3" t="s">
        <v>801</v>
      </c>
      <c r="B121" s="3" t="s">
        <v>239</v>
      </c>
      <c r="C121" s="75">
        <v>414</v>
      </c>
      <c r="D121" t="s">
        <v>1253</v>
      </c>
    </row>
    <row r="122" spans="1:4" x14ac:dyDescent="0.2">
      <c r="A122" s="3" t="s">
        <v>803</v>
      </c>
      <c r="B122" s="3" t="s">
        <v>243</v>
      </c>
      <c r="C122" s="75">
        <v>417</v>
      </c>
      <c r="D122" t="s">
        <v>1254</v>
      </c>
    </row>
    <row r="123" spans="1:4" x14ac:dyDescent="0.2">
      <c r="A123" s="3" t="s">
        <v>805</v>
      </c>
      <c r="B123" s="3" t="s">
        <v>245</v>
      </c>
      <c r="C123" s="75">
        <v>418</v>
      </c>
      <c r="D123" t="s">
        <v>1255</v>
      </c>
    </row>
    <row r="124" spans="1:4" x14ac:dyDescent="0.2">
      <c r="A124" s="3" t="s">
        <v>807</v>
      </c>
      <c r="B124" s="3" t="s">
        <v>247</v>
      </c>
      <c r="C124" s="75">
        <v>428</v>
      </c>
      <c r="D124" t="s">
        <v>1256</v>
      </c>
    </row>
    <row r="125" spans="1:4" x14ac:dyDescent="0.2">
      <c r="A125" s="3" t="s">
        <v>809</v>
      </c>
      <c r="B125" s="3" t="s">
        <v>249</v>
      </c>
      <c r="C125" s="75">
        <v>422</v>
      </c>
      <c r="D125" t="s">
        <v>1257</v>
      </c>
    </row>
    <row r="126" spans="1:4" x14ac:dyDescent="0.2">
      <c r="A126" s="3" t="s">
        <v>811</v>
      </c>
      <c r="B126" s="3" t="s">
        <v>251</v>
      </c>
      <c r="C126" s="75">
        <v>426</v>
      </c>
      <c r="D126" t="s">
        <v>1258</v>
      </c>
    </row>
    <row r="127" spans="1:4" x14ac:dyDescent="0.2">
      <c r="A127" s="3" t="s">
        <v>813</v>
      </c>
      <c r="B127" s="3" t="s">
        <v>257</v>
      </c>
      <c r="C127" s="75">
        <v>430</v>
      </c>
      <c r="D127" t="s">
        <v>1259</v>
      </c>
    </row>
    <row r="128" spans="1:4" x14ac:dyDescent="0.2">
      <c r="A128" s="3" t="s">
        <v>815</v>
      </c>
      <c r="B128" s="3" t="s">
        <v>259</v>
      </c>
      <c r="C128" s="75">
        <v>434</v>
      </c>
      <c r="D128" t="s">
        <v>1260</v>
      </c>
    </row>
    <row r="129" spans="1:4" x14ac:dyDescent="0.2">
      <c r="A129" s="3" t="s">
        <v>817</v>
      </c>
      <c r="B129" s="3" t="s">
        <v>255</v>
      </c>
      <c r="C129" s="75">
        <v>438</v>
      </c>
      <c r="D129" t="s">
        <v>1261</v>
      </c>
    </row>
    <row r="130" spans="1:4" x14ac:dyDescent="0.2">
      <c r="A130" s="3" t="s">
        <v>819</v>
      </c>
      <c r="B130" s="3" t="s">
        <v>253</v>
      </c>
      <c r="C130" s="75">
        <v>440</v>
      </c>
      <c r="D130" t="s">
        <v>1262</v>
      </c>
    </row>
    <row r="131" spans="1:4" x14ac:dyDescent="0.2">
      <c r="A131" s="3" t="s">
        <v>821</v>
      </c>
      <c r="B131" s="3" t="s">
        <v>261</v>
      </c>
      <c r="C131" s="75">
        <v>442</v>
      </c>
      <c r="D131" t="s">
        <v>1263</v>
      </c>
    </row>
    <row r="132" spans="1:4" x14ac:dyDescent="0.2">
      <c r="A132" s="3" t="s">
        <v>823</v>
      </c>
      <c r="B132" s="3" t="s">
        <v>271</v>
      </c>
      <c r="C132" s="75">
        <v>446</v>
      </c>
      <c r="D132" t="s">
        <v>1264</v>
      </c>
    </row>
    <row r="133" spans="1:4" x14ac:dyDescent="0.2">
      <c r="A133" s="3" t="s">
        <v>825</v>
      </c>
      <c r="B133" s="3" t="s">
        <v>59</v>
      </c>
      <c r="C133" s="75">
        <v>807</v>
      </c>
      <c r="D133" t="s">
        <v>1265</v>
      </c>
    </row>
    <row r="134" spans="1:4" x14ac:dyDescent="0.2">
      <c r="A134" s="3" t="s">
        <v>827</v>
      </c>
      <c r="B134" s="3" t="s">
        <v>267</v>
      </c>
      <c r="C134" s="75">
        <v>450</v>
      </c>
      <c r="D134" t="s">
        <v>1266</v>
      </c>
    </row>
    <row r="135" spans="1:4" x14ac:dyDescent="0.2">
      <c r="A135" s="3" t="s">
        <v>829</v>
      </c>
      <c r="B135" s="3" t="s">
        <v>263</v>
      </c>
      <c r="C135" s="75">
        <v>454</v>
      </c>
      <c r="D135" t="s">
        <v>1267</v>
      </c>
    </row>
    <row r="136" spans="1:4" x14ac:dyDescent="0.2">
      <c r="A136" s="3" t="s">
        <v>831</v>
      </c>
      <c r="B136" s="3" t="s">
        <v>265</v>
      </c>
      <c r="C136" s="75">
        <v>458</v>
      </c>
      <c r="D136" t="s">
        <v>1268</v>
      </c>
    </row>
    <row r="137" spans="1:4" x14ac:dyDescent="0.2">
      <c r="A137" s="3" t="s">
        <v>833</v>
      </c>
      <c r="B137" s="3" t="s">
        <v>269</v>
      </c>
      <c r="C137" s="75">
        <v>462</v>
      </c>
      <c r="D137" t="s">
        <v>1269</v>
      </c>
    </row>
    <row r="138" spans="1:4" x14ac:dyDescent="0.2">
      <c r="A138" s="3" t="s">
        <v>835</v>
      </c>
      <c r="B138" s="3" t="s">
        <v>279</v>
      </c>
      <c r="C138" s="75">
        <v>466</v>
      </c>
      <c r="D138" t="s">
        <v>1270</v>
      </c>
    </row>
    <row r="139" spans="1:4" x14ac:dyDescent="0.2">
      <c r="A139" s="3" t="s">
        <v>837</v>
      </c>
      <c r="B139" s="3" t="s">
        <v>275</v>
      </c>
      <c r="C139" s="75">
        <v>470</v>
      </c>
      <c r="D139" t="s">
        <v>1271</v>
      </c>
    </row>
    <row r="140" spans="1:4" x14ac:dyDescent="0.2">
      <c r="A140" s="3" t="s">
        <v>839</v>
      </c>
      <c r="B140" s="3" t="s">
        <v>277</v>
      </c>
      <c r="C140" s="75">
        <v>584</v>
      </c>
      <c r="D140" t="s">
        <v>1272</v>
      </c>
    </row>
    <row r="141" spans="1:4" x14ac:dyDescent="0.2">
      <c r="A141" s="3" t="s">
        <v>841</v>
      </c>
      <c r="B141" s="3" t="s">
        <v>273</v>
      </c>
      <c r="C141" s="75">
        <v>474</v>
      </c>
      <c r="D141" t="s">
        <v>1273</v>
      </c>
    </row>
    <row r="142" spans="1:4" x14ac:dyDescent="0.2">
      <c r="A142" s="3" t="s">
        <v>843</v>
      </c>
      <c r="B142" s="3" t="s">
        <v>285</v>
      </c>
      <c r="C142" s="75">
        <v>478</v>
      </c>
      <c r="D142" t="s">
        <v>1274</v>
      </c>
    </row>
    <row r="143" spans="1:4" x14ac:dyDescent="0.2">
      <c r="A143" s="3" t="s">
        <v>845</v>
      </c>
      <c r="B143" s="3" t="s">
        <v>281</v>
      </c>
      <c r="C143" s="75">
        <v>480</v>
      </c>
      <c r="D143" t="s">
        <v>1275</v>
      </c>
    </row>
    <row r="144" spans="1:4" x14ac:dyDescent="0.2">
      <c r="A144" s="3" t="s">
        <v>847</v>
      </c>
      <c r="B144" s="3" t="s">
        <v>283</v>
      </c>
      <c r="C144" s="75">
        <v>175</v>
      </c>
      <c r="D144" t="s">
        <v>1276</v>
      </c>
    </row>
    <row r="145" spans="1:4" x14ac:dyDescent="0.2">
      <c r="A145" s="3" t="s">
        <v>849</v>
      </c>
      <c r="B145" s="3" t="s">
        <v>287</v>
      </c>
      <c r="C145" s="75">
        <v>484</v>
      </c>
      <c r="D145" t="s">
        <v>1277</v>
      </c>
    </row>
    <row r="146" spans="1:4" x14ac:dyDescent="0.2">
      <c r="A146" s="3" t="s">
        <v>851</v>
      </c>
      <c r="B146" s="3" t="s">
        <v>360</v>
      </c>
      <c r="C146" s="75">
        <v>583</v>
      </c>
      <c r="D146" t="s">
        <v>1278</v>
      </c>
    </row>
    <row r="147" spans="1:4" x14ac:dyDescent="0.2">
      <c r="A147" s="3" t="s">
        <v>856</v>
      </c>
      <c r="B147" s="3" t="s">
        <v>289</v>
      </c>
      <c r="C147" s="75">
        <v>498</v>
      </c>
      <c r="D147" t="s">
        <v>1279</v>
      </c>
    </row>
    <row r="148" spans="1:4" x14ac:dyDescent="0.2">
      <c r="A148" s="3" t="s">
        <v>858</v>
      </c>
      <c r="B148" s="3" t="s">
        <v>293</v>
      </c>
      <c r="C148" s="75">
        <v>492</v>
      </c>
      <c r="D148" t="s">
        <v>1280</v>
      </c>
    </row>
    <row r="149" spans="1:4" x14ac:dyDescent="0.2">
      <c r="A149" s="3" t="s">
        <v>860</v>
      </c>
      <c r="B149" s="3" t="s">
        <v>291</v>
      </c>
      <c r="C149" s="75">
        <v>496</v>
      </c>
      <c r="D149" t="s">
        <v>1281</v>
      </c>
    </row>
    <row r="150" spans="1:4" x14ac:dyDescent="0.2">
      <c r="A150" s="3" t="s">
        <v>862</v>
      </c>
      <c r="B150" s="3" t="s">
        <v>299</v>
      </c>
      <c r="C150" s="75">
        <v>499</v>
      </c>
      <c r="D150" t="s">
        <v>1282</v>
      </c>
    </row>
    <row r="151" spans="1:4" x14ac:dyDescent="0.2">
      <c r="A151" s="3" t="s">
        <v>864</v>
      </c>
      <c r="B151" s="3" t="s">
        <v>301</v>
      </c>
      <c r="C151" s="75">
        <v>500</v>
      </c>
      <c r="D151" t="s">
        <v>1283</v>
      </c>
    </row>
    <row r="152" spans="1:4" x14ac:dyDescent="0.2">
      <c r="A152" s="3" t="s">
        <v>866</v>
      </c>
      <c r="B152" s="3" t="s">
        <v>297</v>
      </c>
      <c r="C152" s="75">
        <v>504</v>
      </c>
      <c r="D152" t="s">
        <v>1284</v>
      </c>
    </row>
    <row r="153" spans="1:4" x14ac:dyDescent="0.2">
      <c r="A153" s="3" t="s">
        <v>868</v>
      </c>
      <c r="B153" s="3" t="s">
        <v>295</v>
      </c>
      <c r="C153" s="75">
        <v>508</v>
      </c>
      <c r="D153" t="s">
        <v>1285</v>
      </c>
    </row>
    <row r="154" spans="1:4" x14ac:dyDescent="0.2">
      <c r="A154" s="3" t="s">
        <v>581</v>
      </c>
      <c r="B154" s="3" t="s">
        <v>104</v>
      </c>
      <c r="C154" s="75">
        <v>104</v>
      </c>
      <c r="D154" t="s">
        <v>1286</v>
      </c>
    </row>
    <row r="155" spans="1:4" x14ac:dyDescent="0.2">
      <c r="A155" s="3" t="s">
        <v>870</v>
      </c>
      <c r="B155" s="3" t="s">
        <v>106</v>
      </c>
      <c r="C155" s="75">
        <v>516</v>
      </c>
      <c r="D155" t="s">
        <v>1287</v>
      </c>
    </row>
    <row r="156" spans="1:4" x14ac:dyDescent="0.2">
      <c r="A156" s="3" t="s">
        <v>872</v>
      </c>
      <c r="B156" s="3" t="s">
        <v>112</v>
      </c>
      <c r="C156" s="75">
        <v>520</v>
      </c>
      <c r="D156" t="s">
        <v>1288</v>
      </c>
    </row>
    <row r="157" spans="1:4" x14ac:dyDescent="0.2">
      <c r="A157" s="3" t="s">
        <v>877</v>
      </c>
      <c r="B157" s="3" t="s">
        <v>110</v>
      </c>
      <c r="C157" s="75">
        <v>524</v>
      </c>
      <c r="D157" t="s">
        <v>1289</v>
      </c>
    </row>
    <row r="158" spans="1:4" x14ac:dyDescent="0.2">
      <c r="A158" s="3" t="s">
        <v>879</v>
      </c>
      <c r="B158" s="3" t="s">
        <v>108</v>
      </c>
      <c r="C158" s="75">
        <v>528</v>
      </c>
      <c r="D158" t="s">
        <v>1290</v>
      </c>
    </row>
    <row r="159" spans="1:4" x14ac:dyDescent="0.2">
      <c r="A159" s="3" t="s">
        <v>881</v>
      </c>
      <c r="B159" s="3" t="s">
        <v>122</v>
      </c>
      <c r="C159" s="75">
        <v>540</v>
      </c>
      <c r="D159" t="s">
        <v>1291</v>
      </c>
    </row>
    <row r="160" spans="1:4" x14ac:dyDescent="0.2">
      <c r="A160" s="3" t="s">
        <v>883</v>
      </c>
      <c r="B160" s="3" t="s">
        <v>114</v>
      </c>
      <c r="C160" s="75">
        <v>554</v>
      </c>
      <c r="D160" t="s">
        <v>1292</v>
      </c>
    </row>
    <row r="161" spans="1:4" x14ac:dyDescent="0.2">
      <c r="A161" s="3" t="s">
        <v>885</v>
      </c>
      <c r="B161" s="3" t="s">
        <v>118</v>
      </c>
      <c r="C161" s="75">
        <v>558</v>
      </c>
      <c r="D161" t="s">
        <v>1293</v>
      </c>
    </row>
    <row r="162" spans="1:4" x14ac:dyDescent="0.2">
      <c r="A162" s="3" t="s">
        <v>887</v>
      </c>
      <c r="B162" s="3" t="s">
        <v>124</v>
      </c>
      <c r="C162" s="75">
        <v>562</v>
      </c>
      <c r="D162" t="s">
        <v>1294</v>
      </c>
    </row>
    <row r="163" spans="1:4" x14ac:dyDescent="0.2">
      <c r="A163" s="3" t="s">
        <v>889</v>
      </c>
      <c r="B163" s="3" t="s">
        <v>116</v>
      </c>
      <c r="C163" s="75">
        <v>566</v>
      </c>
      <c r="D163" t="s">
        <v>1295</v>
      </c>
    </row>
    <row r="164" spans="1:4" x14ac:dyDescent="0.2">
      <c r="A164" s="3" t="s">
        <v>891</v>
      </c>
      <c r="B164" s="3" t="s">
        <v>120</v>
      </c>
      <c r="C164" s="75">
        <v>570</v>
      </c>
      <c r="D164" t="s">
        <v>1296</v>
      </c>
    </row>
    <row r="165" spans="1:4" x14ac:dyDescent="0.2">
      <c r="A165" s="3" t="s">
        <v>893</v>
      </c>
      <c r="B165" s="3" t="s">
        <v>132</v>
      </c>
      <c r="C165" s="75">
        <v>574</v>
      </c>
      <c r="D165" t="s">
        <v>1297</v>
      </c>
    </row>
    <row r="166" spans="1:4" x14ac:dyDescent="0.2">
      <c r="A166" s="3" t="s">
        <v>895</v>
      </c>
      <c r="B166" s="3" t="s">
        <v>130</v>
      </c>
      <c r="C166" s="75">
        <v>580</v>
      </c>
      <c r="D166" t="s">
        <v>1298</v>
      </c>
    </row>
    <row r="167" spans="1:4" x14ac:dyDescent="0.2">
      <c r="A167" s="3" t="s">
        <v>897</v>
      </c>
      <c r="B167" s="3" t="s">
        <v>128</v>
      </c>
      <c r="C167" s="75">
        <v>578</v>
      </c>
      <c r="D167" t="s">
        <v>1299</v>
      </c>
    </row>
    <row r="168" spans="1:4" x14ac:dyDescent="0.2">
      <c r="A168" s="3" t="s">
        <v>899</v>
      </c>
      <c r="B168" s="3" t="s">
        <v>134</v>
      </c>
      <c r="C168" s="75">
        <v>512</v>
      </c>
      <c r="D168" t="s">
        <v>1300</v>
      </c>
    </row>
    <row r="169" spans="1:4" x14ac:dyDescent="0.2">
      <c r="A169" s="3" t="s">
        <v>901</v>
      </c>
      <c r="B169" s="3" t="s">
        <v>142</v>
      </c>
      <c r="C169" s="75">
        <v>586</v>
      </c>
      <c r="D169" t="s">
        <v>1301</v>
      </c>
    </row>
    <row r="170" spans="1:4" x14ac:dyDescent="0.2">
      <c r="A170" s="3" t="s">
        <v>903</v>
      </c>
      <c r="B170" s="3" t="s">
        <v>146</v>
      </c>
      <c r="C170" s="75">
        <v>585</v>
      </c>
      <c r="D170" t="s">
        <v>1302</v>
      </c>
    </row>
    <row r="171" spans="1:4" x14ac:dyDescent="0.2">
      <c r="A171" s="3" t="s">
        <v>905</v>
      </c>
      <c r="B171" s="3" t="s">
        <v>144</v>
      </c>
      <c r="C171" s="75">
        <v>275</v>
      </c>
      <c r="D171" t="s">
        <v>1303</v>
      </c>
    </row>
    <row r="172" spans="1:4" x14ac:dyDescent="0.2">
      <c r="A172" s="3" t="s">
        <v>909</v>
      </c>
      <c r="B172" s="3" t="s">
        <v>140</v>
      </c>
      <c r="C172" s="75">
        <v>591</v>
      </c>
      <c r="D172" t="s">
        <v>1304</v>
      </c>
    </row>
    <row r="173" spans="1:4" x14ac:dyDescent="0.2">
      <c r="A173" s="3" t="s">
        <v>911</v>
      </c>
      <c r="B173" s="3" t="s">
        <v>136</v>
      </c>
      <c r="C173" s="75">
        <v>598</v>
      </c>
      <c r="D173" t="s">
        <v>1305</v>
      </c>
    </row>
    <row r="174" spans="1:4" x14ac:dyDescent="0.2">
      <c r="A174" s="3" t="s">
        <v>916</v>
      </c>
      <c r="B174" s="3" t="s">
        <v>138</v>
      </c>
      <c r="C174" s="75">
        <v>600</v>
      </c>
      <c r="D174" t="s">
        <v>1306</v>
      </c>
    </row>
    <row r="175" spans="1:4" x14ac:dyDescent="0.2">
      <c r="A175" s="3" t="s">
        <v>918</v>
      </c>
      <c r="B175" s="3" t="s">
        <v>148</v>
      </c>
      <c r="C175" s="75">
        <v>604</v>
      </c>
      <c r="D175" t="s">
        <v>1307</v>
      </c>
    </row>
    <row r="176" spans="1:4" x14ac:dyDescent="0.2">
      <c r="A176" s="3" t="s">
        <v>920</v>
      </c>
      <c r="B176" s="3" t="s">
        <v>152</v>
      </c>
      <c r="C176" s="75">
        <v>608</v>
      </c>
      <c r="D176" t="s">
        <v>1308</v>
      </c>
    </row>
    <row r="177" spans="1:4" x14ac:dyDescent="0.2">
      <c r="A177" s="3" t="s">
        <v>922</v>
      </c>
      <c r="B177" s="3" t="s">
        <v>150</v>
      </c>
      <c r="C177" s="75">
        <v>612</v>
      </c>
      <c r="D177" t="s">
        <v>1309</v>
      </c>
    </row>
    <row r="178" spans="1:4" x14ac:dyDescent="0.2">
      <c r="A178" s="3" t="s">
        <v>924</v>
      </c>
      <c r="B178" s="3" t="s">
        <v>156</v>
      </c>
      <c r="C178" s="75">
        <v>616</v>
      </c>
      <c r="D178" t="s">
        <v>1310</v>
      </c>
    </row>
    <row r="179" spans="1:4" x14ac:dyDescent="0.2">
      <c r="A179" s="3" t="s">
        <v>926</v>
      </c>
      <c r="B179" s="3" t="s">
        <v>154</v>
      </c>
      <c r="C179" s="75">
        <v>620</v>
      </c>
      <c r="D179" t="s">
        <v>1311</v>
      </c>
    </row>
    <row r="180" spans="1:4" x14ac:dyDescent="0.2">
      <c r="A180" s="3" t="s">
        <v>928</v>
      </c>
      <c r="B180" s="3" t="s">
        <v>160</v>
      </c>
      <c r="C180" s="75">
        <v>630</v>
      </c>
      <c r="D180" t="s">
        <v>1312</v>
      </c>
    </row>
    <row r="181" spans="1:4" x14ac:dyDescent="0.2">
      <c r="A181" s="3" t="s">
        <v>930</v>
      </c>
      <c r="B181" s="3" t="s">
        <v>158</v>
      </c>
      <c r="C181" s="75">
        <v>634</v>
      </c>
      <c r="D181" t="s">
        <v>1313</v>
      </c>
    </row>
    <row r="182" spans="1:4" x14ac:dyDescent="0.2">
      <c r="A182" s="3" t="s">
        <v>932</v>
      </c>
      <c r="B182" s="3" t="s">
        <v>162</v>
      </c>
      <c r="C182" s="75">
        <v>638</v>
      </c>
      <c r="D182" t="s">
        <v>1314</v>
      </c>
    </row>
    <row r="183" spans="1:4" x14ac:dyDescent="0.2">
      <c r="A183" s="3" t="s">
        <v>934</v>
      </c>
      <c r="B183" s="3" t="s">
        <v>164</v>
      </c>
      <c r="C183" s="75">
        <v>642</v>
      </c>
      <c r="D183" t="s">
        <v>1315</v>
      </c>
    </row>
    <row r="184" spans="1:4" x14ac:dyDescent="0.2">
      <c r="A184" s="3" t="s">
        <v>936</v>
      </c>
      <c r="B184" s="3" t="s">
        <v>168</v>
      </c>
      <c r="C184" s="75">
        <v>643</v>
      </c>
      <c r="D184" t="s">
        <v>1316</v>
      </c>
    </row>
    <row r="185" spans="1:4" x14ac:dyDescent="0.2">
      <c r="A185" s="3" t="s">
        <v>938</v>
      </c>
      <c r="B185" s="3" t="s">
        <v>166</v>
      </c>
      <c r="C185" s="75">
        <v>646</v>
      </c>
      <c r="D185" t="s">
        <v>1317</v>
      </c>
    </row>
    <row r="186" spans="1:4" x14ac:dyDescent="0.2">
      <c r="A186" s="3" t="s">
        <v>940</v>
      </c>
      <c r="B186" s="3" t="s">
        <v>178</v>
      </c>
      <c r="C186" s="75">
        <v>652</v>
      </c>
      <c r="D186" t="s">
        <v>1318</v>
      </c>
    </row>
    <row r="187" spans="1:4" x14ac:dyDescent="0.2">
      <c r="A187" s="3" t="s">
        <v>942</v>
      </c>
      <c r="B187" s="3" t="s">
        <v>176</v>
      </c>
      <c r="C187" s="75">
        <v>654</v>
      </c>
      <c r="D187" t="s">
        <v>1319</v>
      </c>
    </row>
    <row r="188" spans="1:4" x14ac:dyDescent="0.2">
      <c r="A188" s="3" t="s">
        <v>944</v>
      </c>
      <c r="B188" s="3" t="s">
        <v>170</v>
      </c>
      <c r="C188" s="75">
        <v>659</v>
      </c>
      <c r="D188" t="s">
        <v>1320</v>
      </c>
    </row>
    <row r="189" spans="1:4" x14ac:dyDescent="0.2">
      <c r="A189" s="3" t="s">
        <v>946</v>
      </c>
      <c r="B189" s="3" t="s">
        <v>174</v>
      </c>
      <c r="C189" s="75">
        <v>662</v>
      </c>
      <c r="D189" t="s">
        <v>1321</v>
      </c>
    </row>
    <row r="190" spans="1:4" x14ac:dyDescent="0.2">
      <c r="A190" s="3" t="s">
        <v>948</v>
      </c>
      <c r="B190" s="3" t="s">
        <v>172</v>
      </c>
      <c r="C190" s="75">
        <v>663</v>
      </c>
      <c r="D190" t="s">
        <v>1322</v>
      </c>
    </row>
    <row r="191" spans="1:4" x14ac:dyDescent="0.2">
      <c r="A191" s="3" t="s">
        <v>950</v>
      </c>
      <c r="B191" s="3" t="s">
        <v>180</v>
      </c>
      <c r="C191" s="75">
        <v>666</v>
      </c>
      <c r="D191" t="s">
        <v>1323</v>
      </c>
    </row>
    <row r="192" spans="1:4" x14ac:dyDescent="0.2">
      <c r="A192" s="3" t="s">
        <v>952</v>
      </c>
      <c r="B192" s="3" t="s">
        <v>182</v>
      </c>
      <c r="C192" s="75">
        <v>670</v>
      </c>
      <c r="D192" t="s">
        <v>1324</v>
      </c>
    </row>
    <row r="193" spans="1:4" x14ac:dyDescent="0.2">
      <c r="A193" s="3" t="s">
        <v>954</v>
      </c>
      <c r="B193" s="3" t="s">
        <v>188</v>
      </c>
      <c r="C193" s="75">
        <v>882</v>
      </c>
      <c r="D193" t="s">
        <v>1325</v>
      </c>
    </row>
    <row r="194" spans="1:4" x14ac:dyDescent="0.2">
      <c r="A194" s="3" t="s">
        <v>956</v>
      </c>
      <c r="B194" s="3" t="s">
        <v>190</v>
      </c>
      <c r="C194" s="75">
        <v>674</v>
      </c>
      <c r="D194" t="s">
        <v>1326</v>
      </c>
    </row>
    <row r="195" spans="1:4" x14ac:dyDescent="0.2">
      <c r="A195" s="3" t="s">
        <v>958</v>
      </c>
      <c r="B195" s="3" t="s">
        <v>184</v>
      </c>
      <c r="C195" s="75">
        <v>678</v>
      </c>
      <c r="D195" t="s">
        <v>1327</v>
      </c>
    </row>
    <row r="196" spans="1:4" x14ac:dyDescent="0.2">
      <c r="A196" s="3" t="s">
        <v>960</v>
      </c>
      <c r="B196" s="3" t="s">
        <v>186</v>
      </c>
      <c r="C196" s="75">
        <v>682</v>
      </c>
      <c r="D196" t="s">
        <v>1328</v>
      </c>
    </row>
    <row r="197" spans="1:4" x14ac:dyDescent="0.2">
      <c r="A197" s="3" t="s">
        <v>962</v>
      </c>
      <c r="B197" s="3" t="s">
        <v>192</v>
      </c>
      <c r="C197" s="75">
        <v>686</v>
      </c>
      <c r="D197" t="s">
        <v>1329</v>
      </c>
    </row>
    <row r="198" spans="1:4" x14ac:dyDescent="0.2">
      <c r="A198" s="3" t="s">
        <v>964</v>
      </c>
      <c r="B198" s="3" t="s">
        <v>194</v>
      </c>
      <c r="C198" s="75">
        <v>688</v>
      </c>
      <c r="D198" t="s">
        <v>1330</v>
      </c>
    </row>
    <row r="199" spans="1:4" x14ac:dyDescent="0.2">
      <c r="A199" s="3" t="s">
        <v>966</v>
      </c>
      <c r="B199" s="3" t="s">
        <v>196</v>
      </c>
      <c r="C199" s="75">
        <v>690</v>
      </c>
      <c r="D199" t="s">
        <v>1331</v>
      </c>
    </row>
    <row r="200" spans="1:4" x14ac:dyDescent="0.2">
      <c r="A200" s="3" t="s">
        <v>968</v>
      </c>
      <c r="B200" s="3" t="s">
        <v>198</v>
      </c>
      <c r="C200" s="75">
        <v>694</v>
      </c>
      <c r="D200" t="s">
        <v>1332</v>
      </c>
    </row>
    <row r="201" spans="1:4" x14ac:dyDescent="0.2">
      <c r="A201" s="3" t="s">
        <v>970</v>
      </c>
      <c r="B201" s="3" t="s">
        <v>15</v>
      </c>
      <c r="C201" s="75">
        <v>702</v>
      </c>
      <c r="D201" t="s">
        <v>1333</v>
      </c>
    </row>
    <row r="202" spans="1:4" x14ac:dyDescent="0.2">
      <c r="A202" s="3" t="s">
        <v>972</v>
      </c>
      <c r="B202" s="3" t="s">
        <v>13</v>
      </c>
      <c r="C202" s="75">
        <v>534</v>
      </c>
      <c r="D202" t="s">
        <v>1334</v>
      </c>
    </row>
    <row r="203" spans="1:4" x14ac:dyDescent="0.2">
      <c r="A203" s="3" t="s">
        <v>974</v>
      </c>
      <c r="B203" s="3" t="s">
        <v>21</v>
      </c>
      <c r="C203" s="75">
        <v>703</v>
      </c>
      <c r="D203" t="s">
        <v>1335</v>
      </c>
    </row>
    <row r="204" spans="1:4" x14ac:dyDescent="0.2">
      <c r="A204" s="3" t="s">
        <v>976</v>
      </c>
      <c r="B204" s="3" t="s">
        <v>23</v>
      </c>
      <c r="C204" s="75">
        <v>705</v>
      </c>
      <c r="D204" t="s">
        <v>1336</v>
      </c>
    </row>
    <row r="205" spans="1:4" x14ac:dyDescent="0.2">
      <c r="A205" s="3" t="s">
        <v>978</v>
      </c>
      <c r="B205" s="3" t="s">
        <v>19</v>
      </c>
      <c r="C205" s="75">
        <v>90</v>
      </c>
      <c r="D205" t="s">
        <v>1337</v>
      </c>
    </row>
    <row r="206" spans="1:4" x14ac:dyDescent="0.2">
      <c r="A206" s="3" t="s">
        <v>980</v>
      </c>
      <c r="B206" s="3" t="s">
        <v>17</v>
      </c>
      <c r="C206" s="75">
        <v>706</v>
      </c>
      <c r="D206" t="s">
        <v>1338</v>
      </c>
    </row>
    <row r="207" spans="1:4" x14ac:dyDescent="0.2">
      <c r="A207" s="3" t="s">
        <v>982</v>
      </c>
      <c r="B207" s="3" t="s">
        <v>35</v>
      </c>
      <c r="C207" s="75">
        <v>710</v>
      </c>
      <c r="D207" t="s">
        <v>1339</v>
      </c>
    </row>
    <row r="208" spans="1:4" x14ac:dyDescent="0.2">
      <c r="A208" s="3" t="s">
        <v>984</v>
      </c>
      <c r="B208" s="3" t="s">
        <v>29</v>
      </c>
      <c r="C208" s="75">
        <v>239</v>
      </c>
      <c r="D208" t="s">
        <v>1340</v>
      </c>
    </row>
    <row r="209" spans="1:4" x14ac:dyDescent="0.2">
      <c r="A209" s="3" t="s">
        <v>986</v>
      </c>
      <c r="B209" s="3" t="s">
        <v>25</v>
      </c>
      <c r="C209" s="75">
        <v>728</v>
      </c>
      <c r="D209" t="s">
        <v>1341</v>
      </c>
    </row>
    <row r="210" spans="1:4" x14ac:dyDescent="0.2">
      <c r="A210" s="3" t="s">
        <v>988</v>
      </c>
      <c r="B210" s="3" t="s">
        <v>33</v>
      </c>
      <c r="C210" s="75">
        <v>724</v>
      </c>
      <c r="D210" t="s">
        <v>1342</v>
      </c>
    </row>
    <row r="211" spans="1:4" x14ac:dyDescent="0.2">
      <c r="A211" s="3" t="s">
        <v>993</v>
      </c>
      <c r="B211" s="3" t="s">
        <v>27</v>
      </c>
      <c r="C211" s="75">
        <v>144</v>
      </c>
      <c r="D211" t="s">
        <v>1343</v>
      </c>
    </row>
    <row r="212" spans="1:4" x14ac:dyDescent="0.2">
      <c r="A212" s="3" t="s">
        <v>995</v>
      </c>
      <c r="B212" s="3" t="s">
        <v>37</v>
      </c>
      <c r="C212" s="75">
        <v>729</v>
      </c>
      <c r="D212" t="s">
        <v>1344</v>
      </c>
    </row>
    <row r="213" spans="1:4" x14ac:dyDescent="0.2">
      <c r="A213" s="3" t="s">
        <v>997</v>
      </c>
      <c r="B213" s="3" t="s">
        <v>43</v>
      </c>
      <c r="C213" s="75">
        <v>740</v>
      </c>
      <c r="D213" t="s">
        <v>1345</v>
      </c>
    </row>
    <row r="214" spans="1:4" x14ac:dyDescent="0.2">
      <c r="A214" s="3" t="s">
        <v>1094</v>
      </c>
      <c r="B214" s="3" t="s">
        <v>45</v>
      </c>
      <c r="C214" s="75">
        <v>744</v>
      </c>
      <c r="D214" t="s">
        <v>1346</v>
      </c>
    </row>
    <row r="215" spans="1:4" x14ac:dyDescent="0.2">
      <c r="A215" s="3" t="s">
        <v>1002</v>
      </c>
      <c r="B215" s="3" t="s">
        <v>47</v>
      </c>
      <c r="C215" s="75">
        <v>748</v>
      </c>
      <c r="D215" t="s">
        <v>1347</v>
      </c>
    </row>
    <row r="216" spans="1:4" x14ac:dyDescent="0.2">
      <c r="A216" s="3" t="s">
        <v>1004</v>
      </c>
      <c r="B216" s="3" t="s">
        <v>41</v>
      </c>
      <c r="C216" s="75">
        <v>752</v>
      </c>
      <c r="D216" t="s">
        <v>1348</v>
      </c>
    </row>
    <row r="217" spans="1:4" x14ac:dyDescent="0.2">
      <c r="A217" s="3" t="s">
        <v>1006</v>
      </c>
      <c r="B217" s="3" t="s">
        <v>49</v>
      </c>
      <c r="C217" s="75">
        <v>756</v>
      </c>
      <c r="D217" t="s">
        <v>1349</v>
      </c>
    </row>
    <row r="218" spans="1:4" x14ac:dyDescent="0.2">
      <c r="A218" s="3" t="s">
        <v>1008</v>
      </c>
      <c r="B218" s="3" t="s">
        <v>39</v>
      </c>
      <c r="C218" s="75">
        <v>760</v>
      </c>
      <c r="D218" t="s">
        <v>1350</v>
      </c>
    </row>
    <row r="219" spans="1:4" x14ac:dyDescent="0.2">
      <c r="A219" s="3" t="s">
        <v>1010</v>
      </c>
      <c r="B219" s="3" t="s">
        <v>53</v>
      </c>
      <c r="C219" s="75">
        <v>158</v>
      </c>
      <c r="D219" t="s">
        <v>1351</v>
      </c>
    </row>
    <row r="220" spans="1:4" x14ac:dyDescent="0.2">
      <c r="A220" s="3" t="s">
        <v>1012</v>
      </c>
      <c r="B220" s="3" t="s">
        <v>55</v>
      </c>
      <c r="C220" s="75">
        <v>762</v>
      </c>
      <c r="D220" t="s">
        <v>1352</v>
      </c>
    </row>
    <row r="221" spans="1:4" x14ac:dyDescent="0.2">
      <c r="A221" s="3" t="s">
        <v>1014</v>
      </c>
      <c r="B221" s="3" t="s">
        <v>51</v>
      </c>
      <c r="C221" s="75">
        <v>834</v>
      </c>
      <c r="D221" t="s">
        <v>1353</v>
      </c>
    </row>
    <row r="222" spans="1:4" x14ac:dyDescent="0.2">
      <c r="A222" s="3" t="s">
        <v>1016</v>
      </c>
      <c r="B222" s="3" t="s">
        <v>57</v>
      </c>
      <c r="C222" s="75">
        <v>764</v>
      </c>
      <c r="D222" t="s">
        <v>1354</v>
      </c>
    </row>
    <row r="223" spans="1:4" x14ac:dyDescent="0.2">
      <c r="A223" s="3" t="s">
        <v>1018</v>
      </c>
      <c r="B223" s="3" t="s">
        <v>342</v>
      </c>
      <c r="C223" s="75">
        <v>626</v>
      </c>
      <c r="D223" t="s">
        <v>1355</v>
      </c>
    </row>
    <row r="224" spans="1:4" x14ac:dyDescent="0.2">
      <c r="A224" s="3" t="s">
        <v>1020</v>
      </c>
      <c r="B224" s="3" t="s">
        <v>65</v>
      </c>
      <c r="C224" s="75">
        <v>768</v>
      </c>
      <c r="D224" t="s">
        <v>1356</v>
      </c>
    </row>
    <row r="225" spans="1:4" x14ac:dyDescent="0.2">
      <c r="A225" s="3" t="s">
        <v>1022</v>
      </c>
      <c r="B225" s="3" t="s">
        <v>61</v>
      </c>
      <c r="C225" s="75">
        <v>772</v>
      </c>
      <c r="D225" t="s">
        <v>1357</v>
      </c>
    </row>
    <row r="226" spans="1:4" x14ac:dyDescent="0.2">
      <c r="A226" s="3" t="s">
        <v>1024</v>
      </c>
      <c r="B226" s="3" t="s">
        <v>63</v>
      </c>
      <c r="C226" s="75">
        <v>776</v>
      </c>
      <c r="D226" t="s">
        <v>1358</v>
      </c>
    </row>
    <row r="227" spans="1:4" x14ac:dyDescent="0.2">
      <c r="A227" s="3" t="s">
        <v>1026</v>
      </c>
      <c r="B227" s="3" t="s">
        <v>77</v>
      </c>
      <c r="C227" s="75">
        <v>780</v>
      </c>
      <c r="D227" t="s">
        <v>1359</v>
      </c>
    </row>
    <row r="228" spans="1:4" x14ac:dyDescent="0.2">
      <c r="A228" s="3" t="s">
        <v>1031</v>
      </c>
      <c r="B228" s="3" t="s">
        <v>73</v>
      </c>
      <c r="C228" s="75">
        <v>788</v>
      </c>
      <c r="D228" t="s">
        <v>1360</v>
      </c>
    </row>
    <row r="229" spans="1:4" x14ac:dyDescent="0.2">
      <c r="A229" s="3" t="s">
        <v>1033</v>
      </c>
      <c r="B229" s="3" t="s">
        <v>67</v>
      </c>
      <c r="C229" s="75">
        <v>792</v>
      </c>
      <c r="D229" t="s">
        <v>1361</v>
      </c>
    </row>
    <row r="230" spans="1:4" x14ac:dyDescent="0.2">
      <c r="A230" s="3" t="s">
        <v>1035</v>
      </c>
      <c r="B230" s="3" t="s">
        <v>75</v>
      </c>
      <c r="C230" s="75">
        <v>795</v>
      </c>
      <c r="D230" t="s">
        <v>1362</v>
      </c>
    </row>
    <row r="231" spans="1:4" x14ac:dyDescent="0.2">
      <c r="A231" s="3" t="s">
        <v>1037</v>
      </c>
      <c r="B231" s="3" t="s">
        <v>71</v>
      </c>
      <c r="C231" s="75">
        <v>796</v>
      </c>
      <c r="D231" t="s">
        <v>1363</v>
      </c>
    </row>
    <row r="232" spans="1:4" x14ac:dyDescent="0.2">
      <c r="A232" s="3" t="s">
        <v>1039</v>
      </c>
      <c r="B232" s="3" t="s">
        <v>69</v>
      </c>
      <c r="C232" s="75">
        <v>798</v>
      </c>
      <c r="D232" t="s">
        <v>1364</v>
      </c>
    </row>
    <row r="233" spans="1:4" x14ac:dyDescent="0.2">
      <c r="A233" s="3" t="s">
        <v>1041</v>
      </c>
      <c r="B233" s="3" t="s">
        <v>79</v>
      </c>
      <c r="C233" s="75">
        <v>800</v>
      </c>
      <c r="D233" t="s">
        <v>1365</v>
      </c>
    </row>
    <row r="234" spans="1:4" x14ac:dyDescent="0.2">
      <c r="A234" s="3" t="s">
        <v>1043</v>
      </c>
      <c r="B234" s="3" t="s">
        <v>91</v>
      </c>
      <c r="C234" s="75">
        <v>804</v>
      </c>
      <c r="D234" t="s">
        <v>1366</v>
      </c>
    </row>
    <row r="235" spans="1:4" x14ac:dyDescent="0.2">
      <c r="A235" s="3" t="s">
        <v>1045</v>
      </c>
      <c r="B235" s="3" t="s">
        <v>85</v>
      </c>
      <c r="C235" s="75">
        <v>784</v>
      </c>
      <c r="D235" t="s">
        <v>1367</v>
      </c>
    </row>
    <row r="236" spans="1:4" x14ac:dyDescent="0.2">
      <c r="A236" s="3" t="s">
        <v>1047</v>
      </c>
      <c r="B236" s="3" t="s">
        <v>81</v>
      </c>
      <c r="C236" s="75">
        <v>826</v>
      </c>
      <c r="D236" t="s">
        <v>1368</v>
      </c>
    </row>
    <row r="237" spans="1:4" x14ac:dyDescent="0.2">
      <c r="A237" s="3" t="s">
        <v>1093</v>
      </c>
      <c r="B237" s="3" t="s">
        <v>89</v>
      </c>
      <c r="C237" s="75">
        <v>581</v>
      </c>
      <c r="D237" t="s">
        <v>1369</v>
      </c>
    </row>
    <row r="238" spans="1:4" x14ac:dyDescent="0.2">
      <c r="A238" s="3" t="s">
        <v>1049</v>
      </c>
      <c r="B238" s="3" t="s">
        <v>87</v>
      </c>
      <c r="C238" s="75">
        <v>840</v>
      </c>
      <c r="D238" t="s">
        <v>1370</v>
      </c>
    </row>
    <row r="239" spans="1:4" x14ac:dyDescent="0.2">
      <c r="A239" s="3" t="s">
        <v>1054</v>
      </c>
      <c r="B239" s="3" t="s">
        <v>93</v>
      </c>
      <c r="C239" s="75">
        <v>858</v>
      </c>
      <c r="D239" t="s">
        <v>1371</v>
      </c>
    </row>
    <row r="240" spans="1:4" x14ac:dyDescent="0.2">
      <c r="A240" s="3" t="s">
        <v>1056</v>
      </c>
      <c r="B240" s="3" t="s">
        <v>95</v>
      </c>
      <c r="C240" s="75">
        <v>860</v>
      </c>
      <c r="D240" t="s">
        <v>1372</v>
      </c>
    </row>
    <row r="241" spans="1:4" x14ac:dyDescent="0.2">
      <c r="A241" s="3" t="s">
        <v>1058</v>
      </c>
      <c r="B241" s="3" t="s">
        <v>0</v>
      </c>
      <c r="C241" s="75">
        <v>548</v>
      </c>
      <c r="D241" t="s">
        <v>1373</v>
      </c>
    </row>
    <row r="242" spans="1:4" x14ac:dyDescent="0.2">
      <c r="A242" s="3" t="s">
        <v>1062</v>
      </c>
      <c r="B242" s="3" t="s">
        <v>101</v>
      </c>
      <c r="C242" s="75">
        <v>862</v>
      </c>
      <c r="D242" t="s">
        <v>1374</v>
      </c>
    </row>
    <row r="243" spans="1:4" x14ac:dyDescent="0.2">
      <c r="A243" s="3" t="s">
        <v>1064</v>
      </c>
      <c r="B243" s="3" t="s">
        <v>99</v>
      </c>
      <c r="C243" s="75">
        <v>704</v>
      </c>
      <c r="D243" t="s">
        <v>1375</v>
      </c>
    </row>
    <row r="244" spans="1:4" x14ac:dyDescent="0.2">
      <c r="A244" s="3" t="s">
        <v>1066</v>
      </c>
      <c r="B244" s="3" t="s">
        <v>457</v>
      </c>
      <c r="C244" s="75">
        <v>92</v>
      </c>
      <c r="D244" t="s">
        <v>1376</v>
      </c>
    </row>
    <row r="245" spans="1:4" x14ac:dyDescent="0.2">
      <c r="A245" s="3" t="s">
        <v>1068</v>
      </c>
      <c r="B245" s="3" t="s">
        <v>83</v>
      </c>
      <c r="C245" s="75">
        <v>850</v>
      </c>
      <c r="D245" t="s">
        <v>1377</v>
      </c>
    </row>
    <row r="246" spans="1:4" x14ac:dyDescent="0.2">
      <c r="A246" s="3" t="s">
        <v>1073</v>
      </c>
      <c r="B246" s="3" t="s">
        <v>2</v>
      </c>
      <c r="C246" s="75">
        <v>876</v>
      </c>
      <c r="D246" t="s">
        <v>1378</v>
      </c>
    </row>
    <row r="247" spans="1:4" x14ac:dyDescent="0.2">
      <c r="A247" s="3" t="s">
        <v>1078</v>
      </c>
      <c r="B247" s="3" t="s">
        <v>4</v>
      </c>
      <c r="C247" s="75">
        <v>732</v>
      </c>
      <c r="D247" t="s">
        <v>1379</v>
      </c>
    </row>
    <row r="248" spans="1:4" x14ac:dyDescent="0.2">
      <c r="A248" s="3" t="s">
        <v>1080</v>
      </c>
      <c r="B248" s="3" t="s">
        <v>10</v>
      </c>
      <c r="C248" s="75">
        <v>887</v>
      </c>
      <c r="D248" t="s">
        <v>1380</v>
      </c>
    </row>
    <row r="249" spans="1:4" x14ac:dyDescent="0.2">
      <c r="A249" s="3" t="s">
        <v>1082</v>
      </c>
      <c r="B249" s="3" t="s">
        <v>8</v>
      </c>
      <c r="C249" s="75">
        <v>894</v>
      </c>
      <c r="D249" t="s">
        <v>1381</v>
      </c>
    </row>
    <row r="250" spans="1:4" x14ac:dyDescent="0.2">
      <c r="A250" s="3" t="s">
        <v>1084</v>
      </c>
      <c r="B250" s="3" t="s">
        <v>6</v>
      </c>
      <c r="C250" s="75">
        <v>716</v>
      </c>
      <c r="D250" t="s">
        <v>1382</v>
      </c>
    </row>
    <row r="251" spans="1:4" x14ac:dyDescent="0.2">
      <c r="D251" s="4"/>
    </row>
  </sheetData>
  <autoFilter ref="A1:D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M286"/>
  <sheetViews>
    <sheetView workbookViewId="0">
      <pane ySplit="1" topLeftCell="A2" activePane="bottomLeft" state="frozen"/>
      <selection pane="bottomLeft" activeCell="G11" sqref="G11"/>
    </sheetView>
  </sheetViews>
  <sheetFormatPr defaultRowHeight="12.75" x14ac:dyDescent="0.2"/>
  <cols>
    <col min="1" max="1" width="15.28515625" style="5" customWidth="1"/>
    <col min="2" max="2" width="9.140625" style="5"/>
    <col min="3" max="3" width="12.28515625" style="77" customWidth="1"/>
    <col min="4" max="4" width="46" customWidth="1"/>
    <col min="5" max="8" width="10.5703125" customWidth="1"/>
    <col min="9" max="9" width="11.140625" customWidth="1"/>
    <col min="10" max="10" width="10.7109375" style="3" customWidth="1"/>
    <col min="11" max="11" width="11.7109375" style="3" customWidth="1"/>
    <col min="12" max="12" width="11" style="75" customWidth="1"/>
    <col min="13" max="13" width="41" customWidth="1"/>
  </cols>
  <sheetData>
    <row r="1" spans="1:13" x14ac:dyDescent="0.2">
      <c r="A1" s="79" t="s">
        <v>1385</v>
      </c>
      <c r="B1" s="79"/>
      <c r="C1" s="79"/>
      <c r="D1" s="79"/>
      <c r="E1" s="81" t="s">
        <v>1386</v>
      </c>
      <c r="F1" s="82"/>
      <c r="G1" s="82"/>
      <c r="H1" s="83"/>
      <c r="I1" s="80" t="s">
        <v>13974</v>
      </c>
      <c r="J1" s="80"/>
      <c r="K1" s="80"/>
      <c r="L1" s="80"/>
      <c r="M1" s="80"/>
    </row>
    <row r="2" spans="1:13" s="6" customFormat="1" ht="25.5" x14ac:dyDescent="0.2">
      <c r="A2" s="7" t="s">
        <v>1383</v>
      </c>
      <c r="B2" s="7" t="s">
        <v>1384</v>
      </c>
      <c r="C2" s="76" t="s">
        <v>497</v>
      </c>
      <c r="D2" s="7" t="s">
        <v>498</v>
      </c>
      <c r="E2" s="10" t="s">
        <v>1383</v>
      </c>
      <c r="F2" s="10" t="s">
        <v>1384</v>
      </c>
      <c r="G2" s="10" t="s">
        <v>497</v>
      </c>
      <c r="H2" s="10" t="s">
        <v>498</v>
      </c>
      <c r="I2" s="8" t="s">
        <v>1095</v>
      </c>
      <c r="J2" s="8" t="s">
        <v>1383</v>
      </c>
      <c r="K2" s="8" t="s">
        <v>1384</v>
      </c>
      <c r="L2" s="78" t="s">
        <v>497</v>
      </c>
      <c r="M2" s="8" t="s">
        <v>498</v>
      </c>
    </row>
    <row r="3" spans="1:13" x14ac:dyDescent="0.2">
      <c r="A3" s="5" t="s">
        <v>499</v>
      </c>
      <c r="B3" s="5" t="s">
        <v>405</v>
      </c>
      <c r="C3" s="77">
        <v>4</v>
      </c>
      <c r="D3" t="s">
        <v>500</v>
      </c>
      <c r="E3" t="b">
        <v>1</v>
      </c>
      <c r="F3" t="b">
        <v>1</v>
      </c>
      <c r="G3" t="b">
        <v>1</v>
      </c>
      <c r="H3" t="b">
        <v>1</v>
      </c>
      <c r="I3" t="s">
        <v>406</v>
      </c>
      <c r="J3" s="2" t="s">
        <v>499</v>
      </c>
      <c r="K3" s="2" t="s">
        <v>405</v>
      </c>
      <c r="L3" s="74">
        <v>4</v>
      </c>
      <c r="M3" t="s">
        <v>500</v>
      </c>
    </row>
    <row r="4" spans="1:13" x14ac:dyDescent="0.2">
      <c r="A4" s="5" t="s">
        <v>504</v>
      </c>
      <c r="B4" s="5" t="s">
        <v>403</v>
      </c>
      <c r="C4" s="77">
        <v>8</v>
      </c>
      <c r="D4" t="s">
        <v>505</v>
      </c>
      <c r="E4" t="b">
        <v>1</v>
      </c>
      <c r="F4" t="b">
        <v>1</v>
      </c>
      <c r="G4" t="b">
        <v>1</v>
      </c>
      <c r="H4" t="b">
        <v>1</v>
      </c>
      <c r="I4" t="s">
        <v>404</v>
      </c>
      <c r="J4" s="3" t="s">
        <v>504</v>
      </c>
      <c r="K4" s="3" t="s">
        <v>403</v>
      </c>
      <c r="L4" s="75">
        <v>8</v>
      </c>
      <c r="M4" t="s">
        <v>505</v>
      </c>
    </row>
    <row r="5" spans="1:13" x14ac:dyDescent="0.2">
      <c r="A5" s="5" t="s">
        <v>516</v>
      </c>
      <c r="B5" s="5" t="s">
        <v>417</v>
      </c>
      <c r="C5" s="77">
        <v>10</v>
      </c>
      <c r="D5" t="s">
        <v>517</v>
      </c>
      <c r="E5" t="b">
        <v>1</v>
      </c>
      <c r="F5" t="b">
        <v>1</v>
      </c>
      <c r="G5" t="b">
        <v>1</v>
      </c>
      <c r="H5" t="b">
        <v>1</v>
      </c>
      <c r="I5" t="s">
        <v>418</v>
      </c>
      <c r="J5" s="3" t="s">
        <v>516</v>
      </c>
      <c r="K5" s="3" t="s">
        <v>417</v>
      </c>
      <c r="L5" s="75">
        <v>10</v>
      </c>
      <c r="M5" t="s">
        <v>517</v>
      </c>
    </row>
    <row r="6" spans="1:13" x14ac:dyDescent="0.2">
      <c r="A6" s="5" t="s">
        <v>506</v>
      </c>
      <c r="B6" s="5" t="s">
        <v>407</v>
      </c>
      <c r="C6" s="77">
        <v>12</v>
      </c>
      <c r="D6" t="s">
        <v>507</v>
      </c>
      <c r="E6" t="b">
        <v>1</v>
      </c>
      <c r="F6" t="b">
        <v>1</v>
      </c>
      <c r="G6" t="b">
        <v>1</v>
      </c>
      <c r="H6" t="b">
        <v>1</v>
      </c>
      <c r="I6" t="s">
        <v>408</v>
      </c>
      <c r="J6" s="3" t="s">
        <v>506</v>
      </c>
      <c r="K6" s="3" t="s">
        <v>407</v>
      </c>
      <c r="L6" s="75">
        <v>12</v>
      </c>
      <c r="M6" t="s">
        <v>507</v>
      </c>
    </row>
    <row r="7" spans="1:13" x14ac:dyDescent="0.2">
      <c r="A7" s="5" t="s">
        <v>508</v>
      </c>
      <c r="B7" s="5" t="s">
        <v>409</v>
      </c>
      <c r="C7" s="77">
        <v>16</v>
      </c>
      <c r="D7" t="s">
        <v>509</v>
      </c>
      <c r="E7" t="b">
        <v>1</v>
      </c>
      <c r="F7" t="b">
        <v>1</v>
      </c>
      <c r="G7" t="b">
        <v>1</v>
      </c>
      <c r="H7" t="b">
        <v>1</v>
      </c>
      <c r="I7" t="s">
        <v>410</v>
      </c>
      <c r="J7" s="3" t="s">
        <v>508</v>
      </c>
      <c r="K7" s="3" t="s">
        <v>409</v>
      </c>
      <c r="L7" s="75">
        <v>16</v>
      </c>
      <c r="M7" t="s">
        <v>509</v>
      </c>
    </row>
    <row r="8" spans="1:13" x14ac:dyDescent="0.2">
      <c r="A8" s="5" t="s">
        <v>510</v>
      </c>
      <c r="B8" s="5" t="s">
        <v>413</v>
      </c>
      <c r="C8" s="77">
        <v>20</v>
      </c>
      <c r="D8" t="s">
        <v>511</v>
      </c>
      <c r="E8" t="b">
        <v>1</v>
      </c>
      <c r="F8" t="b">
        <v>1</v>
      </c>
      <c r="G8" t="b">
        <v>1</v>
      </c>
      <c r="H8" t="b">
        <v>1</v>
      </c>
      <c r="I8" t="s">
        <v>414</v>
      </c>
      <c r="J8" s="3" t="s">
        <v>510</v>
      </c>
      <c r="K8" s="3" t="s">
        <v>413</v>
      </c>
      <c r="L8" s="75">
        <v>20</v>
      </c>
      <c r="M8" t="s">
        <v>511</v>
      </c>
    </row>
    <row r="9" spans="1:13" x14ac:dyDescent="0.2">
      <c r="A9" s="5" t="s">
        <v>512</v>
      </c>
      <c r="B9" s="5" t="s">
        <v>415</v>
      </c>
      <c r="C9" s="77">
        <v>24</v>
      </c>
      <c r="D9" t="s">
        <v>513</v>
      </c>
      <c r="E9" t="b">
        <v>1</v>
      </c>
      <c r="F9" t="b">
        <v>1</v>
      </c>
      <c r="G9" t="b">
        <v>1</v>
      </c>
      <c r="H9" t="b">
        <v>1</v>
      </c>
      <c r="I9" t="s">
        <v>416</v>
      </c>
      <c r="J9" s="3" t="s">
        <v>512</v>
      </c>
      <c r="K9" s="3" t="s">
        <v>415</v>
      </c>
      <c r="L9" s="75">
        <v>24</v>
      </c>
      <c r="M9" t="s">
        <v>513</v>
      </c>
    </row>
    <row r="10" spans="1:13" x14ac:dyDescent="0.2">
      <c r="A10" s="5" t="s">
        <v>518</v>
      </c>
      <c r="B10" s="5" t="s">
        <v>421</v>
      </c>
      <c r="C10" s="77">
        <v>28</v>
      </c>
      <c r="D10" t="s">
        <v>519</v>
      </c>
      <c r="E10" t="b">
        <v>1</v>
      </c>
      <c r="F10" t="b">
        <v>1</v>
      </c>
      <c r="G10" t="b">
        <v>1</v>
      </c>
      <c r="H10" t="b">
        <v>1</v>
      </c>
      <c r="I10" t="s">
        <v>422</v>
      </c>
      <c r="J10" s="3" t="s">
        <v>518</v>
      </c>
      <c r="K10" s="3" t="s">
        <v>421</v>
      </c>
      <c r="L10" s="75">
        <v>28</v>
      </c>
      <c r="M10" t="s">
        <v>519</v>
      </c>
    </row>
    <row r="11" spans="1:13" x14ac:dyDescent="0.2">
      <c r="A11" s="5" t="s">
        <v>533</v>
      </c>
      <c r="B11" s="5" t="s">
        <v>431</v>
      </c>
      <c r="C11" s="77">
        <v>31</v>
      </c>
      <c r="D11" t="s">
        <v>534</v>
      </c>
      <c r="E11" t="b">
        <v>1</v>
      </c>
      <c r="F11" t="b">
        <v>1</v>
      </c>
      <c r="G11" t="b">
        <v>1</v>
      </c>
      <c r="H11" t="b">
        <v>1</v>
      </c>
      <c r="I11" t="s">
        <v>432</v>
      </c>
      <c r="J11" s="3" t="s">
        <v>533</v>
      </c>
      <c r="K11" s="3" t="s">
        <v>431</v>
      </c>
      <c r="L11" s="75">
        <v>31</v>
      </c>
      <c r="M11" t="s">
        <v>534</v>
      </c>
    </row>
    <row r="12" spans="1:13" x14ac:dyDescent="0.2">
      <c r="A12" s="5" t="s">
        <v>520</v>
      </c>
      <c r="B12" s="5" t="s">
        <v>419</v>
      </c>
      <c r="C12" s="77">
        <v>32</v>
      </c>
      <c r="D12" t="s">
        <v>521</v>
      </c>
      <c r="E12" t="b">
        <v>1</v>
      </c>
      <c r="F12" t="b">
        <v>1</v>
      </c>
      <c r="G12" t="b">
        <v>1</v>
      </c>
      <c r="H12" t="b">
        <v>1</v>
      </c>
      <c r="I12" t="s">
        <v>420</v>
      </c>
      <c r="J12" s="3" t="s">
        <v>520</v>
      </c>
      <c r="K12" s="3" t="s">
        <v>419</v>
      </c>
      <c r="L12" s="75">
        <v>32</v>
      </c>
      <c r="M12" t="s">
        <v>521</v>
      </c>
    </row>
    <row r="13" spans="1:13" x14ac:dyDescent="0.2">
      <c r="A13" s="5" t="s">
        <v>529</v>
      </c>
      <c r="B13" s="5" t="s">
        <v>425</v>
      </c>
      <c r="C13" s="77">
        <v>36</v>
      </c>
      <c r="D13" t="s">
        <v>530</v>
      </c>
      <c r="E13" t="b">
        <v>1</v>
      </c>
      <c r="F13" t="b">
        <v>1</v>
      </c>
      <c r="G13" t="b">
        <v>1</v>
      </c>
      <c r="H13" t="b">
        <v>1</v>
      </c>
      <c r="I13" t="s">
        <v>426</v>
      </c>
      <c r="J13" s="3" t="s">
        <v>529</v>
      </c>
      <c r="K13" s="3" t="s">
        <v>425</v>
      </c>
      <c r="L13" s="75">
        <v>36</v>
      </c>
      <c r="M13" t="s">
        <v>530</v>
      </c>
    </row>
    <row r="14" spans="1:13" x14ac:dyDescent="0.2">
      <c r="A14" s="5" t="s">
        <v>531</v>
      </c>
      <c r="B14" s="5" t="s">
        <v>427</v>
      </c>
      <c r="C14" s="77">
        <v>40</v>
      </c>
      <c r="D14" t="s">
        <v>532</v>
      </c>
      <c r="E14" t="b">
        <v>1</v>
      </c>
      <c r="F14" t="b">
        <v>1</v>
      </c>
      <c r="G14" t="b">
        <v>1</v>
      </c>
      <c r="H14" t="b">
        <v>1</v>
      </c>
      <c r="I14" t="s">
        <v>428</v>
      </c>
      <c r="J14" s="3" t="s">
        <v>531</v>
      </c>
      <c r="K14" s="3" t="s">
        <v>427</v>
      </c>
      <c r="L14" s="75">
        <v>40</v>
      </c>
      <c r="M14" t="s">
        <v>532</v>
      </c>
    </row>
    <row r="15" spans="1:13" x14ac:dyDescent="0.2">
      <c r="A15" s="5" t="s">
        <v>535</v>
      </c>
      <c r="B15" s="5" t="s">
        <v>439</v>
      </c>
      <c r="C15" s="77">
        <v>44</v>
      </c>
      <c r="D15" t="s">
        <v>536</v>
      </c>
      <c r="E15" t="b">
        <v>1</v>
      </c>
      <c r="F15" t="b">
        <v>1</v>
      </c>
      <c r="G15" t="b">
        <v>1</v>
      </c>
      <c r="H15" s="11" t="b">
        <v>0</v>
      </c>
      <c r="I15" t="s">
        <v>440</v>
      </c>
      <c r="J15" s="3" t="s">
        <v>535</v>
      </c>
      <c r="K15" s="3" t="s">
        <v>439</v>
      </c>
      <c r="L15" s="75">
        <v>44</v>
      </c>
      <c r="M15" t="s">
        <v>1097</v>
      </c>
    </row>
    <row r="16" spans="1:13" x14ac:dyDescent="0.2">
      <c r="A16" s="5" t="s">
        <v>537</v>
      </c>
      <c r="B16" s="5" t="s">
        <v>445</v>
      </c>
      <c r="C16" s="77">
        <v>48</v>
      </c>
      <c r="D16" t="s">
        <v>538</v>
      </c>
      <c r="E16" t="b">
        <v>1</v>
      </c>
      <c r="F16" t="b">
        <v>1</v>
      </c>
      <c r="G16" t="b">
        <v>1</v>
      </c>
      <c r="H16" t="b">
        <v>1</v>
      </c>
      <c r="I16" t="s">
        <v>446</v>
      </c>
      <c r="J16" s="3" t="s">
        <v>537</v>
      </c>
      <c r="K16" s="3" t="s">
        <v>445</v>
      </c>
      <c r="L16" s="75">
        <v>48</v>
      </c>
      <c r="M16" t="s">
        <v>538</v>
      </c>
    </row>
    <row r="17" spans="1:13" x14ac:dyDescent="0.2">
      <c r="A17" s="5" t="s">
        <v>542</v>
      </c>
      <c r="B17" s="5" t="s">
        <v>441</v>
      </c>
      <c r="C17" s="77">
        <v>50</v>
      </c>
      <c r="D17" t="s">
        <v>543</v>
      </c>
      <c r="E17" t="b">
        <v>1</v>
      </c>
      <c r="F17" t="b">
        <v>1</v>
      </c>
      <c r="G17" t="b">
        <v>1</v>
      </c>
      <c r="H17" t="b">
        <v>1</v>
      </c>
      <c r="I17" t="s">
        <v>442</v>
      </c>
      <c r="J17" s="3" t="s">
        <v>542</v>
      </c>
      <c r="K17" s="3" t="s">
        <v>441</v>
      </c>
      <c r="L17" s="75">
        <v>50</v>
      </c>
      <c r="M17" t="s">
        <v>543</v>
      </c>
    </row>
    <row r="18" spans="1:13" x14ac:dyDescent="0.2">
      <c r="A18" s="5" t="s">
        <v>522</v>
      </c>
      <c r="B18" s="5" t="s">
        <v>429</v>
      </c>
      <c r="C18" s="77">
        <v>51</v>
      </c>
      <c r="D18" t="s">
        <v>523</v>
      </c>
      <c r="E18" t="b">
        <v>1</v>
      </c>
      <c r="F18" t="b">
        <v>1</v>
      </c>
      <c r="G18" t="b">
        <v>1</v>
      </c>
      <c r="H18" t="b">
        <v>1</v>
      </c>
      <c r="I18" t="s">
        <v>430</v>
      </c>
      <c r="J18" s="3" t="s">
        <v>522</v>
      </c>
      <c r="K18" s="3" t="s">
        <v>429</v>
      </c>
      <c r="L18" s="75">
        <v>51</v>
      </c>
      <c r="M18" t="s">
        <v>523</v>
      </c>
    </row>
    <row r="19" spans="1:13" x14ac:dyDescent="0.2">
      <c r="A19" s="5" t="s">
        <v>544</v>
      </c>
      <c r="B19" s="5" t="s">
        <v>435</v>
      </c>
      <c r="C19" s="77">
        <v>52</v>
      </c>
      <c r="D19" t="s">
        <v>545</v>
      </c>
      <c r="E19" t="b">
        <v>1</v>
      </c>
      <c r="F19" t="b">
        <v>1</v>
      </c>
      <c r="G19" t="b">
        <v>1</v>
      </c>
      <c r="H19" t="b">
        <v>1</v>
      </c>
      <c r="I19" t="s">
        <v>436</v>
      </c>
      <c r="J19" s="3" t="s">
        <v>544</v>
      </c>
      <c r="K19" s="3" t="s">
        <v>435</v>
      </c>
      <c r="L19" s="75">
        <v>52</v>
      </c>
      <c r="M19" t="s">
        <v>545</v>
      </c>
    </row>
    <row r="20" spans="1:13" x14ac:dyDescent="0.2">
      <c r="A20" s="5" t="s">
        <v>551</v>
      </c>
      <c r="B20" s="5" t="s">
        <v>433</v>
      </c>
      <c r="C20" s="77">
        <v>56</v>
      </c>
      <c r="D20" t="s">
        <v>552</v>
      </c>
      <c r="E20" t="b">
        <v>1</v>
      </c>
      <c r="F20" t="b">
        <v>1</v>
      </c>
      <c r="G20" t="b">
        <v>1</v>
      </c>
      <c r="H20" t="b">
        <v>1</v>
      </c>
      <c r="I20" t="s">
        <v>434</v>
      </c>
      <c r="J20" s="3" t="s">
        <v>551</v>
      </c>
      <c r="K20" s="3" t="s">
        <v>433</v>
      </c>
      <c r="L20" s="75">
        <v>56</v>
      </c>
      <c r="M20" t="s">
        <v>552</v>
      </c>
    </row>
    <row r="21" spans="1:13" x14ac:dyDescent="0.2">
      <c r="A21" s="5" t="s">
        <v>557</v>
      </c>
      <c r="B21" s="5" t="s">
        <v>449</v>
      </c>
      <c r="C21" s="77">
        <v>60</v>
      </c>
      <c r="D21" t="s">
        <v>558</v>
      </c>
      <c r="E21" t="b">
        <v>1</v>
      </c>
      <c r="F21" t="b">
        <v>1</v>
      </c>
      <c r="G21" t="b">
        <v>1</v>
      </c>
      <c r="H21" t="b">
        <v>1</v>
      </c>
      <c r="I21" t="s">
        <v>450</v>
      </c>
      <c r="J21" s="3" t="s">
        <v>557</v>
      </c>
      <c r="K21" s="3" t="s">
        <v>449</v>
      </c>
      <c r="L21" s="75">
        <v>60</v>
      </c>
      <c r="M21" t="s">
        <v>558</v>
      </c>
    </row>
    <row r="22" spans="1:13" x14ac:dyDescent="0.2">
      <c r="A22" s="5" t="s">
        <v>559</v>
      </c>
      <c r="B22" s="5" t="s">
        <v>451</v>
      </c>
      <c r="C22" s="77">
        <v>64</v>
      </c>
      <c r="D22" t="s">
        <v>560</v>
      </c>
      <c r="E22" t="b">
        <v>1</v>
      </c>
      <c r="F22" t="b">
        <v>1</v>
      </c>
      <c r="G22" t="b">
        <v>1</v>
      </c>
      <c r="H22" t="b">
        <v>1</v>
      </c>
      <c r="I22" t="s">
        <v>452</v>
      </c>
      <c r="J22" s="3" t="s">
        <v>559</v>
      </c>
      <c r="K22" s="3" t="s">
        <v>451</v>
      </c>
      <c r="L22" s="75">
        <v>64</v>
      </c>
      <c r="M22" t="s">
        <v>560</v>
      </c>
    </row>
    <row r="23" spans="1:13" x14ac:dyDescent="0.2">
      <c r="A23" s="5" t="s">
        <v>561</v>
      </c>
      <c r="B23" s="5" t="s">
        <v>455</v>
      </c>
      <c r="C23" s="77">
        <v>68</v>
      </c>
      <c r="D23" t="s">
        <v>562</v>
      </c>
      <c r="E23" t="b">
        <v>1</v>
      </c>
      <c r="F23" t="b">
        <v>1</v>
      </c>
      <c r="G23" t="b">
        <v>1</v>
      </c>
      <c r="H23" s="11" t="b">
        <v>0</v>
      </c>
      <c r="I23" t="s">
        <v>456</v>
      </c>
      <c r="J23" s="3" t="s">
        <v>561</v>
      </c>
      <c r="K23" s="3" t="s">
        <v>455</v>
      </c>
      <c r="L23" s="75">
        <v>68</v>
      </c>
      <c r="M23" t="s">
        <v>1098</v>
      </c>
    </row>
    <row r="24" spans="1:13" x14ac:dyDescent="0.2">
      <c r="A24" s="5" t="s">
        <v>565</v>
      </c>
      <c r="B24" s="5" t="s">
        <v>467</v>
      </c>
      <c r="C24" s="77">
        <v>70</v>
      </c>
      <c r="D24" t="s">
        <v>566</v>
      </c>
      <c r="E24" t="b">
        <v>1</v>
      </c>
      <c r="F24" t="b">
        <v>1</v>
      </c>
      <c r="G24" t="b">
        <v>1</v>
      </c>
      <c r="H24" t="b">
        <v>1</v>
      </c>
      <c r="I24" t="s">
        <v>468</v>
      </c>
      <c r="J24" s="3" t="s">
        <v>565</v>
      </c>
      <c r="K24" s="2" t="s">
        <v>467</v>
      </c>
      <c r="L24" s="75">
        <v>70</v>
      </c>
      <c r="M24" t="s">
        <v>566</v>
      </c>
    </row>
    <row r="25" spans="1:13" x14ac:dyDescent="0.2">
      <c r="A25" s="5" t="s">
        <v>567</v>
      </c>
      <c r="B25" s="5" t="s">
        <v>461</v>
      </c>
      <c r="C25" s="77">
        <v>72</v>
      </c>
      <c r="D25" t="s">
        <v>568</v>
      </c>
      <c r="E25" t="b">
        <v>1</v>
      </c>
      <c r="F25" t="b">
        <v>1</v>
      </c>
      <c r="G25" t="b">
        <v>1</v>
      </c>
      <c r="H25" t="b">
        <v>1</v>
      </c>
      <c r="I25" t="s">
        <v>462</v>
      </c>
      <c r="J25" s="3" t="s">
        <v>567</v>
      </c>
      <c r="K25" s="3" t="s">
        <v>461</v>
      </c>
      <c r="L25" s="75">
        <v>72</v>
      </c>
      <c r="M25" t="s">
        <v>568</v>
      </c>
    </row>
    <row r="26" spans="1:13" x14ac:dyDescent="0.2">
      <c r="A26" s="5" t="s">
        <v>569</v>
      </c>
      <c r="B26" s="5" t="s">
        <v>463</v>
      </c>
      <c r="C26" s="77">
        <v>74</v>
      </c>
      <c r="D26" t="s">
        <v>570</v>
      </c>
      <c r="E26" t="b">
        <v>1</v>
      </c>
      <c r="F26" t="b">
        <v>1</v>
      </c>
      <c r="G26" t="b">
        <v>1</v>
      </c>
      <c r="H26" t="b">
        <v>1</v>
      </c>
      <c r="I26" t="s">
        <v>464</v>
      </c>
      <c r="J26" s="3" t="s">
        <v>569</v>
      </c>
      <c r="K26" s="3" t="s">
        <v>463</v>
      </c>
      <c r="L26" s="75">
        <v>74</v>
      </c>
      <c r="M26" t="s">
        <v>570</v>
      </c>
    </row>
    <row r="27" spans="1:13" x14ac:dyDescent="0.2">
      <c r="A27" s="5" t="s">
        <v>571</v>
      </c>
      <c r="B27" s="5" t="s">
        <v>469</v>
      </c>
      <c r="C27" s="77">
        <v>76</v>
      </c>
      <c r="D27" t="s">
        <v>572</v>
      </c>
      <c r="E27" t="b">
        <v>1</v>
      </c>
      <c r="F27" t="b">
        <v>1</v>
      </c>
      <c r="G27" t="b">
        <v>1</v>
      </c>
      <c r="H27" t="b">
        <v>1</v>
      </c>
      <c r="I27" t="s">
        <v>470</v>
      </c>
      <c r="J27" s="3" t="s">
        <v>571</v>
      </c>
      <c r="K27" s="3" t="s">
        <v>469</v>
      </c>
      <c r="L27" s="75">
        <v>76</v>
      </c>
      <c r="M27" t="s">
        <v>572</v>
      </c>
    </row>
    <row r="28" spans="1:13" x14ac:dyDescent="0.2">
      <c r="A28" s="5" t="s">
        <v>553</v>
      </c>
      <c r="B28" s="5" t="s">
        <v>443</v>
      </c>
      <c r="C28" s="77">
        <v>84</v>
      </c>
      <c r="D28" t="s">
        <v>554</v>
      </c>
      <c r="E28" t="b">
        <v>1</v>
      </c>
      <c r="F28" t="b">
        <v>1</v>
      </c>
      <c r="G28" t="b">
        <v>1</v>
      </c>
      <c r="H28" t="b">
        <v>1</v>
      </c>
      <c r="I28" t="s">
        <v>444</v>
      </c>
      <c r="J28" s="3" t="s">
        <v>553</v>
      </c>
      <c r="K28" s="3" t="s">
        <v>443</v>
      </c>
      <c r="L28" s="75">
        <v>84</v>
      </c>
      <c r="M28" t="s">
        <v>554</v>
      </c>
    </row>
    <row r="29" spans="1:13" x14ac:dyDescent="0.2">
      <c r="A29" s="5" t="s">
        <v>573</v>
      </c>
      <c r="B29" s="5" t="s">
        <v>465</v>
      </c>
      <c r="C29" s="77">
        <v>86</v>
      </c>
      <c r="D29" t="s">
        <v>574</v>
      </c>
      <c r="E29" t="b">
        <v>1</v>
      </c>
      <c r="F29" t="b">
        <v>1</v>
      </c>
      <c r="G29" t="b">
        <v>1</v>
      </c>
      <c r="H29" t="b">
        <v>1</v>
      </c>
      <c r="I29" t="s">
        <v>466</v>
      </c>
      <c r="J29" s="3" t="s">
        <v>573</v>
      </c>
      <c r="K29" s="3" t="s">
        <v>465</v>
      </c>
      <c r="L29" s="75">
        <v>86</v>
      </c>
      <c r="M29" t="s">
        <v>574</v>
      </c>
    </row>
    <row r="30" spans="1:13" x14ac:dyDescent="0.2">
      <c r="A30" s="5" t="s">
        <v>978</v>
      </c>
      <c r="B30" s="5" t="s">
        <v>19</v>
      </c>
      <c r="C30" s="77">
        <v>90</v>
      </c>
      <c r="D30" t="s">
        <v>979</v>
      </c>
      <c r="E30" t="b">
        <v>1</v>
      </c>
      <c r="F30" t="b">
        <v>1</v>
      </c>
      <c r="G30" t="b">
        <v>1</v>
      </c>
      <c r="H30" t="b">
        <v>1</v>
      </c>
      <c r="I30" t="s">
        <v>20</v>
      </c>
      <c r="J30" s="3" t="s">
        <v>978</v>
      </c>
      <c r="K30" s="3" t="s">
        <v>19</v>
      </c>
      <c r="L30" s="75">
        <v>90</v>
      </c>
      <c r="M30" t="s">
        <v>979</v>
      </c>
    </row>
    <row r="31" spans="1:13" x14ac:dyDescent="0.2">
      <c r="A31" s="5" t="s">
        <v>1066</v>
      </c>
      <c r="B31" s="5" t="s">
        <v>457</v>
      </c>
      <c r="C31" s="77">
        <v>92</v>
      </c>
      <c r="D31" t="s">
        <v>1067</v>
      </c>
      <c r="E31" t="b">
        <v>1</v>
      </c>
      <c r="F31" t="b">
        <v>1</v>
      </c>
      <c r="G31" t="b">
        <v>1</v>
      </c>
      <c r="H31" t="b">
        <v>1</v>
      </c>
      <c r="I31" t="s">
        <v>458</v>
      </c>
      <c r="J31" s="3" t="s">
        <v>1066</v>
      </c>
      <c r="K31" s="3" t="s">
        <v>457</v>
      </c>
      <c r="L31" s="75">
        <v>92</v>
      </c>
      <c r="M31" t="s">
        <v>1067</v>
      </c>
    </row>
    <row r="32" spans="1:13" x14ac:dyDescent="0.2">
      <c r="A32" s="5" t="s">
        <v>575</v>
      </c>
      <c r="B32" s="5" t="s">
        <v>459</v>
      </c>
      <c r="C32" s="77">
        <v>96</v>
      </c>
      <c r="D32" t="s">
        <v>576</v>
      </c>
      <c r="E32" t="b">
        <v>1</v>
      </c>
      <c r="F32" t="b">
        <v>1</v>
      </c>
      <c r="G32" t="b">
        <v>1</v>
      </c>
      <c r="H32" s="11" t="b">
        <v>0</v>
      </c>
      <c r="I32" t="s">
        <v>460</v>
      </c>
      <c r="J32" s="3" t="s">
        <v>575</v>
      </c>
      <c r="K32" s="3" t="s">
        <v>459</v>
      </c>
      <c r="L32" s="75">
        <v>96</v>
      </c>
      <c r="M32" t="s">
        <v>1100</v>
      </c>
    </row>
    <row r="33" spans="1:13" x14ac:dyDescent="0.2">
      <c r="A33" s="5" t="s">
        <v>577</v>
      </c>
      <c r="B33" s="5" t="s">
        <v>471</v>
      </c>
      <c r="C33" s="77">
        <v>100</v>
      </c>
      <c r="D33" t="s">
        <v>578</v>
      </c>
      <c r="E33" t="b">
        <v>1</v>
      </c>
      <c r="F33" t="b">
        <v>1</v>
      </c>
      <c r="G33" t="b">
        <v>1</v>
      </c>
      <c r="H33" t="b">
        <v>1</v>
      </c>
      <c r="I33" t="s">
        <v>472</v>
      </c>
      <c r="J33" s="3" t="s">
        <v>577</v>
      </c>
      <c r="K33" s="3" t="s">
        <v>471</v>
      </c>
      <c r="L33" s="75">
        <v>100</v>
      </c>
      <c r="M33" t="s">
        <v>578</v>
      </c>
    </row>
    <row r="34" spans="1:13" x14ac:dyDescent="0.2">
      <c r="A34" s="5" t="s">
        <v>581</v>
      </c>
      <c r="B34" s="5" t="s">
        <v>104</v>
      </c>
      <c r="C34" s="77">
        <v>104</v>
      </c>
      <c r="D34" t="s">
        <v>582</v>
      </c>
      <c r="E34" t="b">
        <v>1</v>
      </c>
      <c r="F34" t="b">
        <v>1</v>
      </c>
      <c r="G34" t="b">
        <v>1</v>
      </c>
      <c r="H34" s="11" t="b">
        <v>0</v>
      </c>
      <c r="I34" t="s">
        <v>105</v>
      </c>
      <c r="J34" s="3" t="s">
        <v>581</v>
      </c>
      <c r="K34" s="3" t="s">
        <v>104</v>
      </c>
      <c r="L34" s="75">
        <v>104</v>
      </c>
      <c r="M34" t="s">
        <v>1115</v>
      </c>
    </row>
    <row r="35" spans="1:13" x14ac:dyDescent="0.2">
      <c r="A35" s="5" t="s">
        <v>583</v>
      </c>
      <c r="B35" s="5" t="s">
        <v>473</v>
      </c>
      <c r="C35" s="77">
        <v>108</v>
      </c>
      <c r="D35" t="s">
        <v>584</v>
      </c>
      <c r="E35" t="b">
        <v>1</v>
      </c>
      <c r="F35" t="b">
        <v>1</v>
      </c>
      <c r="G35" t="b">
        <v>1</v>
      </c>
      <c r="H35" t="b">
        <v>1</v>
      </c>
      <c r="I35" t="s">
        <v>474</v>
      </c>
      <c r="J35" s="3" t="s">
        <v>583</v>
      </c>
      <c r="K35" s="3" t="s">
        <v>473</v>
      </c>
      <c r="L35" s="75">
        <v>108</v>
      </c>
      <c r="M35" t="s">
        <v>584</v>
      </c>
    </row>
    <row r="36" spans="1:13" x14ac:dyDescent="0.2">
      <c r="A36" s="5" t="s">
        <v>549</v>
      </c>
      <c r="B36" s="5" t="s">
        <v>437</v>
      </c>
      <c r="C36" s="77">
        <v>112</v>
      </c>
      <c r="D36" t="s">
        <v>550</v>
      </c>
      <c r="E36" t="b">
        <v>1</v>
      </c>
      <c r="F36" t="b">
        <v>1</v>
      </c>
      <c r="G36" t="b">
        <v>1</v>
      </c>
      <c r="H36" t="b">
        <v>1</v>
      </c>
      <c r="I36" t="s">
        <v>438</v>
      </c>
      <c r="J36" s="3" t="s">
        <v>549</v>
      </c>
      <c r="K36" s="3" t="s">
        <v>437</v>
      </c>
      <c r="L36" s="75">
        <v>112</v>
      </c>
      <c r="M36" t="s">
        <v>550</v>
      </c>
    </row>
    <row r="37" spans="1:13" x14ac:dyDescent="0.2">
      <c r="A37" s="5" t="s">
        <v>585</v>
      </c>
      <c r="B37" s="5" t="s">
        <v>481</v>
      </c>
      <c r="C37" s="77">
        <v>116</v>
      </c>
      <c r="D37" t="s">
        <v>586</v>
      </c>
      <c r="E37" t="b">
        <v>1</v>
      </c>
      <c r="F37" t="b">
        <v>1</v>
      </c>
      <c r="G37" t="b">
        <v>1</v>
      </c>
      <c r="H37" t="b">
        <v>1</v>
      </c>
      <c r="I37" t="s">
        <v>482</v>
      </c>
      <c r="J37" s="3" t="s">
        <v>585</v>
      </c>
      <c r="K37" s="3" t="s">
        <v>481</v>
      </c>
      <c r="L37" s="75">
        <v>116</v>
      </c>
      <c r="M37" t="s">
        <v>586</v>
      </c>
    </row>
    <row r="38" spans="1:13" x14ac:dyDescent="0.2">
      <c r="A38" s="5" t="s">
        <v>587</v>
      </c>
      <c r="B38" s="5" t="s">
        <v>477</v>
      </c>
      <c r="C38" s="77">
        <v>120</v>
      </c>
      <c r="D38" t="s">
        <v>588</v>
      </c>
      <c r="E38" t="b">
        <v>1</v>
      </c>
      <c r="F38" t="b">
        <v>1</v>
      </c>
      <c r="G38" t="b">
        <v>1</v>
      </c>
      <c r="H38" t="b">
        <v>1</v>
      </c>
      <c r="I38" t="s">
        <v>478</v>
      </c>
      <c r="J38" s="3" t="s">
        <v>587</v>
      </c>
      <c r="K38" s="3" t="s">
        <v>477</v>
      </c>
      <c r="L38" s="75">
        <v>120</v>
      </c>
      <c r="M38" t="s">
        <v>588</v>
      </c>
    </row>
    <row r="39" spans="1:13" x14ac:dyDescent="0.2">
      <c r="A39" s="5" t="s">
        <v>589</v>
      </c>
      <c r="B39" s="5" t="s">
        <v>483</v>
      </c>
      <c r="C39" s="77">
        <v>124</v>
      </c>
      <c r="D39" t="s">
        <v>590</v>
      </c>
      <c r="E39" t="b">
        <v>1</v>
      </c>
      <c r="F39" t="b">
        <v>1</v>
      </c>
      <c r="G39" t="b">
        <v>1</v>
      </c>
      <c r="H39" t="b">
        <v>1</v>
      </c>
      <c r="I39" t="s">
        <v>484</v>
      </c>
      <c r="J39" s="3" t="s">
        <v>589</v>
      </c>
      <c r="K39" s="3" t="s">
        <v>483</v>
      </c>
      <c r="L39" s="75">
        <v>124</v>
      </c>
      <c r="M39" t="s">
        <v>590</v>
      </c>
    </row>
    <row r="40" spans="1:13" x14ac:dyDescent="0.2">
      <c r="A40" s="5" t="s">
        <v>591</v>
      </c>
      <c r="B40" s="5" t="s">
        <v>479</v>
      </c>
      <c r="C40" s="77">
        <v>132</v>
      </c>
      <c r="D40" t="s">
        <v>1086</v>
      </c>
      <c r="E40" t="b">
        <v>1</v>
      </c>
      <c r="F40" t="b">
        <v>1</v>
      </c>
      <c r="G40" t="b">
        <v>1</v>
      </c>
      <c r="H40" t="b">
        <v>1</v>
      </c>
      <c r="I40" t="s">
        <v>480</v>
      </c>
      <c r="J40" s="3" t="s">
        <v>591</v>
      </c>
      <c r="K40" s="3" t="s">
        <v>479</v>
      </c>
      <c r="L40" s="75">
        <v>132</v>
      </c>
      <c r="M40" t="s">
        <v>1086</v>
      </c>
    </row>
    <row r="41" spans="1:13" x14ac:dyDescent="0.2">
      <c r="A41" s="5" t="s">
        <v>592</v>
      </c>
      <c r="B41" s="5" t="s">
        <v>485</v>
      </c>
      <c r="C41" s="77">
        <v>136</v>
      </c>
      <c r="D41" t="s">
        <v>593</v>
      </c>
      <c r="E41" t="b">
        <v>1</v>
      </c>
      <c r="F41" t="b">
        <v>1</v>
      </c>
      <c r="G41" t="b">
        <v>1</v>
      </c>
      <c r="H41" t="b">
        <v>1</v>
      </c>
      <c r="I41" t="s">
        <v>486</v>
      </c>
      <c r="J41" s="3" t="s">
        <v>592</v>
      </c>
      <c r="K41" s="3" t="s">
        <v>485</v>
      </c>
      <c r="L41" s="75">
        <v>136</v>
      </c>
      <c r="M41" t="s">
        <v>593</v>
      </c>
    </row>
    <row r="42" spans="1:13" x14ac:dyDescent="0.2">
      <c r="A42" s="5" t="s">
        <v>594</v>
      </c>
      <c r="B42" s="5" t="s">
        <v>489</v>
      </c>
      <c r="C42" s="77">
        <v>140</v>
      </c>
      <c r="D42" t="s">
        <v>595</v>
      </c>
      <c r="E42" t="b">
        <v>1</v>
      </c>
      <c r="F42" t="b">
        <v>1</v>
      </c>
      <c r="G42" t="b">
        <v>1</v>
      </c>
      <c r="H42" t="b">
        <v>1</v>
      </c>
      <c r="I42" t="s">
        <v>490</v>
      </c>
      <c r="J42" s="3" t="s">
        <v>594</v>
      </c>
      <c r="K42" s="3" t="s">
        <v>489</v>
      </c>
      <c r="L42" s="75">
        <v>140</v>
      </c>
      <c r="M42" t="s">
        <v>595</v>
      </c>
    </row>
    <row r="43" spans="1:13" x14ac:dyDescent="0.2">
      <c r="A43" s="5" t="s">
        <v>993</v>
      </c>
      <c r="B43" s="5" t="s">
        <v>27</v>
      </c>
      <c r="C43" s="77">
        <v>144</v>
      </c>
      <c r="D43" t="s">
        <v>994</v>
      </c>
      <c r="E43" t="b">
        <v>1</v>
      </c>
      <c r="F43" t="b">
        <v>1</v>
      </c>
      <c r="G43" t="b">
        <v>1</v>
      </c>
      <c r="H43" t="b">
        <v>1</v>
      </c>
      <c r="I43" t="s">
        <v>28</v>
      </c>
      <c r="J43" s="3" t="s">
        <v>993</v>
      </c>
      <c r="K43" s="3" t="s">
        <v>27</v>
      </c>
      <c r="L43" s="75">
        <v>144</v>
      </c>
      <c r="M43" t="s">
        <v>994</v>
      </c>
    </row>
    <row r="44" spans="1:13" x14ac:dyDescent="0.2">
      <c r="A44" s="5" t="s">
        <v>596</v>
      </c>
      <c r="B44" s="5" t="s">
        <v>487</v>
      </c>
      <c r="C44" s="77">
        <v>148</v>
      </c>
      <c r="D44" t="s">
        <v>597</v>
      </c>
      <c r="E44" t="b">
        <v>1</v>
      </c>
      <c r="F44" t="b">
        <v>1</v>
      </c>
      <c r="G44" t="b">
        <v>1</v>
      </c>
      <c r="H44" t="b">
        <v>1</v>
      </c>
      <c r="I44" t="s">
        <v>488</v>
      </c>
      <c r="J44" s="3" t="s">
        <v>596</v>
      </c>
      <c r="K44" s="3" t="s">
        <v>487</v>
      </c>
      <c r="L44" s="75">
        <v>148</v>
      </c>
      <c r="M44" t="s">
        <v>597</v>
      </c>
    </row>
    <row r="45" spans="1:13" x14ac:dyDescent="0.2">
      <c r="A45" s="5" t="s">
        <v>598</v>
      </c>
      <c r="B45" s="5" t="s">
        <v>493</v>
      </c>
      <c r="C45" s="77">
        <v>152</v>
      </c>
      <c r="D45" t="s">
        <v>599</v>
      </c>
      <c r="E45" t="b">
        <v>1</v>
      </c>
      <c r="F45" t="b">
        <v>1</v>
      </c>
      <c r="G45" t="b">
        <v>1</v>
      </c>
      <c r="H45" t="b">
        <v>1</v>
      </c>
      <c r="I45" t="s">
        <v>494</v>
      </c>
      <c r="J45" s="3" t="s">
        <v>598</v>
      </c>
      <c r="K45" s="3" t="s">
        <v>493</v>
      </c>
      <c r="L45" s="75">
        <v>152</v>
      </c>
      <c r="M45" t="s">
        <v>599</v>
      </c>
    </row>
    <row r="46" spans="1:13" x14ac:dyDescent="0.2">
      <c r="A46" s="5" t="s">
        <v>600</v>
      </c>
      <c r="B46" s="5" t="s">
        <v>495</v>
      </c>
      <c r="C46" s="77">
        <v>156</v>
      </c>
      <c r="D46" t="s">
        <v>601</v>
      </c>
      <c r="E46" t="b">
        <v>1</v>
      </c>
      <c r="F46" t="b">
        <v>1</v>
      </c>
      <c r="G46" t="b">
        <v>1</v>
      </c>
      <c r="H46" t="b">
        <v>1</v>
      </c>
      <c r="I46" t="s">
        <v>496</v>
      </c>
      <c r="J46" s="3" t="s">
        <v>600</v>
      </c>
      <c r="K46" s="3" t="s">
        <v>495</v>
      </c>
      <c r="L46" s="75">
        <v>156</v>
      </c>
      <c r="M46" t="s">
        <v>601</v>
      </c>
    </row>
    <row r="47" spans="1:13" x14ac:dyDescent="0.2">
      <c r="A47" s="5" t="s">
        <v>1010</v>
      </c>
      <c r="B47" s="5" t="s">
        <v>53</v>
      </c>
      <c r="C47" s="77">
        <v>158</v>
      </c>
      <c r="D47" t="s">
        <v>1011</v>
      </c>
      <c r="E47" t="b">
        <v>1</v>
      </c>
      <c r="F47" t="b">
        <v>1</v>
      </c>
      <c r="G47" t="b">
        <v>1</v>
      </c>
      <c r="H47" s="11" t="b">
        <v>0</v>
      </c>
      <c r="I47" t="s">
        <v>54</v>
      </c>
      <c r="J47" s="3" t="s">
        <v>1010</v>
      </c>
      <c r="K47" s="3" t="s">
        <v>53</v>
      </c>
      <c r="L47" s="75">
        <v>158</v>
      </c>
      <c r="M47" t="s">
        <v>1127</v>
      </c>
    </row>
    <row r="48" spans="1:13" x14ac:dyDescent="0.2">
      <c r="A48" s="5" t="s">
        <v>602</v>
      </c>
      <c r="B48" s="5" t="s">
        <v>491</v>
      </c>
      <c r="C48" s="77">
        <v>162</v>
      </c>
      <c r="D48" t="s">
        <v>603</v>
      </c>
      <c r="E48" t="b">
        <v>1</v>
      </c>
      <c r="F48" t="b">
        <v>1</v>
      </c>
      <c r="G48" t="b">
        <v>1</v>
      </c>
      <c r="H48" t="b">
        <v>1</v>
      </c>
      <c r="I48" t="s">
        <v>492</v>
      </c>
      <c r="J48" s="3" t="s">
        <v>602</v>
      </c>
      <c r="K48" s="3" t="s">
        <v>491</v>
      </c>
      <c r="L48" s="75">
        <v>162</v>
      </c>
      <c r="M48" t="s">
        <v>603</v>
      </c>
    </row>
    <row r="49" spans="1:13" x14ac:dyDescent="0.2">
      <c r="A49" s="5" t="s">
        <v>607</v>
      </c>
      <c r="B49" s="5" t="s">
        <v>304</v>
      </c>
      <c r="C49" s="77">
        <v>166</v>
      </c>
      <c r="D49" t="s">
        <v>608</v>
      </c>
      <c r="E49" t="b">
        <v>1</v>
      </c>
      <c r="F49" t="b">
        <v>1</v>
      </c>
      <c r="G49" t="b">
        <v>1</v>
      </c>
      <c r="H49" t="b">
        <v>1</v>
      </c>
      <c r="I49" t="s">
        <v>305</v>
      </c>
      <c r="J49" s="3" t="s">
        <v>607</v>
      </c>
      <c r="K49" s="3" t="s">
        <v>304</v>
      </c>
      <c r="L49" s="75">
        <v>166</v>
      </c>
      <c r="M49" t="s">
        <v>608</v>
      </c>
    </row>
    <row r="50" spans="1:13" x14ac:dyDescent="0.2">
      <c r="A50" s="5" t="s">
        <v>609</v>
      </c>
      <c r="B50" s="5" t="s">
        <v>302</v>
      </c>
      <c r="C50" s="77">
        <v>170</v>
      </c>
      <c r="D50" t="s">
        <v>610</v>
      </c>
      <c r="E50" t="b">
        <v>1</v>
      </c>
      <c r="F50" t="b">
        <v>1</v>
      </c>
      <c r="G50" t="b">
        <v>1</v>
      </c>
      <c r="H50" t="b">
        <v>1</v>
      </c>
      <c r="I50" t="s">
        <v>303</v>
      </c>
      <c r="J50" s="3" t="s">
        <v>609</v>
      </c>
      <c r="K50" s="3" t="s">
        <v>302</v>
      </c>
      <c r="L50" s="75">
        <v>170</v>
      </c>
      <c r="M50" t="s">
        <v>610</v>
      </c>
    </row>
    <row r="51" spans="1:13" x14ac:dyDescent="0.2">
      <c r="A51" s="5" t="s">
        <v>611</v>
      </c>
      <c r="B51" s="5" t="s">
        <v>308</v>
      </c>
      <c r="C51" s="77">
        <v>174</v>
      </c>
      <c r="D51" t="s">
        <v>612</v>
      </c>
      <c r="E51" t="b">
        <v>1</v>
      </c>
      <c r="F51" t="b">
        <v>1</v>
      </c>
      <c r="G51" t="b">
        <v>1</v>
      </c>
      <c r="H51" t="b">
        <v>1</v>
      </c>
      <c r="I51" t="s">
        <v>309</v>
      </c>
      <c r="J51" s="3" t="s">
        <v>611</v>
      </c>
      <c r="K51" s="3" t="s">
        <v>308</v>
      </c>
      <c r="L51" s="75">
        <v>174</v>
      </c>
      <c r="M51" t="s">
        <v>612</v>
      </c>
    </row>
    <row r="52" spans="1:13" x14ac:dyDescent="0.2">
      <c r="A52" s="5" t="s">
        <v>847</v>
      </c>
      <c r="B52" s="5" t="s">
        <v>283</v>
      </c>
      <c r="C52" s="77">
        <v>175</v>
      </c>
      <c r="D52" t="s">
        <v>848</v>
      </c>
      <c r="E52" t="b">
        <v>1</v>
      </c>
      <c r="F52" t="b">
        <v>1</v>
      </c>
      <c r="G52" t="b">
        <v>1</v>
      </c>
      <c r="H52" t="b">
        <v>1</v>
      </c>
      <c r="I52" t="s">
        <v>284</v>
      </c>
      <c r="J52" s="3" t="s">
        <v>847</v>
      </c>
      <c r="K52" s="3" t="s">
        <v>283</v>
      </c>
      <c r="L52" s="75">
        <v>175</v>
      </c>
      <c r="M52" t="s">
        <v>848</v>
      </c>
    </row>
    <row r="53" spans="1:13" x14ac:dyDescent="0.2">
      <c r="A53" s="5" t="s">
        <v>613</v>
      </c>
      <c r="B53" s="5" t="s">
        <v>306</v>
      </c>
      <c r="C53" s="77">
        <v>178</v>
      </c>
      <c r="D53" t="s">
        <v>614</v>
      </c>
      <c r="E53" t="b">
        <v>1</v>
      </c>
      <c r="F53" t="b">
        <v>1</v>
      </c>
      <c r="G53" t="b">
        <v>1</v>
      </c>
      <c r="H53" s="11" t="b">
        <v>0</v>
      </c>
      <c r="I53" t="s">
        <v>307</v>
      </c>
      <c r="J53" s="3" t="s">
        <v>613</v>
      </c>
      <c r="K53" s="3" t="s">
        <v>306</v>
      </c>
      <c r="L53" s="75">
        <v>178</v>
      </c>
      <c r="M53" t="s">
        <v>1101</v>
      </c>
    </row>
    <row r="54" spans="1:13" x14ac:dyDescent="0.2">
      <c r="A54" s="5" t="s">
        <v>615</v>
      </c>
      <c r="B54" s="5" t="s">
        <v>328</v>
      </c>
      <c r="C54" s="77">
        <v>180</v>
      </c>
      <c r="D54" t="s">
        <v>616</v>
      </c>
      <c r="E54" t="b">
        <v>1</v>
      </c>
      <c r="F54" t="b">
        <v>1</v>
      </c>
      <c r="G54" t="b">
        <v>1</v>
      </c>
      <c r="H54" s="11" t="b">
        <v>0</v>
      </c>
      <c r="I54" t="s">
        <v>329</v>
      </c>
      <c r="J54" s="3" t="s">
        <v>615</v>
      </c>
      <c r="K54" s="3" t="s">
        <v>328</v>
      </c>
      <c r="L54" s="75">
        <v>180</v>
      </c>
      <c r="M54" t="s">
        <v>1102</v>
      </c>
    </row>
    <row r="55" spans="1:13" x14ac:dyDescent="0.2">
      <c r="A55" s="5" t="s">
        <v>617</v>
      </c>
      <c r="B55" s="5" t="s">
        <v>312</v>
      </c>
      <c r="C55" s="77">
        <v>184</v>
      </c>
      <c r="D55" t="s">
        <v>618</v>
      </c>
      <c r="E55" t="b">
        <v>1</v>
      </c>
      <c r="F55" t="b">
        <v>1</v>
      </c>
      <c r="G55" t="b">
        <v>1</v>
      </c>
      <c r="H55" t="b">
        <v>1</v>
      </c>
      <c r="I55" t="s">
        <v>313</v>
      </c>
      <c r="J55" s="3" t="s">
        <v>617</v>
      </c>
      <c r="K55" s="3" t="s">
        <v>312</v>
      </c>
      <c r="L55" s="75">
        <v>184</v>
      </c>
      <c r="M55" t="s">
        <v>618</v>
      </c>
    </row>
    <row r="56" spans="1:13" x14ac:dyDescent="0.2">
      <c r="A56" s="5" t="s">
        <v>622</v>
      </c>
      <c r="B56" s="5" t="s">
        <v>316</v>
      </c>
      <c r="C56" s="77">
        <v>188</v>
      </c>
      <c r="D56" t="s">
        <v>623</v>
      </c>
      <c r="E56" t="b">
        <v>1</v>
      </c>
      <c r="F56" t="b">
        <v>1</v>
      </c>
      <c r="G56" t="b">
        <v>1</v>
      </c>
      <c r="H56" t="b">
        <v>1</v>
      </c>
      <c r="I56" t="s">
        <v>317</v>
      </c>
      <c r="J56" s="3" t="s">
        <v>622</v>
      </c>
      <c r="K56" s="3" t="s">
        <v>316</v>
      </c>
      <c r="L56" s="75">
        <v>188</v>
      </c>
      <c r="M56" t="s">
        <v>623</v>
      </c>
    </row>
    <row r="57" spans="1:13" x14ac:dyDescent="0.2">
      <c r="A57" s="5" t="s">
        <v>625</v>
      </c>
      <c r="B57" s="5" t="s">
        <v>318</v>
      </c>
      <c r="C57" s="77">
        <v>191</v>
      </c>
      <c r="D57" t="s">
        <v>626</v>
      </c>
      <c r="E57" t="b">
        <v>1</v>
      </c>
      <c r="F57" t="b">
        <v>1</v>
      </c>
      <c r="G57" t="b">
        <v>1</v>
      </c>
      <c r="H57" t="b">
        <v>1</v>
      </c>
      <c r="I57" t="s">
        <v>319</v>
      </c>
      <c r="J57" s="3" t="s">
        <v>625</v>
      </c>
      <c r="K57" s="3" t="s">
        <v>318</v>
      </c>
      <c r="L57" s="75">
        <v>191</v>
      </c>
      <c r="M57" t="s">
        <v>626</v>
      </c>
    </row>
    <row r="58" spans="1:13" x14ac:dyDescent="0.2">
      <c r="A58" s="5" t="s">
        <v>627</v>
      </c>
      <c r="B58" s="5" t="s">
        <v>310</v>
      </c>
      <c r="C58" s="77">
        <v>192</v>
      </c>
      <c r="D58" t="s">
        <v>628</v>
      </c>
      <c r="E58" t="b">
        <v>1</v>
      </c>
      <c r="F58" t="b">
        <v>1</v>
      </c>
      <c r="G58" t="b">
        <v>1</v>
      </c>
      <c r="H58" t="b">
        <v>1</v>
      </c>
      <c r="I58" t="s">
        <v>311</v>
      </c>
      <c r="J58" s="3" t="s">
        <v>627</v>
      </c>
      <c r="K58" s="3" t="s">
        <v>310</v>
      </c>
      <c r="L58" s="75">
        <v>192</v>
      </c>
      <c r="M58" t="s">
        <v>628</v>
      </c>
    </row>
    <row r="59" spans="1:13" x14ac:dyDescent="0.2">
      <c r="A59" s="5" t="s">
        <v>631</v>
      </c>
      <c r="B59" s="5" t="s">
        <v>322</v>
      </c>
      <c r="C59" s="77">
        <v>196</v>
      </c>
      <c r="D59" t="s">
        <v>632</v>
      </c>
      <c r="E59" t="b">
        <v>1</v>
      </c>
      <c r="F59" t="b">
        <v>1</v>
      </c>
      <c r="G59" t="b">
        <v>1</v>
      </c>
      <c r="H59" t="b">
        <v>1</v>
      </c>
      <c r="I59" t="s">
        <v>323</v>
      </c>
      <c r="J59" s="3" t="s">
        <v>631</v>
      </c>
      <c r="K59" s="3" t="s">
        <v>322</v>
      </c>
      <c r="L59" s="75">
        <v>196</v>
      </c>
      <c r="M59" t="s">
        <v>632</v>
      </c>
    </row>
    <row r="60" spans="1:13" x14ac:dyDescent="0.2">
      <c r="A60" s="5" t="s">
        <v>633</v>
      </c>
      <c r="B60" s="5" t="s">
        <v>324</v>
      </c>
      <c r="C60" s="77">
        <v>203</v>
      </c>
      <c r="D60" t="s">
        <v>634</v>
      </c>
      <c r="E60" t="b">
        <v>1</v>
      </c>
      <c r="F60" t="b">
        <v>1</v>
      </c>
      <c r="G60" t="b">
        <v>1</v>
      </c>
      <c r="H60" t="b">
        <v>1</v>
      </c>
      <c r="I60" t="s">
        <v>325</v>
      </c>
      <c r="J60" s="3" t="s">
        <v>633</v>
      </c>
      <c r="K60" s="3" t="s">
        <v>324</v>
      </c>
      <c r="L60" s="75">
        <v>203</v>
      </c>
      <c r="M60" t="s">
        <v>634</v>
      </c>
    </row>
    <row r="61" spans="1:13" x14ac:dyDescent="0.2">
      <c r="A61" s="5" t="s">
        <v>555</v>
      </c>
      <c r="B61" s="5" t="s">
        <v>447</v>
      </c>
      <c r="C61" s="77">
        <v>204</v>
      </c>
      <c r="D61" t="s">
        <v>556</v>
      </c>
      <c r="E61" t="b">
        <v>1</v>
      </c>
      <c r="F61" t="b">
        <v>1</v>
      </c>
      <c r="G61" t="b">
        <v>1</v>
      </c>
      <c r="H61" t="b">
        <v>1</v>
      </c>
      <c r="I61" t="s">
        <v>448</v>
      </c>
      <c r="J61" s="3" t="s">
        <v>555</v>
      </c>
      <c r="K61" s="3" t="s">
        <v>447</v>
      </c>
      <c r="L61" s="75">
        <v>204</v>
      </c>
      <c r="M61" t="s">
        <v>556</v>
      </c>
    </row>
    <row r="62" spans="1:13" x14ac:dyDescent="0.2">
      <c r="A62" s="5" t="s">
        <v>635</v>
      </c>
      <c r="B62" s="5" t="s">
        <v>326</v>
      </c>
      <c r="C62" s="77">
        <v>208</v>
      </c>
      <c r="D62" t="s">
        <v>636</v>
      </c>
      <c r="E62" t="b">
        <v>1</v>
      </c>
      <c r="F62" t="b">
        <v>1</v>
      </c>
      <c r="G62" t="b">
        <v>1</v>
      </c>
      <c r="H62" t="b">
        <v>1</v>
      </c>
      <c r="I62" t="s">
        <v>327</v>
      </c>
      <c r="J62" s="3" t="s">
        <v>635</v>
      </c>
      <c r="K62" s="3" t="s">
        <v>326</v>
      </c>
      <c r="L62" s="75">
        <v>208</v>
      </c>
      <c r="M62" t="s">
        <v>636</v>
      </c>
    </row>
    <row r="63" spans="1:13" x14ac:dyDescent="0.2">
      <c r="A63" s="5" t="s">
        <v>645</v>
      </c>
      <c r="B63" s="5" t="s">
        <v>330</v>
      </c>
      <c r="C63" s="77">
        <v>212</v>
      </c>
      <c r="D63" t="s">
        <v>646</v>
      </c>
      <c r="E63" t="b">
        <v>1</v>
      </c>
      <c r="F63" t="b">
        <v>1</v>
      </c>
      <c r="G63" t="b">
        <v>1</v>
      </c>
      <c r="H63" t="b">
        <v>1</v>
      </c>
      <c r="I63" t="s">
        <v>331</v>
      </c>
      <c r="J63" s="3" t="s">
        <v>645</v>
      </c>
      <c r="K63" s="3" t="s">
        <v>330</v>
      </c>
      <c r="L63" s="75">
        <v>212</v>
      </c>
      <c r="M63" t="s">
        <v>646</v>
      </c>
    </row>
    <row r="64" spans="1:13" x14ac:dyDescent="0.2">
      <c r="A64" s="5" t="s">
        <v>647</v>
      </c>
      <c r="B64" s="5" t="s">
        <v>334</v>
      </c>
      <c r="C64" s="77">
        <v>214</v>
      </c>
      <c r="D64" t="s">
        <v>648</v>
      </c>
      <c r="E64" t="b">
        <v>1</v>
      </c>
      <c r="F64" t="b">
        <v>1</v>
      </c>
      <c r="G64" t="b">
        <v>1</v>
      </c>
      <c r="H64" t="b">
        <v>1</v>
      </c>
      <c r="I64" t="s">
        <v>335</v>
      </c>
      <c r="J64" s="3" t="s">
        <v>647</v>
      </c>
      <c r="K64" s="3" t="s">
        <v>334</v>
      </c>
      <c r="L64" s="75">
        <v>214</v>
      </c>
      <c r="M64" t="s">
        <v>648</v>
      </c>
    </row>
    <row r="65" spans="1:13" x14ac:dyDescent="0.2">
      <c r="A65" s="5" t="s">
        <v>649</v>
      </c>
      <c r="B65" s="5" t="s">
        <v>336</v>
      </c>
      <c r="C65" s="77">
        <v>218</v>
      </c>
      <c r="D65" t="s">
        <v>650</v>
      </c>
      <c r="E65" t="b">
        <v>1</v>
      </c>
      <c r="F65" t="b">
        <v>1</v>
      </c>
      <c r="G65" t="b">
        <v>1</v>
      </c>
      <c r="H65" t="b">
        <v>1</v>
      </c>
      <c r="I65" t="s">
        <v>337</v>
      </c>
      <c r="J65" s="3" t="s">
        <v>649</v>
      </c>
      <c r="K65" s="3" t="s">
        <v>336</v>
      </c>
      <c r="L65" s="75">
        <v>218</v>
      </c>
      <c r="M65" t="s">
        <v>650</v>
      </c>
    </row>
    <row r="66" spans="1:13" x14ac:dyDescent="0.2">
      <c r="A66" s="5" t="s">
        <v>653</v>
      </c>
      <c r="B66" s="5" t="s">
        <v>338</v>
      </c>
      <c r="C66" s="77">
        <v>222</v>
      </c>
      <c r="D66" t="s">
        <v>654</v>
      </c>
      <c r="E66" t="b">
        <v>1</v>
      </c>
      <c r="F66" t="b">
        <v>1</v>
      </c>
      <c r="G66" t="b">
        <v>1</v>
      </c>
      <c r="H66" t="b">
        <v>1</v>
      </c>
      <c r="I66" t="s">
        <v>339</v>
      </c>
      <c r="J66" s="3" t="s">
        <v>653</v>
      </c>
      <c r="K66" s="3" t="s">
        <v>338</v>
      </c>
      <c r="L66" s="75">
        <v>222</v>
      </c>
      <c r="M66" t="s">
        <v>654</v>
      </c>
    </row>
    <row r="67" spans="1:13" x14ac:dyDescent="0.2">
      <c r="A67" s="5" t="s">
        <v>665</v>
      </c>
      <c r="B67" s="5" t="s">
        <v>348</v>
      </c>
      <c r="C67" s="77">
        <v>226</v>
      </c>
      <c r="D67" t="s">
        <v>666</v>
      </c>
      <c r="E67" t="b">
        <v>1</v>
      </c>
      <c r="F67" t="b">
        <v>1</v>
      </c>
      <c r="G67" t="b">
        <v>1</v>
      </c>
      <c r="H67" t="b">
        <v>1</v>
      </c>
      <c r="I67" t="s">
        <v>349</v>
      </c>
      <c r="J67" s="3" t="s">
        <v>665</v>
      </c>
      <c r="K67" s="3" t="s">
        <v>348</v>
      </c>
      <c r="L67" s="75">
        <v>226</v>
      </c>
      <c r="M67" t="s">
        <v>666</v>
      </c>
    </row>
    <row r="68" spans="1:13" x14ac:dyDescent="0.2">
      <c r="A68" s="5" t="s">
        <v>671</v>
      </c>
      <c r="B68" s="5" t="s">
        <v>346</v>
      </c>
      <c r="C68" s="77">
        <v>231</v>
      </c>
      <c r="D68" t="s">
        <v>672</v>
      </c>
      <c r="E68" t="b">
        <v>1</v>
      </c>
      <c r="F68" t="b">
        <v>1</v>
      </c>
      <c r="G68" t="b">
        <v>1</v>
      </c>
      <c r="H68" t="b">
        <v>1</v>
      </c>
      <c r="I68" t="s">
        <v>347</v>
      </c>
      <c r="J68" s="3" t="s">
        <v>671</v>
      </c>
      <c r="K68" s="3" t="s">
        <v>346</v>
      </c>
      <c r="L68" s="75">
        <v>231</v>
      </c>
      <c r="M68" t="s">
        <v>672</v>
      </c>
    </row>
    <row r="69" spans="1:13" x14ac:dyDescent="0.2">
      <c r="A69" s="5" t="s">
        <v>667</v>
      </c>
      <c r="B69" s="5" t="s">
        <v>350</v>
      </c>
      <c r="C69" s="77">
        <v>232</v>
      </c>
      <c r="D69" t="s">
        <v>668</v>
      </c>
      <c r="E69" t="b">
        <v>1</v>
      </c>
      <c r="F69" t="b">
        <v>1</v>
      </c>
      <c r="G69" t="b">
        <v>1</v>
      </c>
      <c r="H69" t="b">
        <v>1</v>
      </c>
      <c r="I69" t="s">
        <v>351</v>
      </c>
      <c r="J69" s="3" t="s">
        <v>667</v>
      </c>
      <c r="K69" s="3" t="s">
        <v>350</v>
      </c>
      <c r="L69" s="75">
        <v>232</v>
      </c>
      <c r="M69" t="s">
        <v>668</v>
      </c>
    </row>
    <row r="70" spans="1:13" x14ac:dyDescent="0.2">
      <c r="A70" s="5" t="s">
        <v>669</v>
      </c>
      <c r="B70" s="5" t="s">
        <v>344</v>
      </c>
      <c r="C70" s="77">
        <v>233</v>
      </c>
      <c r="D70" t="s">
        <v>670</v>
      </c>
      <c r="E70" t="b">
        <v>1</v>
      </c>
      <c r="F70" t="b">
        <v>1</v>
      </c>
      <c r="G70" t="b">
        <v>1</v>
      </c>
      <c r="H70" t="b">
        <v>1</v>
      </c>
      <c r="I70" t="s">
        <v>345</v>
      </c>
      <c r="J70" s="3" t="s">
        <v>669</v>
      </c>
      <c r="K70" s="3" t="s">
        <v>344</v>
      </c>
      <c r="L70" s="75">
        <v>233</v>
      </c>
      <c r="M70" t="s">
        <v>670</v>
      </c>
    </row>
    <row r="71" spans="1:13" x14ac:dyDescent="0.2">
      <c r="A71" s="5" t="s">
        <v>678</v>
      </c>
      <c r="B71" s="5" t="s">
        <v>354</v>
      </c>
      <c r="C71" s="77">
        <v>234</v>
      </c>
      <c r="D71" t="s">
        <v>679</v>
      </c>
      <c r="E71" t="b">
        <v>1</v>
      </c>
      <c r="F71" t="b">
        <v>1</v>
      </c>
      <c r="G71" t="b">
        <v>1</v>
      </c>
      <c r="H71" t="b">
        <v>1</v>
      </c>
      <c r="I71" t="s">
        <v>355</v>
      </c>
      <c r="J71" s="3" t="s">
        <v>678</v>
      </c>
      <c r="K71" s="3" t="s">
        <v>354</v>
      </c>
      <c r="L71" s="75">
        <v>234</v>
      </c>
      <c r="M71" t="s">
        <v>679</v>
      </c>
    </row>
    <row r="72" spans="1:13" x14ac:dyDescent="0.2">
      <c r="A72" s="5" t="s">
        <v>676</v>
      </c>
      <c r="B72" s="5" t="s">
        <v>352</v>
      </c>
      <c r="C72" s="77">
        <v>238</v>
      </c>
      <c r="D72" t="s">
        <v>677</v>
      </c>
      <c r="E72" t="b">
        <v>1</v>
      </c>
      <c r="F72" t="b">
        <v>1</v>
      </c>
      <c r="G72" t="b">
        <v>1</v>
      </c>
      <c r="H72" s="11" t="b">
        <v>0</v>
      </c>
      <c r="I72" t="s">
        <v>353</v>
      </c>
      <c r="J72" s="3" t="s">
        <v>676</v>
      </c>
      <c r="K72" s="3" t="s">
        <v>352</v>
      </c>
      <c r="L72" s="75">
        <v>238</v>
      </c>
      <c r="M72" t="s">
        <v>1103</v>
      </c>
    </row>
    <row r="73" spans="1:13" x14ac:dyDescent="0.2">
      <c r="A73" s="5" t="s">
        <v>984</v>
      </c>
      <c r="B73" s="5" t="s">
        <v>29</v>
      </c>
      <c r="C73" s="77">
        <v>239</v>
      </c>
      <c r="D73" t="s">
        <v>985</v>
      </c>
      <c r="E73" t="b">
        <v>1</v>
      </c>
      <c r="F73" t="b">
        <v>1</v>
      </c>
      <c r="G73" t="b">
        <v>1</v>
      </c>
      <c r="H73" s="11" t="b">
        <v>0</v>
      </c>
      <c r="I73" t="s">
        <v>30</v>
      </c>
      <c r="J73" s="3" t="s">
        <v>984</v>
      </c>
      <c r="K73" s="3" t="s">
        <v>29</v>
      </c>
      <c r="L73" s="75">
        <v>239</v>
      </c>
      <c r="M73" t="s">
        <v>1124</v>
      </c>
    </row>
    <row r="74" spans="1:13" x14ac:dyDescent="0.2">
      <c r="A74" s="5" t="s">
        <v>680</v>
      </c>
      <c r="B74" s="5" t="s">
        <v>356</v>
      </c>
      <c r="C74" s="77">
        <v>242</v>
      </c>
      <c r="D74" t="s">
        <v>681</v>
      </c>
      <c r="E74" t="b">
        <v>1</v>
      </c>
      <c r="F74" t="b">
        <v>1</v>
      </c>
      <c r="G74" t="b">
        <v>1</v>
      </c>
      <c r="H74" t="b">
        <v>1</v>
      </c>
      <c r="I74" t="s">
        <v>357</v>
      </c>
      <c r="J74" s="3" t="s">
        <v>680</v>
      </c>
      <c r="K74" s="3" t="s">
        <v>356</v>
      </c>
      <c r="L74" s="75">
        <v>242</v>
      </c>
      <c r="M74" t="s">
        <v>681</v>
      </c>
    </row>
    <row r="75" spans="1:13" x14ac:dyDescent="0.2">
      <c r="A75" s="5" t="s">
        <v>682</v>
      </c>
      <c r="B75" s="5" t="s">
        <v>358</v>
      </c>
      <c r="C75" s="77">
        <v>246</v>
      </c>
      <c r="D75" t="s">
        <v>683</v>
      </c>
      <c r="E75" t="b">
        <v>1</v>
      </c>
      <c r="F75" t="b">
        <v>1</v>
      </c>
      <c r="G75" t="b">
        <v>1</v>
      </c>
      <c r="H75" t="b">
        <v>1</v>
      </c>
      <c r="I75" t="s">
        <v>359</v>
      </c>
      <c r="J75" s="3" t="s">
        <v>682</v>
      </c>
      <c r="K75" s="3" t="s">
        <v>358</v>
      </c>
      <c r="L75" s="75">
        <v>246</v>
      </c>
      <c r="M75" t="s">
        <v>683</v>
      </c>
    </row>
    <row r="76" spans="1:13" x14ac:dyDescent="0.2">
      <c r="A76" s="5" t="s">
        <v>684</v>
      </c>
      <c r="B76" s="5" t="s">
        <v>366</v>
      </c>
      <c r="C76" s="77">
        <v>250</v>
      </c>
      <c r="D76" t="s">
        <v>685</v>
      </c>
      <c r="E76" t="b">
        <v>1</v>
      </c>
      <c r="F76" t="b">
        <v>1</v>
      </c>
      <c r="G76" t="b">
        <v>1</v>
      </c>
      <c r="H76" t="b">
        <v>1</v>
      </c>
      <c r="I76" t="s">
        <v>367</v>
      </c>
      <c r="J76" s="3" t="s">
        <v>684</v>
      </c>
      <c r="K76" s="3" t="s">
        <v>366</v>
      </c>
      <c r="L76" s="75">
        <v>250</v>
      </c>
      <c r="M76" t="s">
        <v>685</v>
      </c>
    </row>
    <row r="77" spans="1:13" x14ac:dyDescent="0.2">
      <c r="A77" s="5" t="s">
        <v>686</v>
      </c>
      <c r="B77" s="5" t="s">
        <v>362</v>
      </c>
      <c r="C77" s="77">
        <v>254</v>
      </c>
      <c r="D77" t="s">
        <v>687</v>
      </c>
      <c r="E77" t="b">
        <v>1</v>
      </c>
      <c r="F77" t="b">
        <v>1</v>
      </c>
      <c r="G77" t="b">
        <v>1</v>
      </c>
      <c r="H77" t="b">
        <v>1</v>
      </c>
      <c r="I77" t="s">
        <v>363</v>
      </c>
      <c r="J77" s="3" t="s">
        <v>686</v>
      </c>
      <c r="K77" s="3" t="s">
        <v>362</v>
      </c>
      <c r="L77" s="75">
        <v>254</v>
      </c>
      <c r="M77" t="s">
        <v>687</v>
      </c>
    </row>
    <row r="78" spans="1:13" x14ac:dyDescent="0.2">
      <c r="A78" s="5" t="s">
        <v>688</v>
      </c>
      <c r="B78" s="5" t="s">
        <v>368</v>
      </c>
      <c r="C78" s="77">
        <v>258</v>
      </c>
      <c r="D78" t="s">
        <v>689</v>
      </c>
      <c r="E78" t="b">
        <v>1</v>
      </c>
      <c r="F78" t="b">
        <v>1</v>
      </c>
      <c r="G78" t="b">
        <v>1</v>
      </c>
      <c r="H78" t="b">
        <v>1</v>
      </c>
      <c r="I78" t="s">
        <v>369</v>
      </c>
      <c r="J78" s="3" t="s">
        <v>688</v>
      </c>
      <c r="K78" s="3" t="s">
        <v>368</v>
      </c>
      <c r="L78" s="75">
        <v>258</v>
      </c>
      <c r="M78" t="s">
        <v>689</v>
      </c>
    </row>
    <row r="79" spans="1:13" x14ac:dyDescent="0.2">
      <c r="A79" s="5" t="s">
        <v>690</v>
      </c>
      <c r="B79" s="5" t="s">
        <v>364</v>
      </c>
      <c r="C79" s="77">
        <v>260</v>
      </c>
      <c r="D79" t="s">
        <v>691</v>
      </c>
      <c r="E79" t="b">
        <v>1</v>
      </c>
      <c r="F79" t="b">
        <v>1</v>
      </c>
      <c r="G79" t="b">
        <v>1</v>
      </c>
      <c r="H79" s="11" t="b">
        <v>0</v>
      </c>
      <c r="I79" t="s">
        <v>365</v>
      </c>
      <c r="J79" s="3" t="s">
        <v>690</v>
      </c>
      <c r="K79" s="3" t="s">
        <v>364</v>
      </c>
      <c r="L79" s="75">
        <v>260</v>
      </c>
      <c r="M79" t="s">
        <v>1104</v>
      </c>
    </row>
    <row r="80" spans="1:13" x14ac:dyDescent="0.2">
      <c r="A80" s="5" t="s">
        <v>643</v>
      </c>
      <c r="B80" s="5" t="s">
        <v>332</v>
      </c>
      <c r="C80" s="77">
        <v>262</v>
      </c>
      <c r="D80" t="s">
        <v>644</v>
      </c>
      <c r="E80" t="b">
        <v>1</v>
      </c>
      <c r="F80" t="b">
        <v>1</v>
      </c>
      <c r="G80" t="b">
        <v>1</v>
      </c>
      <c r="H80" t="b">
        <v>1</v>
      </c>
      <c r="I80" t="s">
        <v>333</v>
      </c>
      <c r="J80" s="3" t="s">
        <v>643</v>
      </c>
      <c r="K80" s="3" t="s">
        <v>332</v>
      </c>
      <c r="L80" s="75">
        <v>262</v>
      </c>
      <c r="M80" t="s">
        <v>644</v>
      </c>
    </row>
    <row r="81" spans="1:13" x14ac:dyDescent="0.2">
      <c r="A81" s="5" t="s">
        <v>692</v>
      </c>
      <c r="B81" s="5" t="s">
        <v>372</v>
      </c>
      <c r="C81" s="77">
        <v>266</v>
      </c>
      <c r="D81" t="s">
        <v>693</v>
      </c>
      <c r="E81" t="b">
        <v>1</v>
      </c>
      <c r="F81" t="b">
        <v>1</v>
      </c>
      <c r="G81" t="b">
        <v>1</v>
      </c>
      <c r="H81" t="b">
        <v>1</v>
      </c>
      <c r="I81" t="s">
        <v>373</v>
      </c>
      <c r="J81" s="3" t="s">
        <v>692</v>
      </c>
      <c r="K81" s="3" t="s">
        <v>372</v>
      </c>
      <c r="L81" s="75">
        <v>266</v>
      </c>
      <c r="M81" t="s">
        <v>693</v>
      </c>
    </row>
    <row r="82" spans="1:13" x14ac:dyDescent="0.2">
      <c r="A82" s="5" t="s">
        <v>699</v>
      </c>
      <c r="B82" s="5" t="s">
        <v>376</v>
      </c>
      <c r="C82" s="77">
        <v>268</v>
      </c>
      <c r="D82" t="s">
        <v>700</v>
      </c>
      <c r="E82" t="b">
        <v>1</v>
      </c>
      <c r="F82" t="b">
        <v>1</v>
      </c>
      <c r="G82" t="b">
        <v>1</v>
      </c>
      <c r="H82" t="b">
        <v>1</v>
      </c>
      <c r="I82" t="s">
        <v>377</v>
      </c>
      <c r="J82" s="3" t="s">
        <v>699</v>
      </c>
      <c r="K82" s="3" t="s">
        <v>376</v>
      </c>
      <c r="L82" s="75">
        <v>268</v>
      </c>
      <c r="M82" t="s">
        <v>700</v>
      </c>
    </row>
    <row r="83" spans="1:13" x14ac:dyDescent="0.2">
      <c r="A83" s="5" t="s">
        <v>694</v>
      </c>
      <c r="B83" s="5" t="s">
        <v>370</v>
      </c>
      <c r="C83" s="77">
        <v>270</v>
      </c>
      <c r="D83" t="s">
        <v>695</v>
      </c>
      <c r="E83" t="b">
        <v>1</v>
      </c>
      <c r="F83" t="b">
        <v>1</v>
      </c>
      <c r="G83" t="b">
        <v>1</v>
      </c>
      <c r="H83" s="11" t="b">
        <v>0</v>
      </c>
      <c r="I83" t="s">
        <v>371</v>
      </c>
      <c r="J83" s="3" t="s">
        <v>694</v>
      </c>
      <c r="K83" s="3" t="s">
        <v>370</v>
      </c>
      <c r="L83" s="75">
        <v>270</v>
      </c>
      <c r="M83" t="s">
        <v>1105</v>
      </c>
    </row>
    <row r="84" spans="1:13" x14ac:dyDescent="0.2">
      <c r="A84" s="5" t="s">
        <v>701</v>
      </c>
      <c r="B84" s="5" t="s">
        <v>374</v>
      </c>
      <c r="C84" s="77">
        <v>276</v>
      </c>
      <c r="D84" t="s">
        <v>702</v>
      </c>
      <c r="E84" t="b">
        <v>1</v>
      </c>
      <c r="F84" t="b">
        <v>1</v>
      </c>
      <c r="G84" t="b">
        <v>1</v>
      </c>
      <c r="H84" t="b">
        <v>1</v>
      </c>
      <c r="I84" t="s">
        <v>375</v>
      </c>
      <c r="J84" s="3" t="s">
        <v>701</v>
      </c>
      <c r="K84" s="3" t="s">
        <v>374</v>
      </c>
      <c r="L84" s="75">
        <v>276</v>
      </c>
      <c r="M84" t="s">
        <v>702</v>
      </c>
    </row>
    <row r="85" spans="1:13" x14ac:dyDescent="0.2">
      <c r="A85" s="5" t="s">
        <v>703</v>
      </c>
      <c r="B85" s="5" t="s">
        <v>380</v>
      </c>
      <c r="C85" s="77">
        <v>288</v>
      </c>
      <c r="D85" t="s">
        <v>704</v>
      </c>
      <c r="E85" t="b">
        <v>1</v>
      </c>
      <c r="F85" t="b">
        <v>1</v>
      </c>
      <c r="G85" t="b">
        <v>1</v>
      </c>
      <c r="H85" t="b">
        <v>1</v>
      </c>
      <c r="I85" t="s">
        <v>381</v>
      </c>
      <c r="J85" s="3" t="s">
        <v>703</v>
      </c>
      <c r="K85" s="3" t="s">
        <v>380</v>
      </c>
      <c r="L85" s="75">
        <v>288</v>
      </c>
      <c r="M85" t="s">
        <v>704</v>
      </c>
    </row>
    <row r="86" spans="1:13" x14ac:dyDescent="0.2">
      <c r="A86" s="5" t="s">
        <v>705</v>
      </c>
      <c r="B86" s="5" t="s">
        <v>378</v>
      </c>
      <c r="C86" s="77">
        <v>292</v>
      </c>
      <c r="D86" t="s">
        <v>706</v>
      </c>
      <c r="E86" t="b">
        <v>1</v>
      </c>
      <c r="F86" t="b">
        <v>1</v>
      </c>
      <c r="G86" t="b">
        <v>1</v>
      </c>
      <c r="H86" t="b">
        <v>1</v>
      </c>
      <c r="I86" t="s">
        <v>379</v>
      </c>
      <c r="J86" s="3" t="s">
        <v>705</v>
      </c>
      <c r="K86" s="3" t="s">
        <v>378</v>
      </c>
      <c r="L86" s="75">
        <v>292</v>
      </c>
      <c r="M86" t="s">
        <v>706</v>
      </c>
    </row>
    <row r="87" spans="1:13" x14ac:dyDescent="0.2">
      <c r="A87" s="5" t="s">
        <v>792</v>
      </c>
      <c r="B87" s="5" t="s">
        <v>241</v>
      </c>
      <c r="C87" s="77">
        <v>296</v>
      </c>
      <c r="D87" t="s">
        <v>793</v>
      </c>
      <c r="E87" t="b">
        <v>1</v>
      </c>
      <c r="F87" t="b">
        <v>1</v>
      </c>
      <c r="G87" t="b">
        <v>1</v>
      </c>
      <c r="H87" t="b">
        <v>1</v>
      </c>
      <c r="I87" t="s">
        <v>242</v>
      </c>
      <c r="J87" s="3" t="s">
        <v>792</v>
      </c>
      <c r="K87" s="3" t="s">
        <v>241</v>
      </c>
      <c r="L87" s="75">
        <v>296</v>
      </c>
      <c r="M87" t="s">
        <v>793</v>
      </c>
    </row>
    <row r="88" spans="1:13" x14ac:dyDescent="0.2">
      <c r="A88" s="5" t="s">
        <v>710</v>
      </c>
      <c r="B88" s="5" t="s">
        <v>390</v>
      </c>
      <c r="C88" s="77">
        <v>300</v>
      </c>
      <c r="D88" t="s">
        <v>711</v>
      </c>
      <c r="E88" t="b">
        <v>1</v>
      </c>
      <c r="F88" t="b">
        <v>1</v>
      </c>
      <c r="G88" t="b">
        <v>1</v>
      </c>
      <c r="H88" t="b">
        <v>1</v>
      </c>
      <c r="I88" t="s">
        <v>391</v>
      </c>
      <c r="J88" s="3" t="s">
        <v>710</v>
      </c>
      <c r="K88" s="3" t="s">
        <v>390</v>
      </c>
      <c r="L88" s="75">
        <v>300</v>
      </c>
      <c r="M88" t="s">
        <v>711</v>
      </c>
    </row>
    <row r="89" spans="1:13" x14ac:dyDescent="0.2">
      <c r="A89" s="5" t="s">
        <v>712</v>
      </c>
      <c r="B89" s="5" t="s">
        <v>400</v>
      </c>
      <c r="C89" s="77">
        <v>304</v>
      </c>
      <c r="D89" t="s">
        <v>713</v>
      </c>
      <c r="E89" t="b">
        <v>1</v>
      </c>
      <c r="F89" t="b">
        <v>1</v>
      </c>
      <c r="G89" t="b">
        <v>1</v>
      </c>
      <c r="H89" t="b">
        <v>1</v>
      </c>
      <c r="I89" t="s">
        <v>199</v>
      </c>
      <c r="J89" s="3" t="s">
        <v>712</v>
      </c>
      <c r="K89" s="3" t="s">
        <v>400</v>
      </c>
      <c r="L89" s="75">
        <v>304</v>
      </c>
      <c r="M89" t="s">
        <v>713</v>
      </c>
    </row>
    <row r="90" spans="1:13" x14ac:dyDescent="0.2">
      <c r="A90" s="5" t="s">
        <v>714</v>
      </c>
      <c r="B90" s="5" t="s">
        <v>394</v>
      </c>
      <c r="C90" s="77">
        <v>308</v>
      </c>
      <c r="D90" t="s">
        <v>715</v>
      </c>
      <c r="E90" t="b">
        <v>1</v>
      </c>
      <c r="F90" t="b">
        <v>1</v>
      </c>
      <c r="G90" t="b">
        <v>1</v>
      </c>
      <c r="H90" t="b">
        <v>1</v>
      </c>
      <c r="I90" t="s">
        <v>395</v>
      </c>
      <c r="J90" s="3" t="s">
        <v>714</v>
      </c>
      <c r="K90" s="3" t="s">
        <v>394</v>
      </c>
      <c r="L90" s="75">
        <v>308</v>
      </c>
      <c r="M90" t="s">
        <v>715</v>
      </c>
    </row>
    <row r="91" spans="1:13" x14ac:dyDescent="0.2">
      <c r="A91" s="5" t="s">
        <v>716</v>
      </c>
      <c r="B91" s="5" t="s">
        <v>386</v>
      </c>
      <c r="C91" s="77">
        <v>312</v>
      </c>
      <c r="D91" t="s">
        <v>717</v>
      </c>
      <c r="E91" t="b">
        <v>1</v>
      </c>
      <c r="F91" t="b">
        <v>1</v>
      </c>
      <c r="G91" t="b">
        <v>1</v>
      </c>
      <c r="H91" t="b">
        <v>1</v>
      </c>
      <c r="I91" t="s">
        <v>387</v>
      </c>
      <c r="J91" s="3" t="s">
        <v>716</v>
      </c>
      <c r="K91" s="3" t="s">
        <v>386</v>
      </c>
      <c r="L91" s="75">
        <v>312</v>
      </c>
      <c r="M91" t="s">
        <v>717</v>
      </c>
    </row>
    <row r="92" spans="1:13" x14ac:dyDescent="0.2">
      <c r="A92" s="5" t="s">
        <v>718</v>
      </c>
      <c r="B92" s="5" t="s">
        <v>398</v>
      </c>
      <c r="C92" s="77">
        <v>316</v>
      </c>
      <c r="D92" t="s">
        <v>719</v>
      </c>
      <c r="E92" t="b">
        <v>1</v>
      </c>
      <c r="F92" t="b">
        <v>1</v>
      </c>
      <c r="G92" t="b">
        <v>1</v>
      </c>
      <c r="H92" t="b">
        <v>1</v>
      </c>
      <c r="I92" t="s">
        <v>399</v>
      </c>
      <c r="J92" s="3" t="s">
        <v>718</v>
      </c>
      <c r="K92" s="3" t="s">
        <v>398</v>
      </c>
      <c r="L92" s="75">
        <v>316</v>
      </c>
      <c r="M92" t="s">
        <v>719</v>
      </c>
    </row>
    <row r="93" spans="1:13" x14ac:dyDescent="0.2">
      <c r="A93" s="5" t="s">
        <v>723</v>
      </c>
      <c r="B93" s="5" t="s">
        <v>396</v>
      </c>
      <c r="C93" s="77">
        <v>320</v>
      </c>
      <c r="D93" t="s">
        <v>724</v>
      </c>
      <c r="E93" t="b">
        <v>1</v>
      </c>
      <c r="F93" t="b">
        <v>1</v>
      </c>
      <c r="G93" t="b">
        <v>1</v>
      </c>
      <c r="H93" t="b">
        <v>1</v>
      </c>
      <c r="I93" t="s">
        <v>397</v>
      </c>
      <c r="J93" s="3" t="s">
        <v>723</v>
      </c>
      <c r="K93" s="3" t="s">
        <v>396</v>
      </c>
      <c r="L93" s="75">
        <v>320</v>
      </c>
      <c r="M93" t="s">
        <v>724</v>
      </c>
    </row>
    <row r="94" spans="1:13" x14ac:dyDescent="0.2">
      <c r="A94" s="5" t="s">
        <v>727</v>
      </c>
      <c r="B94" s="5" t="s">
        <v>388</v>
      </c>
      <c r="C94" s="77">
        <v>324</v>
      </c>
      <c r="D94" t="s">
        <v>728</v>
      </c>
      <c r="E94" t="b">
        <v>1</v>
      </c>
      <c r="F94" t="b">
        <v>1</v>
      </c>
      <c r="G94" t="b">
        <v>1</v>
      </c>
      <c r="H94" t="b">
        <v>1</v>
      </c>
      <c r="I94" t="s">
        <v>389</v>
      </c>
      <c r="J94" s="3" t="s">
        <v>727</v>
      </c>
      <c r="K94" s="3" t="s">
        <v>388</v>
      </c>
      <c r="L94" s="75">
        <v>324</v>
      </c>
      <c r="M94" t="s">
        <v>728</v>
      </c>
    </row>
    <row r="95" spans="1:13" x14ac:dyDescent="0.2">
      <c r="A95" s="5" t="s">
        <v>731</v>
      </c>
      <c r="B95" s="5" t="s">
        <v>382</v>
      </c>
      <c r="C95" s="77">
        <v>328</v>
      </c>
      <c r="D95" t="s">
        <v>732</v>
      </c>
      <c r="E95" t="b">
        <v>1</v>
      </c>
      <c r="F95" t="b">
        <v>1</v>
      </c>
      <c r="G95" t="b">
        <v>1</v>
      </c>
      <c r="H95" t="b">
        <v>1</v>
      </c>
      <c r="I95" t="s">
        <v>383</v>
      </c>
      <c r="J95" s="3" t="s">
        <v>731</v>
      </c>
      <c r="K95" s="3" t="s">
        <v>382</v>
      </c>
      <c r="L95" s="75">
        <v>328</v>
      </c>
      <c r="M95" t="s">
        <v>732</v>
      </c>
    </row>
    <row r="96" spans="1:13" x14ac:dyDescent="0.2">
      <c r="A96" s="5" t="s">
        <v>733</v>
      </c>
      <c r="B96" s="5" t="s">
        <v>200</v>
      </c>
      <c r="C96" s="77">
        <v>332</v>
      </c>
      <c r="D96" t="s">
        <v>734</v>
      </c>
      <c r="E96" t="b">
        <v>1</v>
      </c>
      <c r="F96" t="b">
        <v>1</v>
      </c>
      <c r="G96" t="b">
        <v>1</v>
      </c>
      <c r="H96" t="b">
        <v>1</v>
      </c>
      <c r="I96" t="s">
        <v>201</v>
      </c>
      <c r="J96" s="3" t="s">
        <v>733</v>
      </c>
      <c r="K96" s="3" t="s">
        <v>200</v>
      </c>
      <c r="L96" s="75">
        <v>332</v>
      </c>
      <c r="M96" t="s">
        <v>734</v>
      </c>
    </row>
    <row r="97" spans="1:13" x14ac:dyDescent="0.2">
      <c r="A97" s="5" t="s">
        <v>735</v>
      </c>
      <c r="B97" s="5" t="s">
        <v>202</v>
      </c>
      <c r="C97" s="77">
        <v>334</v>
      </c>
      <c r="D97" t="s">
        <v>736</v>
      </c>
      <c r="E97" t="b">
        <v>1</v>
      </c>
      <c r="F97" t="b">
        <v>1</v>
      </c>
      <c r="G97" t="b">
        <v>1</v>
      </c>
      <c r="H97" t="b">
        <v>1</v>
      </c>
      <c r="I97" t="s">
        <v>203</v>
      </c>
      <c r="J97" s="3" t="s">
        <v>735</v>
      </c>
      <c r="K97" s="3" t="s">
        <v>202</v>
      </c>
      <c r="L97" s="75">
        <v>334</v>
      </c>
      <c r="M97" t="s">
        <v>736</v>
      </c>
    </row>
    <row r="98" spans="1:13" x14ac:dyDescent="0.2">
      <c r="A98" s="5" t="s">
        <v>1060</v>
      </c>
      <c r="B98" s="5" t="s">
        <v>97</v>
      </c>
      <c r="C98" s="77">
        <v>336</v>
      </c>
      <c r="D98" t="s">
        <v>1061</v>
      </c>
      <c r="E98" t="b">
        <v>1</v>
      </c>
      <c r="F98" t="b">
        <v>1</v>
      </c>
      <c r="G98" t="b">
        <v>1</v>
      </c>
      <c r="H98" s="11" t="b">
        <v>0</v>
      </c>
      <c r="I98" t="s">
        <v>98</v>
      </c>
      <c r="J98" s="3" t="s">
        <v>1060</v>
      </c>
      <c r="K98" s="3" t="s">
        <v>97</v>
      </c>
      <c r="L98" s="75">
        <v>336</v>
      </c>
      <c r="M98" t="s">
        <v>1106</v>
      </c>
    </row>
    <row r="99" spans="1:13" x14ac:dyDescent="0.2">
      <c r="A99" s="5" t="s">
        <v>737</v>
      </c>
      <c r="B99" s="5" t="s">
        <v>206</v>
      </c>
      <c r="C99" s="77">
        <v>340</v>
      </c>
      <c r="D99" t="s">
        <v>738</v>
      </c>
      <c r="E99" t="b">
        <v>1</v>
      </c>
      <c r="F99" t="b">
        <v>1</v>
      </c>
      <c r="G99" t="b">
        <v>1</v>
      </c>
      <c r="H99" t="b">
        <v>1</v>
      </c>
      <c r="I99" t="s">
        <v>207</v>
      </c>
      <c r="J99" s="3" t="s">
        <v>737</v>
      </c>
      <c r="K99" s="3" t="s">
        <v>206</v>
      </c>
      <c r="L99" s="75">
        <v>340</v>
      </c>
      <c r="M99" t="s">
        <v>738</v>
      </c>
    </row>
    <row r="100" spans="1:13" x14ac:dyDescent="0.2">
      <c r="A100" s="5" t="s">
        <v>739</v>
      </c>
      <c r="B100" s="5" t="s">
        <v>204</v>
      </c>
      <c r="C100" s="77">
        <v>344</v>
      </c>
      <c r="D100" t="s">
        <v>740</v>
      </c>
      <c r="E100" t="b">
        <v>1</v>
      </c>
      <c r="F100" t="b">
        <v>1</v>
      </c>
      <c r="G100" t="b">
        <v>1</v>
      </c>
      <c r="H100" t="b">
        <v>1</v>
      </c>
      <c r="I100" t="s">
        <v>205</v>
      </c>
      <c r="J100" s="3" t="s">
        <v>739</v>
      </c>
      <c r="K100" s="3" t="s">
        <v>204</v>
      </c>
      <c r="L100" s="75">
        <v>344</v>
      </c>
      <c r="M100" t="s">
        <v>740</v>
      </c>
    </row>
    <row r="101" spans="1:13" x14ac:dyDescent="0.2">
      <c r="A101" s="5" t="s">
        <v>744</v>
      </c>
      <c r="B101" s="5" t="s">
        <v>208</v>
      </c>
      <c r="C101" s="77">
        <v>348</v>
      </c>
      <c r="D101" t="s">
        <v>745</v>
      </c>
      <c r="E101" t="b">
        <v>1</v>
      </c>
      <c r="F101" t="b">
        <v>1</v>
      </c>
      <c r="G101" t="b">
        <v>1</v>
      </c>
      <c r="H101" t="b">
        <v>1</v>
      </c>
      <c r="I101" t="s">
        <v>209</v>
      </c>
      <c r="J101" s="3" t="s">
        <v>744</v>
      </c>
      <c r="K101" s="3" t="s">
        <v>208</v>
      </c>
      <c r="L101" s="75">
        <v>348</v>
      </c>
      <c r="M101" t="s">
        <v>745</v>
      </c>
    </row>
    <row r="102" spans="1:13" x14ac:dyDescent="0.2">
      <c r="A102" s="5" t="s">
        <v>746</v>
      </c>
      <c r="B102" s="5" t="s">
        <v>210</v>
      </c>
      <c r="C102" s="77">
        <v>352</v>
      </c>
      <c r="D102" t="s">
        <v>747</v>
      </c>
      <c r="E102" t="b">
        <v>1</v>
      </c>
      <c r="F102" t="b">
        <v>1</v>
      </c>
      <c r="G102" t="b">
        <v>1</v>
      </c>
      <c r="H102" t="b">
        <v>1</v>
      </c>
      <c r="I102" t="s">
        <v>211</v>
      </c>
      <c r="J102" s="3" t="s">
        <v>746</v>
      </c>
      <c r="K102" s="3" t="s">
        <v>210</v>
      </c>
      <c r="L102" s="75">
        <v>352</v>
      </c>
      <c r="M102" t="s">
        <v>747</v>
      </c>
    </row>
    <row r="103" spans="1:13" x14ac:dyDescent="0.2">
      <c r="A103" s="5" t="s">
        <v>748</v>
      </c>
      <c r="B103" s="5" t="s">
        <v>212</v>
      </c>
      <c r="C103" s="77">
        <v>356</v>
      </c>
      <c r="D103" t="s">
        <v>749</v>
      </c>
      <c r="E103" t="b">
        <v>1</v>
      </c>
      <c r="F103" t="b">
        <v>1</v>
      </c>
      <c r="G103" t="b">
        <v>1</v>
      </c>
      <c r="H103" t="b">
        <v>1</v>
      </c>
      <c r="I103" t="s">
        <v>213</v>
      </c>
      <c r="J103" s="3" t="s">
        <v>748</v>
      </c>
      <c r="K103" s="3" t="s">
        <v>212</v>
      </c>
      <c r="L103" s="75">
        <v>356</v>
      </c>
      <c r="M103" t="s">
        <v>749</v>
      </c>
    </row>
    <row r="104" spans="1:13" x14ac:dyDescent="0.2">
      <c r="A104" s="5" t="s">
        <v>750</v>
      </c>
      <c r="B104" s="5" t="s">
        <v>214</v>
      </c>
      <c r="C104" s="77">
        <v>360</v>
      </c>
      <c r="D104" t="s">
        <v>751</v>
      </c>
      <c r="E104" t="b">
        <v>1</v>
      </c>
      <c r="F104" t="b">
        <v>1</v>
      </c>
      <c r="G104" t="b">
        <v>1</v>
      </c>
      <c r="H104" t="b">
        <v>1</v>
      </c>
      <c r="I104" t="s">
        <v>215</v>
      </c>
      <c r="J104" s="3" t="s">
        <v>750</v>
      </c>
      <c r="K104" s="3" t="s">
        <v>214</v>
      </c>
      <c r="L104" s="75">
        <v>360</v>
      </c>
      <c r="M104" t="s">
        <v>751</v>
      </c>
    </row>
    <row r="105" spans="1:13" x14ac:dyDescent="0.2">
      <c r="A105" s="5" t="s">
        <v>752</v>
      </c>
      <c r="B105" s="5" t="s">
        <v>220</v>
      </c>
      <c r="C105" s="77">
        <v>364</v>
      </c>
      <c r="D105" t="s">
        <v>753</v>
      </c>
      <c r="E105" t="b">
        <v>1</v>
      </c>
      <c r="F105" t="b">
        <v>1</v>
      </c>
      <c r="G105" t="b">
        <v>1</v>
      </c>
      <c r="H105" s="11" t="b">
        <v>0</v>
      </c>
      <c r="I105" t="s">
        <v>221</v>
      </c>
      <c r="J105" s="3" t="s">
        <v>752</v>
      </c>
      <c r="K105" s="3" t="s">
        <v>220</v>
      </c>
      <c r="L105" s="75">
        <v>364</v>
      </c>
      <c r="M105" t="s">
        <v>1107</v>
      </c>
    </row>
    <row r="106" spans="1:13" x14ac:dyDescent="0.2">
      <c r="A106" s="5" t="s">
        <v>754</v>
      </c>
      <c r="B106" s="5" t="s">
        <v>226</v>
      </c>
      <c r="C106" s="77">
        <v>368</v>
      </c>
      <c r="D106" t="s">
        <v>755</v>
      </c>
      <c r="E106" t="b">
        <v>1</v>
      </c>
      <c r="F106" t="b">
        <v>1</v>
      </c>
      <c r="G106" t="b">
        <v>1</v>
      </c>
      <c r="H106" t="b">
        <v>1</v>
      </c>
      <c r="I106" t="s">
        <v>227</v>
      </c>
      <c r="J106" s="3" t="s">
        <v>754</v>
      </c>
      <c r="K106" s="3" t="s">
        <v>226</v>
      </c>
      <c r="L106" s="75">
        <v>368</v>
      </c>
      <c r="M106" t="s">
        <v>755</v>
      </c>
    </row>
    <row r="107" spans="1:13" x14ac:dyDescent="0.2">
      <c r="A107" s="5" t="s">
        <v>756</v>
      </c>
      <c r="B107" s="5" t="s">
        <v>218</v>
      </c>
      <c r="C107" s="77">
        <v>372</v>
      </c>
      <c r="D107" t="s">
        <v>757</v>
      </c>
      <c r="E107" t="b">
        <v>1</v>
      </c>
      <c r="F107" t="b">
        <v>1</v>
      </c>
      <c r="G107" t="b">
        <v>1</v>
      </c>
      <c r="H107" t="b">
        <v>1</v>
      </c>
      <c r="I107" t="s">
        <v>219</v>
      </c>
      <c r="J107" s="3" t="s">
        <v>756</v>
      </c>
      <c r="K107" s="3" t="s">
        <v>218</v>
      </c>
      <c r="L107" s="75">
        <v>372</v>
      </c>
      <c r="M107" t="s">
        <v>757</v>
      </c>
    </row>
    <row r="108" spans="1:13" x14ac:dyDescent="0.2">
      <c r="A108" s="5" t="s">
        <v>760</v>
      </c>
      <c r="B108" s="5" t="s">
        <v>224</v>
      </c>
      <c r="C108" s="77">
        <v>376</v>
      </c>
      <c r="D108" t="s">
        <v>761</v>
      </c>
      <c r="E108" t="b">
        <v>1</v>
      </c>
      <c r="F108" t="b">
        <v>1</v>
      </c>
      <c r="G108" t="b">
        <v>1</v>
      </c>
      <c r="H108" t="b">
        <v>1</v>
      </c>
      <c r="I108" t="s">
        <v>225</v>
      </c>
      <c r="J108" s="3" t="s">
        <v>760</v>
      </c>
      <c r="K108" s="3" t="s">
        <v>224</v>
      </c>
      <c r="L108" s="75">
        <v>376</v>
      </c>
      <c r="M108" t="s">
        <v>761</v>
      </c>
    </row>
    <row r="109" spans="1:13" x14ac:dyDescent="0.2">
      <c r="A109" s="5" t="s">
        <v>762</v>
      </c>
      <c r="B109" s="5" t="s">
        <v>216</v>
      </c>
      <c r="C109" s="77">
        <v>380</v>
      </c>
      <c r="D109" t="s">
        <v>763</v>
      </c>
      <c r="E109" t="b">
        <v>1</v>
      </c>
      <c r="F109" t="b">
        <v>1</v>
      </c>
      <c r="G109" t="b">
        <v>1</v>
      </c>
      <c r="H109" t="b">
        <v>1</v>
      </c>
      <c r="I109" t="s">
        <v>217</v>
      </c>
      <c r="J109" s="3" t="s">
        <v>762</v>
      </c>
      <c r="K109" s="3" t="s">
        <v>216</v>
      </c>
      <c r="L109" s="75">
        <v>380</v>
      </c>
      <c r="M109" t="s">
        <v>763</v>
      </c>
    </row>
    <row r="110" spans="1:13" x14ac:dyDescent="0.2">
      <c r="A110" s="5" t="s">
        <v>624</v>
      </c>
      <c r="B110" s="5" t="s">
        <v>314</v>
      </c>
      <c r="C110" s="77">
        <v>384</v>
      </c>
      <c r="D110" t="s">
        <v>1087</v>
      </c>
      <c r="E110" t="b">
        <v>1</v>
      </c>
      <c r="F110" t="b">
        <v>1</v>
      </c>
      <c r="G110" t="b">
        <v>1</v>
      </c>
      <c r="H110" t="b">
        <v>1</v>
      </c>
      <c r="I110" t="s">
        <v>315</v>
      </c>
      <c r="J110" s="3" t="s">
        <v>624</v>
      </c>
      <c r="K110" s="3" t="s">
        <v>314</v>
      </c>
      <c r="L110" s="75">
        <v>384</v>
      </c>
      <c r="M110" t="s">
        <v>1087</v>
      </c>
    </row>
    <row r="111" spans="1:13" x14ac:dyDescent="0.2">
      <c r="A111" s="5" t="s">
        <v>764</v>
      </c>
      <c r="B111" s="5" t="s">
        <v>234</v>
      </c>
      <c r="C111" s="77">
        <v>388</v>
      </c>
      <c r="D111" t="s">
        <v>765</v>
      </c>
      <c r="E111" t="b">
        <v>1</v>
      </c>
      <c r="F111" t="b">
        <v>1</v>
      </c>
      <c r="G111" t="b">
        <v>1</v>
      </c>
      <c r="H111" t="b">
        <v>1</v>
      </c>
      <c r="I111" t="s">
        <v>235</v>
      </c>
      <c r="J111" s="3" t="s">
        <v>764</v>
      </c>
      <c r="K111" s="3" t="s">
        <v>234</v>
      </c>
      <c r="L111" s="75">
        <v>388</v>
      </c>
      <c r="M111" t="s">
        <v>765</v>
      </c>
    </row>
    <row r="112" spans="1:13" x14ac:dyDescent="0.2">
      <c r="A112" s="5" t="s">
        <v>769</v>
      </c>
      <c r="B112" s="5" t="s">
        <v>230</v>
      </c>
      <c r="C112" s="77">
        <v>392</v>
      </c>
      <c r="D112" t="s">
        <v>770</v>
      </c>
      <c r="E112" t="b">
        <v>1</v>
      </c>
      <c r="F112" t="b">
        <v>1</v>
      </c>
      <c r="G112" t="b">
        <v>1</v>
      </c>
      <c r="H112" t="b">
        <v>1</v>
      </c>
      <c r="I112" t="s">
        <v>231</v>
      </c>
      <c r="J112" s="3" t="s">
        <v>769</v>
      </c>
      <c r="K112" s="3" t="s">
        <v>230</v>
      </c>
      <c r="L112" s="75">
        <v>392</v>
      </c>
      <c r="M112" t="s">
        <v>770</v>
      </c>
    </row>
    <row r="113" spans="1:13" x14ac:dyDescent="0.2">
      <c r="A113" s="5" t="s">
        <v>785</v>
      </c>
      <c r="B113" s="5" t="s">
        <v>228</v>
      </c>
      <c r="C113" s="77">
        <v>398</v>
      </c>
      <c r="D113" t="s">
        <v>786</v>
      </c>
      <c r="E113" t="b">
        <v>1</v>
      </c>
      <c r="F113" t="b">
        <v>1</v>
      </c>
      <c r="G113" t="b">
        <v>1</v>
      </c>
      <c r="H113" t="b">
        <v>1</v>
      </c>
      <c r="I113" t="s">
        <v>229</v>
      </c>
      <c r="J113" s="3" t="s">
        <v>785</v>
      </c>
      <c r="K113" s="3" t="s">
        <v>228</v>
      </c>
      <c r="L113" s="75">
        <v>398</v>
      </c>
      <c r="M113" t="s">
        <v>786</v>
      </c>
    </row>
    <row r="114" spans="1:13" x14ac:dyDescent="0.2">
      <c r="A114" s="5" t="s">
        <v>780</v>
      </c>
      <c r="B114" s="5" t="s">
        <v>236</v>
      </c>
      <c r="C114" s="77">
        <v>400</v>
      </c>
      <c r="D114" t="s">
        <v>781</v>
      </c>
      <c r="E114" t="b">
        <v>1</v>
      </c>
      <c r="F114" t="b">
        <v>1</v>
      </c>
      <c r="G114" t="b">
        <v>1</v>
      </c>
      <c r="H114" t="b">
        <v>1</v>
      </c>
      <c r="I114" t="s">
        <v>237</v>
      </c>
      <c r="J114" s="3" t="s">
        <v>780</v>
      </c>
      <c r="K114" s="3" t="s">
        <v>236</v>
      </c>
      <c r="L114" s="75">
        <v>400</v>
      </c>
      <c r="M114" t="s">
        <v>781</v>
      </c>
    </row>
    <row r="115" spans="1:13" x14ac:dyDescent="0.2">
      <c r="A115" s="5" t="s">
        <v>787</v>
      </c>
      <c r="B115" s="5" t="s">
        <v>232</v>
      </c>
      <c r="C115" s="77">
        <v>404</v>
      </c>
      <c r="D115" t="s">
        <v>788</v>
      </c>
      <c r="E115" t="b">
        <v>1</v>
      </c>
      <c r="F115" t="b">
        <v>1</v>
      </c>
      <c r="G115" t="b">
        <v>1</v>
      </c>
      <c r="H115" t="b">
        <v>1</v>
      </c>
      <c r="I115" t="s">
        <v>233</v>
      </c>
      <c r="J115" s="3" t="s">
        <v>787</v>
      </c>
      <c r="K115" s="3" t="s">
        <v>232</v>
      </c>
      <c r="L115" s="75">
        <v>404</v>
      </c>
      <c r="M115" t="s">
        <v>788</v>
      </c>
    </row>
    <row r="116" spans="1:13" x14ac:dyDescent="0.2">
      <c r="A116" s="5" t="s">
        <v>794</v>
      </c>
      <c r="B116" s="5" t="s">
        <v>126</v>
      </c>
      <c r="C116" s="77">
        <v>408</v>
      </c>
      <c r="D116" t="s">
        <v>795</v>
      </c>
      <c r="E116" t="b">
        <v>1</v>
      </c>
      <c r="F116" t="b">
        <v>1</v>
      </c>
      <c r="G116" t="b">
        <v>1</v>
      </c>
      <c r="H116" s="11" t="b">
        <v>0</v>
      </c>
      <c r="I116" t="s">
        <v>127</v>
      </c>
      <c r="J116" s="3" t="s">
        <v>794</v>
      </c>
      <c r="K116" s="3" t="s">
        <v>126</v>
      </c>
      <c r="L116" s="75">
        <v>408</v>
      </c>
      <c r="M116" t="s">
        <v>1108</v>
      </c>
    </row>
    <row r="117" spans="1:13" x14ac:dyDescent="0.2">
      <c r="A117" s="5" t="s">
        <v>796</v>
      </c>
      <c r="B117" s="5" t="s">
        <v>31</v>
      </c>
      <c r="C117" s="77">
        <v>410</v>
      </c>
      <c r="D117" t="s">
        <v>797</v>
      </c>
      <c r="E117" t="b">
        <v>1</v>
      </c>
      <c r="F117" t="b">
        <v>1</v>
      </c>
      <c r="G117" t="b">
        <v>1</v>
      </c>
      <c r="H117" s="11" t="b">
        <v>0</v>
      </c>
      <c r="I117" t="s">
        <v>32</v>
      </c>
      <c r="J117" s="3" t="s">
        <v>796</v>
      </c>
      <c r="K117" s="3" t="s">
        <v>31</v>
      </c>
      <c r="L117" s="75">
        <v>410</v>
      </c>
      <c r="M117" t="s">
        <v>1109</v>
      </c>
    </row>
    <row r="118" spans="1:13" x14ac:dyDescent="0.2">
      <c r="A118" s="5" t="s">
        <v>801</v>
      </c>
      <c r="B118" s="5" t="s">
        <v>239</v>
      </c>
      <c r="C118" s="77">
        <v>414</v>
      </c>
      <c r="D118" t="s">
        <v>802</v>
      </c>
      <c r="E118" t="b">
        <v>1</v>
      </c>
      <c r="F118" t="b">
        <v>1</v>
      </c>
      <c r="G118" t="b">
        <v>1</v>
      </c>
      <c r="H118" t="b">
        <v>1</v>
      </c>
      <c r="I118" t="s">
        <v>240</v>
      </c>
      <c r="J118" s="3" t="s">
        <v>801</v>
      </c>
      <c r="K118" s="3" t="s">
        <v>239</v>
      </c>
      <c r="L118" s="75">
        <v>414</v>
      </c>
      <c r="M118" t="s">
        <v>802</v>
      </c>
    </row>
    <row r="119" spans="1:13" x14ac:dyDescent="0.2">
      <c r="A119" s="5" t="s">
        <v>803</v>
      </c>
      <c r="B119" s="5" t="s">
        <v>243</v>
      </c>
      <c r="C119" s="77">
        <v>417</v>
      </c>
      <c r="D119" t="s">
        <v>804</v>
      </c>
      <c r="E119" t="b">
        <v>1</v>
      </c>
      <c r="F119" t="b">
        <v>1</v>
      </c>
      <c r="G119" t="b">
        <v>1</v>
      </c>
      <c r="H119" t="b">
        <v>1</v>
      </c>
      <c r="I119" t="s">
        <v>244</v>
      </c>
      <c r="J119" s="3" t="s">
        <v>803</v>
      </c>
      <c r="K119" s="3" t="s">
        <v>243</v>
      </c>
      <c r="L119" s="75">
        <v>417</v>
      </c>
      <c r="M119" t="s">
        <v>804</v>
      </c>
    </row>
    <row r="120" spans="1:13" x14ac:dyDescent="0.2">
      <c r="A120" s="5" t="s">
        <v>805</v>
      </c>
      <c r="B120" s="5" t="s">
        <v>245</v>
      </c>
      <c r="C120" s="77">
        <v>418</v>
      </c>
      <c r="D120" t="s">
        <v>806</v>
      </c>
      <c r="E120" t="b">
        <v>1</v>
      </c>
      <c r="F120" t="b">
        <v>1</v>
      </c>
      <c r="G120" t="b">
        <v>1</v>
      </c>
      <c r="H120" s="11" t="b">
        <v>0</v>
      </c>
      <c r="I120" t="s">
        <v>246</v>
      </c>
      <c r="J120" s="3" t="s">
        <v>805</v>
      </c>
      <c r="K120" s="3" t="s">
        <v>245</v>
      </c>
      <c r="L120" s="75">
        <v>418</v>
      </c>
      <c r="M120" t="s">
        <v>1110</v>
      </c>
    </row>
    <row r="121" spans="1:13" x14ac:dyDescent="0.2">
      <c r="A121" s="5" t="s">
        <v>809</v>
      </c>
      <c r="B121" s="5" t="s">
        <v>249</v>
      </c>
      <c r="C121" s="77">
        <v>422</v>
      </c>
      <c r="D121" t="s">
        <v>810</v>
      </c>
      <c r="E121" t="b">
        <v>1</v>
      </c>
      <c r="F121" t="b">
        <v>1</v>
      </c>
      <c r="G121" t="b">
        <v>1</v>
      </c>
      <c r="H121" t="b">
        <v>1</v>
      </c>
      <c r="I121" t="s">
        <v>250</v>
      </c>
      <c r="J121" s="3" t="s">
        <v>809</v>
      </c>
      <c r="K121" s="3" t="s">
        <v>249</v>
      </c>
      <c r="L121" s="75">
        <v>422</v>
      </c>
      <c r="M121" t="s">
        <v>810</v>
      </c>
    </row>
    <row r="122" spans="1:13" x14ac:dyDescent="0.2">
      <c r="A122" s="5" t="s">
        <v>811</v>
      </c>
      <c r="B122" s="5" t="s">
        <v>251</v>
      </c>
      <c r="C122" s="77">
        <v>426</v>
      </c>
      <c r="D122" t="s">
        <v>812</v>
      </c>
      <c r="E122" t="b">
        <v>1</v>
      </c>
      <c r="F122" t="b">
        <v>1</v>
      </c>
      <c r="G122" t="b">
        <v>1</v>
      </c>
      <c r="H122" t="b">
        <v>1</v>
      </c>
      <c r="I122" t="s">
        <v>252</v>
      </c>
      <c r="J122" s="3" t="s">
        <v>811</v>
      </c>
      <c r="K122" s="3" t="s">
        <v>251</v>
      </c>
      <c r="L122" s="75">
        <v>426</v>
      </c>
      <c r="M122" t="s">
        <v>812</v>
      </c>
    </row>
    <row r="123" spans="1:13" x14ac:dyDescent="0.2">
      <c r="A123" s="5" t="s">
        <v>807</v>
      </c>
      <c r="B123" s="5" t="s">
        <v>247</v>
      </c>
      <c r="C123" s="77">
        <v>428</v>
      </c>
      <c r="D123" t="s">
        <v>808</v>
      </c>
      <c r="E123" t="b">
        <v>1</v>
      </c>
      <c r="F123" t="b">
        <v>1</v>
      </c>
      <c r="G123" t="b">
        <v>1</v>
      </c>
      <c r="H123" t="b">
        <v>1</v>
      </c>
      <c r="I123" t="s">
        <v>248</v>
      </c>
      <c r="J123" s="3" t="s">
        <v>807</v>
      </c>
      <c r="K123" s="3" t="s">
        <v>247</v>
      </c>
      <c r="L123" s="75">
        <v>428</v>
      </c>
      <c r="M123" t="s">
        <v>808</v>
      </c>
    </row>
    <row r="124" spans="1:13" x14ac:dyDescent="0.2">
      <c r="A124" s="5" t="s">
        <v>813</v>
      </c>
      <c r="B124" s="5" t="s">
        <v>257</v>
      </c>
      <c r="C124" s="77">
        <v>430</v>
      </c>
      <c r="D124" t="s">
        <v>814</v>
      </c>
      <c r="E124" t="b">
        <v>1</v>
      </c>
      <c r="F124" t="b">
        <v>1</v>
      </c>
      <c r="G124" t="b">
        <v>1</v>
      </c>
      <c r="H124" t="b">
        <v>1</v>
      </c>
      <c r="I124" t="s">
        <v>258</v>
      </c>
      <c r="J124" s="3" t="s">
        <v>813</v>
      </c>
      <c r="K124" s="3" t="s">
        <v>257</v>
      </c>
      <c r="L124" s="75">
        <v>430</v>
      </c>
      <c r="M124" t="s">
        <v>814</v>
      </c>
    </row>
    <row r="125" spans="1:13" x14ac:dyDescent="0.2">
      <c r="A125" s="5" t="s">
        <v>815</v>
      </c>
      <c r="B125" s="5" t="s">
        <v>259</v>
      </c>
      <c r="C125" s="77">
        <v>434</v>
      </c>
      <c r="D125" t="s">
        <v>816</v>
      </c>
      <c r="E125" t="b">
        <v>1</v>
      </c>
      <c r="F125" t="b">
        <v>1</v>
      </c>
      <c r="G125" t="b">
        <v>1</v>
      </c>
      <c r="H125" t="b">
        <v>1</v>
      </c>
      <c r="I125" t="s">
        <v>260</v>
      </c>
      <c r="J125" s="3" t="s">
        <v>815</v>
      </c>
      <c r="K125" s="3" t="s">
        <v>259</v>
      </c>
      <c r="L125" s="75">
        <v>434</v>
      </c>
      <c r="M125" t="s">
        <v>816</v>
      </c>
    </row>
    <row r="126" spans="1:13" x14ac:dyDescent="0.2">
      <c r="A126" s="5" t="s">
        <v>817</v>
      </c>
      <c r="B126" s="5" t="s">
        <v>255</v>
      </c>
      <c r="C126" s="77">
        <v>438</v>
      </c>
      <c r="D126" t="s">
        <v>818</v>
      </c>
      <c r="E126" t="b">
        <v>1</v>
      </c>
      <c r="F126" t="b">
        <v>1</v>
      </c>
      <c r="G126" t="b">
        <v>1</v>
      </c>
      <c r="H126" t="b">
        <v>1</v>
      </c>
      <c r="I126" t="s">
        <v>256</v>
      </c>
      <c r="J126" s="3" t="s">
        <v>817</v>
      </c>
      <c r="K126" s="3" t="s">
        <v>255</v>
      </c>
      <c r="L126" s="75">
        <v>438</v>
      </c>
      <c r="M126" t="s">
        <v>818</v>
      </c>
    </row>
    <row r="127" spans="1:13" x14ac:dyDescent="0.2">
      <c r="A127" s="5" t="s">
        <v>819</v>
      </c>
      <c r="B127" s="5" t="s">
        <v>253</v>
      </c>
      <c r="C127" s="77">
        <v>440</v>
      </c>
      <c r="D127" t="s">
        <v>820</v>
      </c>
      <c r="E127" t="b">
        <v>1</v>
      </c>
      <c r="F127" t="b">
        <v>1</v>
      </c>
      <c r="G127" t="b">
        <v>1</v>
      </c>
      <c r="H127" t="b">
        <v>1</v>
      </c>
      <c r="I127" t="s">
        <v>254</v>
      </c>
      <c r="J127" s="3" t="s">
        <v>819</v>
      </c>
      <c r="K127" s="3" t="s">
        <v>253</v>
      </c>
      <c r="L127" s="75">
        <v>440</v>
      </c>
      <c r="M127" t="s">
        <v>820</v>
      </c>
    </row>
    <row r="128" spans="1:13" x14ac:dyDescent="0.2">
      <c r="A128" s="5" t="s">
        <v>821</v>
      </c>
      <c r="B128" s="5" t="s">
        <v>261</v>
      </c>
      <c r="C128" s="77">
        <v>442</v>
      </c>
      <c r="D128" t="s">
        <v>822</v>
      </c>
      <c r="E128" t="b">
        <v>1</v>
      </c>
      <c r="F128" t="b">
        <v>1</v>
      </c>
      <c r="G128" t="b">
        <v>1</v>
      </c>
      <c r="H128" t="b">
        <v>1</v>
      </c>
      <c r="I128" t="s">
        <v>262</v>
      </c>
      <c r="J128" s="3" t="s">
        <v>821</v>
      </c>
      <c r="K128" s="3" t="s">
        <v>261</v>
      </c>
      <c r="L128" s="75">
        <v>442</v>
      </c>
      <c r="M128" t="s">
        <v>822</v>
      </c>
    </row>
    <row r="129" spans="1:13" x14ac:dyDescent="0.2">
      <c r="A129" s="5" t="s">
        <v>823</v>
      </c>
      <c r="B129" s="5" t="s">
        <v>271</v>
      </c>
      <c r="C129" s="77">
        <v>446</v>
      </c>
      <c r="D129" t="s">
        <v>824</v>
      </c>
      <c r="E129" t="b">
        <v>1</v>
      </c>
      <c r="F129" t="b">
        <v>1</v>
      </c>
      <c r="G129" t="b">
        <v>1</v>
      </c>
      <c r="H129" s="11" t="b">
        <v>0</v>
      </c>
      <c r="I129" t="s">
        <v>272</v>
      </c>
      <c r="J129" s="3" t="s">
        <v>823</v>
      </c>
      <c r="K129" s="3" t="s">
        <v>271</v>
      </c>
      <c r="L129" s="75">
        <v>446</v>
      </c>
      <c r="M129" t="s">
        <v>1111</v>
      </c>
    </row>
    <row r="130" spans="1:13" x14ac:dyDescent="0.2">
      <c r="A130" s="5" t="s">
        <v>827</v>
      </c>
      <c r="B130" s="5" t="s">
        <v>267</v>
      </c>
      <c r="C130" s="77">
        <v>450</v>
      </c>
      <c r="D130" t="s">
        <v>828</v>
      </c>
      <c r="E130" t="b">
        <v>1</v>
      </c>
      <c r="F130" t="b">
        <v>1</v>
      </c>
      <c r="G130" t="b">
        <v>1</v>
      </c>
      <c r="H130" t="b">
        <v>1</v>
      </c>
      <c r="I130" t="s">
        <v>268</v>
      </c>
      <c r="J130" s="3" t="s">
        <v>827</v>
      </c>
      <c r="K130" s="3" t="s">
        <v>267</v>
      </c>
      <c r="L130" s="75">
        <v>450</v>
      </c>
      <c r="M130" t="s">
        <v>828</v>
      </c>
    </row>
    <row r="131" spans="1:13" x14ac:dyDescent="0.2">
      <c r="A131" s="5" t="s">
        <v>829</v>
      </c>
      <c r="B131" s="5" t="s">
        <v>263</v>
      </c>
      <c r="C131" s="77">
        <v>454</v>
      </c>
      <c r="D131" t="s">
        <v>830</v>
      </c>
      <c r="E131" t="b">
        <v>1</v>
      </c>
      <c r="F131" t="b">
        <v>1</v>
      </c>
      <c r="G131" t="b">
        <v>1</v>
      </c>
      <c r="H131" t="b">
        <v>1</v>
      </c>
      <c r="I131" t="s">
        <v>264</v>
      </c>
      <c r="J131" s="3" t="s">
        <v>829</v>
      </c>
      <c r="K131" s="3" t="s">
        <v>263</v>
      </c>
      <c r="L131" s="75">
        <v>454</v>
      </c>
      <c r="M131" t="s">
        <v>830</v>
      </c>
    </row>
    <row r="132" spans="1:13" x14ac:dyDescent="0.2">
      <c r="A132" s="5" t="s">
        <v>831</v>
      </c>
      <c r="B132" s="5" t="s">
        <v>265</v>
      </c>
      <c r="C132" s="77">
        <v>458</v>
      </c>
      <c r="D132" t="s">
        <v>832</v>
      </c>
      <c r="E132" t="b">
        <v>1</v>
      </c>
      <c r="F132" t="b">
        <v>1</v>
      </c>
      <c r="G132" t="b">
        <v>1</v>
      </c>
      <c r="H132" t="b">
        <v>1</v>
      </c>
      <c r="I132" t="s">
        <v>266</v>
      </c>
      <c r="J132" s="3" t="s">
        <v>831</v>
      </c>
      <c r="K132" s="3" t="s">
        <v>265</v>
      </c>
      <c r="L132" s="75">
        <v>458</v>
      </c>
      <c r="M132" t="s">
        <v>832</v>
      </c>
    </row>
    <row r="133" spans="1:13" x14ac:dyDescent="0.2">
      <c r="A133" s="5" t="s">
        <v>833</v>
      </c>
      <c r="B133" s="5" t="s">
        <v>269</v>
      </c>
      <c r="C133" s="77">
        <v>462</v>
      </c>
      <c r="D133" t="s">
        <v>834</v>
      </c>
      <c r="E133" t="b">
        <v>1</v>
      </c>
      <c r="F133" t="b">
        <v>1</v>
      </c>
      <c r="G133" t="b">
        <v>1</v>
      </c>
      <c r="H133" t="b">
        <v>1</v>
      </c>
      <c r="I133" t="s">
        <v>270</v>
      </c>
      <c r="J133" s="3" t="s">
        <v>833</v>
      </c>
      <c r="K133" s="3" t="s">
        <v>269</v>
      </c>
      <c r="L133" s="75">
        <v>462</v>
      </c>
      <c r="M133" t="s">
        <v>834</v>
      </c>
    </row>
    <row r="134" spans="1:13" x14ac:dyDescent="0.2">
      <c r="A134" s="5" t="s">
        <v>835</v>
      </c>
      <c r="B134" s="5" t="s">
        <v>279</v>
      </c>
      <c r="C134" s="77">
        <v>466</v>
      </c>
      <c r="D134" t="s">
        <v>836</v>
      </c>
      <c r="E134" t="b">
        <v>1</v>
      </c>
      <c r="F134" t="b">
        <v>1</v>
      </c>
      <c r="G134" t="b">
        <v>1</v>
      </c>
      <c r="H134" t="b">
        <v>1</v>
      </c>
      <c r="I134" t="s">
        <v>280</v>
      </c>
      <c r="J134" s="3" t="s">
        <v>835</v>
      </c>
      <c r="K134" s="3" t="s">
        <v>279</v>
      </c>
      <c r="L134" s="75">
        <v>466</v>
      </c>
      <c r="M134" t="s">
        <v>836</v>
      </c>
    </row>
    <row r="135" spans="1:13" x14ac:dyDescent="0.2">
      <c r="A135" s="5" t="s">
        <v>837</v>
      </c>
      <c r="B135" s="5" t="s">
        <v>275</v>
      </c>
      <c r="C135" s="77">
        <v>470</v>
      </c>
      <c r="D135" t="s">
        <v>838</v>
      </c>
      <c r="E135" t="b">
        <v>1</v>
      </c>
      <c r="F135" t="b">
        <v>1</v>
      </c>
      <c r="G135" t="b">
        <v>1</v>
      </c>
      <c r="H135" t="b">
        <v>1</v>
      </c>
      <c r="I135" t="s">
        <v>276</v>
      </c>
      <c r="J135" s="3" t="s">
        <v>837</v>
      </c>
      <c r="K135" s="3" t="s">
        <v>275</v>
      </c>
      <c r="L135" s="75">
        <v>470</v>
      </c>
      <c r="M135" t="s">
        <v>838</v>
      </c>
    </row>
    <row r="136" spans="1:13" x14ac:dyDescent="0.2">
      <c r="A136" s="5" t="s">
        <v>841</v>
      </c>
      <c r="B136" s="5" t="s">
        <v>273</v>
      </c>
      <c r="C136" s="77">
        <v>474</v>
      </c>
      <c r="D136" t="s">
        <v>842</v>
      </c>
      <c r="E136" t="b">
        <v>1</v>
      </c>
      <c r="F136" t="b">
        <v>1</v>
      </c>
      <c r="G136" t="b">
        <v>1</v>
      </c>
      <c r="H136" t="b">
        <v>1</v>
      </c>
      <c r="I136" t="s">
        <v>274</v>
      </c>
      <c r="J136" s="3" t="s">
        <v>841</v>
      </c>
      <c r="K136" s="3" t="s">
        <v>273</v>
      </c>
      <c r="L136" s="75">
        <v>474</v>
      </c>
      <c r="M136" t="s">
        <v>842</v>
      </c>
    </row>
    <row r="137" spans="1:13" x14ac:dyDescent="0.2">
      <c r="A137" s="5" t="s">
        <v>843</v>
      </c>
      <c r="B137" s="5" t="s">
        <v>285</v>
      </c>
      <c r="C137" s="77">
        <v>478</v>
      </c>
      <c r="D137" t="s">
        <v>844</v>
      </c>
      <c r="E137" t="b">
        <v>1</v>
      </c>
      <c r="F137" t="b">
        <v>1</v>
      </c>
      <c r="G137" t="b">
        <v>1</v>
      </c>
      <c r="H137" t="b">
        <v>1</v>
      </c>
      <c r="I137" t="s">
        <v>286</v>
      </c>
      <c r="J137" s="3" t="s">
        <v>843</v>
      </c>
      <c r="K137" s="3" t="s">
        <v>285</v>
      </c>
      <c r="L137" s="75">
        <v>478</v>
      </c>
      <c r="M137" t="s">
        <v>844</v>
      </c>
    </row>
    <row r="138" spans="1:13" x14ac:dyDescent="0.2">
      <c r="A138" s="5" t="s">
        <v>845</v>
      </c>
      <c r="B138" s="5" t="s">
        <v>281</v>
      </c>
      <c r="C138" s="77">
        <v>480</v>
      </c>
      <c r="D138" t="s">
        <v>846</v>
      </c>
      <c r="E138" t="b">
        <v>1</v>
      </c>
      <c r="F138" t="b">
        <v>1</v>
      </c>
      <c r="G138" t="b">
        <v>1</v>
      </c>
      <c r="H138" t="b">
        <v>1</v>
      </c>
      <c r="I138" t="s">
        <v>282</v>
      </c>
      <c r="J138" s="3" t="s">
        <v>845</v>
      </c>
      <c r="K138" s="3" t="s">
        <v>281</v>
      </c>
      <c r="L138" s="75">
        <v>480</v>
      </c>
      <c r="M138" t="s">
        <v>846</v>
      </c>
    </row>
    <row r="139" spans="1:13" x14ac:dyDescent="0.2">
      <c r="A139" s="5" t="s">
        <v>849</v>
      </c>
      <c r="B139" s="5" t="s">
        <v>287</v>
      </c>
      <c r="C139" s="77">
        <v>484</v>
      </c>
      <c r="D139" t="s">
        <v>850</v>
      </c>
      <c r="E139" t="b">
        <v>1</v>
      </c>
      <c r="F139" t="b">
        <v>1</v>
      </c>
      <c r="G139" t="b">
        <v>1</v>
      </c>
      <c r="H139" t="b">
        <v>1</v>
      </c>
      <c r="I139" t="s">
        <v>288</v>
      </c>
      <c r="J139" s="3" t="s">
        <v>849</v>
      </c>
      <c r="K139" s="3" t="s">
        <v>287</v>
      </c>
      <c r="L139" s="75">
        <v>484</v>
      </c>
      <c r="M139" t="s">
        <v>850</v>
      </c>
    </row>
    <row r="140" spans="1:13" x14ac:dyDescent="0.2">
      <c r="A140" s="5" t="s">
        <v>858</v>
      </c>
      <c r="B140" s="5" t="s">
        <v>293</v>
      </c>
      <c r="C140" s="77">
        <v>492</v>
      </c>
      <c r="D140" t="s">
        <v>859</v>
      </c>
      <c r="E140" t="b">
        <v>1</v>
      </c>
      <c r="F140" t="b">
        <v>1</v>
      </c>
      <c r="G140" t="b">
        <v>1</v>
      </c>
      <c r="H140" t="b">
        <v>1</v>
      </c>
      <c r="I140" t="s">
        <v>294</v>
      </c>
      <c r="J140" s="3" t="s">
        <v>858</v>
      </c>
      <c r="K140" s="3" t="s">
        <v>293</v>
      </c>
      <c r="L140" s="75">
        <v>492</v>
      </c>
      <c r="M140" t="s">
        <v>859</v>
      </c>
    </row>
    <row r="141" spans="1:13" x14ac:dyDescent="0.2">
      <c r="A141" s="5" t="s">
        <v>860</v>
      </c>
      <c r="B141" s="5" t="s">
        <v>291</v>
      </c>
      <c r="C141" s="77">
        <v>496</v>
      </c>
      <c r="D141" t="s">
        <v>861</v>
      </c>
      <c r="E141" t="b">
        <v>1</v>
      </c>
      <c r="F141" t="b">
        <v>1</v>
      </c>
      <c r="G141" t="b">
        <v>1</v>
      </c>
      <c r="H141" t="b">
        <v>1</v>
      </c>
      <c r="I141" t="s">
        <v>292</v>
      </c>
      <c r="J141" s="3" t="s">
        <v>860</v>
      </c>
      <c r="K141" s="3" t="s">
        <v>291</v>
      </c>
      <c r="L141" s="75">
        <v>496</v>
      </c>
      <c r="M141" t="s">
        <v>861</v>
      </c>
    </row>
    <row r="142" spans="1:13" x14ac:dyDescent="0.2">
      <c r="A142" s="5" t="s">
        <v>856</v>
      </c>
      <c r="B142" s="5" t="s">
        <v>289</v>
      </c>
      <c r="C142" s="77">
        <v>498</v>
      </c>
      <c r="D142" t="s">
        <v>857</v>
      </c>
      <c r="E142" t="b">
        <v>1</v>
      </c>
      <c r="F142" t="b">
        <v>1</v>
      </c>
      <c r="G142" t="b">
        <v>1</v>
      </c>
      <c r="H142" s="11" t="b">
        <v>0</v>
      </c>
      <c r="I142" t="s">
        <v>290</v>
      </c>
      <c r="J142" s="3" t="s">
        <v>856</v>
      </c>
      <c r="K142" s="3" t="s">
        <v>289</v>
      </c>
      <c r="L142" s="75">
        <v>498</v>
      </c>
      <c r="M142" t="s">
        <v>1114</v>
      </c>
    </row>
    <row r="143" spans="1:13" x14ac:dyDescent="0.2">
      <c r="A143" s="5" t="s">
        <v>862</v>
      </c>
      <c r="B143" s="5" t="s">
        <v>299</v>
      </c>
      <c r="C143" s="77">
        <v>499</v>
      </c>
      <c r="D143" t="s">
        <v>863</v>
      </c>
      <c r="E143" t="b">
        <v>1</v>
      </c>
      <c r="F143" t="b">
        <v>1</v>
      </c>
      <c r="G143" t="b">
        <v>1</v>
      </c>
      <c r="H143" t="b">
        <v>1</v>
      </c>
      <c r="I143" t="s">
        <v>300</v>
      </c>
      <c r="J143" s="3" t="s">
        <v>862</v>
      </c>
      <c r="K143" s="3" t="s">
        <v>299</v>
      </c>
      <c r="L143" s="75">
        <v>499</v>
      </c>
      <c r="M143" t="s">
        <v>863</v>
      </c>
    </row>
    <row r="144" spans="1:13" x14ac:dyDescent="0.2">
      <c r="A144" s="5" t="s">
        <v>864</v>
      </c>
      <c r="B144" s="5" t="s">
        <v>301</v>
      </c>
      <c r="C144" s="77">
        <v>500</v>
      </c>
      <c r="D144" t="s">
        <v>865</v>
      </c>
      <c r="E144" t="b">
        <v>1</v>
      </c>
      <c r="F144" t="b">
        <v>1</v>
      </c>
      <c r="G144" t="b">
        <v>1</v>
      </c>
      <c r="H144" t="b">
        <v>1</v>
      </c>
      <c r="I144" t="s">
        <v>103</v>
      </c>
      <c r="J144" s="3" t="s">
        <v>864</v>
      </c>
      <c r="K144" s="3" t="s">
        <v>301</v>
      </c>
      <c r="L144" s="75">
        <v>500</v>
      </c>
      <c r="M144" t="s">
        <v>865</v>
      </c>
    </row>
    <row r="145" spans="1:13" x14ac:dyDescent="0.2">
      <c r="A145" s="5" t="s">
        <v>866</v>
      </c>
      <c r="B145" s="5" t="s">
        <v>297</v>
      </c>
      <c r="C145" s="77">
        <v>504</v>
      </c>
      <c r="D145" t="s">
        <v>867</v>
      </c>
      <c r="E145" t="b">
        <v>1</v>
      </c>
      <c r="F145" t="b">
        <v>1</v>
      </c>
      <c r="G145" t="b">
        <v>1</v>
      </c>
      <c r="H145" t="b">
        <v>1</v>
      </c>
      <c r="I145" t="s">
        <v>298</v>
      </c>
      <c r="J145" s="3" t="s">
        <v>866</v>
      </c>
      <c r="K145" s="3" t="s">
        <v>297</v>
      </c>
      <c r="L145" s="75">
        <v>504</v>
      </c>
      <c r="M145" t="s">
        <v>867</v>
      </c>
    </row>
    <row r="146" spans="1:13" x14ac:dyDescent="0.2">
      <c r="A146" s="5" t="s">
        <v>868</v>
      </c>
      <c r="B146" s="5" t="s">
        <v>295</v>
      </c>
      <c r="C146" s="77">
        <v>508</v>
      </c>
      <c r="D146" t="s">
        <v>869</v>
      </c>
      <c r="E146" t="b">
        <v>1</v>
      </c>
      <c r="F146" t="b">
        <v>1</v>
      </c>
      <c r="G146" t="b">
        <v>1</v>
      </c>
      <c r="H146" t="b">
        <v>1</v>
      </c>
      <c r="I146" t="s">
        <v>296</v>
      </c>
      <c r="J146" s="3" t="s">
        <v>868</v>
      </c>
      <c r="K146" s="3" t="s">
        <v>295</v>
      </c>
      <c r="L146" s="75">
        <v>508</v>
      </c>
      <c r="M146" t="s">
        <v>869</v>
      </c>
    </row>
    <row r="147" spans="1:13" x14ac:dyDescent="0.2">
      <c r="A147" s="5" t="s">
        <v>899</v>
      </c>
      <c r="B147" s="5" t="s">
        <v>134</v>
      </c>
      <c r="C147" s="77">
        <v>512</v>
      </c>
      <c r="D147" t="s">
        <v>900</v>
      </c>
      <c r="E147" t="b">
        <v>1</v>
      </c>
      <c r="F147" t="b">
        <v>1</v>
      </c>
      <c r="G147" t="b">
        <v>1</v>
      </c>
      <c r="H147" t="b">
        <v>1</v>
      </c>
      <c r="I147" t="s">
        <v>135</v>
      </c>
      <c r="J147" s="3" t="s">
        <v>899</v>
      </c>
      <c r="K147" s="3" t="s">
        <v>134</v>
      </c>
      <c r="L147" s="75">
        <v>512</v>
      </c>
      <c r="M147" t="s">
        <v>900</v>
      </c>
    </row>
    <row r="148" spans="1:13" x14ac:dyDescent="0.2">
      <c r="A148" s="5" t="s">
        <v>870</v>
      </c>
      <c r="B148" s="5" t="s">
        <v>106</v>
      </c>
      <c r="C148" s="77">
        <v>516</v>
      </c>
      <c r="D148" t="s">
        <v>871</v>
      </c>
      <c r="E148" t="b">
        <v>1</v>
      </c>
      <c r="F148" t="b">
        <v>1</v>
      </c>
      <c r="G148" t="b">
        <v>1</v>
      </c>
      <c r="H148" t="b">
        <v>1</v>
      </c>
      <c r="I148" t="s">
        <v>107</v>
      </c>
      <c r="J148" s="3" t="s">
        <v>870</v>
      </c>
      <c r="K148" s="3" t="s">
        <v>106</v>
      </c>
      <c r="L148" s="75">
        <v>516</v>
      </c>
      <c r="M148" t="s">
        <v>871</v>
      </c>
    </row>
    <row r="149" spans="1:13" x14ac:dyDescent="0.2">
      <c r="A149" s="5" t="s">
        <v>872</v>
      </c>
      <c r="B149" s="5" t="s">
        <v>112</v>
      </c>
      <c r="C149" s="77">
        <v>520</v>
      </c>
      <c r="D149" t="s">
        <v>873</v>
      </c>
      <c r="E149" t="b">
        <v>1</v>
      </c>
      <c r="F149" t="b">
        <v>1</v>
      </c>
      <c r="G149" t="b">
        <v>1</v>
      </c>
      <c r="H149" t="b">
        <v>1</v>
      </c>
      <c r="I149" t="s">
        <v>113</v>
      </c>
      <c r="J149" s="3" t="s">
        <v>872</v>
      </c>
      <c r="K149" s="3" t="s">
        <v>112</v>
      </c>
      <c r="L149" s="75">
        <v>520</v>
      </c>
      <c r="M149" t="s">
        <v>873</v>
      </c>
    </row>
    <row r="150" spans="1:13" x14ac:dyDescent="0.2">
      <c r="A150" s="5" t="s">
        <v>877</v>
      </c>
      <c r="B150" s="5" t="s">
        <v>110</v>
      </c>
      <c r="C150" s="77">
        <v>524</v>
      </c>
      <c r="D150" t="s">
        <v>878</v>
      </c>
      <c r="E150" t="b">
        <v>1</v>
      </c>
      <c r="F150" t="b">
        <v>1</v>
      </c>
      <c r="G150" t="b">
        <v>1</v>
      </c>
      <c r="H150" t="b">
        <v>1</v>
      </c>
      <c r="I150" t="s">
        <v>111</v>
      </c>
      <c r="J150" s="3" t="s">
        <v>877</v>
      </c>
      <c r="K150" s="3" t="s">
        <v>110</v>
      </c>
      <c r="L150" s="75">
        <v>524</v>
      </c>
      <c r="M150" t="s">
        <v>878</v>
      </c>
    </row>
    <row r="151" spans="1:13" x14ac:dyDescent="0.2">
      <c r="A151" s="5" t="s">
        <v>879</v>
      </c>
      <c r="B151" s="5" t="s">
        <v>108</v>
      </c>
      <c r="C151" s="77">
        <v>528</v>
      </c>
      <c r="D151" t="s">
        <v>880</v>
      </c>
      <c r="E151" t="b">
        <v>1</v>
      </c>
      <c r="F151" t="b">
        <v>1</v>
      </c>
      <c r="G151" t="b">
        <v>1</v>
      </c>
      <c r="H151" t="b">
        <v>1</v>
      </c>
      <c r="I151" t="s">
        <v>109</v>
      </c>
      <c r="J151" s="3" t="s">
        <v>879</v>
      </c>
      <c r="K151" s="3" t="s">
        <v>108</v>
      </c>
      <c r="L151" s="75">
        <v>528</v>
      </c>
      <c r="M151" t="s">
        <v>880</v>
      </c>
    </row>
    <row r="152" spans="1:13" x14ac:dyDescent="0.2">
      <c r="A152" s="5" t="s">
        <v>629</v>
      </c>
      <c r="B152" s="5" t="s">
        <v>320</v>
      </c>
      <c r="C152" s="77">
        <v>531</v>
      </c>
      <c r="D152" t="s">
        <v>630</v>
      </c>
      <c r="E152" t="b">
        <v>1</v>
      </c>
      <c r="F152" t="b">
        <v>1</v>
      </c>
      <c r="G152" t="b">
        <v>1</v>
      </c>
      <c r="H152" t="b">
        <v>1</v>
      </c>
      <c r="I152" t="s">
        <v>321</v>
      </c>
      <c r="J152" s="3" t="s">
        <v>629</v>
      </c>
      <c r="K152" s="3" t="s">
        <v>320</v>
      </c>
      <c r="L152" s="75">
        <v>531</v>
      </c>
      <c r="M152" t="s">
        <v>630</v>
      </c>
    </row>
    <row r="153" spans="1:13" x14ac:dyDescent="0.2">
      <c r="A153" s="5" t="s">
        <v>524</v>
      </c>
      <c r="B153" s="5" t="s">
        <v>423</v>
      </c>
      <c r="C153" s="77">
        <v>533</v>
      </c>
      <c r="D153" t="s">
        <v>525</v>
      </c>
      <c r="E153" t="b">
        <v>1</v>
      </c>
      <c r="F153" t="b">
        <v>1</v>
      </c>
      <c r="G153" t="b">
        <v>1</v>
      </c>
      <c r="H153" t="b">
        <v>1</v>
      </c>
      <c r="I153" t="s">
        <v>424</v>
      </c>
      <c r="J153" s="3" t="s">
        <v>524</v>
      </c>
      <c r="K153" s="3" t="s">
        <v>423</v>
      </c>
      <c r="L153" s="75">
        <v>533</v>
      </c>
      <c r="M153" t="s">
        <v>525</v>
      </c>
    </row>
    <row r="154" spans="1:13" x14ac:dyDescent="0.2">
      <c r="A154" s="5" t="s">
        <v>972</v>
      </c>
      <c r="B154" s="5" t="s">
        <v>13</v>
      </c>
      <c r="C154" s="77">
        <v>534</v>
      </c>
      <c r="D154" t="s">
        <v>973</v>
      </c>
      <c r="E154" t="b">
        <v>1</v>
      </c>
      <c r="F154" t="b">
        <v>1</v>
      </c>
      <c r="G154" t="b">
        <v>1</v>
      </c>
      <c r="H154" s="11" t="b">
        <v>0</v>
      </c>
      <c r="I154" t="s">
        <v>14</v>
      </c>
      <c r="J154" s="3" t="s">
        <v>972</v>
      </c>
      <c r="K154" s="3" t="s">
        <v>13</v>
      </c>
      <c r="L154" s="75">
        <v>534</v>
      </c>
      <c r="M154" t="s">
        <v>1123</v>
      </c>
    </row>
    <row r="155" spans="1:13" x14ac:dyDescent="0.2">
      <c r="A155" s="5" t="s">
        <v>563</v>
      </c>
      <c r="B155" s="5" t="s">
        <v>453</v>
      </c>
      <c r="C155" s="77">
        <v>535</v>
      </c>
      <c r="D155" t="s">
        <v>564</v>
      </c>
      <c r="E155" t="b">
        <v>1</v>
      </c>
      <c r="F155" t="b">
        <v>1</v>
      </c>
      <c r="G155" t="b">
        <v>1</v>
      </c>
      <c r="H155" s="11" t="b">
        <v>0</v>
      </c>
      <c r="I155" t="s">
        <v>454</v>
      </c>
      <c r="J155" s="3" t="s">
        <v>563</v>
      </c>
      <c r="K155" s="3" t="s">
        <v>453</v>
      </c>
      <c r="L155" s="75">
        <v>535</v>
      </c>
      <c r="M155" t="s">
        <v>1099</v>
      </c>
    </row>
    <row r="156" spans="1:13" x14ac:dyDescent="0.2">
      <c r="A156" s="5" t="s">
        <v>881</v>
      </c>
      <c r="B156" s="5" t="s">
        <v>122</v>
      </c>
      <c r="C156" s="77">
        <v>540</v>
      </c>
      <c r="D156" t="s">
        <v>882</v>
      </c>
      <c r="E156" t="b">
        <v>1</v>
      </c>
      <c r="F156" t="b">
        <v>1</v>
      </c>
      <c r="G156" t="b">
        <v>1</v>
      </c>
      <c r="H156" t="b">
        <v>1</v>
      </c>
      <c r="I156" t="s">
        <v>123</v>
      </c>
      <c r="J156" s="3" t="s">
        <v>881</v>
      </c>
      <c r="K156" s="3" t="s">
        <v>122</v>
      </c>
      <c r="L156" s="75">
        <v>540</v>
      </c>
      <c r="M156" t="s">
        <v>882</v>
      </c>
    </row>
    <row r="157" spans="1:13" x14ac:dyDescent="0.2">
      <c r="A157" s="5" t="s">
        <v>1058</v>
      </c>
      <c r="B157" s="5" t="s">
        <v>0</v>
      </c>
      <c r="C157" s="77">
        <v>548</v>
      </c>
      <c r="D157" t="s">
        <v>1059</v>
      </c>
      <c r="E157" t="b">
        <v>1</v>
      </c>
      <c r="F157" t="b">
        <v>1</v>
      </c>
      <c r="G157" t="b">
        <v>1</v>
      </c>
      <c r="H157" t="b">
        <v>1</v>
      </c>
      <c r="I157" t="s">
        <v>1</v>
      </c>
      <c r="J157" s="3" t="s">
        <v>1058</v>
      </c>
      <c r="K157" s="3" t="s">
        <v>0</v>
      </c>
      <c r="L157" s="75">
        <v>548</v>
      </c>
      <c r="M157" t="s">
        <v>1059</v>
      </c>
    </row>
    <row r="158" spans="1:13" x14ac:dyDescent="0.2">
      <c r="A158" s="5" t="s">
        <v>883</v>
      </c>
      <c r="B158" s="5" t="s">
        <v>114</v>
      </c>
      <c r="C158" s="77">
        <v>554</v>
      </c>
      <c r="D158" t="s">
        <v>884</v>
      </c>
      <c r="E158" t="b">
        <v>1</v>
      </c>
      <c r="F158" t="b">
        <v>1</v>
      </c>
      <c r="G158" t="b">
        <v>1</v>
      </c>
      <c r="H158" t="b">
        <v>1</v>
      </c>
      <c r="I158" t="s">
        <v>115</v>
      </c>
      <c r="J158" s="3" t="s">
        <v>883</v>
      </c>
      <c r="K158" s="3" t="s">
        <v>114</v>
      </c>
      <c r="L158" s="75">
        <v>554</v>
      </c>
      <c r="M158" t="s">
        <v>884</v>
      </c>
    </row>
    <row r="159" spans="1:13" x14ac:dyDescent="0.2">
      <c r="A159" s="5" t="s">
        <v>885</v>
      </c>
      <c r="B159" s="5" t="s">
        <v>118</v>
      </c>
      <c r="C159" s="77">
        <v>558</v>
      </c>
      <c r="D159" t="s">
        <v>886</v>
      </c>
      <c r="E159" t="b">
        <v>1</v>
      </c>
      <c r="F159" t="b">
        <v>1</v>
      </c>
      <c r="G159" t="b">
        <v>1</v>
      </c>
      <c r="H159" t="b">
        <v>1</v>
      </c>
      <c r="I159" t="s">
        <v>119</v>
      </c>
      <c r="J159" s="3" t="s">
        <v>885</v>
      </c>
      <c r="K159" s="3" t="s">
        <v>118</v>
      </c>
      <c r="L159" s="75">
        <v>558</v>
      </c>
      <c r="M159" t="s">
        <v>886</v>
      </c>
    </row>
    <row r="160" spans="1:13" x14ac:dyDescent="0.2">
      <c r="A160" s="5" t="s">
        <v>887</v>
      </c>
      <c r="B160" s="5" t="s">
        <v>124</v>
      </c>
      <c r="C160" s="77">
        <v>562</v>
      </c>
      <c r="D160" t="s">
        <v>888</v>
      </c>
      <c r="E160" t="b">
        <v>1</v>
      </c>
      <c r="F160" t="b">
        <v>1</v>
      </c>
      <c r="G160" t="b">
        <v>1</v>
      </c>
      <c r="H160" t="b">
        <v>1</v>
      </c>
      <c r="I160" t="s">
        <v>125</v>
      </c>
      <c r="J160" s="3" t="s">
        <v>887</v>
      </c>
      <c r="K160" s="3" t="s">
        <v>124</v>
      </c>
      <c r="L160" s="75">
        <v>562</v>
      </c>
      <c r="M160" t="s">
        <v>888</v>
      </c>
    </row>
    <row r="161" spans="1:13" x14ac:dyDescent="0.2">
      <c r="A161" s="5" t="s">
        <v>889</v>
      </c>
      <c r="B161" s="5" t="s">
        <v>116</v>
      </c>
      <c r="C161" s="77">
        <v>566</v>
      </c>
      <c r="D161" t="s">
        <v>890</v>
      </c>
      <c r="E161" t="b">
        <v>1</v>
      </c>
      <c r="F161" t="b">
        <v>1</v>
      </c>
      <c r="G161" t="b">
        <v>1</v>
      </c>
      <c r="H161" t="b">
        <v>1</v>
      </c>
      <c r="I161" t="s">
        <v>117</v>
      </c>
      <c r="J161" s="3" t="s">
        <v>889</v>
      </c>
      <c r="K161" s="3" t="s">
        <v>116</v>
      </c>
      <c r="L161" s="75">
        <v>566</v>
      </c>
      <c r="M161" t="s">
        <v>890</v>
      </c>
    </row>
    <row r="162" spans="1:13" x14ac:dyDescent="0.2">
      <c r="A162" s="5" t="s">
        <v>891</v>
      </c>
      <c r="B162" s="5" t="s">
        <v>120</v>
      </c>
      <c r="C162" s="77">
        <v>570</v>
      </c>
      <c r="D162" t="s">
        <v>892</v>
      </c>
      <c r="E162" t="b">
        <v>1</v>
      </c>
      <c r="F162" t="b">
        <v>1</v>
      </c>
      <c r="G162" t="b">
        <v>1</v>
      </c>
      <c r="H162" t="b">
        <v>1</v>
      </c>
      <c r="I162" t="s">
        <v>121</v>
      </c>
      <c r="J162" s="3" t="s">
        <v>891</v>
      </c>
      <c r="K162" s="3" t="s">
        <v>120</v>
      </c>
      <c r="L162" s="75">
        <v>570</v>
      </c>
      <c r="M162" t="s">
        <v>892</v>
      </c>
    </row>
    <row r="163" spans="1:13" x14ac:dyDescent="0.2">
      <c r="A163" s="5" t="s">
        <v>893</v>
      </c>
      <c r="B163" s="5" t="s">
        <v>132</v>
      </c>
      <c r="C163" s="77">
        <v>574</v>
      </c>
      <c r="D163" t="s">
        <v>894</v>
      </c>
      <c r="E163" t="b">
        <v>1</v>
      </c>
      <c r="F163" t="b">
        <v>1</v>
      </c>
      <c r="G163" t="b">
        <v>1</v>
      </c>
      <c r="H163" t="b">
        <v>1</v>
      </c>
      <c r="I163" t="s">
        <v>133</v>
      </c>
      <c r="J163" s="3" t="s">
        <v>893</v>
      </c>
      <c r="K163" s="3" t="s">
        <v>132</v>
      </c>
      <c r="L163" s="75">
        <v>574</v>
      </c>
      <c r="M163" t="s">
        <v>894</v>
      </c>
    </row>
    <row r="164" spans="1:13" x14ac:dyDescent="0.2">
      <c r="A164" s="5" t="s">
        <v>897</v>
      </c>
      <c r="B164" s="5" t="s">
        <v>128</v>
      </c>
      <c r="C164" s="77">
        <v>578</v>
      </c>
      <c r="D164" t="s">
        <v>898</v>
      </c>
      <c r="E164" t="b">
        <v>1</v>
      </c>
      <c r="F164" t="b">
        <v>1</v>
      </c>
      <c r="G164" t="b">
        <v>1</v>
      </c>
      <c r="H164" t="b">
        <v>1</v>
      </c>
      <c r="I164" t="s">
        <v>129</v>
      </c>
      <c r="J164" s="3" t="s">
        <v>897</v>
      </c>
      <c r="K164" s="3" t="s">
        <v>128</v>
      </c>
      <c r="L164" s="75">
        <v>578</v>
      </c>
      <c r="M164" t="s">
        <v>898</v>
      </c>
    </row>
    <row r="165" spans="1:13" x14ac:dyDescent="0.2">
      <c r="A165" s="5" t="s">
        <v>895</v>
      </c>
      <c r="B165" s="5" t="s">
        <v>130</v>
      </c>
      <c r="C165" s="77">
        <v>580</v>
      </c>
      <c r="D165" t="s">
        <v>896</v>
      </c>
      <c r="E165" t="b">
        <v>1</v>
      </c>
      <c r="F165" t="b">
        <v>1</v>
      </c>
      <c r="G165" t="b">
        <v>1</v>
      </c>
      <c r="H165" t="b">
        <v>1</v>
      </c>
      <c r="I165" t="s">
        <v>131</v>
      </c>
      <c r="J165" s="3" t="s">
        <v>895</v>
      </c>
      <c r="K165" s="3" t="s">
        <v>130</v>
      </c>
      <c r="L165" s="75">
        <v>580</v>
      </c>
      <c r="M165" t="s">
        <v>896</v>
      </c>
    </row>
    <row r="166" spans="1:13" x14ac:dyDescent="0.2">
      <c r="A166" s="5" t="s">
        <v>851</v>
      </c>
      <c r="B166" s="5" t="s">
        <v>360</v>
      </c>
      <c r="C166" s="77">
        <v>583</v>
      </c>
      <c r="D166" t="s">
        <v>852</v>
      </c>
      <c r="E166" t="b">
        <v>1</v>
      </c>
      <c r="F166" t="b">
        <v>1</v>
      </c>
      <c r="G166" t="b">
        <v>1</v>
      </c>
      <c r="H166" s="11" t="b">
        <v>0</v>
      </c>
      <c r="I166" t="s">
        <v>361</v>
      </c>
      <c r="J166" s="3" t="s">
        <v>851</v>
      </c>
      <c r="K166" s="3" t="s">
        <v>360</v>
      </c>
      <c r="L166" s="75">
        <v>583</v>
      </c>
      <c r="M166" t="s">
        <v>1113</v>
      </c>
    </row>
    <row r="167" spans="1:13" x14ac:dyDescent="0.2">
      <c r="A167" s="5" t="s">
        <v>839</v>
      </c>
      <c r="B167" s="5" t="s">
        <v>277</v>
      </c>
      <c r="C167" s="77">
        <v>584</v>
      </c>
      <c r="D167" t="s">
        <v>840</v>
      </c>
      <c r="E167" t="b">
        <v>1</v>
      </c>
      <c r="F167" t="b">
        <v>1</v>
      </c>
      <c r="G167" t="b">
        <v>1</v>
      </c>
      <c r="H167" t="b">
        <v>1</v>
      </c>
      <c r="I167" t="s">
        <v>278</v>
      </c>
      <c r="J167" s="3" t="s">
        <v>839</v>
      </c>
      <c r="K167" s="3" t="s">
        <v>277</v>
      </c>
      <c r="L167" s="75">
        <v>584</v>
      </c>
      <c r="M167" t="s">
        <v>840</v>
      </c>
    </row>
    <row r="168" spans="1:13" x14ac:dyDescent="0.2">
      <c r="A168" s="5" t="s">
        <v>903</v>
      </c>
      <c r="B168" s="5" t="s">
        <v>146</v>
      </c>
      <c r="C168" s="77">
        <v>585</v>
      </c>
      <c r="D168" t="s">
        <v>904</v>
      </c>
      <c r="E168" t="b">
        <v>1</v>
      </c>
      <c r="F168" t="b">
        <v>1</v>
      </c>
      <c r="G168" t="b">
        <v>1</v>
      </c>
      <c r="H168" t="b">
        <v>1</v>
      </c>
      <c r="I168" t="s">
        <v>147</v>
      </c>
      <c r="J168" s="3" t="s">
        <v>903</v>
      </c>
      <c r="K168" s="3" t="s">
        <v>146</v>
      </c>
      <c r="L168" s="75">
        <v>585</v>
      </c>
      <c r="M168" t="s">
        <v>904</v>
      </c>
    </row>
    <row r="169" spans="1:13" x14ac:dyDescent="0.2">
      <c r="A169" s="5" t="s">
        <v>901</v>
      </c>
      <c r="B169" s="5" t="s">
        <v>142</v>
      </c>
      <c r="C169" s="77">
        <v>586</v>
      </c>
      <c r="D169" t="s">
        <v>902</v>
      </c>
      <c r="E169" t="b">
        <v>1</v>
      </c>
      <c r="F169" t="b">
        <v>1</v>
      </c>
      <c r="G169" t="b">
        <v>1</v>
      </c>
      <c r="H169" t="b">
        <v>1</v>
      </c>
      <c r="I169" t="s">
        <v>143</v>
      </c>
      <c r="J169" s="3" t="s">
        <v>901</v>
      </c>
      <c r="K169" s="3" t="s">
        <v>142</v>
      </c>
      <c r="L169" s="75">
        <v>586</v>
      </c>
      <c r="M169" t="s">
        <v>902</v>
      </c>
    </row>
    <row r="170" spans="1:13" x14ac:dyDescent="0.2">
      <c r="A170" s="5" t="s">
        <v>909</v>
      </c>
      <c r="B170" s="5" t="s">
        <v>140</v>
      </c>
      <c r="C170" s="77">
        <v>591</v>
      </c>
      <c r="D170" t="s">
        <v>910</v>
      </c>
      <c r="E170" t="b">
        <v>1</v>
      </c>
      <c r="F170" t="b">
        <v>1</v>
      </c>
      <c r="G170" t="b">
        <v>1</v>
      </c>
      <c r="H170" t="b">
        <v>1</v>
      </c>
      <c r="I170" t="s">
        <v>141</v>
      </c>
      <c r="J170" s="3" t="s">
        <v>909</v>
      </c>
      <c r="K170" s="3" t="s">
        <v>140</v>
      </c>
      <c r="L170" s="75">
        <v>591</v>
      </c>
      <c r="M170" t="s">
        <v>910</v>
      </c>
    </row>
    <row r="171" spans="1:13" x14ac:dyDescent="0.2">
      <c r="A171" s="5" t="s">
        <v>911</v>
      </c>
      <c r="B171" s="5" t="s">
        <v>136</v>
      </c>
      <c r="C171" s="77">
        <v>598</v>
      </c>
      <c r="D171" t="s">
        <v>912</v>
      </c>
      <c r="E171" t="b">
        <v>1</v>
      </c>
      <c r="F171" t="b">
        <v>1</v>
      </c>
      <c r="G171" t="b">
        <v>1</v>
      </c>
      <c r="H171" t="b">
        <v>1</v>
      </c>
      <c r="I171" t="s">
        <v>137</v>
      </c>
      <c r="J171" s="3" t="s">
        <v>911</v>
      </c>
      <c r="K171" s="3" t="s">
        <v>136</v>
      </c>
      <c r="L171" s="75">
        <v>598</v>
      </c>
      <c r="M171" t="s">
        <v>912</v>
      </c>
    </row>
    <row r="172" spans="1:13" x14ac:dyDescent="0.2">
      <c r="A172" s="5" t="s">
        <v>916</v>
      </c>
      <c r="B172" s="5" t="s">
        <v>138</v>
      </c>
      <c r="C172" s="77">
        <v>600</v>
      </c>
      <c r="D172" t="s">
        <v>917</v>
      </c>
      <c r="E172" t="b">
        <v>1</v>
      </c>
      <c r="F172" t="b">
        <v>1</v>
      </c>
      <c r="G172" t="b">
        <v>1</v>
      </c>
      <c r="H172" t="b">
        <v>1</v>
      </c>
      <c r="I172" t="s">
        <v>139</v>
      </c>
      <c r="J172" s="3" t="s">
        <v>916</v>
      </c>
      <c r="K172" s="3" t="s">
        <v>138</v>
      </c>
      <c r="L172" s="75">
        <v>600</v>
      </c>
      <c r="M172" t="s">
        <v>917</v>
      </c>
    </row>
    <row r="173" spans="1:13" x14ac:dyDescent="0.2">
      <c r="A173" s="5" t="s">
        <v>918</v>
      </c>
      <c r="B173" s="5" t="s">
        <v>148</v>
      </c>
      <c r="C173" s="77">
        <v>604</v>
      </c>
      <c r="D173" t="s">
        <v>919</v>
      </c>
      <c r="E173" t="b">
        <v>1</v>
      </c>
      <c r="F173" t="b">
        <v>1</v>
      </c>
      <c r="G173" t="b">
        <v>1</v>
      </c>
      <c r="H173" t="b">
        <v>1</v>
      </c>
      <c r="I173" t="s">
        <v>149</v>
      </c>
      <c r="J173" s="3" t="s">
        <v>918</v>
      </c>
      <c r="K173" s="3" t="s">
        <v>148</v>
      </c>
      <c r="L173" s="75">
        <v>604</v>
      </c>
      <c r="M173" t="s">
        <v>919</v>
      </c>
    </row>
    <row r="174" spans="1:13" x14ac:dyDescent="0.2">
      <c r="A174" s="5" t="s">
        <v>920</v>
      </c>
      <c r="B174" s="5" t="s">
        <v>152</v>
      </c>
      <c r="C174" s="77">
        <v>608</v>
      </c>
      <c r="D174" t="s">
        <v>921</v>
      </c>
      <c r="E174" t="b">
        <v>1</v>
      </c>
      <c r="F174" t="b">
        <v>1</v>
      </c>
      <c r="G174" t="b">
        <v>1</v>
      </c>
      <c r="H174" t="b">
        <v>1</v>
      </c>
      <c r="I174" t="s">
        <v>153</v>
      </c>
      <c r="J174" s="3" t="s">
        <v>920</v>
      </c>
      <c r="K174" s="3" t="s">
        <v>152</v>
      </c>
      <c r="L174" s="75">
        <v>608</v>
      </c>
      <c r="M174" t="s">
        <v>921</v>
      </c>
    </row>
    <row r="175" spans="1:13" x14ac:dyDescent="0.2">
      <c r="A175" s="5" t="s">
        <v>922</v>
      </c>
      <c r="B175" s="5" t="s">
        <v>150</v>
      </c>
      <c r="C175" s="77">
        <v>612</v>
      </c>
      <c r="D175" t="s">
        <v>923</v>
      </c>
      <c r="E175" t="b">
        <v>1</v>
      </c>
      <c r="F175" t="b">
        <v>1</v>
      </c>
      <c r="G175" t="b">
        <v>1</v>
      </c>
      <c r="H175" s="11" t="b">
        <v>0</v>
      </c>
      <c r="I175" t="s">
        <v>151</v>
      </c>
      <c r="J175" s="3" t="s">
        <v>922</v>
      </c>
      <c r="K175" s="3" t="s">
        <v>150</v>
      </c>
      <c r="L175" s="75">
        <v>612</v>
      </c>
      <c r="M175" t="s">
        <v>1117</v>
      </c>
    </row>
    <row r="176" spans="1:13" x14ac:dyDescent="0.2">
      <c r="A176" s="5" t="s">
        <v>924</v>
      </c>
      <c r="B176" s="5" t="s">
        <v>156</v>
      </c>
      <c r="C176" s="77">
        <v>616</v>
      </c>
      <c r="D176" t="s">
        <v>925</v>
      </c>
      <c r="E176" t="b">
        <v>1</v>
      </c>
      <c r="F176" t="b">
        <v>1</v>
      </c>
      <c r="G176" t="b">
        <v>1</v>
      </c>
      <c r="H176" t="b">
        <v>1</v>
      </c>
      <c r="I176" t="s">
        <v>157</v>
      </c>
      <c r="J176" s="3" t="s">
        <v>924</v>
      </c>
      <c r="K176" s="3" t="s">
        <v>156</v>
      </c>
      <c r="L176" s="75">
        <v>616</v>
      </c>
      <c r="M176" t="s">
        <v>925</v>
      </c>
    </row>
    <row r="177" spans="1:13" x14ac:dyDescent="0.2">
      <c r="A177" s="5" t="s">
        <v>926</v>
      </c>
      <c r="B177" s="5" t="s">
        <v>154</v>
      </c>
      <c r="C177" s="77">
        <v>620</v>
      </c>
      <c r="D177" t="s">
        <v>927</v>
      </c>
      <c r="E177" t="b">
        <v>1</v>
      </c>
      <c r="F177" t="b">
        <v>1</v>
      </c>
      <c r="G177" t="b">
        <v>1</v>
      </c>
      <c r="H177" t="b">
        <v>1</v>
      </c>
      <c r="I177" t="s">
        <v>155</v>
      </c>
      <c r="J177" s="3" t="s">
        <v>926</v>
      </c>
      <c r="K177" s="3" t="s">
        <v>154</v>
      </c>
      <c r="L177" s="75">
        <v>620</v>
      </c>
      <c r="M177" t="s">
        <v>927</v>
      </c>
    </row>
    <row r="178" spans="1:13" x14ac:dyDescent="0.2">
      <c r="A178" s="5" t="s">
        <v>729</v>
      </c>
      <c r="B178" s="5" t="s">
        <v>384</v>
      </c>
      <c r="C178" s="77">
        <v>624</v>
      </c>
      <c r="D178" t="s">
        <v>730</v>
      </c>
      <c r="E178" t="b">
        <v>1</v>
      </c>
      <c r="F178" t="b">
        <v>1</v>
      </c>
      <c r="G178" t="b">
        <v>1</v>
      </c>
      <c r="H178" t="b">
        <v>1</v>
      </c>
      <c r="I178" t="s">
        <v>385</v>
      </c>
      <c r="J178" s="3" t="s">
        <v>729</v>
      </c>
      <c r="K178" s="3" t="s">
        <v>384</v>
      </c>
      <c r="L178" s="75">
        <v>624</v>
      </c>
      <c r="M178" t="s">
        <v>730</v>
      </c>
    </row>
    <row r="179" spans="1:13" x14ac:dyDescent="0.2">
      <c r="A179" s="5" t="s">
        <v>1018</v>
      </c>
      <c r="B179" s="5" t="s">
        <v>342</v>
      </c>
      <c r="C179" s="77">
        <v>626</v>
      </c>
      <c r="D179" t="s">
        <v>1019</v>
      </c>
      <c r="E179" t="b">
        <v>1</v>
      </c>
      <c r="F179" t="b">
        <v>1</v>
      </c>
      <c r="G179" t="b">
        <v>1</v>
      </c>
      <c r="H179" t="b">
        <v>1</v>
      </c>
      <c r="I179" t="s">
        <v>343</v>
      </c>
      <c r="J179" s="3" t="s">
        <v>1018</v>
      </c>
      <c r="K179" s="3" t="s">
        <v>342</v>
      </c>
      <c r="L179" s="75">
        <v>626</v>
      </c>
      <c r="M179" t="s">
        <v>1019</v>
      </c>
    </row>
    <row r="180" spans="1:13" x14ac:dyDescent="0.2">
      <c r="A180" s="5" t="s">
        <v>928</v>
      </c>
      <c r="B180" s="5" t="s">
        <v>160</v>
      </c>
      <c r="C180" s="77">
        <v>630</v>
      </c>
      <c r="D180" t="s">
        <v>929</v>
      </c>
      <c r="E180" t="b">
        <v>1</v>
      </c>
      <c r="F180" t="b">
        <v>1</v>
      </c>
      <c r="G180" t="b">
        <v>1</v>
      </c>
      <c r="H180" t="b">
        <v>1</v>
      </c>
      <c r="I180" t="s">
        <v>161</v>
      </c>
      <c r="J180" s="3" t="s">
        <v>928</v>
      </c>
      <c r="K180" s="3" t="s">
        <v>160</v>
      </c>
      <c r="L180" s="75">
        <v>630</v>
      </c>
      <c r="M180" t="s">
        <v>929</v>
      </c>
    </row>
    <row r="181" spans="1:13" x14ac:dyDescent="0.2">
      <c r="A181" s="5" t="s">
        <v>930</v>
      </c>
      <c r="B181" s="5" t="s">
        <v>158</v>
      </c>
      <c r="C181" s="77">
        <v>634</v>
      </c>
      <c r="D181" t="s">
        <v>931</v>
      </c>
      <c r="E181" t="b">
        <v>1</v>
      </c>
      <c r="F181" t="b">
        <v>1</v>
      </c>
      <c r="G181" t="b">
        <v>1</v>
      </c>
      <c r="H181" t="b">
        <v>1</v>
      </c>
      <c r="I181" t="s">
        <v>159</v>
      </c>
      <c r="J181" s="3" t="s">
        <v>930</v>
      </c>
      <c r="K181" s="3" t="s">
        <v>158</v>
      </c>
      <c r="L181" s="75">
        <v>634</v>
      </c>
      <c r="M181" t="s">
        <v>931</v>
      </c>
    </row>
    <row r="182" spans="1:13" x14ac:dyDescent="0.2">
      <c r="A182" s="5" t="s">
        <v>932</v>
      </c>
      <c r="B182" s="5" t="s">
        <v>162</v>
      </c>
      <c r="C182" s="77">
        <v>638</v>
      </c>
      <c r="D182" t="s">
        <v>933</v>
      </c>
      <c r="E182" t="b">
        <v>1</v>
      </c>
      <c r="F182" t="b">
        <v>1</v>
      </c>
      <c r="G182" t="b">
        <v>1</v>
      </c>
      <c r="H182" s="11" t="b">
        <v>0</v>
      </c>
      <c r="I182" t="s">
        <v>163</v>
      </c>
      <c r="J182" s="3" t="s">
        <v>932</v>
      </c>
      <c r="K182" s="3" t="s">
        <v>162</v>
      </c>
      <c r="L182" s="75">
        <v>638</v>
      </c>
      <c r="M182" t="s">
        <v>1118</v>
      </c>
    </row>
    <row r="183" spans="1:13" x14ac:dyDescent="0.2">
      <c r="A183" s="5" t="s">
        <v>934</v>
      </c>
      <c r="B183" s="5" t="s">
        <v>164</v>
      </c>
      <c r="C183" s="77">
        <v>642</v>
      </c>
      <c r="D183" t="s">
        <v>935</v>
      </c>
      <c r="E183" t="b">
        <v>1</v>
      </c>
      <c r="F183" t="b">
        <v>1</v>
      </c>
      <c r="G183" t="b">
        <v>1</v>
      </c>
      <c r="H183" t="b">
        <v>1</v>
      </c>
      <c r="I183" t="s">
        <v>165</v>
      </c>
      <c r="J183" s="3" t="s">
        <v>934</v>
      </c>
      <c r="K183" s="3" t="s">
        <v>164</v>
      </c>
      <c r="L183" s="75">
        <v>642</v>
      </c>
      <c r="M183" t="s">
        <v>935</v>
      </c>
    </row>
    <row r="184" spans="1:13" x14ac:dyDescent="0.2">
      <c r="A184" s="5" t="s">
        <v>936</v>
      </c>
      <c r="B184" s="5" t="s">
        <v>168</v>
      </c>
      <c r="C184" s="77">
        <v>643</v>
      </c>
      <c r="D184" t="s">
        <v>937</v>
      </c>
      <c r="E184" t="b">
        <v>1</v>
      </c>
      <c r="F184" t="b">
        <v>1</v>
      </c>
      <c r="G184" t="b">
        <v>1</v>
      </c>
      <c r="H184" s="11" t="b">
        <v>0</v>
      </c>
      <c r="I184" t="s">
        <v>169</v>
      </c>
      <c r="J184" s="3" t="s">
        <v>936</v>
      </c>
      <c r="K184" s="3" t="s">
        <v>168</v>
      </c>
      <c r="L184" s="75">
        <v>643</v>
      </c>
      <c r="M184" t="s">
        <v>1119</v>
      </c>
    </row>
    <row r="185" spans="1:13" x14ac:dyDescent="0.2">
      <c r="A185" s="5" t="s">
        <v>938</v>
      </c>
      <c r="B185" s="5" t="s">
        <v>166</v>
      </c>
      <c r="C185" s="77">
        <v>646</v>
      </c>
      <c r="D185" t="s">
        <v>939</v>
      </c>
      <c r="E185" t="b">
        <v>1</v>
      </c>
      <c r="F185" t="b">
        <v>1</v>
      </c>
      <c r="G185" t="b">
        <v>1</v>
      </c>
      <c r="H185" t="b">
        <v>1</v>
      </c>
      <c r="I185" t="s">
        <v>167</v>
      </c>
      <c r="J185" s="3" t="s">
        <v>938</v>
      </c>
      <c r="K185" s="3" t="s">
        <v>166</v>
      </c>
      <c r="L185" s="75">
        <v>646</v>
      </c>
      <c r="M185" t="s">
        <v>939</v>
      </c>
    </row>
    <row r="186" spans="1:13" x14ac:dyDescent="0.2">
      <c r="A186" s="5" t="s">
        <v>940</v>
      </c>
      <c r="B186" s="5" t="s">
        <v>178</v>
      </c>
      <c r="C186" s="77">
        <v>652</v>
      </c>
      <c r="D186" t="s">
        <v>941</v>
      </c>
      <c r="E186" t="b">
        <v>1</v>
      </c>
      <c r="F186" t="b">
        <v>1</v>
      </c>
      <c r="G186" s="11" t="b">
        <v>0</v>
      </c>
      <c r="H186" t="b">
        <v>1</v>
      </c>
      <c r="I186" t="s">
        <v>179</v>
      </c>
      <c r="J186" s="3" t="s">
        <v>940</v>
      </c>
      <c r="K186" s="3" t="s">
        <v>178</v>
      </c>
      <c r="L186" s="75">
        <v>652</v>
      </c>
      <c r="M186" t="s">
        <v>1120</v>
      </c>
    </row>
    <row r="187" spans="1:13" x14ac:dyDescent="0.2">
      <c r="A187" s="5" t="s">
        <v>942</v>
      </c>
      <c r="B187" s="5" t="s">
        <v>176</v>
      </c>
      <c r="C187" s="77">
        <v>654</v>
      </c>
      <c r="D187" t="s">
        <v>943</v>
      </c>
      <c r="E187" t="b">
        <v>1</v>
      </c>
      <c r="F187" t="b">
        <v>1</v>
      </c>
      <c r="G187" t="b">
        <v>1</v>
      </c>
      <c r="H187" s="11" t="b">
        <v>0</v>
      </c>
      <c r="I187" t="s">
        <v>177</v>
      </c>
      <c r="J187" s="3" t="s">
        <v>942</v>
      </c>
      <c r="K187" s="3" t="s">
        <v>176</v>
      </c>
      <c r="L187" s="75">
        <v>654</v>
      </c>
      <c r="M187" t="s">
        <v>1121</v>
      </c>
    </row>
    <row r="188" spans="1:13" x14ac:dyDescent="0.2">
      <c r="A188" s="5" t="s">
        <v>944</v>
      </c>
      <c r="B188" s="5" t="s">
        <v>170</v>
      </c>
      <c r="C188" s="77">
        <v>659</v>
      </c>
      <c r="D188" t="s">
        <v>945</v>
      </c>
      <c r="E188" t="b">
        <v>1</v>
      </c>
      <c r="F188" t="b">
        <v>1</v>
      </c>
      <c r="G188" t="b">
        <v>1</v>
      </c>
      <c r="H188" t="b">
        <v>1</v>
      </c>
      <c r="I188" t="s">
        <v>171</v>
      </c>
      <c r="J188" s="3" t="s">
        <v>944</v>
      </c>
      <c r="K188" s="3" t="s">
        <v>170</v>
      </c>
      <c r="L188" s="75">
        <v>659</v>
      </c>
      <c r="M188" t="s">
        <v>945</v>
      </c>
    </row>
    <row r="189" spans="1:13" x14ac:dyDescent="0.2">
      <c r="A189" s="5" t="s">
        <v>514</v>
      </c>
      <c r="B189" s="5" t="s">
        <v>411</v>
      </c>
      <c r="C189" s="77">
        <v>660</v>
      </c>
      <c r="D189" t="s">
        <v>515</v>
      </c>
      <c r="E189" t="b">
        <v>1</v>
      </c>
      <c r="F189" t="b">
        <v>1</v>
      </c>
      <c r="G189" t="b">
        <v>1</v>
      </c>
      <c r="H189" t="b">
        <v>1</v>
      </c>
      <c r="I189" t="s">
        <v>412</v>
      </c>
      <c r="J189" s="3" t="s">
        <v>514</v>
      </c>
      <c r="K189" s="3" t="s">
        <v>411</v>
      </c>
      <c r="L189" s="75">
        <v>660</v>
      </c>
      <c r="M189" t="s">
        <v>515</v>
      </c>
    </row>
    <row r="190" spans="1:13" x14ac:dyDescent="0.2">
      <c r="A190" s="5" t="s">
        <v>946</v>
      </c>
      <c r="B190" s="5" t="s">
        <v>174</v>
      </c>
      <c r="C190" s="77">
        <v>662</v>
      </c>
      <c r="D190" t="s">
        <v>947</v>
      </c>
      <c r="E190" t="b">
        <v>1</v>
      </c>
      <c r="F190" t="b">
        <v>1</v>
      </c>
      <c r="G190" t="b">
        <v>1</v>
      </c>
      <c r="H190" t="b">
        <v>1</v>
      </c>
      <c r="I190" t="s">
        <v>175</v>
      </c>
      <c r="J190" s="3" t="s">
        <v>946</v>
      </c>
      <c r="K190" s="3" t="s">
        <v>174</v>
      </c>
      <c r="L190" s="75">
        <v>662</v>
      </c>
      <c r="M190" t="s">
        <v>947</v>
      </c>
    </row>
    <row r="191" spans="1:13" x14ac:dyDescent="0.2">
      <c r="A191" s="5" t="s">
        <v>948</v>
      </c>
      <c r="B191" s="5" t="s">
        <v>172</v>
      </c>
      <c r="C191" s="77">
        <v>663</v>
      </c>
      <c r="D191" t="s">
        <v>949</v>
      </c>
      <c r="E191" t="b">
        <v>1</v>
      </c>
      <c r="F191" t="b">
        <v>1</v>
      </c>
      <c r="G191" t="b">
        <v>1</v>
      </c>
      <c r="H191" s="11" t="b">
        <v>0</v>
      </c>
      <c r="I191" t="s">
        <v>173</v>
      </c>
      <c r="J191" s="3" t="s">
        <v>948</v>
      </c>
      <c r="K191" s="3" t="s">
        <v>172</v>
      </c>
      <c r="L191" s="75">
        <v>663</v>
      </c>
      <c r="M191" t="s">
        <v>1122</v>
      </c>
    </row>
    <row r="192" spans="1:13" x14ac:dyDescent="0.2">
      <c r="A192" s="5" t="s">
        <v>950</v>
      </c>
      <c r="B192" s="5" t="s">
        <v>180</v>
      </c>
      <c r="C192" s="77">
        <v>666</v>
      </c>
      <c r="D192" t="s">
        <v>951</v>
      </c>
      <c r="E192" t="b">
        <v>1</v>
      </c>
      <c r="F192" t="b">
        <v>1</v>
      </c>
      <c r="G192" t="b">
        <v>1</v>
      </c>
      <c r="H192" t="b">
        <v>1</v>
      </c>
      <c r="I192" t="s">
        <v>181</v>
      </c>
      <c r="J192" s="3" t="s">
        <v>950</v>
      </c>
      <c r="K192" s="3" t="s">
        <v>180</v>
      </c>
      <c r="L192" s="75">
        <v>666</v>
      </c>
      <c r="M192" t="s">
        <v>951</v>
      </c>
    </row>
    <row r="193" spans="1:13" x14ac:dyDescent="0.2">
      <c r="A193" s="5" t="s">
        <v>952</v>
      </c>
      <c r="B193" s="5" t="s">
        <v>182</v>
      </c>
      <c r="C193" s="77">
        <v>670</v>
      </c>
      <c r="D193" t="s">
        <v>953</v>
      </c>
      <c r="E193" t="b">
        <v>1</v>
      </c>
      <c r="F193" t="b">
        <v>1</v>
      </c>
      <c r="G193" t="b">
        <v>1</v>
      </c>
      <c r="H193" t="b">
        <v>1</v>
      </c>
      <c r="I193" t="s">
        <v>183</v>
      </c>
      <c r="J193" s="3" t="s">
        <v>952</v>
      </c>
      <c r="K193" s="3" t="s">
        <v>182</v>
      </c>
      <c r="L193" s="75">
        <v>670</v>
      </c>
      <c r="M193" t="s">
        <v>953</v>
      </c>
    </row>
    <row r="194" spans="1:13" x14ac:dyDescent="0.2">
      <c r="A194" s="5" t="s">
        <v>956</v>
      </c>
      <c r="B194" s="5" t="s">
        <v>190</v>
      </c>
      <c r="C194" s="77">
        <v>674</v>
      </c>
      <c r="D194" t="s">
        <v>957</v>
      </c>
      <c r="E194" t="b">
        <v>1</v>
      </c>
      <c r="F194" t="b">
        <v>1</v>
      </c>
      <c r="G194" t="b">
        <v>1</v>
      </c>
      <c r="H194" t="b">
        <v>1</v>
      </c>
      <c r="I194" t="s">
        <v>191</v>
      </c>
      <c r="J194" s="3" t="s">
        <v>956</v>
      </c>
      <c r="K194" s="3" t="s">
        <v>190</v>
      </c>
      <c r="L194" s="75">
        <v>674</v>
      </c>
      <c r="M194" t="s">
        <v>957</v>
      </c>
    </row>
    <row r="195" spans="1:13" x14ac:dyDescent="0.2">
      <c r="A195" s="5" t="s">
        <v>958</v>
      </c>
      <c r="B195" s="5" t="s">
        <v>184</v>
      </c>
      <c r="C195" s="77">
        <v>678</v>
      </c>
      <c r="D195" t="s">
        <v>959</v>
      </c>
      <c r="E195" t="b">
        <v>1</v>
      </c>
      <c r="F195" t="b">
        <v>1</v>
      </c>
      <c r="G195" t="b">
        <v>1</v>
      </c>
      <c r="H195" t="b">
        <v>1</v>
      </c>
      <c r="I195" t="s">
        <v>185</v>
      </c>
      <c r="J195" s="3" t="s">
        <v>958</v>
      </c>
      <c r="K195" s="3" t="s">
        <v>184</v>
      </c>
      <c r="L195" s="75">
        <v>678</v>
      </c>
      <c r="M195" t="s">
        <v>959</v>
      </c>
    </row>
    <row r="196" spans="1:13" x14ac:dyDescent="0.2">
      <c r="A196" s="5" t="s">
        <v>960</v>
      </c>
      <c r="B196" s="5" t="s">
        <v>186</v>
      </c>
      <c r="C196" s="77">
        <v>682</v>
      </c>
      <c r="D196" t="s">
        <v>961</v>
      </c>
      <c r="E196" t="b">
        <v>1</v>
      </c>
      <c r="F196" t="b">
        <v>1</v>
      </c>
      <c r="G196" t="b">
        <v>1</v>
      </c>
      <c r="H196" t="b">
        <v>1</v>
      </c>
      <c r="I196" t="s">
        <v>187</v>
      </c>
      <c r="J196" s="3" t="s">
        <v>960</v>
      </c>
      <c r="K196" s="3" t="s">
        <v>186</v>
      </c>
      <c r="L196" s="75">
        <v>682</v>
      </c>
      <c r="M196" t="s">
        <v>961</v>
      </c>
    </row>
    <row r="197" spans="1:13" x14ac:dyDescent="0.2">
      <c r="A197" s="5" t="s">
        <v>962</v>
      </c>
      <c r="B197" s="5" t="s">
        <v>192</v>
      </c>
      <c r="C197" s="77">
        <v>686</v>
      </c>
      <c r="D197" t="s">
        <v>963</v>
      </c>
      <c r="E197" t="b">
        <v>1</v>
      </c>
      <c r="F197" t="b">
        <v>1</v>
      </c>
      <c r="G197" t="b">
        <v>1</v>
      </c>
      <c r="H197" t="b">
        <v>1</v>
      </c>
      <c r="I197" t="s">
        <v>193</v>
      </c>
      <c r="J197" s="3" t="s">
        <v>962</v>
      </c>
      <c r="K197" s="3" t="s">
        <v>192</v>
      </c>
      <c r="L197" s="75">
        <v>686</v>
      </c>
      <c r="M197" t="s">
        <v>963</v>
      </c>
    </row>
    <row r="198" spans="1:13" x14ac:dyDescent="0.2">
      <c r="A198" s="5" t="s">
        <v>964</v>
      </c>
      <c r="B198" s="5" t="s">
        <v>194</v>
      </c>
      <c r="C198" s="77">
        <v>688</v>
      </c>
      <c r="D198" t="s">
        <v>965</v>
      </c>
      <c r="E198" t="b">
        <v>1</v>
      </c>
      <c r="F198" t="b">
        <v>1</v>
      </c>
      <c r="G198" t="b">
        <v>1</v>
      </c>
      <c r="H198" t="b">
        <v>1</v>
      </c>
      <c r="I198" t="s">
        <v>195</v>
      </c>
      <c r="J198" s="3" t="s">
        <v>964</v>
      </c>
      <c r="K198" s="3" t="s">
        <v>194</v>
      </c>
      <c r="L198" s="75">
        <v>688</v>
      </c>
      <c r="M198" t="s">
        <v>965</v>
      </c>
    </row>
    <row r="199" spans="1:13" x14ac:dyDescent="0.2">
      <c r="A199" s="5" t="s">
        <v>966</v>
      </c>
      <c r="B199" s="5" t="s">
        <v>196</v>
      </c>
      <c r="C199" s="77">
        <v>690</v>
      </c>
      <c r="D199" t="s">
        <v>967</v>
      </c>
      <c r="E199" t="b">
        <v>1</v>
      </c>
      <c r="F199" t="b">
        <v>1</v>
      </c>
      <c r="G199" t="b">
        <v>1</v>
      </c>
      <c r="H199" t="b">
        <v>1</v>
      </c>
      <c r="I199" t="s">
        <v>197</v>
      </c>
      <c r="J199" s="3" t="s">
        <v>966</v>
      </c>
      <c r="K199" s="3" t="s">
        <v>196</v>
      </c>
      <c r="L199" s="75">
        <v>690</v>
      </c>
      <c r="M199" t="s">
        <v>967</v>
      </c>
    </row>
    <row r="200" spans="1:13" x14ac:dyDescent="0.2">
      <c r="A200" s="5" t="s">
        <v>968</v>
      </c>
      <c r="B200" s="5" t="s">
        <v>198</v>
      </c>
      <c r="C200" s="77">
        <v>694</v>
      </c>
      <c r="D200" t="s">
        <v>969</v>
      </c>
      <c r="E200" t="b">
        <v>1</v>
      </c>
      <c r="F200" t="b">
        <v>1</v>
      </c>
      <c r="G200" t="b">
        <v>1</v>
      </c>
      <c r="H200" t="b">
        <v>1</v>
      </c>
      <c r="I200" t="s">
        <v>12</v>
      </c>
      <c r="J200" s="3" t="s">
        <v>968</v>
      </c>
      <c r="K200" s="3" t="s">
        <v>198</v>
      </c>
      <c r="L200" s="75">
        <v>694</v>
      </c>
      <c r="M200" t="s">
        <v>969</v>
      </c>
    </row>
    <row r="201" spans="1:13" x14ac:dyDescent="0.2">
      <c r="A201" s="5" t="s">
        <v>970</v>
      </c>
      <c r="B201" s="5" t="s">
        <v>15</v>
      </c>
      <c r="C201" s="77">
        <v>702</v>
      </c>
      <c r="D201" t="s">
        <v>971</v>
      </c>
      <c r="E201" t="b">
        <v>1</v>
      </c>
      <c r="F201" t="b">
        <v>1</v>
      </c>
      <c r="G201" t="b">
        <v>1</v>
      </c>
      <c r="H201" t="b">
        <v>1</v>
      </c>
      <c r="I201" t="s">
        <v>16</v>
      </c>
      <c r="J201" s="3" t="s">
        <v>970</v>
      </c>
      <c r="K201" s="3" t="s">
        <v>15</v>
      </c>
      <c r="L201" s="75">
        <v>702</v>
      </c>
      <c r="M201" t="s">
        <v>971</v>
      </c>
    </row>
    <row r="202" spans="1:13" x14ac:dyDescent="0.2">
      <c r="A202" s="5" t="s">
        <v>974</v>
      </c>
      <c r="B202" s="5" t="s">
        <v>21</v>
      </c>
      <c r="C202" s="77">
        <v>703</v>
      </c>
      <c r="D202" t="s">
        <v>975</v>
      </c>
      <c r="E202" t="b">
        <v>1</v>
      </c>
      <c r="F202" t="b">
        <v>1</v>
      </c>
      <c r="G202" t="b">
        <v>1</v>
      </c>
      <c r="H202" t="b">
        <v>1</v>
      </c>
      <c r="I202" t="s">
        <v>22</v>
      </c>
      <c r="J202" s="3" t="s">
        <v>974</v>
      </c>
      <c r="K202" s="3" t="s">
        <v>21</v>
      </c>
      <c r="L202" s="75">
        <v>703</v>
      </c>
      <c r="M202" t="s">
        <v>975</v>
      </c>
    </row>
    <row r="203" spans="1:13" x14ac:dyDescent="0.2">
      <c r="A203" s="5" t="s">
        <v>1064</v>
      </c>
      <c r="B203" s="5" t="s">
        <v>99</v>
      </c>
      <c r="C203" s="77">
        <v>704</v>
      </c>
      <c r="D203" t="s">
        <v>1065</v>
      </c>
      <c r="E203" t="b">
        <v>1</v>
      </c>
      <c r="F203" t="b">
        <v>1</v>
      </c>
      <c r="G203" t="b">
        <v>1</v>
      </c>
      <c r="H203" s="11" t="b">
        <v>0</v>
      </c>
      <c r="I203" t="s">
        <v>100</v>
      </c>
      <c r="J203" s="3" t="s">
        <v>1064</v>
      </c>
      <c r="K203" s="3" t="s">
        <v>99</v>
      </c>
      <c r="L203" s="75">
        <v>704</v>
      </c>
      <c r="M203" t="s">
        <v>1133</v>
      </c>
    </row>
    <row r="204" spans="1:13" x14ac:dyDescent="0.2">
      <c r="A204" s="5" t="s">
        <v>976</v>
      </c>
      <c r="B204" s="5" t="s">
        <v>23</v>
      </c>
      <c r="C204" s="77">
        <v>705</v>
      </c>
      <c r="D204" t="s">
        <v>977</v>
      </c>
      <c r="E204" t="b">
        <v>1</v>
      </c>
      <c r="F204" t="b">
        <v>1</v>
      </c>
      <c r="G204" t="b">
        <v>1</v>
      </c>
      <c r="H204" t="b">
        <v>1</v>
      </c>
      <c r="I204" t="s">
        <v>24</v>
      </c>
      <c r="J204" s="3" t="s">
        <v>976</v>
      </c>
      <c r="K204" s="3" t="s">
        <v>23</v>
      </c>
      <c r="L204" s="75">
        <v>705</v>
      </c>
      <c r="M204" t="s">
        <v>977</v>
      </c>
    </row>
    <row r="205" spans="1:13" x14ac:dyDescent="0.2">
      <c r="A205" s="5" t="s">
        <v>980</v>
      </c>
      <c r="B205" s="5" t="s">
        <v>17</v>
      </c>
      <c r="C205" s="77">
        <v>706</v>
      </c>
      <c r="D205" t="s">
        <v>981</v>
      </c>
      <c r="E205" t="b">
        <v>1</v>
      </c>
      <c r="F205" t="b">
        <v>1</v>
      </c>
      <c r="G205" t="b">
        <v>1</v>
      </c>
      <c r="H205" t="b">
        <v>1</v>
      </c>
      <c r="I205" t="s">
        <v>18</v>
      </c>
      <c r="J205" s="3" t="s">
        <v>980</v>
      </c>
      <c r="K205" s="3" t="s">
        <v>17</v>
      </c>
      <c r="L205" s="75">
        <v>706</v>
      </c>
      <c r="M205" t="s">
        <v>981</v>
      </c>
    </row>
    <row r="206" spans="1:13" x14ac:dyDescent="0.2">
      <c r="A206" s="5" t="s">
        <v>982</v>
      </c>
      <c r="B206" s="5" t="s">
        <v>35</v>
      </c>
      <c r="C206" s="77">
        <v>710</v>
      </c>
      <c r="D206" t="s">
        <v>983</v>
      </c>
      <c r="E206" t="b">
        <v>1</v>
      </c>
      <c r="F206" t="b">
        <v>1</v>
      </c>
      <c r="G206" t="b">
        <v>1</v>
      </c>
      <c r="H206" t="b">
        <v>1</v>
      </c>
      <c r="I206" t="s">
        <v>36</v>
      </c>
      <c r="J206" s="3" t="s">
        <v>982</v>
      </c>
      <c r="K206" s="3" t="s">
        <v>35</v>
      </c>
      <c r="L206" s="75">
        <v>710</v>
      </c>
      <c r="M206" t="s">
        <v>983</v>
      </c>
    </row>
    <row r="207" spans="1:13" x14ac:dyDescent="0.2">
      <c r="A207" s="5" t="s">
        <v>1084</v>
      </c>
      <c r="B207" s="5" t="s">
        <v>6</v>
      </c>
      <c r="C207" s="77">
        <v>716</v>
      </c>
      <c r="D207" t="s">
        <v>1085</v>
      </c>
      <c r="E207" t="b">
        <v>1</v>
      </c>
      <c r="F207" t="b">
        <v>1</v>
      </c>
      <c r="G207" t="b">
        <v>1</v>
      </c>
      <c r="H207" t="b">
        <v>1</v>
      </c>
      <c r="I207" t="s">
        <v>7</v>
      </c>
      <c r="J207" s="3" t="s">
        <v>1084</v>
      </c>
      <c r="K207" s="3" t="s">
        <v>6</v>
      </c>
      <c r="L207" s="75">
        <v>716</v>
      </c>
      <c r="M207" t="s">
        <v>1085</v>
      </c>
    </row>
    <row r="208" spans="1:13" x14ac:dyDescent="0.2">
      <c r="A208" s="5" t="s">
        <v>988</v>
      </c>
      <c r="B208" s="5" t="s">
        <v>33</v>
      </c>
      <c r="C208" s="77">
        <v>724</v>
      </c>
      <c r="D208" t="s">
        <v>989</v>
      </c>
      <c r="E208" t="b">
        <v>1</v>
      </c>
      <c r="F208" t="b">
        <v>1</v>
      </c>
      <c r="G208" t="b">
        <v>1</v>
      </c>
      <c r="H208" t="b">
        <v>1</v>
      </c>
      <c r="I208" t="s">
        <v>34</v>
      </c>
      <c r="J208" s="3" t="s">
        <v>988</v>
      </c>
      <c r="K208" s="3" t="s">
        <v>33</v>
      </c>
      <c r="L208" s="75">
        <v>724</v>
      </c>
      <c r="M208" t="s">
        <v>989</v>
      </c>
    </row>
    <row r="209" spans="1:13" x14ac:dyDescent="0.2">
      <c r="A209" s="5" t="s">
        <v>986</v>
      </c>
      <c r="B209" s="5" t="s">
        <v>25</v>
      </c>
      <c r="C209" s="77">
        <v>728</v>
      </c>
      <c r="D209" t="s">
        <v>987</v>
      </c>
      <c r="E209" t="b">
        <v>1</v>
      </c>
      <c r="F209" t="b">
        <v>1</v>
      </c>
      <c r="G209" t="b">
        <v>1</v>
      </c>
      <c r="H209" t="b">
        <v>1</v>
      </c>
      <c r="I209" t="s">
        <v>26</v>
      </c>
      <c r="J209" s="3" t="s">
        <v>986</v>
      </c>
      <c r="K209" s="3" t="s">
        <v>25</v>
      </c>
      <c r="L209" s="75">
        <v>728</v>
      </c>
      <c r="M209" t="s">
        <v>987</v>
      </c>
    </row>
    <row r="210" spans="1:13" x14ac:dyDescent="0.2">
      <c r="A210" s="5" t="s">
        <v>995</v>
      </c>
      <c r="B210" s="5" t="s">
        <v>37</v>
      </c>
      <c r="C210" s="77">
        <v>729</v>
      </c>
      <c r="D210" t="s">
        <v>996</v>
      </c>
      <c r="E210" t="b">
        <v>1</v>
      </c>
      <c r="F210" t="b">
        <v>1</v>
      </c>
      <c r="G210" t="b">
        <v>1</v>
      </c>
      <c r="H210" t="b">
        <v>1</v>
      </c>
      <c r="I210" t="s">
        <v>38</v>
      </c>
      <c r="J210" s="3" t="s">
        <v>995</v>
      </c>
      <c r="K210" s="3" t="s">
        <v>37</v>
      </c>
      <c r="L210" s="75">
        <v>729</v>
      </c>
      <c r="M210" t="s">
        <v>996</v>
      </c>
    </row>
    <row r="211" spans="1:13" x14ac:dyDescent="0.2">
      <c r="A211" s="5" t="s">
        <v>1078</v>
      </c>
      <c r="B211" s="5" t="s">
        <v>4</v>
      </c>
      <c r="C211" s="77">
        <v>732</v>
      </c>
      <c r="D211" t="s">
        <v>1079</v>
      </c>
      <c r="E211" t="b">
        <v>1</v>
      </c>
      <c r="F211" t="b">
        <v>1</v>
      </c>
      <c r="G211" t="b">
        <v>1</v>
      </c>
      <c r="H211" t="b">
        <v>1</v>
      </c>
      <c r="I211" t="s">
        <v>5</v>
      </c>
      <c r="J211" s="3" t="s">
        <v>1078</v>
      </c>
      <c r="K211" s="3" t="s">
        <v>4</v>
      </c>
      <c r="L211" s="75">
        <v>732</v>
      </c>
      <c r="M211" t="s">
        <v>1079</v>
      </c>
    </row>
    <row r="212" spans="1:13" x14ac:dyDescent="0.2">
      <c r="A212" s="5" t="s">
        <v>997</v>
      </c>
      <c r="B212" s="5" t="s">
        <v>43</v>
      </c>
      <c r="C212" s="77">
        <v>740</v>
      </c>
      <c r="D212" t="s">
        <v>998</v>
      </c>
      <c r="E212" t="b">
        <v>1</v>
      </c>
      <c r="F212" t="b">
        <v>1</v>
      </c>
      <c r="G212" t="b">
        <v>1</v>
      </c>
      <c r="H212" t="b">
        <v>1</v>
      </c>
      <c r="I212" t="s">
        <v>44</v>
      </c>
      <c r="J212" s="3" t="s">
        <v>997</v>
      </c>
      <c r="K212" s="3" t="s">
        <v>43</v>
      </c>
      <c r="L212" s="75">
        <v>740</v>
      </c>
      <c r="M212" t="s">
        <v>998</v>
      </c>
    </row>
    <row r="213" spans="1:13" x14ac:dyDescent="0.2">
      <c r="A213" s="5" t="s">
        <v>1002</v>
      </c>
      <c r="B213" s="5" t="s">
        <v>47</v>
      </c>
      <c r="C213" s="77">
        <v>748</v>
      </c>
      <c r="D213" t="s">
        <v>1003</v>
      </c>
      <c r="E213" t="b">
        <v>1</v>
      </c>
      <c r="F213" t="b">
        <v>1</v>
      </c>
      <c r="G213" t="b">
        <v>1</v>
      </c>
      <c r="H213" t="b">
        <v>1</v>
      </c>
      <c r="I213" t="s">
        <v>48</v>
      </c>
      <c r="J213" s="3" t="s">
        <v>1002</v>
      </c>
      <c r="K213" s="3" t="s">
        <v>47</v>
      </c>
      <c r="L213" s="75">
        <v>748</v>
      </c>
      <c r="M213" t="s">
        <v>1003</v>
      </c>
    </row>
    <row r="214" spans="1:13" x14ac:dyDescent="0.2">
      <c r="A214" s="5" t="s">
        <v>1004</v>
      </c>
      <c r="B214" s="5" t="s">
        <v>41</v>
      </c>
      <c r="C214" s="77">
        <v>752</v>
      </c>
      <c r="D214" t="s">
        <v>1005</v>
      </c>
      <c r="E214" t="b">
        <v>1</v>
      </c>
      <c r="F214" t="b">
        <v>1</v>
      </c>
      <c r="G214" t="b">
        <v>1</v>
      </c>
      <c r="H214" t="b">
        <v>1</v>
      </c>
      <c r="I214" t="s">
        <v>42</v>
      </c>
      <c r="J214" s="3" t="s">
        <v>1004</v>
      </c>
      <c r="K214" s="3" t="s">
        <v>41</v>
      </c>
      <c r="L214" s="75">
        <v>752</v>
      </c>
      <c r="M214" t="s">
        <v>1005</v>
      </c>
    </row>
    <row r="215" spans="1:13" x14ac:dyDescent="0.2">
      <c r="A215" s="5" t="s">
        <v>1006</v>
      </c>
      <c r="B215" s="5" t="s">
        <v>49</v>
      </c>
      <c r="C215" s="77">
        <v>756</v>
      </c>
      <c r="D215" t="s">
        <v>1007</v>
      </c>
      <c r="E215" t="b">
        <v>1</v>
      </c>
      <c r="F215" t="b">
        <v>1</v>
      </c>
      <c r="G215" t="b">
        <v>1</v>
      </c>
      <c r="H215" t="b">
        <v>1</v>
      </c>
      <c r="I215" t="s">
        <v>50</v>
      </c>
      <c r="J215" s="3" t="s">
        <v>1006</v>
      </c>
      <c r="K215" s="3" t="s">
        <v>49</v>
      </c>
      <c r="L215" s="75">
        <v>756</v>
      </c>
      <c r="M215" t="s">
        <v>1007</v>
      </c>
    </row>
    <row r="216" spans="1:13" x14ac:dyDescent="0.2">
      <c r="A216" s="5" t="s">
        <v>1008</v>
      </c>
      <c r="B216" s="5" t="s">
        <v>39</v>
      </c>
      <c r="C216" s="77">
        <v>760</v>
      </c>
      <c r="D216" t="s">
        <v>1009</v>
      </c>
      <c r="E216" t="b">
        <v>1</v>
      </c>
      <c r="F216" t="b">
        <v>1</v>
      </c>
      <c r="G216" t="b">
        <v>1</v>
      </c>
      <c r="H216" s="11" t="b">
        <v>0</v>
      </c>
      <c r="I216" t="s">
        <v>40</v>
      </c>
      <c r="J216" s="3" t="s">
        <v>1008</v>
      </c>
      <c r="K216" s="3" t="s">
        <v>39</v>
      </c>
      <c r="L216" s="75">
        <v>760</v>
      </c>
      <c r="M216" t="s">
        <v>1126</v>
      </c>
    </row>
    <row r="217" spans="1:13" x14ac:dyDescent="0.2">
      <c r="A217" s="5" t="s">
        <v>1012</v>
      </c>
      <c r="B217" s="5" t="s">
        <v>55</v>
      </c>
      <c r="C217" s="77">
        <v>762</v>
      </c>
      <c r="D217" t="s">
        <v>1013</v>
      </c>
      <c r="E217" t="b">
        <v>1</v>
      </c>
      <c r="F217" t="b">
        <v>1</v>
      </c>
      <c r="G217" t="b">
        <v>1</v>
      </c>
      <c r="H217" t="b">
        <v>1</v>
      </c>
      <c r="I217" t="s">
        <v>56</v>
      </c>
      <c r="J217" s="3" t="s">
        <v>1012</v>
      </c>
      <c r="K217" s="3" t="s">
        <v>55</v>
      </c>
      <c r="L217" s="75">
        <v>762</v>
      </c>
      <c r="M217" t="s">
        <v>1013</v>
      </c>
    </row>
    <row r="218" spans="1:13" x14ac:dyDescent="0.2">
      <c r="A218" s="5" t="s">
        <v>1016</v>
      </c>
      <c r="B218" s="5" t="s">
        <v>57</v>
      </c>
      <c r="C218" s="77">
        <v>764</v>
      </c>
      <c r="D218" t="s">
        <v>1017</v>
      </c>
      <c r="E218" t="b">
        <v>1</v>
      </c>
      <c r="F218" t="b">
        <v>1</v>
      </c>
      <c r="G218" t="b">
        <v>1</v>
      </c>
      <c r="H218" t="b">
        <v>1</v>
      </c>
      <c r="I218" t="s">
        <v>58</v>
      </c>
      <c r="J218" s="3" t="s">
        <v>1016</v>
      </c>
      <c r="K218" s="3" t="s">
        <v>57</v>
      </c>
      <c r="L218" s="75">
        <v>764</v>
      </c>
      <c r="M218" t="s">
        <v>1017</v>
      </c>
    </row>
    <row r="219" spans="1:13" x14ac:dyDescent="0.2">
      <c r="A219" s="5" t="s">
        <v>1020</v>
      </c>
      <c r="B219" s="5" t="s">
        <v>65</v>
      </c>
      <c r="C219" s="77">
        <v>768</v>
      </c>
      <c r="D219" t="s">
        <v>1021</v>
      </c>
      <c r="E219" t="b">
        <v>1</v>
      </c>
      <c r="F219" t="b">
        <v>1</v>
      </c>
      <c r="G219" t="b">
        <v>1</v>
      </c>
      <c r="H219" t="b">
        <v>1</v>
      </c>
      <c r="I219" t="s">
        <v>66</v>
      </c>
      <c r="J219" s="3" t="s">
        <v>1020</v>
      </c>
      <c r="K219" s="3" t="s">
        <v>65</v>
      </c>
      <c r="L219" s="75">
        <v>768</v>
      </c>
      <c r="M219" t="s">
        <v>1021</v>
      </c>
    </row>
    <row r="220" spans="1:13" x14ac:dyDescent="0.2">
      <c r="A220" s="5" t="s">
        <v>1022</v>
      </c>
      <c r="B220" s="5" t="s">
        <v>61</v>
      </c>
      <c r="C220" s="77">
        <v>772</v>
      </c>
      <c r="D220" t="s">
        <v>1023</v>
      </c>
      <c r="E220" t="b">
        <v>1</v>
      </c>
      <c r="F220" t="b">
        <v>1</v>
      </c>
      <c r="G220" t="b">
        <v>1</v>
      </c>
      <c r="H220" t="b">
        <v>1</v>
      </c>
      <c r="I220" t="s">
        <v>62</v>
      </c>
      <c r="J220" s="3" t="s">
        <v>1022</v>
      </c>
      <c r="K220" s="3" t="s">
        <v>61</v>
      </c>
      <c r="L220" s="75">
        <v>772</v>
      </c>
      <c r="M220" t="s">
        <v>1023</v>
      </c>
    </row>
    <row r="221" spans="1:13" x14ac:dyDescent="0.2">
      <c r="A221" s="5" t="s">
        <v>1024</v>
      </c>
      <c r="B221" s="5" t="s">
        <v>63</v>
      </c>
      <c r="C221" s="77">
        <v>776</v>
      </c>
      <c r="D221" t="s">
        <v>1025</v>
      </c>
      <c r="E221" t="b">
        <v>1</v>
      </c>
      <c r="F221" t="b">
        <v>1</v>
      </c>
      <c r="G221" t="b">
        <v>1</v>
      </c>
      <c r="H221" t="b">
        <v>1</v>
      </c>
      <c r="I221" t="s">
        <v>64</v>
      </c>
      <c r="J221" s="3" t="s">
        <v>1024</v>
      </c>
      <c r="K221" s="3" t="s">
        <v>63</v>
      </c>
      <c r="L221" s="75">
        <v>776</v>
      </c>
      <c r="M221" t="s">
        <v>1025</v>
      </c>
    </row>
    <row r="222" spans="1:13" x14ac:dyDescent="0.2">
      <c r="A222" s="5" t="s">
        <v>1026</v>
      </c>
      <c r="B222" s="5" t="s">
        <v>77</v>
      </c>
      <c r="C222" s="77">
        <v>780</v>
      </c>
      <c r="D222" t="s">
        <v>1027</v>
      </c>
      <c r="E222" t="b">
        <v>1</v>
      </c>
      <c r="F222" t="b">
        <v>1</v>
      </c>
      <c r="G222" t="b">
        <v>1</v>
      </c>
      <c r="H222" t="b">
        <v>1</v>
      </c>
      <c r="I222" t="s">
        <v>78</v>
      </c>
      <c r="J222" s="3" t="s">
        <v>1026</v>
      </c>
      <c r="K222" s="3" t="s">
        <v>77</v>
      </c>
      <c r="L222" s="75">
        <v>780</v>
      </c>
      <c r="M222" t="s">
        <v>1027</v>
      </c>
    </row>
    <row r="223" spans="1:13" x14ac:dyDescent="0.2">
      <c r="A223" s="5" t="s">
        <v>1045</v>
      </c>
      <c r="B223" s="5" t="s">
        <v>85</v>
      </c>
      <c r="C223" s="77">
        <v>784</v>
      </c>
      <c r="D223" t="s">
        <v>1046</v>
      </c>
      <c r="E223" t="b">
        <v>1</v>
      </c>
      <c r="F223" t="b">
        <v>1</v>
      </c>
      <c r="G223" t="b">
        <v>1</v>
      </c>
      <c r="H223" t="b">
        <v>1</v>
      </c>
      <c r="I223" t="s">
        <v>86</v>
      </c>
      <c r="J223" s="3" t="s">
        <v>1045</v>
      </c>
      <c r="K223" s="3" t="s">
        <v>85</v>
      </c>
      <c r="L223" s="75">
        <v>784</v>
      </c>
      <c r="M223" t="s">
        <v>1046</v>
      </c>
    </row>
    <row r="224" spans="1:13" x14ac:dyDescent="0.2">
      <c r="A224" s="5" t="s">
        <v>1031</v>
      </c>
      <c r="B224" s="5" t="s">
        <v>73</v>
      </c>
      <c r="C224" s="77">
        <v>788</v>
      </c>
      <c r="D224" t="s">
        <v>1032</v>
      </c>
      <c r="E224" t="b">
        <v>1</v>
      </c>
      <c r="F224" t="b">
        <v>1</v>
      </c>
      <c r="G224" t="b">
        <v>1</v>
      </c>
      <c r="H224" t="b">
        <v>1</v>
      </c>
      <c r="I224" t="s">
        <v>74</v>
      </c>
      <c r="J224" s="3" t="s">
        <v>1031</v>
      </c>
      <c r="K224" s="3" t="s">
        <v>73</v>
      </c>
      <c r="L224" s="75">
        <v>788</v>
      </c>
      <c r="M224" t="s">
        <v>1032</v>
      </c>
    </row>
    <row r="225" spans="1:13" x14ac:dyDescent="0.2">
      <c r="A225" s="5" t="s">
        <v>1033</v>
      </c>
      <c r="B225" s="5" t="s">
        <v>67</v>
      </c>
      <c r="C225" s="77">
        <v>792</v>
      </c>
      <c r="D225" t="s">
        <v>1034</v>
      </c>
      <c r="E225" t="b">
        <v>1</v>
      </c>
      <c r="F225" t="b">
        <v>1</v>
      </c>
      <c r="G225" t="b">
        <v>1</v>
      </c>
      <c r="H225" t="b">
        <v>1</v>
      </c>
      <c r="I225" t="s">
        <v>68</v>
      </c>
      <c r="J225" s="3" t="s">
        <v>1033</v>
      </c>
      <c r="K225" s="3" t="s">
        <v>67</v>
      </c>
      <c r="L225" s="75">
        <v>792</v>
      </c>
      <c r="M225" t="s">
        <v>1034</v>
      </c>
    </row>
    <row r="226" spans="1:13" x14ac:dyDescent="0.2">
      <c r="A226" s="5" t="s">
        <v>1035</v>
      </c>
      <c r="B226" s="5" t="s">
        <v>75</v>
      </c>
      <c r="C226" s="77">
        <v>795</v>
      </c>
      <c r="D226" t="s">
        <v>1036</v>
      </c>
      <c r="E226" t="b">
        <v>1</v>
      </c>
      <c r="F226" t="b">
        <v>1</v>
      </c>
      <c r="G226" t="b">
        <v>1</v>
      </c>
      <c r="H226" t="b">
        <v>1</v>
      </c>
      <c r="I226" t="s">
        <v>76</v>
      </c>
      <c r="J226" s="3" t="s">
        <v>1035</v>
      </c>
      <c r="K226" s="3" t="s">
        <v>75</v>
      </c>
      <c r="L226" s="75">
        <v>795</v>
      </c>
      <c r="M226" t="s">
        <v>1036</v>
      </c>
    </row>
    <row r="227" spans="1:13" x14ac:dyDescent="0.2">
      <c r="A227" s="5" t="s">
        <v>1037</v>
      </c>
      <c r="B227" s="5" t="s">
        <v>71</v>
      </c>
      <c r="C227" s="77">
        <v>796</v>
      </c>
      <c r="D227" t="s">
        <v>1038</v>
      </c>
      <c r="E227" t="b">
        <v>1</v>
      </c>
      <c r="F227" t="b">
        <v>1</v>
      </c>
      <c r="G227" t="b">
        <v>1</v>
      </c>
      <c r="H227" t="b">
        <v>1</v>
      </c>
      <c r="I227" t="s">
        <v>72</v>
      </c>
      <c r="J227" s="3" t="s">
        <v>1037</v>
      </c>
      <c r="K227" s="3" t="s">
        <v>71</v>
      </c>
      <c r="L227" s="75">
        <v>796</v>
      </c>
      <c r="M227" t="s">
        <v>1038</v>
      </c>
    </row>
    <row r="228" spans="1:13" x14ac:dyDescent="0.2">
      <c r="A228" s="5" t="s">
        <v>1039</v>
      </c>
      <c r="B228" s="5" t="s">
        <v>69</v>
      </c>
      <c r="C228" s="77">
        <v>798</v>
      </c>
      <c r="D228" t="s">
        <v>1040</v>
      </c>
      <c r="E228" t="b">
        <v>1</v>
      </c>
      <c r="F228" t="b">
        <v>1</v>
      </c>
      <c r="G228" t="b">
        <v>1</v>
      </c>
      <c r="H228" t="b">
        <v>1</v>
      </c>
      <c r="I228" t="s">
        <v>70</v>
      </c>
      <c r="J228" s="3" t="s">
        <v>1039</v>
      </c>
      <c r="K228" s="3" t="s">
        <v>69</v>
      </c>
      <c r="L228" s="75">
        <v>798</v>
      </c>
      <c r="M228" t="s">
        <v>1040</v>
      </c>
    </row>
    <row r="229" spans="1:13" x14ac:dyDescent="0.2">
      <c r="A229" s="5" t="s">
        <v>1041</v>
      </c>
      <c r="B229" s="5" t="s">
        <v>79</v>
      </c>
      <c r="C229" s="77">
        <v>800</v>
      </c>
      <c r="D229" t="s">
        <v>1042</v>
      </c>
      <c r="E229" t="b">
        <v>1</v>
      </c>
      <c r="F229" t="b">
        <v>1</v>
      </c>
      <c r="G229" t="b">
        <v>1</v>
      </c>
      <c r="H229" t="b">
        <v>1</v>
      </c>
      <c r="I229" t="s">
        <v>80</v>
      </c>
      <c r="J229" s="3" t="s">
        <v>1041</v>
      </c>
      <c r="K229" s="3" t="s">
        <v>79</v>
      </c>
      <c r="L229" s="75">
        <v>800</v>
      </c>
      <c r="M229" t="s">
        <v>1042</v>
      </c>
    </row>
    <row r="230" spans="1:13" x14ac:dyDescent="0.2">
      <c r="A230" s="5" t="s">
        <v>1043</v>
      </c>
      <c r="B230" s="5" t="s">
        <v>91</v>
      </c>
      <c r="C230" s="77">
        <v>804</v>
      </c>
      <c r="D230" t="s">
        <v>1044</v>
      </c>
      <c r="E230" t="b">
        <v>1</v>
      </c>
      <c r="F230" t="b">
        <v>1</v>
      </c>
      <c r="G230" t="b">
        <v>1</v>
      </c>
      <c r="H230" t="b">
        <v>1</v>
      </c>
      <c r="I230" t="s">
        <v>92</v>
      </c>
      <c r="J230" s="3" t="s">
        <v>1043</v>
      </c>
      <c r="K230" s="3" t="s">
        <v>91</v>
      </c>
      <c r="L230" s="75">
        <v>804</v>
      </c>
      <c r="M230" t="s">
        <v>1044</v>
      </c>
    </row>
    <row r="231" spans="1:13" x14ac:dyDescent="0.2">
      <c r="A231" s="5" t="s">
        <v>825</v>
      </c>
      <c r="B231" s="5" t="s">
        <v>59</v>
      </c>
      <c r="C231" s="77">
        <v>807</v>
      </c>
      <c r="D231" t="s">
        <v>826</v>
      </c>
      <c r="E231" t="b">
        <v>1</v>
      </c>
      <c r="F231" t="b">
        <v>1</v>
      </c>
      <c r="G231" t="b">
        <v>1</v>
      </c>
      <c r="H231" s="11" t="b">
        <v>0</v>
      </c>
      <c r="I231" t="s">
        <v>60</v>
      </c>
      <c r="J231" s="3" t="s">
        <v>825</v>
      </c>
      <c r="K231" s="3" t="s">
        <v>59</v>
      </c>
      <c r="L231" s="75">
        <v>807</v>
      </c>
      <c r="M231" t="s">
        <v>1112</v>
      </c>
    </row>
    <row r="232" spans="1:13" x14ac:dyDescent="0.2">
      <c r="A232" s="5" t="s">
        <v>651</v>
      </c>
      <c r="B232" s="5" t="s">
        <v>340</v>
      </c>
      <c r="C232" s="77">
        <v>818</v>
      </c>
      <c r="D232" t="s">
        <v>652</v>
      </c>
      <c r="E232" t="b">
        <v>1</v>
      </c>
      <c r="F232" t="b">
        <v>1</v>
      </c>
      <c r="G232" t="b">
        <v>1</v>
      </c>
      <c r="H232" t="b">
        <v>1</v>
      </c>
      <c r="I232" t="s">
        <v>341</v>
      </c>
      <c r="J232" s="3" t="s">
        <v>651</v>
      </c>
      <c r="K232" s="3" t="s">
        <v>340</v>
      </c>
      <c r="L232" s="75">
        <v>818</v>
      </c>
      <c r="M232" t="s">
        <v>652</v>
      </c>
    </row>
    <row r="233" spans="1:13" x14ac:dyDescent="0.2">
      <c r="A233" s="5" t="s">
        <v>1047</v>
      </c>
      <c r="B233" s="5" t="s">
        <v>81</v>
      </c>
      <c r="C233" s="77">
        <v>826</v>
      </c>
      <c r="D233" t="s">
        <v>1048</v>
      </c>
      <c r="E233" t="b">
        <v>1</v>
      </c>
      <c r="F233" t="b">
        <v>1</v>
      </c>
      <c r="G233" t="b">
        <v>1</v>
      </c>
      <c r="H233" s="11" t="b">
        <v>0</v>
      </c>
      <c r="I233" t="s">
        <v>82</v>
      </c>
      <c r="J233" s="3" t="s">
        <v>1047</v>
      </c>
      <c r="K233" s="3" t="s">
        <v>81</v>
      </c>
      <c r="L233" s="75">
        <v>826</v>
      </c>
      <c r="M233" t="s">
        <v>1129</v>
      </c>
    </row>
    <row r="234" spans="1:13" x14ac:dyDescent="0.2">
      <c r="A234" s="5" t="s">
        <v>725</v>
      </c>
      <c r="B234" s="5" t="s">
        <v>392</v>
      </c>
      <c r="C234" s="77">
        <v>831</v>
      </c>
      <c r="D234" t="s">
        <v>726</v>
      </c>
      <c r="E234" t="b">
        <v>1</v>
      </c>
      <c r="F234" t="b">
        <v>1</v>
      </c>
      <c r="G234" t="b">
        <v>1</v>
      </c>
      <c r="H234" t="b">
        <v>1</v>
      </c>
      <c r="I234" t="s">
        <v>393</v>
      </c>
      <c r="J234" s="3" t="s">
        <v>725</v>
      </c>
      <c r="K234" s="3" t="s">
        <v>392</v>
      </c>
      <c r="L234" s="75">
        <v>831</v>
      </c>
      <c r="M234" t="s">
        <v>726</v>
      </c>
    </row>
    <row r="235" spans="1:13" x14ac:dyDescent="0.2">
      <c r="A235" s="5" t="s">
        <v>775</v>
      </c>
      <c r="B235" s="5" t="s">
        <v>774</v>
      </c>
      <c r="C235" s="77">
        <v>832</v>
      </c>
      <c r="D235" t="s">
        <v>776</v>
      </c>
      <c r="E235" t="b">
        <v>1</v>
      </c>
      <c r="F235" t="b">
        <v>1</v>
      </c>
      <c r="G235" t="b">
        <v>1</v>
      </c>
      <c r="H235" t="b">
        <v>1</v>
      </c>
      <c r="I235" t="s">
        <v>238</v>
      </c>
      <c r="J235" s="3" t="s">
        <v>775</v>
      </c>
      <c r="K235" s="3" t="s">
        <v>774</v>
      </c>
      <c r="L235" s="75">
        <v>832</v>
      </c>
      <c r="M235" t="s">
        <v>776</v>
      </c>
    </row>
    <row r="236" spans="1:13" x14ac:dyDescent="0.2">
      <c r="A236" s="5" t="s">
        <v>758</v>
      </c>
      <c r="B236" s="5" t="s">
        <v>222</v>
      </c>
      <c r="C236" s="77">
        <v>833</v>
      </c>
      <c r="D236" t="s">
        <v>759</v>
      </c>
      <c r="E236" t="b">
        <v>1</v>
      </c>
      <c r="F236" t="b">
        <v>1</v>
      </c>
      <c r="G236" t="b">
        <v>1</v>
      </c>
      <c r="H236" t="b">
        <v>1</v>
      </c>
      <c r="I236" t="s">
        <v>223</v>
      </c>
      <c r="J236" s="3" t="s">
        <v>758</v>
      </c>
      <c r="K236" s="3" t="s">
        <v>222</v>
      </c>
      <c r="L236" s="75">
        <v>833</v>
      </c>
      <c r="M236" t="s">
        <v>759</v>
      </c>
    </row>
    <row r="237" spans="1:13" x14ac:dyDescent="0.2">
      <c r="A237" s="5" t="s">
        <v>1014</v>
      </c>
      <c r="B237" s="5" t="s">
        <v>51</v>
      </c>
      <c r="C237" s="77">
        <v>834</v>
      </c>
      <c r="D237" t="s">
        <v>1015</v>
      </c>
      <c r="E237" t="b">
        <v>1</v>
      </c>
      <c r="F237" t="b">
        <v>1</v>
      </c>
      <c r="G237" t="b">
        <v>1</v>
      </c>
      <c r="H237" s="11" t="b">
        <v>0</v>
      </c>
      <c r="I237" t="s">
        <v>52</v>
      </c>
      <c r="J237" s="3" t="s">
        <v>1014</v>
      </c>
      <c r="K237" s="3" t="s">
        <v>51</v>
      </c>
      <c r="L237" s="75">
        <v>834</v>
      </c>
      <c r="M237" t="s">
        <v>1128</v>
      </c>
    </row>
    <row r="238" spans="1:13" x14ac:dyDescent="0.2">
      <c r="A238" s="5" t="s">
        <v>1049</v>
      </c>
      <c r="B238" s="5" t="s">
        <v>87</v>
      </c>
      <c r="C238" s="77">
        <v>840</v>
      </c>
      <c r="D238" t="s">
        <v>1050</v>
      </c>
      <c r="E238" t="b">
        <v>1</v>
      </c>
      <c r="F238" t="b">
        <v>1</v>
      </c>
      <c r="G238" t="b">
        <v>1</v>
      </c>
      <c r="H238" s="11" t="b">
        <v>0</v>
      </c>
      <c r="I238" t="s">
        <v>88</v>
      </c>
      <c r="J238" s="3" t="s">
        <v>1049</v>
      </c>
      <c r="K238" s="3" t="s">
        <v>87</v>
      </c>
      <c r="L238" s="75">
        <v>840</v>
      </c>
      <c r="M238" t="s">
        <v>1131</v>
      </c>
    </row>
    <row r="239" spans="1:13" x14ac:dyDescent="0.2">
      <c r="A239" s="5" t="s">
        <v>1068</v>
      </c>
      <c r="B239" s="5" t="s">
        <v>83</v>
      </c>
      <c r="C239" s="77">
        <v>850</v>
      </c>
      <c r="D239" t="s">
        <v>1069</v>
      </c>
      <c r="E239" t="b">
        <v>1</v>
      </c>
      <c r="F239" t="b">
        <v>1</v>
      </c>
      <c r="G239" t="b">
        <v>1</v>
      </c>
      <c r="H239" t="b">
        <v>1</v>
      </c>
      <c r="I239" t="s">
        <v>84</v>
      </c>
      <c r="J239" s="3" t="s">
        <v>1068</v>
      </c>
      <c r="K239" s="3" t="s">
        <v>83</v>
      </c>
      <c r="L239" s="75">
        <v>850</v>
      </c>
      <c r="M239" t="s">
        <v>1069</v>
      </c>
    </row>
    <row r="240" spans="1:13" x14ac:dyDescent="0.2">
      <c r="A240" s="5" t="s">
        <v>579</v>
      </c>
      <c r="B240" s="5" t="s">
        <v>475</v>
      </c>
      <c r="C240" s="77">
        <v>854</v>
      </c>
      <c r="D240" t="s">
        <v>580</v>
      </c>
      <c r="E240" t="b">
        <v>1</v>
      </c>
      <c r="F240" t="b">
        <v>1</v>
      </c>
      <c r="G240" t="b">
        <v>1</v>
      </c>
      <c r="H240" t="b">
        <v>1</v>
      </c>
      <c r="I240" t="s">
        <v>476</v>
      </c>
      <c r="J240" s="3" t="s">
        <v>579</v>
      </c>
      <c r="K240" s="3" t="s">
        <v>475</v>
      </c>
      <c r="L240" s="75">
        <v>854</v>
      </c>
      <c r="M240" t="s">
        <v>580</v>
      </c>
    </row>
    <row r="241" spans="1:13" x14ac:dyDescent="0.2">
      <c r="A241" s="5" t="s">
        <v>1054</v>
      </c>
      <c r="B241" s="5" t="s">
        <v>93</v>
      </c>
      <c r="C241" s="77">
        <v>858</v>
      </c>
      <c r="D241" t="s">
        <v>1055</v>
      </c>
      <c r="E241" t="b">
        <v>1</v>
      </c>
      <c r="F241" t="b">
        <v>1</v>
      </c>
      <c r="G241" t="b">
        <v>1</v>
      </c>
      <c r="H241" t="b">
        <v>1</v>
      </c>
      <c r="I241" t="s">
        <v>94</v>
      </c>
      <c r="J241" s="3" t="s">
        <v>1054</v>
      </c>
      <c r="K241" s="3" t="s">
        <v>93</v>
      </c>
      <c r="L241" s="75">
        <v>858</v>
      </c>
      <c r="M241" t="s">
        <v>1055</v>
      </c>
    </row>
    <row r="242" spans="1:13" x14ac:dyDescent="0.2">
      <c r="A242" s="5" t="s">
        <v>1056</v>
      </c>
      <c r="B242" s="5" t="s">
        <v>95</v>
      </c>
      <c r="C242" s="77">
        <v>860</v>
      </c>
      <c r="D242" t="s">
        <v>1057</v>
      </c>
      <c r="E242" t="b">
        <v>1</v>
      </c>
      <c r="F242" t="b">
        <v>1</v>
      </c>
      <c r="G242" t="b">
        <v>1</v>
      </c>
      <c r="H242" t="b">
        <v>1</v>
      </c>
      <c r="I242" t="s">
        <v>96</v>
      </c>
      <c r="J242" s="3" t="s">
        <v>1056</v>
      </c>
      <c r="K242" s="3" t="s">
        <v>95</v>
      </c>
      <c r="L242" s="75">
        <v>860</v>
      </c>
      <c r="M242" t="s">
        <v>1057</v>
      </c>
    </row>
    <row r="243" spans="1:13" x14ac:dyDescent="0.2">
      <c r="A243" s="5" t="s">
        <v>1062</v>
      </c>
      <c r="B243" s="5" t="s">
        <v>101</v>
      </c>
      <c r="C243" s="77">
        <v>862</v>
      </c>
      <c r="D243" t="s">
        <v>1063</v>
      </c>
      <c r="E243" t="b">
        <v>1</v>
      </c>
      <c r="F243" t="b">
        <v>1</v>
      </c>
      <c r="G243" t="b">
        <v>1</v>
      </c>
      <c r="H243" s="11" t="b">
        <v>0</v>
      </c>
      <c r="I243" t="s">
        <v>102</v>
      </c>
      <c r="J243" s="3" t="s">
        <v>1062</v>
      </c>
      <c r="K243" s="3" t="s">
        <v>101</v>
      </c>
      <c r="L243" s="75">
        <v>862</v>
      </c>
      <c r="M243" t="s">
        <v>1132</v>
      </c>
    </row>
    <row r="244" spans="1:13" x14ac:dyDescent="0.2">
      <c r="A244" s="5" t="s">
        <v>1073</v>
      </c>
      <c r="B244" s="5" t="s">
        <v>2</v>
      </c>
      <c r="C244" s="77">
        <v>876</v>
      </c>
      <c r="D244" t="s">
        <v>1074</v>
      </c>
      <c r="E244" t="b">
        <v>1</v>
      </c>
      <c r="F244" t="b">
        <v>1</v>
      </c>
      <c r="G244" t="b">
        <v>1</v>
      </c>
      <c r="H244" t="b">
        <v>1</v>
      </c>
      <c r="I244" t="s">
        <v>3</v>
      </c>
      <c r="J244" s="3" t="s">
        <v>1073</v>
      </c>
      <c r="K244" s="3" t="s">
        <v>2</v>
      </c>
      <c r="L244" s="75">
        <v>876</v>
      </c>
      <c r="M244" t="s">
        <v>1074</v>
      </c>
    </row>
    <row r="245" spans="1:13" x14ac:dyDescent="0.2">
      <c r="A245" s="5" t="s">
        <v>954</v>
      </c>
      <c r="B245" s="5" t="s">
        <v>188</v>
      </c>
      <c r="C245" s="77">
        <v>882</v>
      </c>
      <c r="D245" t="s">
        <v>955</v>
      </c>
      <c r="E245" t="b">
        <v>1</v>
      </c>
      <c r="F245" t="b">
        <v>1</v>
      </c>
      <c r="G245" t="b">
        <v>1</v>
      </c>
      <c r="H245" t="b">
        <v>1</v>
      </c>
      <c r="I245" t="s">
        <v>189</v>
      </c>
      <c r="J245" s="3" t="s">
        <v>954</v>
      </c>
      <c r="K245" s="3" t="s">
        <v>188</v>
      </c>
      <c r="L245" s="75">
        <v>882</v>
      </c>
      <c r="M245" t="s">
        <v>955</v>
      </c>
    </row>
    <row r="246" spans="1:13" x14ac:dyDescent="0.2">
      <c r="A246" s="5" t="s">
        <v>1080</v>
      </c>
      <c r="B246" s="5" t="s">
        <v>10</v>
      </c>
      <c r="C246" s="77">
        <v>887</v>
      </c>
      <c r="D246" t="s">
        <v>1081</v>
      </c>
      <c r="E246" t="b">
        <v>1</v>
      </c>
      <c r="F246" t="b">
        <v>1</v>
      </c>
      <c r="G246" t="b">
        <v>1</v>
      </c>
      <c r="H246" t="b">
        <v>1</v>
      </c>
      <c r="I246" t="s">
        <v>11</v>
      </c>
      <c r="J246" s="3" t="s">
        <v>1080</v>
      </c>
      <c r="K246" s="3" t="s">
        <v>10</v>
      </c>
      <c r="L246" s="75">
        <v>887</v>
      </c>
      <c r="M246" t="s">
        <v>1081</v>
      </c>
    </row>
    <row r="247" spans="1:13" x14ac:dyDescent="0.2">
      <c r="A247" s="5" t="s">
        <v>1082</v>
      </c>
      <c r="B247" s="5" t="s">
        <v>8</v>
      </c>
      <c r="C247" s="77">
        <v>894</v>
      </c>
      <c r="D247" t="s">
        <v>1083</v>
      </c>
      <c r="E247" t="b">
        <v>1</v>
      </c>
      <c r="F247" t="b">
        <v>1</v>
      </c>
      <c r="G247" t="b">
        <v>1</v>
      </c>
      <c r="H247" t="b">
        <v>1</v>
      </c>
      <c r="I247" t="s">
        <v>9</v>
      </c>
      <c r="J247" s="3" t="s">
        <v>1082</v>
      </c>
      <c r="K247" s="3" t="s">
        <v>8</v>
      </c>
      <c r="L247" s="75">
        <v>894</v>
      </c>
      <c r="M247" t="s">
        <v>1083</v>
      </c>
    </row>
    <row r="248" spans="1:13" x14ac:dyDescent="0.2">
      <c r="A248" s="5" t="s">
        <v>502</v>
      </c>
      <c r="B248" s="5" t="s">
        <v>501</v>
      </c>
      <c r="C248" s="77">
        <v>900</v>
      </c>
      <c r="D248" t="s">
        <v>503</v>
      </c>
      <c r="E248" s="11" t="b">
        <v>0</v>
      </c>
      <c r="F248" s="11" t="b">
        <v>0</v>
      </c>
      <c r="G248" s="11" t="b">
        <v>0</v>
      </c>
      <c r="H248" s="11" t="b">
        <v>0</v>
      </c>
    </row>
    <row r="249" spans="1:13" x14ac:dyDescent="0.2">
      <c r="A249" s="5" t="s">
        <v>799</v>
      </c>
      <c r="B249" s="5" t="s">
        <v>798</v>
      </c>
      <c r="C249" s="77">
        <v>901</v>
      </c>
      <c r="D249" t="s">
        <v>800</v>
      </c>
      <c r="E249" s="11" t="b">
        <v>0</v>
      </c>
      <c r="F249" s="11" t="b">
        <v>0</v>
      </c>
      <c r="G249" s="11" t="b">
        <v>0</v>
      </c>
      <c r="H249" s="11" t="b">
        <v>0</v>
      </c>
    </row>
    <row r="250" spans="1:13" x14ac:dyDescent="0.2">
      <c r="A250" s="5" t="s">
        <v>527</v>
      </c>
      <c r="B250" s="5" t="s">
        <v>526</v>
      </c>
      <c r="C250" s="77">
        <v>902</v>
      </c>
      <c r="D250" t="s">
        <v>528</v>
      </c>
      <c r="E250" s="11" t="b">
        <v>0</v>
      </c>
      <c r="F250" s="11" t="b">
        <v>0</v>
      </c>
      <c r="G250" s="11" t="b">
        <v>0</v>
      </c>
      <c r="H250" s="11" t="b">
        <v>0</v>
      </c>
    </row>
    <row r="251" spans="1:13" x14ac:dyDescent="0.2">
      <c r="A251" s="5" t="s">
        <v>540</v>
      </c>
      <c r="B251" s="5" t="s">
        <v>539</v>
      </c>
      <c r="C251" s="77">
        <v>903</v>
      </c>
      <c r="D251" t="s">
        <v>541</v>
      </c>
      <c r="E251" s="11" t="b">
        <v>0</v>
      </c>
      <c r="F251" s="11" t="b">
        <v>0</v>
      </c>
      <c r="G251" s="11" t="b">
        <v>0</v>
      </c>
      <c r="H251" s="11" t="b">
        <v>0</v>
      </c>
    </row>
    <row r="252" spans="1:13" x14ac:dyDescent="0.2">
      <c r="A252" s="5" t="s">
        <v>547</v>
      </c>
      <c r="B252" s="5" t="s">
        <v>546</v>
      </c>
      <c r="C252" s="77">
        <v>904</v>
      </c>
      <c r="D252" t="s">
        <v>548</v>
      </c>
      <c r="E252" s="11" t="b">
        <v>0</v>
      </c>
      <c r="F252" s="11" t="b">
        <v>0</v>
      </c>
      <c r="G252" s="11" t="b">
        <v>0</v>
      </c>
      <c r="H252" s="11" t="b">
        <v>0</v>
      </c>
    </row>
    <row r="253" spans="1:13" x14ac:dyDescent="0.2">
      <c r="A253" s="5" t="s">
        <v>605</v>
      </c>
      <c r="B253" s="5" t="s">
        <v>604</v>
      </c>
      <c r="C253" s="77">
        <v>905</v>
      </c>
      <c r="D253" t="s">
        <v>606</v>
      </c>
      <c r="E253" s="11" t="b">
        <v>0</v>
      </c>
      <c r="F253" s="11" t="b">
        <v>0</v>
      </c>
      <c r="G253" s="11" t="b">
        <v>0</v>
      </c>
      <c r="H253" s="11" t="b">
        <v>0</v>
      </c>
    </row>
    <row r="254" spans="1:13" x14ac:dyDescent="0.2">
      <c r="A254" s="5" t="s">
        <v>620</v>
      </c>
      <c r="B254" s="5" t="s">
        <v>619</v>
      </c>
      <c r="C254" s="77">
        <v>906</v>
      </c>
      <c r="D254" t="s">
        <v>621</v>
      </c>
      <c r="E254" s="11" t="b">
        <v>0</v>
      </c>
      <c r="F254" s="11" t="b">
        <v>0</v>
      </c>
      <c r="G254" s="11" t="b">
        <v>0</v>
      </c>
      <c r="H254" s="11" t="b">
        <v>0</v>
      </c>
    </row>
    <row r="255" spans="1:13" x14ac:dyDescent="0.2">
      <c r="A255" s="5" t="s">
        <v>638</v>
      </c>
      <c r="B255" s="5" t="s">
        <v>637</v>
      </c>
      <c r="C255" s="77">
        <v>907</v>
      </c>
      <c r="D255" t="s">
        <v>639</v>
      </c>
      <c r="E255" s="11" t="b">
        <v>0</v>
      </c>
      <c r="F255" s="11" t="b">
        <v>0</v>
      </c>
      <c r="G255" s="11" t="b">
        <v>0</v>
      </c>
      <c r="H255" s="11" t="b">
        <v>0</v>
      </c>
    </row>
    <row r="256" spans="1:13" x14ac:dyDescent="0.2">
      <c r="A256" s="5" t="s">
        <v>641</v>
      </c>
      <c r="B256" s="5" t="s">
        <v>640</v>
      </c>
      <c r="C256" s="77">
        <v>908</v>
      </c>
      <c r="D256" t="s">
        <v>642</v>
      </c>
      <c r="E256" s="11" t="b">
        <v>0</v>
      </c>
      <c r="F256" s="11" t="b">
        <v>0</v>
      </c>
      <c r="G256" s="11" t="b">
        <v>0</v>
      </c>
      <c r="H256" s="11" t="b">
        <v>0</v>
      </c>
    </row>
    <row r="257" spans="1:8" x14ac:dyDescent="0.2">
      <c r="A257" s="5" t="s">
        <v>1088</v>
      </c>
      <c r="B257" s="5" t="s">
        <v>655</v>
      </c>
      <c r="C257" s="77">
        <v>909</v>
      </c>
      <c r="D257" t="s">
        <v>656</v>
      </c>
      <c r="E257" s="11" t="b">
        <v>0</v>
      </c>
      <c r="F257" s="11" t="b">
        <v>0</v>
      </c>
      <c r="G257" s="11" t="b">
        <v>0</v>
      </c>
      <c r="H257" s="11" t="b">
        <v>0</v>
      </c>
    </row>
    <row r="258" spans="1:8" x14ac:dyDescent="0.2">
      <c r="A258" s="5" t="s">
        <v>1088</v>
      </c>
      <c r="B258" s="5" t="s">
        <v>657</v>
      </c>
      <c r="C258" s="77">
        <v>910</v>
      </c>
      <c r="D258" t="s">
        <v>658</v>
      </c>
      <c r="E258" s="11" t="b">
        <v>0</v>
      </c>
      <c r="F258" s="11" t="b">
        <v>0</v>
      </c>
      <c r="G258" s="11" t="b">
        <v>0</v>
      </c>
      <c r="H258" s="11" t="b">
        <v>0</v>
      </c>
    </row>
    <row r="259" spans="1:8" x14ac:dyDescent="0.2">
      <c r="A259" s="5" t="s">
        <v>1088</v>
      </c>
      <c r="B259" s="5" t="s">
        <v>659</v>
      </c>
      <c r="C259" s="77">
        <v>911</v>
      </c>
      <c r="D259" t="s">
        <v>660</v>
      </c>
      <c r="E259" s="11" t="b">
        <v>0</v>
      </c>
      <c r="F259" s="11" t="b">
        <v>0</v>
      </c>
      <c r="G259" s="11" t="b">
        <v>0</v>
      </c>
      <c r="H259" s="11" t="b">
        <v>0</v>
      </c>
    </row>
    <row r="260" spans="1:8" x14ac:dyDescent="0.2">
      <c r="A260" s="5" t="s">
        <v>1088</v>
      </c>
      <c r="B260" s="5" t="s">
        <v>661</v>
      </c>
      <c r="C260" s="77">
        <v>912</v>
      </c>
      <c r="D260" t="s">
        <v>662</v>
      </c>
      <c r="E260" s="11" t="b">
        <v>0</v>
      </c>
      <c r="F260" s="11" t="b">
        <v>0</v>
      </c>
      <c r="G260" s="11" t="b">
        <v>0</v>
      </c>
      <c r="H260" s="11" t="b">
        <v>0</v>
      </c>
    </row>
    <row r="261" spans="1:8" x14ac:dyDescent="0.2">
      <c r="A261" s="5" t="s">
        <v>1088</v>
      </c>
      <c r="B261" s="5" t="s">
        <v>663</v>
      </c>
      <c r="C261" s="77">
        <v>913</v>
      </c>
      <c r="D261" t="s">
        <v>664</v>
      </c>
      <c r="E261" s="11" t="b">
        <v>0</v>
      </c>
      <c r="F261" s="11" t="b">
        <v>0</v>
      </c>
      <c r="G261" s="11" t="b">
        <v>0</v>
      </c>
      <c r="H261" s="11" t="b">
        <v>0</v>
      </c>
    </row>
    <row r="262" spans="1:8" x14ac:dyDescent="0.2">
      <c r="A262" s="5" t="s">
        <v>1089</v>
      </c>
      <c r="B262" s="5" t="s">
        <v>1090</v>
      </c>
      <c r="C262" s="77">
        <v>914</v>
      </c>
      <c r="D262" t="s">
        <v>1091</v>
      </c>
      <c r="E262" s="11" t="b">
        <v>0</v>
      </c>
      <c r="F262" s="11" t="b">
        <v>0</v>
      </c>
      <c r="G262" s="11" t="b">
        <v>0</v>
      </c>
      <c r="H262" s="11" t="b">
        <v>0</v>
      </c>
    </row>
    <row r="263" spans="1:8" x14ac:dyDescent="0.2">
      <c r="A263" s="5" t="s">
        <v>674</v>
      </c>
      <c r="B263" s="5" t="s">
        <v>673</v>
      </c>
      <c r="C263" s="77">
        <v>915</v>
      </c>
      <c r="D263" t="s">
        <v>675</v>
      </c>
      <c r="E263" s="11" t="b">
        <v>0</v>
      </c>
      <c r="F263" s="11" t="b">
        <v>0</v>
      </c>
      <c r="G263" s="11" t="b">
        <v>0</v>
      </c>
      <c r="H263" s="11" t="b">
        <v>0</v>
      </c>
    </row>
    <row r="264" spans="1:8" x14ac:dyDescent="0.2">
      <c r="A264" s="5" t="s">
        <v>697</v>
      </c>
      <c r="B264" s="5" t="s">
        <v>696</v>
      </c>
      <c r="C264" s="77">
        <v>916</v>
      </c>
      <c r="D264" t="s">
        <v>698</v>
      </c>
      <c r="E264" s="11" t="b">
        <v>0</v>
      </c>
      <c r="F264" s="11" t="b">
        <v>0</v>
      </c>
      <c r="G264" s="11" t="b">
        <v>0</v>
      </c>
      <c r="H264" s="11" t="b">
        <v>0</v>
      </c>
    </row>
    <row r="265" spans="1:8" x14ac:dyDescent="0.2">
      <c r="A265" s="5" t="s">
        <v>708</v>
      </c>
      <c r="B265" s="5" t="s">
        <v>707</v>
      </c>
      <c r="C265" s="77">
        <v>917</v>
      </c>
      <c r="D265" t="s">
        <v>709</v>
      </c>
      <c r="E265" s="11" t="b">
        <v>0</v>
      </c>
      <c r="F265" s="11" t="b">
        <v>0</v>
      </c>
      <c r="G265" s="11" t="b">
        <v>0</v>
      </c>
      <c r="H265" s="11" t="b">
        <v>0</v>
      </c>
    </row>
    <row r="266" spans="1:8" x14ac:dyDescent="0.2">
      <c r="A266" s="5" t="s">
        <v>721</v>
      </c>
      <c r="B266" s="5" t="s">
        <v>720</v>
      </c>
      <c r="C266" s="77">
        <v>918</v>
      </c>
      <c r="D266" t="s">
        <v>722</v>
      </c>
      <c r="E266" s="11" t="b">
        <v>0</v>
      </c>
      <c r="F266" s="11" t="b">
        <v>0</v>
      </c>
      <c r="G266" s="11" t="b">
        <v>0</v>
      </c>
      <c r="H266" s="11" t="b">
        <v>0</v>
      </c>
    </row>
    <row r="267" spans="1:8" x14ac:dyDescent="0.2">
      <c r="A267" s="5" t="s">
        <v>742</v>
      </c>
      <c r="B267" s="5" t="s">
        <v>741</v>
      </c>
      <c r="C267" s="77">
        <v>919</v>
      </c>
      <c r="D267" t="s">
        <v>743</v>
      </c>
      <c r="E267" s="11" t="b">
        <v>0</v>
      </c>
      <c r="F267" s="11" t="b">
        <v>0</v>
      </c>
      <c r="G267" s="11" t="b">
        <v>0</v>
      </c>
      <c r="H267" s="11" t="b">
        <v>0</v>
      </c>
    </row>
    <row r="268" spans="1:8" x14ac:dyDescent="0.2">
      <c r="A268" s="5" t="s">
        <v>767</v>
      </c>
      <c r="B268" s="5" t="s">
        <v>766</v>
      </c>
      <c r="C268" s="77">
        <v>920</v>
      </c>
      <c r="D268" t="s">
        <v>768</v>
      </c>
      <c r="E268" s="11" t="b">
        <v>0</v>
      </c>
      <c r="F268" s="11" t="b">
        <v>0</v>
      </c>
      <c r="G268" s="11" t="b">
        <v>0</v>
      </c>
      <c r="H268" s="11" t="b">
        <v>0</v>
      </c>
    </row>
    <row r="269" spans="1:8" x14ac:dyDescent="0.2">
      <c r="A269" s="5" t="s">
        <v>772</v>
      </c>
      <c r="B269" s="5" t="s">
        <v>771</v>
      </c>
      <c r="C269" s="77">
        <v>921</v>
      </c>
      <c r="D269" t="s">
        <v>773</v>
      </c>
      <c r="E269" s="11" t="b">
        <v>0</v>
      </c>
      <c r="F269" s="11" t="b">
        <v>0</v>
      </c>
      <c r="G269" s="11" t="b">
        <v>0</v>
      </c>
      <c r="H269" s="11" t="b">
        <v>0</v>
      </c>
    </row>
    <row r="270" spans="1:8" x14ac:dyDescent="0.2">
      <c r="A270" s="5" t="s">
        <v>778</v>
      </c>
      <c r="B270" s="5" t="s">
        <v>777</v>
      </c>
      <c r="C270" s="77">
        <v>922</v>
      </c>
      <c r="D270" t="s">
        <v>779</v>
      </c>
      <c r="E270" s="11" t="b">
        <v>0</v>
      </c>
      <c r="F270" s="11" t="b">
        <v>0</v>
      </c>
      <c r="G270" s="11" t="b">
        <v>0</v>
      </c>
      <c r="H270" s="11" t="b">
        <v>0</v>
      </c>
    </row>
    <row r="271" spans="1:8" x14ac:dyDescent="0.2">
      <c r="A271" s="5" t="s">
        <v>783</v>
      </c>
      <c r="B271" s="5" t="s">
        <v>782</v>
      </c>
      <c r="C271" s="77">
        <v>923</v>
      </c>
      <c r="D271" t="s">
        <v>784</v>
      </c>
      <c r="E271" s="11" t="b">
        <v>0</v>
      </c>
      <c r="F271" s="11" t="b">
        <v>0</v>
      </c>
      <c r="G271" s="11" t="b">
        <v>0</v>
      </c>
      <c r="H271" s="11" t="b">
        <v>0</v>
      </c>
    </row>
    <row r="272" spans="1:8" x14ac:dyDescent="0.2">
      <c r="A272" s="5" t="s">
        <v>790</v>
      </c>
      <c r="B272" s="5" t="s">
        <v>789</v>
      </c>
      <c r="C272" s="77">
        <v>924</v>
      </c>
      <c r="D272" t="s">
        <v>791</v>
      </c>
      <c r="E272" s="11" t="b">
        <v>0</v>
      </c>
      <c r="F272" s="11" t="b">
        <v>0</v>
      </c>
      <c r="G272" s="11" t="b">
        <v>0</v>
      </c>
      <c r="H272" s="11" t="b">
        <v>0</v>
      </c>
    </row>
    <row r="273" spans="1:13" x14ac:dyDescent="0.2">
      <c r="A273" s="5" t="s">
        <v>854</v>
      </c>
      <c r="B273" s="5" t="s">
        <v>853</v>
      </c>
      <c r="C273" s="77">
        <v>925</v>
      </c>
      <c r="D273" t="s">
        <v>855</v>
      </c>
      <c r="E273" s="11" t="b">
        <v>0</v>
      </c>
      <c r="F273" s="11" t="b">
        <v>0</v>
      </c>
      <c r="G273" s="11" t="b">
        <v>0</v>
      </c>
      <c r="H273" s="11" t="b">
        <v>0</v>
      </c>
    </row>
    <row r="274" spans="1:13" x14ac:dyDescent="0.2">
      <c r="A274" s="5" t="s">
        <v>875</v>
      </c>
      <c r="B274" s="5" t="s">
        <v>874</v>
      </c>
      <c r="C274" s="77">
        <v>926</v>
      </c>
      <c r="D274" t="s">
        <v>876</v>
      </c>
      <c r="E274" s="11" t="b">
        <v>0</v>
      </c>
      <c r="F274" s="11" t="b">
        <v>0</v>
      </c>
      <c r="G274" s="11" t="b">
        <v>0</v>
      </c>
      <c r="H274" s="11" t="b">
        <v>0</v>
      </c>
    </row>
    <row r="275" spans="1:13" x14ac:dyDescent="0.2">
      <c r="A275" s="5" t="s">
        <v>907</v>
      </c>
      <c r="B275" s="5" t="s">
        <v>906</v>
      </c>
      <c r="C275" s="77">
        <v>927</v>
      </c>
      <c r="D275" t="s">
        <v>908</v>
      </c>
      <c r="E275" s="11" t="b">
        <v>0</v>
      </c>
      <c r="F275" s="11" t="b">
        <v>0</v>
      </c>
      <c r="G275" s="11" t="b">
        <v>0</v>
      </c>
      <c r="H275" s="11" t="b">
        <v>0</v>
      </c>
    </row>
    <row r="276" spans="1:13" x14ac:dyDescent="0.2">
      <c r="A276" s="5" t="s">
        <v>914</v>
      </c>
      <c r="B276" s="5" t="s">
        <v>913</v>
      </c>
      <c r="C276" s="77">
        <v>928</v>
      </c>
      <c r="D276" t="s">
        <v>915</v>
      </c>
      <c r="E276" s="11" t="b">
        <v>0</v>
      </c>
      <c r="F276" s="11" t="b">
        <v>0</v>
      </c>
      <c r="G276" s="11" t="b">
        <v>0</v>
      </c>
      <c r="H276" s="11" t="b">
        <v>0</v>
      </c>
    </row>
    <row r="277" spans="1:13" x14ac:dyDescent="0.2">
      <c r="A277" s="5" t="s">
        <v>991</v>
      </c>
      <c r="B277" s="5" t="s">
        <v>990</v>
      </c>
      <c r="C277" s="77">
        <v>929</v>
      </c>
      <c r="D277" t="s">
        <v>992</v>
      </c>
      <c r="E277" s="11" t="b">
        <v>0</v>
      </c>
      <c r="F277" s="11" t="b">
        <v>0</v>
      </c>
      <c r="G277" s="11" t="b">
        <v>0</v>
      </c>
      <c r="H277" s="11" t="b">
        <v>0</v>
      </c>
    </row>
    <row r="278" spans="1:13" x14ac:dyDescent="0.2">
      <c r="A278" s="5" t="s">
        <v>1000</v>
      </c>
      <c r="B278" s="5" t="s">
        <v>999</v>
      </c>
      <c r="C278" s="77">
        <v>930</v>
      </c>
      <c r="D278" t="s">
        <v>1001</v>
      </c>
      <c r="E278" s="11" t="b">
        <v>0</v>
      </c>
      <c r="F278" s="11" t="b">
        <v>0</v>
      </c>
      <c r="G278" s="11" t="b">
        <v>0</v>
      </c>
      <c r="H278" s="11" t="b">
        <v>0</v>
      </c>
    </row>
    <row r="279" spans="1:13" x14ac:dyDescent="0.2">
      <c r="A279" s="5" t="s">
        <v>1029</v>
      </c>
      <c r="B279" s="5" t="s">
        <v>1028</v>
      </c>
      <c r="C279" s="77">
        <v>931</v>
      </c>
      <c r="D279" t="s">
        <v>1030</v>
      </c>
      <c r="E279" s="11" t="b">
        <v>0</v>
      </c>
      <c r="F279" s="11" t="b">
        <v>0</v>
      </c>
      <c r="G279" s="11" t="b">
        <v>0</v>
      </c>
      <c r="H279" s="11" t="b">
        <v>0</v>
      </c>
    </row>
    <row r="280" spans="1:13" x14ac:dyDescent="0.2">
      <c r="A280" s="5" t="s">
        <v>1052</v>
      </c>
      <c r="B280" s="5" t="s">
        <v>1051</v>
      </c>
      <c r="C280" s="77">
        <v>932</v>
      </c>
      <c r="D280" t="s">
        <v>1053</v>
      </c>
      <c r="E280" s="11" t="b">
        <v>0</v>
      </c>
      <c r="F280" s="11" t="b">
        <v>0</v>
      </c>
      <c r="G280" s="11" t="b">
        <v>0</v>
      </c>
      <c r="H280" s="11" t="b">
        <v>0</v>
      </c>
    </row>
    <row r="281" spans="1:13" x14ac:dyDescent="0.2">
      <c r="A281" s="5" t="s">
        <v>1071</v>
      </c>
      <c r="B281" s="5" t="s">
        <v>1070</v>
      </c>
      <c r="C281" s="77">
        <v>933</v>
      </c>
      <c r="D281" t="s">
        <v>1072</v>
      </c>
      <c r="E281" s="11" t="b">
        <v>0</v>
      </c>
      <c r="F281" s="11" t="b">
        <v>0</v>
      </c>
      <c r="G281" s="11" t="b">
        <v>0</v>
      </c>
      <c r="H281" s="11" t="b">
        <v>0</v>
      </c>
    </row>
    <row r="282" spans="1:13" x14ac:dyDescent="0.2">
      <c r="A282" s="5" t="s">
        <v>1076</v>
      </c>
      <c r="B282" s="5" t="s">
        <v>1075</v>
      </c>
      <c r="C282" s="77">
        <v>934</v>
      </c>
      <c r="D282" t="s">
        <v>1077</v>
      </c>
      <c r="E282" s="11" t="b">
        <v>0</v>
      </c>
      <c r="F282" s="11" t="b">
        <v>0</v>
      </c>
      <c r="G282" s="11" t="b">
        <v>0</v>
      </c>
      <c r="H282" s="11" t="b">
        <v>0</v>
      </c>
    </row>
    <row r="283" spans="1:13" x14ac:dyDescent="0.2">
      <c r="E283" s="11" t="b">
        <v>0</v>
      </c>
      <c r="F283" s="11" t="b">
        <v>0</v>
      </c>
      <c r="G283" s="11" t="b">
        <v>0</v>
      </c>
      <c r="H283" s="11" t="b">
        <v>0</v>
      </c>
      <c r="I283" t="s">
        <v>402</v>
      </c>
      <c r="J283" s="3" t="s">
        <v>1092</v>
      </c>
      <c r="K283" s="3" t="s">
        <v>401</v>
      </c>
      <c r="L283" s="75">
        <v>248</v>
      </c>
      <c r="M283" t="s">
        <v>1096</v>
      </c>
    </row>
    <row r="284" spans="1:13" x14ac:dyDescent="0.2">
      <c r="E284" s="11" t="b">
        <v>0</v>
      </c>
      <c r="F284" s="11" t="b">
        <v>0</v>
      </c>
      <c r="G284" s="11" t="b">
        <v>0</v>
      </c>
      <c r="H284" s="11" t="b">
        <v>0</v>
      </c>
      <c r="I284" t="s">
        <v>46</v>
      </c>
      <c r="J284" s="3" t="s">
        <v>1094</v>
      </c>
      <c r="K284" s="3" t="s">
        <v>45</v>
      </c>
      <c r="L284" s="75">
        <v>744</v>
      </c>
      <c r="M284" s="1" t="s">
        <v>1125</v>
      </c>
    </row>
    <row r="285" spans="1:13" x14ac:dyDescent="0.2">
      <c r="E285" s="11" t="b">
        <v>0</v>
      </c>
      <c r="F285" s="11" t="b">
        <v>0</v>
      </c>
      <c r="G285" s="11" t="b">
        <v>0</v>
      </c>
      <c r="H285" s="11" t="b">
        <v>0</v>
      </c>
      <c r="I285" t="s">
        <v>145</v>
      </c>
      <c r="J285" s="3" t="s">
        <v>905</v>
      </c>
      <c r="K285" s="3" t="s">
        <v>144</v>
      </c>
      <c r="L285" s="75">
        <v>275</v>
      </c>
      <c r="M285" t="s">
        <v>1116</v>
      </c>
    </row>
    <row r="286" spans="1:13" x14ac:dyDescent="0.2">
      <c r="E286" s="11" t="b">
        <v>0</v>
      </c>
      <c r="F286" s="11" t="b">
        <v>0</v>
      </c>
      <c r="G286" s="11" t="b">
        <v>0</v>
      </c>
      <c r="H286" s="11" t="b">
        <v>0</v>
      </c>
      <c r="I286" t="s">
        <v>90</v>
      </c>
      <c r="J286" s="3" t="s">
        <v>1093</v>
      </c>
      <c r="K286" s="3" t="s">
        <v>89</v>
      </c>
      <c r="L286" s="75">
        <v>581</v>
      </c>
      <c r="M286" t="s">
        <v>1130</v>
      </c>
    </row>
  </sheetData>
  <autoFilter ref="A2:M2">
    <sortState ref="A3:M289">
      <sortCondition ref="C2"/>
    </sortState>
  </autoFilter>
  <mergeCells count="3">
    <mergeCell ref="A1:D1"/>
    <mergeCell ref="I1:M1"/>
    <mergeCell ref="E1:H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5206"/>
  <sheetViews>
    <sheetView workbookViewId="0">
      <pane ySplit="1" topLeftCell="A2" activePane="bottomLeft" state="frozen"/>
      <selection pane="bottomLeft" activeCell="C36" sqref="C36"/>
    </sheetView>
  </sheetViews>
  <sheetFormatPr defaultColWidth="7.28515625" defaultRowHeight="12.75" x14ac:dyDescent="0.2"/>
  <cols>
    <col min="1" max="1" width="26.42578125" style="16" customWidth="1"/>
    <col min="2" max="2" width="10.7109375" style="16" customWidth="1"/>
    <col min="3" max="3" width="52.28515625" style="16" customWidth="1"/>
    <col min="4" max="4" width="21.7109375" style="16" customWidth="1"/>
    <col min="5" max="5" width="14.5703125" style="16" customWidth="1"/>
    <col min="6" max="6" width="21.140625" style="16" customWidth="1"/>
    <col min="7" max="7" width="40.28515625" style="16" customWidth="1"/>
    <col min="8" max="16384" width="7.28515625" style="24"/>
  </cols>
  <sheetData>
    <row r="1" spans="1:7" s="19" customFormat="1" ht="27" customHeight="1" thickBot="1" x14ac:dyDescent="0.25">
      <c r="A1" s="13" t="s">
        <v>11993</v>
      </c>
      <c r="B1" s="14" t="s">
        <v>1714</v>
      </c>
      <c r="C1" s="15" t="s">
        <v>1715</v>
      </c>
      <c r="D1" s="15" t="s">
        <v>1716</v>
      </c>
      <c r="E1" s="15" t="s">
        <v>11994</v>
      </c>
      <c r="F1" s="17" t="s">
        <v>11995</v>
      </c>
      <c r="G1" s="18" t="s">
        <v>11996</v>
      </c>
    </row>
    <row r="2" spans="1:7" x14ac:dyDescent="0.2">
      <c r="A2" s="87" t="str">
        <f>HYPERLINK("[#]Codes_for_GE_Names!A4:I4","AFGHANISTAN")</f>
        <v>AFGHANISTAN</v>
      </c>
      <c r="B2" s="20" t="s">
        <v>1717</v>
      </c>
      <c r="C2" s="20" t="s">
        <v>1718</v>
      </c>
      <c r="D2" s="20" t="s">
        <v>1719</v>
      </c>
      <c r="E2" s="21" t="b">
        <v>1</v>
      </c>
      <c r="F2" s="22" t="str">
        <f>HYPERLINK("http://nsgreg.nga.mil/genc/view?v=117823&amp;gencs=T&amp;end_month=12&amp;end_day=31&amp;end_year=2014","Badakhshān")</f>
        <v>Badakhshān</v>
      </c>
      <c r="G2" s="23" t="str">
        <f>HYPERLINK("http://api.nsgreg.nga.mil/geo-division/GENC/6/ed3/AF-BDS","as:GENC:6:ed3:AF-BDS")</f>
        <v>as:GENC:6:ed3:AF-BDS</v>
      </c>
    </row>
    <row r="3" spans="1:7" x14ac:dyDescent="0.2">
      <c r="A3" s="85"/>
      <c r="B3" s="25" t="s">
        <v>1724</v>
      </c>
      <c r="C3" s="25" t="s">
        <v>1725</v>
      </c>
      <c r="D3" s="25" t="s">
        <v>1719</v>
      </c>
      <c r="E3" s="26" t="b">
        <v>1</v>
      </c>
      <c r="F3" s="27" t="str">
        <f>HYPERLINK("http://nsgreg.nga.mil/genc/view?v=117822&amp;gencs=T&amp;end_month=12&amp;end_day=31&amp;end_year=2014","Bādghīs")</f>
        <v>Bādghīs</v>
      </c>
      <c r="G3" s="28" t="str">
        <f>HYPERLINK("http://api.nsgreg.nga.mil/geo-division/GENC/6/ed3/AF-BDG","as:GENC:6:ed3:AF-BDG")</f>
        <v>as:GENC:6:ed3:AF-BDG</v>
      </c>
    </row>
    <row r="4" spans="1:7" x14ac:dyDescent="0.2">
      <c r="A4" s="85"/>
      <c r="B4" s="25" t="s">
        <v>1720</v>
      </c>
      <c r="C4" s="25" t="s">
        <v>1721</v>
      </c>
      <c r="D4" s="25" t="s">
        <v>1719</v>
      </c>
      <c r="E4" s="26" t="b">
        <v>1</v>
      </c>
      <c r="F4" s="27" t="str">
        <f>HYPERLINK("http://nsgreg.nga.mil/genc/view?v=117824&amp;gencs=T&amp;end_month=12&amp;end_day=31&amp;end_year=2014","Baghlān")</f>
        <v>Baghlān</v>
      </c>
      <c r="G4" s="28" t="str">
        <f>HYPERLINK("http://api.nsgreg.nga.mil/geo-division/GENC/6/ed3/AF-BGL","as:GENC:6:ed3:AF-BGL")</f>
        <v>as:GENC:6:ed3:AF-BGL</v>
      </c>
    </row>
    <row r="5" spans="1:7" x14ac:dyDescent="0.2">
      <c r="A5" s="85"/>
      <c r="B5" s="25" t="s">
        <v>1722</v>
      </c>
      <c r="C5" s="25" t="s">
        <v>1723</v>
      </c>
      <c r="D5" s="25" t="s">
        <v>1719</v>
      </c>
      <c r="E5" s="26" t="b">
        <v>1</v>
      </c>
      <c r="F5" s="27" t="str">
        <f>HYPERLINK("http://nsgreg.nga.mil/genc/view?v=117820&amp;gencs=T&amp;end_month=12&amp;end_day=31&amp;end_year=2014","Balkh")</f>
        <v>Balkh</v>
      </c>
      <c r="G5" s="28" t="str">
        <f>HYPERLINK("http://api.nsgreg.nga.mil/geo-division/GENC/6/ed3/AF-BAL","as:GENC:6:ed3:AF-BAL")</f>
        <v>as:GENC:6:ed3:AF-BAL</v>
      </c>
    </row>
    <row r="6" spans="1:7" x14ac:dyDescent="0.2">
      <c r="A6" s="85"/>
      <c r="B6" s="25" t="s">
        <v>1726</v>
      </c>
      <c r="C6" s="25" t="s">
        <v>1727</v>
      </c>
      <c r="D6" s="25" t="s">
        <v>1719</v>
      </c>
      <c r="E6" s="26" t="b">
        <v>1</v>
      </c>
      <c r="F6" s="27" t="str">
        <f>HYPERLINK("http://nsgreg.nga.mil/genc/view?v=117821&amp;gencs=T&amp;end_month=12&amp;end_day=31&amp;end_year=2014","Bāmyān")</f>
        <v>Bāmyān</v>
      </c>
      <c r="G6" s="28" t="str">
        <f>HYPERLINK("http://api.nsgreg.nga.mil/geo-division/GENC/6/ed3/AF-BAM","as:GENC:6:ed3:AF-BAM")</f>
        <v>as:GENC:6:ed3:AF-BAM</v>
      </c>
    </row>
    <row r="7" spans="1:7" x14ac:dyDescent="0.2">
      <c r="A7" s="85"/>
      <c r="B7" s="25" t="s">
        <v>1728</v>
      </c>
      <c r="C7" s="25" t="s">
        <v>1729</v>
      </c>
      <c r="D7" s="25" t="s">
        <v>1719</v>
      </c>
      <c r="E7" s="26" t="b">
        <v>1</v>
      </c>
      <c r="F7" s="27" t="str">
        <f>HYPERLINK("http://nsgreg.nga.mil/genc/view?v=117825&amp;gencs=T&amp;end_month=12&amp;end_day=31&amp;end_year=2014","Dāykundī")</f>
        <v>Dāykundī</v>
      </c>
      <c r="G7" s="28" t="str">
        <f>HYPERLINK("http://api.nsgreg.nga.mil/geo-division/GENC/6/ed3/AF-DAY","as:GENC:6:ed3:AF-DAY")</f>
        <v>as:GENC:6:ed3:AF-DAY</v>
      </c>
    </row>
    <row r="8" spans="1:7" x14ac:dyDescent="0.2">
      <c r="A8" s="85"/>
      <c r="B8" s="25" t="s">
        <v>1730</v>
      </c>
      <c r="C8" s="25" t="s">
        <v>1731</v>
      </c>
      <c r="D8" s="25" t="s">
        <v>1719</v>
      </c>
      <c r="E8" s="26" t="b">
        <v>1</v>
      </c>
      <c r="F8" s="27" t="str">
        <f>HYPERLINK("http://nsgreg.nga.mil/genc/view?v=117826&amp;gencs=T&amp;end_month=12&amp;end_day=31&amp;end_year=2014","Farāh")</f>
        <v>Farāh</v>
      </c>
      <c r="G8" s="28" t="str">
        <f>HYPERLINK("http://api.nsgreg.nga.mil/geo-division/GENC/6/ed3/AF-FRA","as:GENC:6:ed3:AF-FRA")</f>
        <v>as:GENC:6:ed3:AF-FRA</v>
      </c>
    </row>
    <row r="9" spans="1:7" x14ac:dyDescent="0.2">
      <c r="A9" s="85"/>
      <c r="B9" s="25" t="s">
        <v>1732</v>
      </c>
      <c r="C9" s="25" t="s">
        <v>1733</v>
      </c>
      <c r="D9" s="25" t="s">
        <v>1719</v>
      </c>
      <c r="E9" s="26" t="b">
        <v>1</v>
      </c>
      <c r="F9" s="27" t="str">
        <f>HYPERLINK("http://nsgreg.nga.mil/genc/view?v=117827&amp;gencs=T&amp;end_month=12&amp;end_day=31&amp;end_year=2014","Fāryāb")</f>
        <v>Fāryāb</v>
      </c>
      <c r="G9" s="28" t="str">
        <f>HYPERLINK("http://api.nsgreg.nga.mil/geo-division/GENC/6/ed3/AF-FYB","as:GENC:6:ed3:AF-FYB")</f>
        <v>as:GENC:6:ed3:AF-FYB</v>
      </c>
    </row>
    <row r="10" spans="1:7" x14ac:dyDescent="0.2">
      <c r="A10" s="85"/>
      <c r="B10" s="25" t="s">
        <v>1734</v>
      </c>
      <c r="C10" s="25" t="s">
        <v>1735</v>
      </c>
      <c r="D10" s="25" t="s">
        <v>1719</v>
      </c>
      <c r="E10" s="26" t="b">
        <v>1</v>
      </c>
      <c r="F10" s="27" t="str">
        <f>HYPERLINK("http://nsgreg.nga.mil/genc/view?v=117828&amp;gencs=T&amp;end_month=12&amp;end_day=31&amp;end_year=2014","Ghaznī")</f>
        <v>Ghaznī</v>
      </c>
      <c r="G10" s="28" t="str">
        <f>HYPERLINK("http://api.nsgreg.nga.mil/geo-division/GENC/6/ed3/AF-GHA","as:GENC:6:ed3:AF-GHA")</f>
        <v>as:GENC:6:ed3:AF-GHA</v>
      </c>
    </row>
    <row r="11" spans="1:7" x14ac:dyDescent="0.2">
      <c r="A11" s="85"/>
      <c r="B11" s="25" t="s">
        <v>1736</v>
      </c>
      <c r="C11" s="25" t="s">
        <v>1737</v>
      </c>
      <c r="D11" s="25" t="s">
        <v>1719</v>
      </c>
      <c r="E11" s="26" t="b">
        <v>1</v>
      </c>
      <c r="F11" s="27" t="str">
        <f>HYPERLINK("http://nsgreg.nga.mil/genc/view?v=117829&amp;gencs=T&amp;end_month=12&amp;end_day=31&amp;end_year=2014","Ghōr")</f>
        <v>Ghōr</v>
      </c>
      <c r="G11" s="28" t="str">
        <f>HYPERLINK("http://api.nsgreg.nga.mil/geo-division/GENC/6/ed3/AF-GHO","as:GENC:6:ed3:AF-GHO")</f>
        <v>as:GENC:6:ed3:AF-GHO</v>
      </c>
    </row>
    <row r="12" spans="1:7" x14ac:dyDescent="0.2">
      <c r="A12" s="85"/>
      <c r="B12" s="25" t="s">
        <v>1738</v>
      </c>
      <c r="C12" s="25" t="s">
        <v>1739</v>
      </c>
      <c r="D12" s="25" t="s">
        <v>1719</v>
      </c>
      <c r="E12" s="26" t="b">
        <v>1</v>
      </c>
      <c r="F12" s="27" t="str">
        <f>HYPERLINK("http://nsgreg.nga.mil/genc/view?v=117830&amp;gencs=T&amp;end_month=12&amp;end_day=31&amp;end_year=2014","Helmand")</f>
        <v>Helmand</v>
      </c>
      <c r="G12" s="28" t="str">
        <f>HYPERLINK("http://api.nsgreg.nga.mil/geo-division/GENC/6/ed3/AF-HEL","as:GENC:6:ed3:AF-HEL")</f>
        <v>as:GENC:6:ed3:AF-HEL</v>
      </c>
    </row>
    <row r="13" spans="1:7" x14ac:dyDescent="0.2">
      <c r="A13" s="85"/>
      <c r="B13" s="25" t="s">
        <v>1740</v>
      </c>
      <c r="C13" s="25" t="s">
        <v>1741</v>
      </c>
      <c r="D13" s="25" t="s">
        <v>1719</v>
      </c>
      <c r="E13" s="26" t="b">
        <v>1</v>
      </c>
      <c r="F13" s="27" t="str">
        <f>HYPERLINK("http://nsgreg.nga.mil/genc/view?v=117831&amp;gencs=T&amp;end_month=12&amp;end_day=31&amp;end_year=2014","Herāt")</f>
        <v>Herāt</v>
      </c>
      <c r="G13" s="28" t="str">
        <f>HYPERLINK("http://api.nsgreg.nga.mil/geo-division/GENC/6/ed3/AF-HER","as:GENC:6:ed3:AF-HER")</f>
        <v>as:GENC:6:ed3:AF-HER</v>
      </c>
    </row>
    <row r="14" spans="1:7" x14ac:dyDescent="0.2">
      <c r="A14" s="85"/>
      <c r="B14" s="25" t="s">
        <v>1742</v>
      </c>
      <c r="C14" s="25" t="s">
        <v>1743</v>
      </c>
      <c r="D14" s="25" t="s">
        <v>1719</v>
      </c>
      <c r="E14" s="26" t="b">
        <v>1</v>
      </c>
      <c r="F14" s="27" t="str">
        <f>HYPERLINK("http://nsgreg.nga.mil/genc/view?v=117832&amp;gencs=T&amp;end_month=12&amp;end_day=31&amp;end_year=2014","Jowzjān")</f>
        <v>Jowzjān</v>
      </c>
      <c r="G14" s="28" t="str">
        <f>HYPERLINK("http://api.nsgreg.nga.mil/geo-division/GENC/6/ed3/AF-JOW","as:GENC:6:ed3:AF-JOW")</f>
        <v>as:GENC:6:ed3:AF-JOW</v>
      </c>
    </row>
    <row r="15" spans="1:7" x14ac:dyDescent="0.2">
      <c r="A15" s="85"/>
      <c r="B15" s="25" t="s">
        <v>1752</v>
      </c>
      <c r="C15" s="25" t="s">
        <v>1753</v>
      </c>
      <c r="D15" s="25" t="s">
        <v>1719</v>
      </c>
      <c r="E15" s="26" t="b">
        <v>1</v>
      </c>
      <c r="F15" s="27" t="str">
        <f>HYPERLINK("http://nsgreg.nga.mil/genc/view?v=117833&amp;gencs=T&amp;end_month=12&amp;end_day=31&amp;end_year=2014","Kābul")</f>
        <v>Kābul</v>
      </c>
      <c r="G15" s="28" t="str">
        <f>HYPERLINK("http://api.nsgreg.nga.mil/geo-division/GENC/6/ed3/AF-KAB","as:GENC:6:ed3:AF-KAB")</f>
        <v>as:GENC:6:ed3:AF-KAB</v>
      </c>
    </row>
    <row r="16" spans="1:7" x14ac:dyDescent="0.2">
      <c r="A16" s="85"/>
      <c r="B16" s="25" t="s">
        <v>1744</v>
      </c>
      <c r="C16" s="25" t="s">
        <v>1745</v>
      </c>
      <c r="D16" s="25" t="s">
        <v>1719</v>
      </c>
      <c r="E16" s="26" t="b">
        <v>1</v>
      </c>
      <c r="F16" s="27" t="str">
        <f>HYPERLINK("http://nsgreg.nga.mil/genc/view?v=117834&amp;gencs=T&amp;end_month=12&amp;end_day=31&amp;end_year=2014","Kandahār")</f>
        <v>Kandahār</v>
      </c>
      <c r="G16" s="28" t="str">
        <f>HYPERLINK("http://api.nsgreg.nga.mil/geo-division/GENC/6/ed3/AF-KAN","as:GENC:6:ed3:AF-KAN")</f>
        <v>as:GENC:6:ed3:AF-KAN</v>
      </c>
    </row>
    <row r="17" spans="1:7" x14ac:dyDescent="0.2">
      <c r="A17" s="85"/>
      <c r="B17" s="25" t="s">
        <v>1754</v>
      </c>
      <c r="C17" s="25" t="s">
        <v>1755</v>
      </c>
      <c r="D17" s="25" t="s">
        <v>1719</v>
      </c>
      <c r="E17" s="26" t="b">
        <v>1</v>
      </c>
      <c r="F17" s="27" t="str">
        <f>HYPERLINK("http://nsgreg.nga.mil/genc/view?v=117835&amp;gencs=T&amp;end_month=12&amp;end_day=31&amp;end_year=2014","Kāpīsā")</f>
        <v>Kāpīsā</v>
      </c>
      <c r="G17" s="28" t="str">
        <f>HYPERLINK("http://api.nsgreg.nga.mil/geo-division/GENC/6/ed3/AF-KAP","as:GENC:6:ed3:AF-KAP")</f>
        <v>as:GENC:6:ed3:AF-KAP</v>
      </c>
    </row>
    <row r="18" spans="1:7" x14ac:dyDescent="0.2">
      <c r="A18" s="85"/>
      <c r="B18" s="25" t="s">
        <v>1746</v>
      </c>
      <c r="C18" s="25" t="s">
        <v>1747</v>
      </c>
      <c r="D18" s="25" t="s">
        <v>1719</v>
      </c>
      <c r="E18" s="26" t="b">
        <v>1</v>
      </c>
      <c r="F18" s="27" t="str">
        <f>HYPERLINK("http://nsgreg.nga.mil/genc/view?v=117837&amp;gencs=T&amp;end_month=12&amp;end_day=31&amp;end_year=2014","Khōst")</f>
        <v>Khōst</v>
      </c>
      <c r="G18" s="28" t="str">
        <f>HYPERLINK("http://api.nsgreg.nga.mil/geo-division/GENC/6/ed3/AF-KHO","as:GENC:6:ed3:AF-KHO")</f>
        <v>as:GENC:6:ed3:AF-KHO</v>
      </c>
    </row>
    <row r="19" spans="1:7" x14ac:dyDescent="0.2">
      <c r="A19" s="85"/>
      <c r="B19" s="25" t="s">
        <v>1748</v>
      </c>
      <c r="C19" s="25" t="s">
        <v>11997</v>
      </c>
      <c r="D19" s="25" t="s">
        <v>1719</v>
      </c>
      <c r="E19" s="26" t="b">
        <v>1</v>
      </c>
      <c r="F19" s="27" t="str">
        <f>HYPERLINK("http://nsgreg.nga.mil/genc/view?v=211173&amp;end_month=12&amp;end_day=31&amp;end_year=2014","Kunaṟ")</f>
        <v>Kunaṟ</v>
      </c>
      <c r="G19" s="28" t="str">
        <f>HYPERLINK("http://api.nsgreg.nga.mil/geo-division/GENC/6/ed3/AF-KNR","as:GENC:6:ed3:AF-KNR")</f>
        <v>as:GENC:6:ed3:AF-KNR</v>
      </c>
    </row>
    <row r="20" spans="1:7" x14ac:dyDescent="0.2">
      <c r="A20" s="85"/>
      <c r="B20" s="25" t="s">
        <v>1750</v>
      </c>
      <c r="C20" s="25" t="s">
        <v>1751</v>
      </c>
      <c r="D20" s="25" t="s">
        <v>1719</v>
      </c>
      <c r="E20" s="26" t="b">
        <v>1</v>
      </c>
      <c r="F20" s="27" t="str">
        <f>HYPERLINK("http://nsgreg.nga.mil/genc/view?v=117836&amp;gencs=T&amp;end_month=12&amp;end_day=31&amp;end_year=2014","Kunduz")</f>
        <v>Kunduz</v>
      </c>
      <c r="G20" s="28" t="str">
        <f>HYPERLINK("http://api.nsgreg.nga.mil/geo-division/GENC/6/ed3/AF-KDZ","as:GENC:6:ed3:AF-KDZ")</f>
        <v>as:GENC:6:ed3:AF-KDZ</v>
      </c>
    </row>
    <row r="21" spans="1:7" x14ac:dyDescent="0.2">
      <c r="A21" s="85"/>
      <c r="B21" s="25" t="s">
        <v>1756</v>
      </c>
      <c r="C21" s="25" t="s">
        <v>1757</v>
      </c>
      <c r="D21" s="25" t="s">
        <v>1719</v>
      </c>
      <c r="E21" s="26" t="b">
        <v>1</v>
      </c>
      <c r="F21" s="27" t="str">
        <f>HYPERLINK("http://nsgreg.nga.mil/genc/view?v=117839&amp;gencs=T&amp;end_month=12&amp;end_day=31&amp;end_year=2014","Laghmān")</f>
        <v>Laghmān</v>
      </c>
      <c r="G21" s="28" t="str">
        <f>HYPERLINK("http://api.nsgreg.nga.mil/geo-division/GENC/6/ed3/AF-LAG","as:GENC:6:ed3:AF-LAG")</f>
        <v>as:GENC:6:ed3:AF-LAG</v>
      </c>
    </row>
    <row r="22" spans="1:7" x14ac:dyDescent="0.2">
      <c r="A22" s="85"/>
      <c r="B22" s="25" t="s">
        <v>1758</v>
      </c>
      <c r="C22" s="25" t="s">
        <v>1759</v>
      </c>
      <c r="D22" s="25" t="s">
        <v>1719</v>
      </c>
      <c r="E22" s="26" t="b">
        <v>1</v>
      </c>
      <c r="F22" s="27" t="str">
        <f>HYPERLINK("http://nsgreg.nga.mil/genc/view?v=117840&amp;gencs=T&amp;end_month=12&amp;end_day=31&amp;end_year=2014","Lōgar")</f>
        <v>Lōgar</v>
      </c>
      <c r="G22" s="28" t="str">
        <f>HYPERLINK("http://api.nsgreg.nga.mil/geo-division/GENC/6/ed3/AF-LOG","as:GENC:6:ed3:AF-LOG")</f>
        <v>as:GENC:6:ed3:AF-LOG</v>
      </c>
    </row>
    <row r="23" spans="1:7" x14ac:dyDescent="0.2">
      <c r="A23" s="85"/>
      <c r="B23" s="25" t="s">
        <v>1760</v>
      </c>
      <c r="C23" s="25" t="s">
        <v>1761</v>
      </c>
      <c r="D23" s="25" t="s">
        <v>1719</v>
      </c>
      <c r="E23" s="26" t="b">
        <v>1</v>
      </c>
      <c r="F23" s="27" t="str">
        <f>HYPERLINK("http://nsgreg.nga.mil/genc/view?v=117841&amp;gencs=T&amp;end_month=12&amp;end_day=31&amp;end_year=2014","Nangarhār")</f>
        <v>Nangarhār</v>
      </c>
      <c r="G23" s="28" t="str">
        <f>HYPERLINK("http://api.nsgreg.nga.mil/geo-division/GENC/6/ed3/AF-NAN","as:GENC:6:ed3:AF-NAN")</f>
        <v>as:GENC:6:ed3:AF-NAN</v>
      </c>
    </row>
    <row r="24" spans="1:7" x14ac:dyDescent="0.2">
      <c r="A24" s="85"/>
      <c r="B24" s="25" t="s">
        <v>1762</v>
      </c>
      <c r="C24" s="25" t="s">
        <v>1763</v>
      </c>
      <c r="D24" s="25" t="s">
        <v>1719</v>
      </c>
      <c r="E24" s="26" t="b">
        <v>1</v>
      </c>
      <c r="F24" s="27" t="str">
        <f>HYPERLINK("http://nsgreg.nga.mil/genc/view?v=117842&amp;gencs=T&amp;end_month=12&amp;end_day=31&amp;end_year=2014","Nīmrōz")</f>
        <v>Nīmrōz</v>
      </c>
      <c r="G24" s="28" t="str">
        <f>HYPERLINK("http://api.nsgreg.nga.mil/geo-division/GENC/6/ed3/AF-NIM","as:GENC:6:ed3:AF-NIM")</f>
        <v>as:GENC:6:ed3:AF-NIM</v>
      </c>
    </row>
    <row r="25" spans="1:7" x14ac:dyDescent="0.2">
      <c r="A25" s="85"/>
      <c r="B25" s="25" t="s">
        <v>1764</v>
      </c>
      <c r="C25" s="25" t="s">
        <v>1765</v>
      </c>
      <c r="D25" s="25" t="s">
        <v>1719</v>
      </c>
      <c r="E25" s="26" t="b">
        <v>1</v>
      </c>
      <c r="F25" s="27" t="str">
        <f>HYPERLINK("http://nsgreg.nga.mil/genc/view?v=117843&amp;gencs=T&amp;end_month=12&amp;end_day=31&amp;end_year=2014","Nūristān")</f>
        <v>Nūristān</v>
      </c>
      <c r="G25" s="28" t="str">
        <f>HYPERLINK("http://api.nsgreg.nga.mil/geo-division/GENC/6/ed3/AF-NUR","as:GENC:6:ed3:AF-NUR")</f>
        <v>as:GENC:6:ed3:AF-NUR</v>
      </c>
    </row>
    <row r="26" spans="1:7" x14ac:dyDescent="0.2">
      <c r="A26" s="85"/>
      <c r="B26" s="25" t="s">
        <v>1766</v>
      </c>
      <c r="C26" s="25" t="s">
        <v>1767</v>
      </c>
      <c r="D26" s="25" t="s">
        <v>1719</v>
      </c>
      <c r="E26" s="26" t="b">
        <v>1</v>
      </c>
      <c r="F26" s="27" t="str">
        <f>HYPERLINK("http://nsgreg.nga.mil/genc/view?v=117847&amp;gencs=T&amp;end_month=12&amp;end_day=31&amp;end_year=2014","Paktīkā")</f>
        <v>Paktīkā</v>
      </c>
      <c r="G26" s="28" t="str">
        <f>HYPERLINK("http://api.nsgreg.nga.mil/geo-division/GENC/6/ed3/AF-PKA","as:GENC:6:ed3:AF-PKA")</f>
        <v>as:GENC:6:ed3:AF-PKA</v>
      </c>
    </row>
    <row r="27" spans="1:7" x14ac:dyDescent="0.2">
      <c r="A27" s="85"/>
      <c r="B27" s="25" t="s">
        <v>1768</v>
      </c>
      <c r="C27" s="25" t="s">
        <v>11998</v>
      </c>
      <c r="D27" s="25" t="s">
        <v>1719</v>
      </c>
      <c r="E27" s="26" t="b">
        <v>1</v>
      </c>
      <c r="F27" s="27" t="str">
        <f>HYPERLINK("http://nsgreg.nga.mil/genc/view?v=211175&amp;end_month=12&amp;end_day=31&amp;end_year=2014","Paktiyā")</f>
        <v>Paktiyā</v>
      </c>
      <c r="G27" s="28" t="str">
        <f>HYPERLINK("http://api.nsgreg.nga.mil/geo-division/GENC/6/ed3/AF-PIA","as:GENC:6:ed3:AF-PIA")</f>
        <v>as:GENC:6:ed3:AF-PIA</v>
      </c>
    </row>
    <row r="28" spans="1:7" x14ac:dyDescent="0.2">
      <c r="A28" s="85"/>
      <c r="B28" s="25" t="s">
        <v>1770</v>
      </c>
      <c r="C28" s="25" t="s">
        <v>11999</v>
      </c>
      <c r="D28" s="25" t="s">
        <v>1719</v>
      </c>
      <c r="E28" s="26" t="b">
        <v>1</v>
      </c>
      <c r="F28" s="27" t="str">
        <f>HYPERLINK("http://nsgreg.nga.mil/genc/view?v=211174&amp;end_month=12&amp;end_day=31&amp;end_year=2014","Panjshir")</f>
        <v>Panjshir</v>
      </c>
      <c r="G28" s="28" t="str">
        <f>HYPERLINK("http://api.nsgreg.nga.mil/geo-division/GENC/6/ed3/AF-PAN","as:GENC:6:ed3:AF-PAN")</f>
        <v>as:GENC:6:ed3:AF-PAN</v>
      </c>
    </row>
    <row r="29" spans="1:7" x14ac:dyDescent="0.2">
      <c r="A29" s="85"/>
      <c r="B29" s="25" t="s">
        <v>1772</v>
      </c>
      <c r="C29" s="25" t="s">
        <v>1773</v>
      </c>
      <c r="D29" s="25" t="s">
        <v>1719</v>
      </c>
      <c r="E29" s="26" t="b">
        <v>1</v>
      </c>
      <c r="F29" s="27" t="str">
        <f>HYPERLINK("http://nsgreg.nga.mil/genc/view?v=117845&amp;gencs=T&amp;end_month=12&amp;end_day=31&amp;end_year=2014","Parwān")</f>
        <v>Parwān</v>
      </c>
      <c r="G29" s="28" t="str">
        <f>HYPERLINK("http://api.nsgreg.nga.mil/geo-division/GENC/6/ed3/AF-PAR","as:GENC:6:ed3:AF-PAR")</f>
        <v>as:GENC:6:ed3:AF-PAR</v>
      </c>
    </row>
    <row r="30" spans="1:7" x14ac:dyDescent="0.2">
      <c r="A30" s="85"/>
      <c r="B30" s="25" t="s">
        <v>1774</v>
      </c>
      <c r="C30" s="25" t="s">
        <v>1775</v>
      </c>
      <c r="D30" s="25" t="s">
        <v>1719</v>
      </c>
      <c r="E30" s="26" t="b">
        <v>1</v>
      </c>
      <c r="F30" s="27" t="str">
        <f>HYPERLINK("http://nsgreg.nga.mil/genc/view?v=117848&amp;gencs=T&amp;end_month=12&amp;end_day=31&amp;end_year=2014","Samangān")</f>
        <v>Samangān</v>
      </c>
      <c r="G30" s="28" t="str">
        <f>HYPERLINK("http://api.nsgreg.nga.mil/geo-division/GENC/6/ed3/AF-SAM","as:GENC:6:ed3:AF-SAM")</f>
        <v>as:GENC:6:ed3:AF-SAM</v>
      </c>
    </row>
    <row r="31" spans="1:7" x14ac:dyDescent="0.2">
      <c r="A31" s="85"/>
      <c r="B31" s="25" t="s">
        <v>1776</v>
      </c>
      <c r="C31" s="25" t="s">
        <v>1777</v>
      </c>
      <c r="D31" s="25" t="s">
        <v>1719</v>
      </c>
      <c r="E31" s="26" t="b">
        <v>1</v>
      </c>
      <c r="F31" s="27" t="str">
        <f>HYPERLINK("http://nsgreg.nga.mil/genc/view?v=117849&amp;gencs=T&amp;end_month=12&amp;end_day=31&amp;end_year=2014","Sar-e Pul")</f>
        <v>Sar-e Pul</v>
      </c>
      <c r="G31" s="28" t="str">
        <f>HYPERLINK("http://api.nsgreg.nga.mil/geo-division/GENC/6/ed3/AF-SAR","as:GENC:6:ed3:AF-SAR")</f>
        <v>as:GENC:6:ed3:AF-SAR</v>
      </c>
    </row>
    <row r="32" spans="1:7" x14ac:dyDescent="0.2">
      <c r="A32" s="85"/>
      <c r="B32" s="25" t="s">
        <v>1778</v>
      </c>
      <c r="C32" s="25" t="s">
        <v>1779</v>
      </c>
      <c r="D32" s="25" t="s">
        <v>1719</v>
      </c>
      <c r="E32" s="26" t="b">
        <v>1</v>
      </c>
      <c r="F32" s="27" t="str">
        <f>HYPERLINK("http://nsgreg.nga.mil/genc/view?v=117850&amp;gencs=T&amp;end_month=12&amp;end_day=31&amp;end_year=2014","Takhār")</f>
        <v>Takhār</v>
      </c>
      <c r="G32" s="28" t="str">
        <f>HYPERLINK("http://api.nsgreg.nga.mil/geo-division/GENC/6/ed3/AF-TAK","as:GENC:6:ed3:AF-TAK")</f>
        <v>as:GENC:6:ed3:AF-TAK</v>
      </c>
    </row>
    <row r="33" spans="1:7" x14ac:dyDescent="0.2">
      <c r="A33" s="85"/>
      <c r="B33" s="25" t="s">
        <v>1780</v>
      </c>
      <c r="C33" s="25" t="s">
        <v>1781</v>
      </c>
      <c r="D33" s="25" t="s">
        <v>1719</v>
      </c>
      <c r="E33" s="26" t="b">
        <v>1</v>
      </c>
      <c r="F33" s="27" t="str">
        <f>HYPERLINK("http://nsgreg.nga.mil/genc/view?v=117851&amp;gencs=T&amp;end_month=12&amp;end_day=31&amp;end_year=2014","Uruzgān")</f>
        <v>Uruzgān</v>
      </c>
      <c r="G33" s="28" t="str">
        <f>HYPERLINK("http://api.nsgreg.nga.mil/geo-division/GENC/6/ed3/AF-URU","as:GENC:6:ed3:AF-URU")</f>
        <v>as:GENC:6:ed3:AF-URU</v>
      </c>
    </row>
    <row r="34" spans="1:7" x14ac:dyDescent="0.2">
      <c r="A34" s="85"/>
      <c r="B34" s="25" t="s">
        <v>1782</v>
      </c>
      <c r="C34" s="25" t="s">
        <v>1783</v>
      </c>
      <c r="D34" s="25" t="s">
        <v>1719</v>
      </c>
      <c r="E34" s="26" t="b">
        <v>1</v>
      </c>
      <c r="F34" s="27" t="str">
        <f>HYPERLINK("http://nsgreg.nga.mil/genc/view?v=117852&amp;gencs=T&amp;end_month=12&amp;end_day=31&amp;end_year=2014","Wardak")</f>
        <v>Wardak</v>
      </c>
      <c r="G34" s="28" t="str">
        <f>HYPERLINK("http://api.nsgreg.nga.mil/geo-division/GENC/6/ed3/AF-WAR","as:GENC:6:ed3:AF-WAR")</f>
        <v>as:GENC:6:ed3:AF-WAR</v>
      </c>
    </row>
    <row r="35" spans="1:7" x14ac:dyDescent="0.2">
      <c r="A35" s="86"/>
      <c r="B35" s="29" t="s">
        <v>1784</v>
      </c>
      <c r="C35" s="29" t="s">
        <v>1785</v>
      </c>
      <c r="D35" s="29" t="s">
        <v>1719</v>
      </c>
      <c r="E35" s="30" t="b">
        <v>1</v>
      </c>
      <c r="F35" s="31" t="str">
        <f>HYPERLINK("http://nsgreg.nga.mil/genc/view?v=117853&amp;gencs=T&amp;end_month=12&amp;end_day=31&amp;end_year=2014","Zābul")</f>
        <v>Zābul</v>
      </c>
      <c r="G35" s="32" t="str">
        <f>HYPERLINK("http://api.nsgreg.nga.mil/geo-division/GENC/6/ed3/AF-ZAB","as:GENC:6:ed3:AF-ZAB")</f>
        <v>as:GENC:6:ed3:AF-ZAB</v>
      </c>
    </row>
    <row r="36" spans="1:7" x14ac:dyDescent="0.2">
      <c r="A36" s="84" t="str">
        <f>HYPERLINK("[#]Codes_for_GE_Names!A6:I6","ALBANIA")</f>
        <v>ALBANIA</v>
      </c>
      <c r="B36" s="33" t="s">
        <v>1786</v>
      </c>
      <c r="C36" s="33" t="s">
        <v>1787</v>
      </c>
      <c r="D36" s="33" t="s">
        <v>1788</v>
      </c>
      <c r="E36" s="34" t="b">
        <v>1</v>
      </c>
      <c r="F36" s="35" t="str">
        <f>HYPERLINK("http://nsgreg.nga.mil/genc/view?v=117862&amp;gencs=T&amp;end_month=12&amp;end_day=31&amp;end_year=2014","Berat")</f>
        <v>Berat</v>
      </c>
      <c r="G36" s="36" t="str">
        <f>HYPERLINK("http://api.nsgreg.nga.mil/geo-division/GENC/6/ed3/AL-01","as:GENC:6:ed3:AL-01")</f>
        <v>as:GENC:6:ed3:AL-01</v>
      </c>
    </row>
    <row r="37" spans="1:7" x14ac:dyDescent="0.2">
      <c r="A37" s="85"/>
      <c r="B37" s="25" t="s">
        <v>1789</v>
      </c>
      <c r="C37" s="25" t="s">
        <v>1787</v>
      </c>
      <c r="D37" s="37" t="s">
        <v>1790</v>
      </c>
      <c r="E37" s="38" t="b">
        <v>0</v>
      </c>
      <c r="F37" s="27" t="str">
        <f>HYPERLINK("http://nsgreg.nga.mil/genc/view?v=117874&amp;gencs=T&amp;end_month=12&amp;end_day=31&amp;end_year=2014","Berat")</f>
        <v>Berat</v>
      </c>
      <c r="G37" s="28" t="str">
        <f>HYPERLINK("http://api.nsgreg.nga.mil/geo-division/GENC/6/ed3/AL-BR","as:GENC:6:ed3:AL-BR")</f>
        <v>as:GENC:6:ed3:AL-BR</v>
      </c>
    </row>
    <row r="38" spans="1:7" x14ac:dyDescent="0.2">
      <c r="A38" s="85"/>
      <c r="B38" s="25" t="s">
        <v>1791</v>
      </c>
      <c r="C38" s="25" t="s">
        <v>1792</v>
      </c>
      <c r="D38" s="37" t="s">
        <v>1790</v>
      </c>
      <c r="E38" s="38" t="b">
        <v>0</v>
      </c>
      <c r="F38" s="27" t="str">
        <f>HYPERLINK("http://nsgreg.nga.mil/genc/view?v=117875&amp;gencs=T&amp;end_month=12&amp;end_day=31&amp;end_year=2014","Bulqizë")</f>
        <v>Bulqizë</v>
      </c>
      <c r="G38" s="28" t="str">
        <f>HYPERLINK("http://api.nsgreg.nga.mil/geo-division/GENC/6/ed3/AL-BU","as:GENC:6:ed3:AL-BU")</f>
        <v>as:GENC:6:ed3:AL-BU</v>
      </c>
    </row>
    <row r="39" spans="1:7" x14ac:dyDescent="0.2">
      <c r="A39" s="85"/>
      <c r="B39" s="25" t="s">
        <v>1793</v>
      </c>
      <c r="C39" s="25" t="s">
        <v>1794</v>
      </c>
      <c r="D39" s="37" t="s">
        <v>1790</v>
      </c>
      <c r="E39" s="38" t="b">
        <v>0</v>
      </c>
      <c r="F39" s="27" t="str">
        <f>HYPERLINK("http://nsgreg.nga.mil/genc/view?v=117877&amp;gencs=T&amp;end_month=12&amp;end_day=31&amp;end_year=2014","Delvinë")</f>
        <v>Delvinë</v>
      </c>
      <c r="G39" s="28" t="str">
        <f>HYPERLINK("http://api.nsgreg.nga.mil/geo-division/GENC/6/ed3/AL-DL","as:GENC:6:ed3:AL-DL")</f>
        <v>as:GENC:6:ed3:AL-DL</v>
      </c>
    </row>
    <row r="40" spans="1:7" x14ac:dyDescent="0.2">
      <c r="A40" s="85"/>
      <c r="B40" s="25" t="s">
        <v>1795</v>
      </c>
      <c r="C40" s="25" t="s">
        <v>1796</v>
      </c>
      <c r="D40" s="37" t="s">
        <v>1790</v>
      </c>
      <c r="E40" s="38" t="b">
        <v>0</v>
      </c>
      <c r="F40" s="27" t="str">
        <f>HYPERLINK("http://nsgreg.nga.mil/genc/view?v=117879&amp;gencs=T&amp;end_month=12&amp;end_day=31&amp;end_year=2014","Devoll")</f>
        <v>Devoll</v>
      </c>
      <c r="G40" s="28" t="str">
        <f>HYPERLINK("http://api.nsgreg.nga.mil/geo-division/GENC/6/ed3/AL-DV","as:GENC:6:ed3:AL-DV")</f>
        <v>as:GENC:6:ed3:AL-DV</v>
      </c>
    </row>
    <row r="41" spans="1:7" x14ac:dyDescent="0.2">
      <c r="A41" s="85"/>
      <c r="B41" s="25" t="s">
        <v>1797</v>
      </c>
      <c r="C41" s="25" t="s">
        <v>1798</v>
      </c>
      <c r="D41" s="25" t="s">
        <v>1788</v>
      </c>
      <c r="E41" s="26" t="b">
        <v>1</v>
      </c>
      <c r="F41" s="27" t="str">
        <f>HYPERLINK("http://nsgreg.nga.mil/genc/view?v=117870&amp;gencs=T&amp;end_month=12&amp;end_day=31&amp;end_year=2014","Dibër")</f>
        <v>Dibër</v>
      </c>
      <c r="G41" s="28" t="str">
        <f>HYPERLINK("http://api.nsgreg.nga.mil/geo-division/GENC/6/ed3/AL-09","as:GENC:6:ed3:AL-09")</f>
        <v>as:GENC:6:ed3:AL-09</v>
      </c>
    </row>
    <row r="42" spans="1:7" x14ac:dyDescent="0.2">
      <c r="A42" s="85"/>
      <c r="B42" s="25" t="s">
        <v>1799</v>
      </c>
      <c r="C42" s="25" t="s">
        <v>1798</v>
      </c>
      <c r="D42" s="37" t="s">
        <v>1790</v>
      </c>
      <c r="E42" s="38" t="b">
        <v>0</v>
      </c>
      <c r="F42" s="27" t="str">
        <f>HYPERLINK("http://nsgreg.nga.mil/genc/view?v=117876&amp;gencs=T&amp;end_month=12&amp;end_day=31&amp;end_year=2014","Dibër")</f>
        <v>Dibër</v>
      </c>
      <c r="G42" s="28" t="str">
        <f>HYPERLINK("http://api.nsgreg.nga.mil/geo-division/GENC/6/ed3/AL-DI","as:GENC:6:ed3:AL-DI")</f>
        <v>as:GENC:6:ed3:AL-DI</v>
      </c>
    </row>
    <row r="43" spans="1:7" x14ac:dyDescent="0.2">
      <c r="A43" s="85"/>
      <c r="B43" s="25" t="s">
        <v>1800</v>
      </c>
      <c r="C43" s="25" t="s">
        <v>1801</v>
      </c>
      <c r="D43" s="25" t="s">
        <v>1788</v>
      </c>
      <c r="E43" s="26" t="b">
        <v>1</v>
      </c>
      <c r="F43" s="27" t="str">
        <f>HYPERLINK("http://nsgreg.nga.mil/genc/view?v=117863&amp;gencs=T&amp;end_month=12&amp;end_day=31&amp;end_year=2014","Durrës")</f>
        <v>Durrës</v>
      </c>
      <c r="G43" s="28" t="str">
        <f>HYPERLINK("http://api.nsgreg.nga.mil/geo-division/GENC/6/ed3/AL-02","as:GENC:6:ed3:AL-02")</f>
        <v>as:GENC:6:ed3:AL-02</v>
      </c>
    </row>
    <row r="44" spans="1:7" x14ac:dyDescent="0.2">
      <c r="A44" s="85"/>
      <c r="B44" s="25" t="s">
        <v>1802</v>
      </c>
      <c r="C44" s="25" t="s">
        <v>1801</v>
      </c>
      <c r="D44" s="37" t="s">
        <v>1790</v>
      </c>
      <c r="E44" s="38" t="b">
        <v>0</v>
      </c>
      <c r="F44" s="27" t="str">
        <f>HYPERLINK("http://nsgreg.nga.mil/genc/view?v=117878&amp;gencs=T&amp;end_month=12&amp;end_day=31&amp;end_year=2014","Durrës")</f>
        <v>Durrës</v>
      </c>
      <c r="G44" s="28" t="str">
        <f>HYPERLINK("http://api.nsgreg.nga.mil/geo-division/GENC/6/ed3/AL-DR","as:GENC:6:ed3:AL-DR")</f>
        <v>as:GENC:6:ed3:AL-DR</v>
      </c>
    </row>
    <row r="45" spans="1:7" x14ac:dyDescent="0.2">
      <c r="A45" s="85"/>
      <c r="B45" s="25" t="s">
        <v>1803</v>
      </c>
      <c r="C45" s="25" t="s">
        <v>1804</v>
      </c>
      <c r="D45" s="25" t="s">
        <v>1788</v>
      </c>
      <c r="E45" s="26" t="b">
        <v>1</v>
      </c>
      <c r="F45" s="27" t="str">
        <f>HYPERLINK("http://nsgreg.nga.mil/genc/view?v=117864&amp;gencs=T&amp;end_month=12&amp;end_day=31&amp;end_year=2014","Elbasan")</f>
        <v>Elbasan</v>
      </c>
      <c r="G45" s="28" t="str">
        <f>HYPERLINK("http://api.nsgreg.nga.mil/geo-division/GENC/6/ed3/AL-03","as:GENC:6:ed3:AL-03")</f>
        <v>as:GENC:6:ed3:AL-03</v>
      </c>
    </row>
    <row r="46" spans="1:7" x14ac:dyDescent="0.2">
      <c r="A46" s="85"/>
      <c r="B46" s="25" t="s">
        <v>1805</v>
      </c>
      <c r="C46" s="25" t="s">
        <v>1804</v>
      </c>
      <c r="D46" s="37" t="s">
        <v>1790</v>
      </c>
      <c r="E46" s="38" t="b">
        <v>0</v>
      </c>
      <c r="F46" s="27" t="str">
        <f>HYPERLINK("http://nsgreg.nga.mil/genc/view?v=117880&amp;gencs=T&amp;end_month=12&amp;end_day=31&amp;end_year=2014","Elbasan")</f>
        <v>Elbasan</v>
      </c>
      <c r="G46" s="28" t="str">
        <f>HYPERLINK("http://api.nsgreg.nga.mil/geo-division/GENC/6/ed3/AL-EL","as:GENC:6:ed3:AL-EL")</f>
        <v>as:GENC:6:ed3:AL-EL</v>
      </c>
    </row>
    <row r="47" spans="1:7" x14ac:dyDescent="0.2">
      <c r="A47" s="85"/>
      <c r="B47" s="25" t="s">
        <v>1806</v>
      </c>
      <c r="C47" s="25" t="s">
        <v>1807</v>
      </c>
      <c r="D47" s="25" t="s">
        <v>1788</v>
      </c>
      <c r="E47" s="26" t="b">
        <v>1</v>
      </c>
      <c r="F47" s="27" t="str">
        <f>HYPERLINK("http://nsgreg.nga.mil/genc/view?v=117865&amp;gencs=T&amp;end_month=12&amp;end_day=31&amp;end_year=2014","Fier")</f>
        <v>Fier</v>
      </c>
      <c r="G47" s="28" t="str">
        <f>HYPERLINK("http://api.nsgreg.nga.mil/geo-division/GENC/6/ed3/AL-04","as:GENC:6:ed3:AL-04")</f>
        <v>as:GENC:6:ed3:AL-04</v>
      </c>
    </row>
    <row r="48" spans="1:7" x14ac:dyDescent="0.2">
      <c r="A48" s="85"/>
      <c r="B48" s="25" t="s">
        <v>1808</v>
      </c>
      <c r="C48" s="25" t="s">
        <v>1807</v>
      </c>
      <c r="D48" s="37" t="s">
        <v>1790</v>
      </c>
      <c r="E48" s="38" t="b">
        <v>0</v>
      </c>
      <c r="F48" s="27" t="str">
        <f>HYPERLINK("http://nsgreg.nga.mil/genc/view?v=117882&amp;gencs=T&amp;end_month=12&amp;end_day=31&amp;end_year=2014","Fier")</f>
        <v>Fier</v>
      </c>
      <c r="G48" s="28" t="str">
        <f>HYPERLINK("http://api.nsgreg.nga.mil/geo-division/GENC/6/ed3/AL-FR","as:GENC:6:ed3:AL-FR")</f>
        <v>as:GENC:6:ed3:AL-FR</v>
      </c>
    </row>
    <row r="49" spans="1:7" x14ac:dyDescent="0.2">
      <c r="A49" s="85"/>
      <c r="B49" s="25" t="s">
        <v>1809</v>
      </c>
      <c r="C49" s="25" t="s">
        <v>1810</v>
      </c>
      <c r="D49" s="25" t="s">
        <v>1788</v>
      </c>
      <c r="E49" s="26" t="b">
        <v>1</v>
      </c>
      <c r="F49" s="27" t="str">
        <f>HYPERLINK("http://nsgreg.nga.mil/genc/view?v=117866&amp;gencs=T&amp;end_month=12&amp;end_day=31&amp;end_year=2014","Gjirokastër")</f>
        <v>Gjirokastër</v>
      </c>
      <c r="G49" s="28" t="str">
        <f>HYPERLINK("http://api.nsgreg.nga.mil/geo-division/GENC/6/ed3/AL-05","as:GENC:6:ed3:AL-05")</f>
        <v>as:GENC:6:ed3:AL-05</v>
      </c>
    </row>
    <row r="50" spans="1:7" x14ac:dyDescent="0.2">
      <c r="A50" s="85"/>
      <c r="B50" s="25" t="s">
        <v>1811</v>
      </c>
      <c r="C50" s="25" t="s">
        <v>1810</v>
      </c>
      <c r="D50" s="37" t="s">
        <v>1790</v>
      </c>
      <c r="E50" s="38" t="b">
        <v>0</v>
      </c>
      <c r="F50" s="27" t="str">
        <f>HYPERLINK("http://nsgreg.nga.mil/genc/view?v=117883&amp;gencs=T&amp;end_month=12&amp;end_day=31&amp;end_year=2014","Gjirokastër")</f>
        <v>Gjirokastër</v>
      </c>
      <c r="G50" s="28" t="str">
        <f>HYPERLINK("http://api.nsgreg.nga.mil/geo-division/GENC/6/ed3/AL-GJ","as:GENC:6:ed3:AL-GJ")</f>
        <v>as:GENC:6:ed3:AL-GJ</v>
      </c>
    </row>
    <row r="51" spans="1:7" x14ac:dyDescent="0.2">
      <c r="A51" s="85"/>
      <c r="B51" s="25" t="s">
        <v>1812</v>
      </c>
      <c r="C51" s="25" t="s">
        <v>1813</v>
      </c>
      <c r="D51" s="37" t="s">
        <v>1790</v>
      </c>
      <c r="E51" s="38" t="b">
        <v>0</v>
      </c>
      <c r="F51" s="27" t="str">
        <f>HYPERLINK("http://nsgreg.nga.mil/genc/view?v=117884&amp;gencs=T&amp;end_month=12&amp;end_day=31&amp;end_year=2014","Gramsh")</f>
        <v>Gramsh</v>
      </c>
      <c r="G51" s="28" t="str">
        <f>HYPERLINK("http://api.nsgreg.nga.mil/geo-division/GENC/6/ed3/AL-GR","as:GENC:6:ed3:AL-GR")</f>
        <v>as:GENC:6:ed3:AL-GR</v>
      </c>
    </row>
    <row r="52" spans="1:7" x14ac:dyDescent="0.2">
      <c r="A52" s="85"/>
      <c r="B52" s="25" t="s">
        <v>1814</v>
      </c>
      <c r="C52" s="25" t="s">
        <v>1815</v>
      </c>
      <c r="D52" s="37" t="s">
        <v>1790</v>
      </c>
      <c r="E52" s="38" t="b">
        <v>0</v>
      </c>
      <c r="F52" s="27" t="str">
        <f>HYPERLINK("http://nsgreg.nga.mil/genc/view?v=117885&amp;gencs=T&amp;end_month=12&amp;end_day=31&amp;end_year=2014","Has")</f>
        <v>Has</v>
      </c>
      <c r="G52" s="28" t="str">
        <f>HYPERLINK("http://api.nsgreg.nga.mil/geo-division/GENC/6/ed3/AL-HA","as:GENC:6:ed3:AL-HA")</f>
        <v>as:GENC:6:ed3:AL-HA</v>
      </c>
    </row>
    <row r="53" spans="1:7" x14ac:dyDescent="0.2">
      <c r="A53" s="85"/>
      <c r="B53" s="25" t="s">
        <v>1816</v>
      </c>
      <c r="C53" s="25" t="s">
        <v>1817</v>
      </c>
      <c r="D53" s="37" t="s">
        <v>1790</v>
      </c>
      <c r="E53" s="38" t="b">
        <v>0</v>
      </c>
      <c r="F53" s="27" t="str">
        <f>HYPERLINK("http://nsgreg.nga.mil/genc/view?v=117886&amp;gencs=T&amp;end_month=12&amp;end_day=31&amp;end_year=2014","Kavajë")</f>
        <v>Kavajë</v>
      </c>
      <c r="G53" s="28" t="str">
        <f>HYPERLINK("http://api.nsgreg.nga.mil/geo-division/GENC/6/ed3/AL-KA","as:GENC:6:ed3:AL-KA")</f>
        <v>as:GENC:6:ed3:AL-KA</v>
      </c>
    </row>
    <row r="54" spans="1:7" x14ac:dyDescent="0.2">
      <c r="A54" s="85"/>
      <c r="B54" s="25" t="s">
        <v>1818</v>
      </c>
      <c r="C54" s="25" t="s">
        <v>1819</v>
      </c>
      <c r="D54" s="37" t="s">
        <v>1790</v>
      </c>
      <c r="E54" s="38" t="b">
        <v>0</v>
      </c>
      <c r="F54" s="27" t="str">
        <f>HYPERLINK("http://nsgreg.nga.mil/genc/view?v=117881&amp;gencs=T&amp;end_month=12&amp;end_day=31&amp;end_year=2014","Kolonjë")</f>
        <v>Kolonjë</v>
      </c>
      <c r="G54" s="28" t="str">
        <f>HYPERLINK("http://api.nsgreg.nga.mil/geo-division/GENC/6/ed3/AL-ER","as:GENC:6:ed3:AL-ER")</f>
        <v>as:GENC:6:ed3:AL-ER</v>
      </c>
    </row>
    <row r="55" spans="1:7" x14ac:dyDescent="0.2">
      <c r="A55" s="85"/>
      <c r="B55" s="25" t="s">
        <v>1820</v>
      </c>
      <c r="C55" s="25" t="s">
        <v>1821</v>
      </c>
      <c r="D55" s="25" t="s">
        <v>1788</v>
      </c>
      <c r="E55" s="26" t="b">
        <v>1</v>
      </c>
      <c r="F55" s="27" t="str">
        <f>HYPERLINK("http://nsgreg.nga.mil/genc/view?v=117867&amp;gencs=T&amp;end_month=12&amp;end_day=31&amp;end_year=2014","Korçë")</f>
        <v>Korçë</v>
      </c>
      <c r="G55" s="28" t="str">
        <f>HYPERLINK("http://api.nsgreg.nga.mil/geo-division/GENC/6/ed3/AL-06","as:GENC:6:ed3:AL-06")</f>
        <v>as:GENC:6:ed3:AL-06</v>
      </c>
    </row>
    <row r="56" spans="1:7" x14ac:dyDescent="0.2">
      <c r="A56" s="85"/>
      <c r="B56" s="25" t="s">
        <v>1822</v>
      </c>
      <c r="C56" s="25" t="s">
        <v>1821</v>
      </c>
      <c r="D56" s="37" t="s">
        <v>1790</v>
      </c>
      <c r="E56" s="38" t="b">
        <v>0</v>
      </c>
      <c r="F56" s="27" t="str">
        <f>HYPERLINK("http://nsgreg.nga.mil/genc/view?v=117889&amp;gencs=T&amp;end_month=12&amp;end_day=31&amp;end_year=2014","Korçë")</f>
        <v>Korçë</v>
      </c>
      <c r="G56" s="28" t="str">
        <f>HYPERLINK("http://api.nsgreg.nga.mil/geo-division/GENC/6/ed3/AL-KO","as:GENC:6:ed3:AL-KO")</f>
        <v>as:GENC:6:ed3:AL-KO</v>
      </c>
    </row>
    <row r="57" spans="1:7" x14ac:dyDescent="0.2">
      <c r="A57" s="85"/>
      <c r="B57" s="25" t="s">
        <v>1823</v>
      </c>
      <c r="C57" s="25" t="s">
        <v>1824</v>
      </c>
      <c r="D57" s="37" t="s">
        <v>1790</v>
      </c>
      <c r="E57" s="38" t="b">
        <v>0</v>
      </c>
      <c r="F57" s="27" t="str">
        <f>HYPERLINK("http://nsgreg.nga.mil/genc/view?v=117890&amp;gencs=T&amp;end_month=12&amp;end_day=31&amp;end_year=2014","Krujë")</f>
        <v>Krujë</v>
      </c>
      <c r="G57" s="28" t="str">
        <f>HYPERLINK("http://api.nsgreg.nga.mil/geo-division/GENC/6/ed3/AL-KR","as:GENC:6:ed3:AL-KR")</f>
        <v>as:GENC:6:ed3:AL-KR</v>
      </c>
    </row>
    <row r="58" spans="1:7" x14ac:dyDescent="0.2">
      <c r="A58" s="85"/>
      <c r="B58" s="25" t="s">
        <v>1830</v>
      </c>
      <c r="C58" s="25" t="s">
        <v>1831</v>
      </c>
      <c r="D58" s="37" t="s">
        <v>1790</v>
      </c>
      <c r="E58" s="38" t="b">
        <v>0</v>
      </c>
      <c r="F58" s="27" t="str">
        <f>HYPERLINK("http://nsgreg.nga.mil/genc/view?v=117888&amp;gencs=T&amp;end_month=12&amp;end_day=31&amp;end_year=2014","Kuçovë")</f>
        <v>Kuçovë</v>
      </c>
      <c r="G58" s="28" t="str">
        <f>HYPERLINK("http://api.nsgreg.nga.mil/geo-division/GENC/6/ed3/AL-KC","as:GENC:6:ed3:AL-KC")</f>
        <v>as:GENC:6:ed3:AL-KC</v>
      </c>
    </row>
    <row r="59" spans="1:7" x14ac:dyDescent="0.2">
      <c r="A59" s="85"/>
      <c r="B59" s="25" t="s">
        <v>1825</v>
      </c>
      <c r="C59" s="25" t="s">
        <v>1826</v>
      </c>
      <c r="D59" s="25" t="s">
        <v>1788</v>
      </c>
      <c r="E59" s="26" t="b">
        <v>1</v>
      </c>
      <c r="F59" s="27" t="str">
        <f>HYPERLINK("http://nsgreg.nga.mil/genc/view?v=117868&amp;gencs=T&amp;end_month=12&amp;end_day=31&amp;end_year=2014","Kukës")</f>
        <v>Kukës</v>
      </c>
      <c r="G59" s="28" t="str">
        <f>HYPERLINK("http://api.nsgreg.nga.mil/geo-division/GENC/6/ed3/AL-07","as:GENC:6:ed3:AL-07")</f>
        <v>as:GENC:6:ed3:AL-07</v>
      </c>
    </row>
    <row r="60" spans="1:7" x14ac:dyDescent="0.2">
      <c r="A60" s="85"/>
      <c r="B60" s="25" t="s">
        <v>1827</v>
      </c>
      <c r="C60" s="25" t="s">
        <v>1826</v>
      </c>
      <c r="D60" s="37" t="s">
        <v>1790</v>
      </c>
      <c r="E60" s="38" t="b">
        <v>0</v>
      </c>
      <c r="F60" s="27" t="str">
        <f>HYPERLINK("http://nsgreg.nga.mil/genc/view?v=117891&amp;gencs=T&amp;end_month=12&amp;end_day=31&amp;end_year=2014","Kukës")</f>
        <v>Kukës</v>
      </c>
      <c r="G60" s="28" t="str">
        <f>HYPERLINK("http://api.nsgreg.nga.mil/geo-division/GENC/6/ed3/AL-KU","as:GENC:6:ed3:AL-KU")</f>
        <v>as:GENC:6:ed3:AL-KU</v>
      </c>
    </row>
    <row r="61" spans="1:7" x14ac:dyDescent="0.2">
      <c r="A61" s="85"/>
      <c r="B61" s="25" t="s">
        <v>1828</v>
      </c>
      <c r="C61" s="25" t="s">
        <v>1829</v>
      </c>
      <c r="D61" s="37" t="s">
        <v>1790</v>
      </c>
      <c r="E61" s="38" t="b">
        <v>0</v>
      </c>
      <c r="F61" s="27" t="str">
        <f>HYPERLINK("http://nsgreg.nga.mil/genc/view?v=117887&amp;gencs=T&amp;end_month=12&amp;end_day=31&amp;end_year=2014","Kurbin")</f>
        <v>Kurbin</v>
      </c>
      <c r="G61" s="28" t="str">
        <f>HYPERLINK("http://api.nsgreg.nga.mil/geo-division/GENC/6/ed3/AL-KB","as:GENC:6:ed3:AL-KB")</f>
        <v>as:GENC:6:ed3:AL-KB</v>
      </c>
    </row>
    <row r="62" spans="1:7" x14ac:dyDescent="0.2">
      <c r="A62" s="85"/>
      <c r="B62" s="25" t="s">
        <v>1832</v>
      </c>
      <c r="C62" s="25" t="s">
        <v>1833</v>
      </c>
      <c r="D62" s="25" t="s">
        <v>1788</v>
      </c>
      <c r="E62" s="26" t="b">
        <v>1</v>
      </c>
      <c r="F62" s="27" t="str">
        <f>HYPERLINK("http://nsgreg.nga.mil/genc/view?v=117869&amp;gencs=T&amp;end_month=12&amp;end_day=31&amp;end_year=2014","Lezhë")</f>
        <v>Lezhë</v>
      </c>
      <c r="G62" s="28" t="str">
        <f>HYPERLINK("http://api.nsgreg.nga.mil/geo-division/GENC/6/ed3/AL-08","as:GENC:6:ed3:AL-08")</f>
        <v>as:GENC:6:ed3:AL-08</v>
      </c>
    </row>
    <row r="63" spans="1:7" x14ac:dyDescent="0.2">
      <c r="A63" s="85"/>
      <c r="B63" s="25" t="s">
        <v>1834</v>
      </c>
      <c r="C63" s="25" t="s">
        <v>1833</v>
      </c>
      <c r="D63" s="37" t="s">
        <v>1790</v>
      </c>
      <c r="E63" s="38" t="b">
        <v>0</v>
      </c>
      <c r="F63" s="27" t="str">
        <f>HYPERLINK("http://nsgreg.nga.mil/genc/view?v=117893&amp;gencs=T&amp;end_month=12&amp;end_day=31&amp;end_year=2014","Lezhë")</f>
        <v>Lezhë</v>
      </c>
      <c r="G63" s="28" t="str">
        <f>HYPERLINK("http://api.nsgreg.nga.mil/geo-division/GENC/6/ed3/AL-LE","as:GENC:6:ed3:AL-LE")</f>
        <v>as:GENC:6:ed3:AL-LE</v>
      </c>
    </row>
    <row r="64" spans="1:7" x14ac:dyDescent="0.2">
      <c r="A64" s="85"/>
      <c r="B64" s="25" t="s">
        <v>1835</v>
      </c>
      <c r="C64" s="25" t="s">
        <v>1836</v>
      </c>
      <c r="D64" s="37" t="s">
        <v>1790</v>
      </c>
      <c r="E64" s="38" t="b">
        <v>0</v>
      </c>
      <c r="F64" s="27" t="str">
        <f>HYPERLINK("http://nsgreg.nga.mil/genc/view?v=117892&amp;gencs=T&amp;end_month=12&amp;end_day=31&amp;end_year=2014","Librazhd")</f>
        <v>Librazhd</v>
      </c>
      <c r="G64" s="28" t="str">
        <f>HYPERLINK("http://api.nsgreg.nga.mil/geo-division/GENC/6/ed3/AL-LB","as:GENC:6:ed3:AL-LB")</f>
        <v>as:GENC:6:ed3:AL-LB</v>
      </c>
    </row>
    <row r="65" spans="1:7" x14ac:dyDescent="0.2">
      <c r="A65" s="85"/>
      <c r="B65" s="25" t="s">
        <v>1837</v>
      </c>
      <c r="C65" s="25" t="s">
        <v>1838</v>
      </c>
      <c r="D65" s="37" t="s">
        <v>1790</v>
      </c>
      <c r="E65" s="38" t="b">
        <v>0</v>
      </c>
      <c r="F65" s="27" t="str">
        <f>HYPERLINK("http://nsgreg.nga.mil/genc/view?v=117894&amp;gencs=T&amp;end_month=12&amp;end_day=31&amp;end_year=2014","Lushnjë")</f>
        <v>Lushnjë</v>
      </c>
      <c r="G65" s="28" t="str">
        <f>HYPERLINK("http://api.nsgreg.nga.mil/geo-division/GENC/6/ed3/AL-LU","as:GENC:6:ed3:AL-LU")</f>
        <v>as:GENC:6:ed3:AL-LU</v>
      </c>
    </row>
    <row r="66" spans="1:7" x14ac:dyDescent="0.2">
      <c r="A66" s="85"/>
      <c r="B66" s="25" t="s">
        <v>1841</v>
      </c>
      <c r="C66" s="25" t="s">
        <v>1842</v>
      </c>
      <c r="D66" s="37" t="s">
        <v>1790</v>
      </c>
      <c r="E66" s="38" t="b">
        <v>0</v>
      </c>
      <c r="F66" s="27" t="str">
        <f>HYPERLINK("http://nsgreg.nga.mil/genc/view?v=117896&amp;gencs=T&amp;end_month=12&amp;end_day=31&amp;end_year=2014","Malësi e Madhe")</f>
        <v>Malësi e Madhe</v>
      </c>
      <c r="G66" s="28" t="str">
        <f>HYPERLINK("http://api.nsgreg.nga.mil/geo-division/GENC/6/ed3/AL-MM","as:GENC:6:ed3:AL-MM")</f>
        <v>as:GENC:6:ed3:AL-MM</v>
      </c>
    </row>
    <row r="67" spans="1:7" x14ac:dyDescent="0.2">
      <c r="A67" s="85"/>
      <c r="B67" s="25" t="s">
        <v>1839</v>
      </c>
      <c r="C67" s="25" t="s">
        <v>1840</v>
      </c>
      <c r="D67" s="37" t="s">
        <v>1790</v>
      </c>
      <c r="E67" s="38" t="b">
        <v>0</v>
      </c>
      <c r="F67" s="27" t="str">
        <f>HYPERLINK("http://nsgreg.nga.mil/genc/view?v=117895&amp;gencs=T&amp;end_month=12&amp;end_day=31&amp;end_year=2014","Mallakastër")</f>
        <v>Mallakastër</v>
      </c>
      <c r="G67" s="28" t="str">
        <f>HYPERLINK("http://api.nsgreg.nga.mil/geo-division/GENC/6/ed3/AL-MK","as:GENC:6:ed3:AL-MK")</f>
        <v>as:GENC:6:ed3:AL-MK</v>
      </c>
    </row>
    <row r="68" spans="1:7" x14ac:dyDescent="0.2">
      <c r="A68" s="85"/>
      <c r="B68" s="25" t="s">
        <v>1843</v>
      </c>
      <c r="C68" s="25" t="s">
        <v>1844</v>
      </c>
      <c r="D68" s="37" t="s">
        <v>1790</v>
      </c>
      <c r="E68" s="38" t="b">
        <v>0</v>
      </c>
      <c r="F68" s="27" t="str">
        <f>HYPERLINK("http://nsgreg.nga.mil/genc/view?v=117898&amp;gencs=T&amp;end_month=12&amp;end_day=31&amp;end_year=2014","Mat")</f>
        <v>Mat</v>
      </c>
      <c r="G68" s="28" t="str">
        <f>HYPERLINK("http://api.nsgreg.nga.mil/geo-division/GENC/6/ed3/AL-MT","as:GENC:6:ed3:AL-MT")</f>
        <v>as:GENC:6:ed3:AL-MT</v>
      </c>
    </row>
    <row r="69" spans="1:7" x14ac:dyDescent="0.2">
      <c r="A69" s="85"/>
      <c r="B69" s="25" t="s">
        <v>1845</v>
      </c>
      <c r="C69" s="25" t="s">
        <v>1846</v>
      </c>
      <c r="D69" s="37" t="s">
        <v>1790</v>
      </c>
      <c r="E69" s="38" t="b">
        <v>0</v>
      </c>
      <c r="F69" s="27" t="str">
        <f>HYPERLINK("http://nsgreg.nga.mil/genc/view?v=117897&amp;gencs=T&amp;end_month=12&amp;end_day=31&amp;end_year=2014","Mirditë")</f>
        <v>Mirditë</v>
      </c>
      <c r="G69" s="28" t="str">
        <f>HYPERLINK("http://api.nsgreg.nga.mil/geo-division/GENC/6/ed3/AL-MR","as:GENC:6:ed3:AL-MR")</f>
        <v>as:GENC:6:ed3:AL-MR</v>
      </c>
    </row>
    <row r="70" spans="1:7" x14ac:dyDescent="0.2">
      <c r="A70" s="85"/>
      <c r="B70" s="25" t="s">
        <v>1847</v>
      </c>
      <c r="C70" s="25" t="s">
        <v>1848</v>
      </c>
      <c r="D70" s="37" t="s">
        <v>1790</v>
      </c>
      <c r="E70" s="38" t="b">
        <v>0</v>
      </c>
      <c r="F70" s="27" t="str">
        <f>HYPERLINK("http://nsgreg.nga.mil/genc/view?v=117900&amp;gencs=T&amp;end_month=12&amp;end_day=31&amp;end_year=2014","Peqin")</f>
        <v>Peqin</v>
      </c>
      <c r="G70" s="28" t="str">
        <f>HYPERLINK("http://api.nsgreg.nga.mil/geo-division/GENC/6/ed3/AL-PQ","as:GENC:6:ed3:AL-PQ")</f>
        <v>as:GENC:6:ed3:AL-PQ</v>
      </c>
    </row>
    <row r="71" spans="1:7" x14ac:dyDescent="0.2">
      <c r="A71" s="85"/>
      <c r="B71" s="25" t="s">
        <v>1853</v>
      </c>
      <c r="C71" s="25" t="s">
        <v>1854</v>
      </c>
      <c r="D71" s="37" t="s">
        <v>1790</v>
      </c>
      <c r="E71" s="38" t="b">
        <v>0</v>
      </c>
      <c r="F71" s="27" t="str">
        <f>HYPERLINK("http://nsgreg.nga.mil/genc/view?v=117901&amp;gencs=T&amp;end_month=12&amp;end_day=31&amp;end_year=2014","Përmet")</f>
        <v>Përmet</v>
      </c>
      <c r="G71" s="28" t="str">
        <f>HYPERLINK("http://api.nsgreg.nga.mil/geo-division/GENC/6/ed3/AL-PR","as:GENC:6:ed3:AL-PR")</f>
        <v>as:GENC:6:ed3:AL-PR</v>
      </c>
    </row>
    <row r="72" spans="1:7" x14ac:dyDescent="0.2">
      <c r="A72" s="85"/>
      <c r="B72" s="25" t="s">
        <v>1849</v>
      </c>
      <c r="C72" s="25" t="s">
        <v>1850</v>
      </c>
      <c r="D72" s="37" t="s">
        <v>1790</v>
      </c>
      <c r="E72" s="38" t="b">
        <v>0</v>
      </c>
      <c r="F72" s="27" t="str">
        <f>HYPERLINK("http://nsgreg.nga.mil/genc/view?v=117899&amp;gencs=T&amp;end_month=12&amp;end_day=31&amp;end_year=2014","Pogradec")</f>
        <v>Pogradec</v>
      </c>
      <c r="G72" s="28" t="str">
        <f>HYPERLINK("http://api.nsgreg.nga.mil/geo-division/GENC/6/ed3/AL-PG","as:GENC:6:ed3:AL-PG")</f>
        <v>as:GENC:6:ed3:AL-PG</v>
      </c>
    </row>
    <row r="73" spans="1:7" x14ac:dyDescent="0.2">
      <c r="A73" s="85"/>
      <c r="B73" s="25" t="s">
        <v>1851</v>
      </c>
      <c r="C73" s="25" t="s">
        <v>1852</v>
      </c>
      <c r="D73" s="37" t="s">
        <v>1790</v>
      </c>
      <c r="E73" s="38" t="b">
        <v>0</v>
      </c>
      <c r="F73" s="27" t="str">
        <f>HYPERLINK("http://nsgreg.nga.mil/genc/view?v=117902&amp;gencs=T&amp;end_month=12&amp;end_day=31&amp;end_year=2014","Pukë")</f>
        <v>Pukë</v>
      </c>
      <c r="G73" s="28" t="str">
        <f>HYPERLINK("http://api.nsgreg.nga.mil/geo-division/GENC/6/ed3/AL-PU","as:GENC:6:ed3:AL-PU")</f>
        <v>as:GENC:6:ed3:AL-PU</v>
      </c>
    </row>
    <row r="74" spans="1:7" x14ac:dyDescent="0.2">
      <c r="A74" s="85"/>
      <c r="B74" s="25" t="s">
        <v>1855</v>
      </c>
      <c r="C74" s="25" t="s">
        <v>1856</v>
      </c>
      <c r="D74" s="37" t="s">
        <v>1790</v>
      </c>
      <c r="E74" s="38" t="b">
        <v>0</v>
      </c>
      <c r="F74" s="27" t="str">
        <f>HYPERLINK("http://nsgreg.nga.mil/genc/view?v=117905&amp;gencs=T&amp;end_month=12&amp;end_day=31&amp;end_year=2014","Sarandë")</f>
        <v>Sarandë</v>
      </c>
      <c r="G74" s="28" t="str">
        <f>HYPERLINK("http://api.nsgreg.nga.mil/geo-division/GENC/6/ed3/AL-SR","as:GENC:6:ed3:AL-SR")</f>
        <v>as:GENC:6:ed3:AL-SR</v>
      </c>
    </row>
    <row r="75" spans="1:7" x14ac:dyDescent="0.2">
      <c r="A75" s="85"/>
      <c r="B75" s="25" t="s">
        <v>1857</v>
      </c>
      <c r="C75" s="25" t="s">
        <v>1858</v>
      </c>
      <c r="D75" s="25" t="s">
        <v>1788</v>
      </c>
      <c r="E75" s="26" t="b">
        <v>1</v>
      </c>
      <c r="F75" s="27" t="str">
        <f>HYPERLINK("http://nsgreg.nga.mil/genc/view?v=117871&amp;gencs=T&amp;end_month=12&amp;end_day=31&amp;end_year=2014","Shkodër")</f>
        <v>Shkodër</v>
      </c>
      <c r="G75" s="28" t="str">
        <f>HYPERLINK("http://api.nsgreg.nga.mil/geo-division/GENC/6/ed3/AL-10","as:GENC:6:ed3:AL-10")</f>
        <v>as:GENC:6:ed3:AL-10</v>
      </c>
    </row>
    <row r="76" spans="1:7" x14ac:dyDescent="0.2">
      <c r="A76" s="85"/>
      <c r="B76" s="25" t="s">
        <v>1859</v>
      </c>
      <c r="C76" s="25" t="s">
        <v>1858</v>
      </c>
      <c r="D76" s="37" t="s">
        <v>1790</v>
      </c>
      <c r="E76" s="38" t="b">
        <v>0</v>
      </c>
      <c r="F76" s="27" t="str">
        <f>HYPERLINK("http://nsgreg.nga.mil/genc/view?v=117903&amp;gencs=T&amp;end_month=12&amp;end_day=31&amp;end_year=2014","Shkodër")</f>
        <v>Shkodër</v>
      </c>
      <c r="G76" s="28" t="str">
        <f>HYPERLINK("http://api.nsgreg.nga.mil/geo-division/GENC/6/ed3/AL-SH","as:GENC:6:ed3:AL-SH")</f>
        <v>as:GENC:6:ed3:AL-SH</v>
      </c>
    </row>
    <row r="77" spans="1:7" x14ac:dyDescent="0.2">
      <c r="A77" s="85"/>
      <c r="B77" s="25" t="s">
        <v>1860</v>
      </c>
      <c r="C77" s="25" t="s">
        <v>1861</v>
      </c>
      <c r="D77" s="37" t="s">
        <v>1790</v>
      </c>
      <c r="E77" s="38" t="b">
        <v>0</v>
      </c>
      <c r="F77" s="27" t="str">
        <f>HYPERLINK("http://nsgreg.nga.mil/genc/view?v=117904&amp;gencs=T&amp;end_month=12&amp;end_day=31&amp;end_year=2014","Skrapar")</f>
        <v>Skrapar</v>
      </c>
      <c r="G77" s="28" t="str">
        <f>HYPERLINK("http://api.nsgreg.nga.mil/geo-division/GENC/6/ed3/AL-SK","as:GENC:6:ed3:AL-SK")</f>
        <v>as:GENC:6:ed3:AL-SK</v>
      </c>
    </row>
    <row r="78" spans="1:7" x14ac:dyDescent="0.2">
      <c r="A78" s="85"/>
      <c r="B78" s="25" t="s">
        <v>1862</v>
      </c>
      <c r="C78" s="25" t="s">
        <v>1863</v>
      </c>
      <c r="D78" s="37" t="s">
        <v>1790</v>
      </c>
      <c r="E78" s="38" t="b">
        <v>0</v>
      </c>
      <c r="F78" s="27" t="str">
        <f>HYPERLINK("http://nsgreg.nga.mil/genc/view?v=117906&amp;gencs=T&amp;end_month=12&amp;end_day=31&amp;end_year=2014","Tepelenë")</f>
        <v>Tepelenë</v>
      </c>
      <c r="G78" s="28" t="str">
        <f>HYPERLINK("http://api.nsgreg.nga.mil/geo-division/GENC/6/ed3/AL-TE","as:GENC:6:ed3:AL-TE")</f>
        <v>as:GENC:6:ed3:AL-TE</v>
      </c>
    </row>
    <row r="79" spans="1:7" x14ac:dyDescent="0.2">
      <c r="A79" s="85"/>
      <c r="B79" s="25" t="s">
        <v>1864</v>
      </c>
      <c r="C79" s="25" t="s">
        <v>1865</v>
      </c>
      <c r="D79" s="25" t="s">
        <v>1788</v>
      </c>
      <c r="E79" s="26" t="b">
        <v>1</v>
      </c>
      <c r="F79" s="27" t="str">
        <f>HYPERLINK("http://nsgreg.nga.mil/genc/view?v=117872&amp;gencs=T&amp;end_month=12&amp;end_day=31&amp;end_year=2014","Tiranë")</f>
        <v>Tiranë</v>
      </c>
      <c r="G79" s="28" t="str">
        <f>HYPERLINK("http://api.nsgreg.nga.mil/geo-division/GENC/6/ed3/AL-11","as:GENC:6:ed3:AL-11")</f>
        <v>as:GENC:6:ed3:AL-11</v>
      </c>
    </row>
    <row r="80" spans="1:7" x14ac:dyDescent="0.2">
      <c r="A80" s="85"/>
      <c r="B80" s="25" t="s">
        <v>1866</v>
      </c>
      <c r="C80" s="25" t="s">
        <v>1865</v>
      </c>
      <c r="D80" s="37" t="s">
        <v>1790</v>
      </c>
      <c r="E80" s="38" t="b">
        <v>0</v>
      </c>
      <c r="F80" s="27" t="str">
        <f>HYPERLINK("http://nsgreg.nga.mil/genc/view?v=117908&amp;gencs=T&amp;end_month=12&amp;end_day=31&amp;end_year=2014","Tiranë")</f>
        <v>Tiranë</v>
      </c>
      <c r="G80" s="28" t="str">
        <f>HYPERLINK("http://api.nsgreg.nga.mil/geo-division/GENC/6/ed3/AL-TR","as:GENC:6:ed3:AL-TR")</f>
        <v>as:GENC:6:ed3:AL-TR</v>
      </c>
    </row>
    <row r="81" spans="1:7" x14ac:dyDescent="0.2">
      <c r="A81" s="85"/>
      <c r="B81" s="25" t="s">
        <v>1867</v>
      </c>
      <c r="C81" s="25" t="s">
        <v>1868</v>
      </c>
      <c r="D81" s="37" t="s">
        <v>1790</v>
      </c>
      <c r="E81" s="38" t="b">
        <v>0</v>
      </c>
      <c r="F81" s="27" t="str">
        <f>HYPERLINK("http://nsgreg.nga.mil/genc/view?v=117907&amp;gencs=T&amp;end_month=12&amp;end_day=31&amp;end_year=2014","Tropojë")</f>
        <v>Tropojë</v>
      </c>
      <c r="G81" s="28" t="str">
        <f>HYPERLINK("http://api.nsgreg.nga.mil/geo-division/GENC/6/ed3/AL-TP","as:GENC:6:ed3:AL-TP")</f>
        <v>as:GENC:6:ed3:AL-TP</v>
      </c>
    </row>
    <row r="82" spans="1:7" x14ac:dyDescent="0.2">
      <c r="A82" s="85"/>
      <c r="B82" s="25" t="s">
        <v>1869</v>
      </c>
      <c r="C82" s="25" t="s">
        <v>1870</v>
      </c>
      <c r="D82" s="25" t="s">
        <v>1788</v>
      </c>
      <c r="E82" s="26" t="b">
        <v>1</v>
      </c>
      <c r="F82" s="27" t="str">
        <f>HYPERLINK("http://nsgreg.nga.mil/genc/view?v=117873&amp;gencs=T&amp;end_month=12&amp;end_day=31&amp;end_year=2014","Vlorë")</f>
        <v>Vlorë</v>
      </c>
      <c r="G82" s="28" t="str">
        <f>HYPERLINK("http://api.nsgreg.nga.mil/geo-division/GENC/6/ed3/AL-12","as:GENC:6:ed3:AL-12")</f>
        <v>as:GENC:6:ed3:AL-12</v>
      </c>
    </row>
    <row r="83" spans="1:7" x14ac:dyDescent="0.2">
      <c r="A83" s="86"/>
      <c r="B83" s="29" t="s">
        <v>1871</v>
      </c>
      <c r="C83" s="29" t="s">
        <v>1870</v>
      </c>
      <c r="D83" s="39" t="s">
        <v>1790</v>
      </c>
      <c r="E83" s="40" t="b">
        <v>0</v>
      </c>
      <c r="F83" s="31" t="str">
        <f>HYPERLINK("http://nsgreg.nga.mil/genc/view?v=117909&amp;gencs=T&amp;end_month=12&amp;end_day=31&amp;end_year=2014","Vlorë")</f>
        <v>Vlorë</v>
      </c>
      <c r="G83" s="32" t="str">
        <f>HYPERLINK("http://api.nsgreg.nga.mil/geo-division/GENC/6/ed3/AL-VL","as:GENC:6:ed3:AL-VL")</f>
        <v>as:GENC:6:ed3:AL-VL</v>
      </c>
    </row>
    <row r="84" spans="1:7" x14ac:dyDescent="0.2">
      <c r="A84" s="84" t="str">
        <f>HYPERLINK("[#]Codes_for_GE_Names!A7:I7","ALGERIA")</f>
        <v>ALGERIA</v>
      </c>
      <c r="B84" s="33" t="s">
        <v>1872</v>
      </c>
      <c r="C84" s="33" t="s">
        <v>1873</v>
      </c>
      <c r="D84" s="33" t="s">
        <v>1719</v>
      </c>
      <c r="E84" s="34" t="b">
        <v>1</v>
      </c>
      <c r="F84" s="35" t="str">
        <f>HYPERLINK("http://nsgreg.nga.mil/genc/view?v=118836&amp;gencs=T&amp;end_month=12&amp;end_day=31&amp;end_year=2014","Adrar")</f>
        <v>Adrar</v>
      </c>
      <c r="G84" s="36" t="str">
        <f>HYPERLINK("http://api.nsgreg.nga.mil/geo-division/GENC/6/ed3/DZ-01","as:GENC:6:ed3:DZ-01")</f>
        <v>as:GENC:6:ed3:DZ-01</v>
      </c>
    </row>
    <row r="85" spans="1:7" x14ac:dyDescent="0.2">
      <c r="A85" s="85"/>
      <c r="B85" s="25" t="s">
        <v>1878</v>
      </c>
      <c r="C85" s="25" t="s">
        <v>1879</v>
      </c>
      <c r="D85" s="25" t="s">
        <v>1719</v>
      </c>
      <c r="E85" s="26" t="b">
        <v>1</v>
      </c>
      <c r="F85" s="27" t="str">
        <f>HYPERLINK("http://nsgreg.nga.mil/genc/view?v=118879&amp;gencs=T&amp;end_month=12&amp;end_day=31&amp;end_year=2014","Aïn Defla")</f>
        <v>Aïn Defla</v>
      </c>
      <c r="G85" s="28" t="str">
        <f>HYPERLINK("http://api.nsgreg.nga.mil/geo-division/GENC/6/ed3/DZ-44","as:GENC:6:ed3:DZ-44")</f>
        <v>as:GENC:6:ed3:DZ-44</v>
      </c>
    </row>
    <row r="86" spans="1:7" x14ac:dyDescent="0.2">
      <c r="A86" s="85"/>
      <c r="B86" s="25" t="s">
        <v>1880</v>
      </c>
      <c r="C86" s="25" t="s">
        <v>12000</v>
      </c>
      <c r="D86" s="25" t="s">
        <v>1719</v>
      </c>
      <c r="E86" s="26" t="b">
        <v>1</v>
      </c>
      <c r="F86" s="27" t="str">
        <f>HYPERLINK("http://nsgreg.nga.mil/genc/view?v=211575&amp;end_month=12&amp;end_day=31&amp;end_year=2014","Aïn Temouchent")</f>
        <v>Aïn Temouchent</v>
      </c>
      <c r="G86" s="28" t="str">
        <f>HYPERLINK("http://api.nsgreg.nga.mil/geo-division/GENC/6/ed3/DZ-46","as:GENC:6:ed3:DZ-46")</f>
        <v>as:GENC:6:ed3:DZ-46</v>
      </c>
    </row>
    <row r="87" spans="1:7" x14ac:dyDescent="0.2">
      <c r="A87" s="85"/>
      <c r="B87" s="25" t="s">
        <v>1874</v>
      </c>
      <c r="C87" s="25" t="s">
        <v>1875</v>
      </c>
      <c r="D87" s="25" t="s">
        <v>1719</v>
      </c>
      <c r="E87" s="26" t="b">
        <v>1</v>
      </c>
      <c r="F87" s="27" t="str">
        <f>HYPERLINK("http://nsgreg.nga.mil/genc/view?v=118851&amp;gencs=T&amp;end_month=12&amp;end_day=31&amp;end_year=2014","Alger")</f>
        <v>Alger</v>
      </c>
      <c r="G87" s="28" t="str">
        <f>HYPERLINK("http://api.nsgreg.nga.mil/geo-division/GENC/6/ed3/DZ-16","as:GENC:6:ed3:DZ-16")</f>
        <v>as:GENC:6:ed3:DZ-16</v>
      </c>
    </row>
    <row r="88" spans="1:7" x14ac:dyDescent="0.2">
      <c r="A88" s="85"/>
      <c r="B88" s="25" t="s">
        <v>1876</v>
      </c>
      <c r="C88" s="25" t="s">
        <v>1877</v>
      </c>
      <c r="D88" s="25" t="s">
        <v>1719</v>
      </c>
      <c r="E88" s="26" t="b">
        <v>1</v>
      </c>
      <c r="F88" s="27" t="str">
        <f>HYPERLINK("http://nsgreg.nga.mil/genc/view?v=118858&amp;gencs=T&amp;end_month=12&amp;end_day=31&amp;end_year=2014","Annaba")</f>
        <v>Annaba</v>
      </c>
      <c r="G88" s="28" t="str">
        <f>HYPERLINK("http://api.nsgreg.nga.mil/geo-division/GENC/6/ed3/DZ-23","as:GENC:6:ed3:DZ-23")</f>
        <v>as:GENC:6:ed3:DZ-23</v>
      </c>
    </row>
    <row r="89" spans="1:7" x14ac:dyDescent="0.2">
      <c r="A89" s="85"/>
      <c r="B89" s="25" t="s">
        <v>1882</v>
      </c>
      <c r="C89" s="25" t="s">
        <v>1883</v>
      </c>
      <c r="D89" s="25" t="s">
        <v>1719</v>
      </c>
      <c r="E89" s="26" t="b">
        <v>1</v>
      </c>
      <c r="F89" s="27" t="str">
        <f>HYPERLINK("http://nsgreg.nga.mil/genc/view?v=118840&amp;gencs=T&amp;end_month=12&amp;end_day=31&amp;end_year=2014","Batna")</f>
        <v>Batna</v>
      </c>
      <c r="G89" s="28" t="str">
        <f>HYPERLINK("http://api.nsgreg.nga.mil/geo-division/GENC/6/ed3/DZ-05","as:GENC:6:ed3:DZ-05")</f>
        <v>as:GENC:6:ed3:DZ-05</v>
      </c>
    </row>
    <row r="90" spans="1:7" x14ac:dyDescent="0.2">
      <c r="A90" s="85"/>
      <c r="B90" s="25" t="s">
        <v>1894</v>
      </c>
      <c r="C90" s="25" t="s">
        <v>1895</v>
      </c>
      <c r="D90" s="25" t="s">
        <v>1719</v>
      </c>
      <c r="E90" s="26" t="b">
        <v>1</v>
      </c>
      <c r="F90" s="27" t="str">
        <f>HYPERLINK("http://nsgreg.nga.mil/genc/view?v=118843&amp;gencs=T&amp;end_month=12&amp;end_day=31&amp;end_year=2014","Béchar")</f>
        <v>Béchar</v>
      </c>
      <c r="G90" s="28" t="str">
        <f>HYPERLINK("http://api.nsgreg.nga.mil/geo-division/GENC/6/ed3/DZ-08","as:GENC:6:ed3:DZ-08")</f>
        <v>as:GENC:6:ed3:DZ-08</v>
      </c>
    </row>
    <row r="91" spans="1:7" x14ac:dyDescent="0.2">
      <c r="A91" s="85"/>
      <c r="B91" s="25" t="s">
        <v>1896</v>
      </c>
      <c r="C91" s="25" t="s">
        <v>12001</v>
      </c>
      <c r="D91" s="25" t="s">
        <v>1719</v>
      </c>
      <c r="E91" s="26" t="b">
        <v>1</v>
      </c>
      <c r="F91" s="27" t="str">
        <f>HYPERLINK("http://nsgreg.nga.mil/genc/view?v=211572&amp;end_month=12&amp;end_day=31&amp;end_year=2014","Bejaïa")</f>
        <v>Bejaïa</v>
      </c>
      <c r="G91" s="28" t="str">
        <f>HYPERLINK("http://api.nsgreg.nga.mil/geo-division/GENC/6/ed3/DZ-06","as:GENC:6:ed3:DZ-06")</f>
        <v>as:GENC:6:ed3:DZ-06</v>
      </c>
    </row>
    <row r="92" spans="1:7" x14ac:dyDescent="0.2">
      <c r="A92" s="85"/>
      <c r="B92" s="25" t="s">
        <v>1884</v>
      </c>
      <c r="C92" s="25" t="s">
        <v>1885</v>
      </c>
      <c r="D92" s="25" t="s">
        <v>1719</v>
      </c>
      <c r="E92" s="26" t="b">
        <v>1</v>
      </c>
      <c r="F92" s="27" t="str">
        <f>HYPERLINK("http://nsgreg.nga.mil/genc/view?v=118842&amp;gencs=T&amp;end_month=12&amp;end_day=31&amp;end_year=2014","Biskra")</f>
        <v>Biskra</v>
      </c>
      <c r="G92" s="28" t="str">
        <f>HYPERLINK("http://api.nsgreg.nga.mil/geo-division/GENC/6/ed3/DZ-07","as:GENC:6:ed3:DZ-07")</f>
        <v>as:GENC:6:ed3:DZ-07</v>
      </c>
    </row>
    <row r="93" spans="1:7" x14ac:dyDescent="0.2">
      <c r="A93" s="85"/>
      <c r="B93" s="25" t="s">
        <v>1886</v>
      </c>
      <c r="C93" s="25" t="s">
        <v>1887</v>
      </c>
      <c r="D93" s="25" t="s">
        <v>1719</v>
      </c>
      <c r="E93" s="26" t="b">
        <v>1</v>
      </c>
      <c r="F93" s="27" t="str">
        <f>HYPERLINK("http://nsgreg.nga.mil/genc/view?v=118844&amp;gencs=T&amp;end_month=12&amp;end_day=31&amp;end_year=2014","Blida")</f>
        <v>Blida</v>
      </c>
      <c r="G93" s="28" t="str">
        <f>HYPERLINK("http://api.nsgreg.nga.mil/geo-division/GENC/6/ed3/DZ-09","as:GENC:6:ed3:DZ-09")</f>
        <v>as:GENC:6:ed3:DZ-09</v>
      </c>
    </row>
    <row r="94" spans="1:7" x14ac:dyDescent="0.2">
      <c r="A94" s="85"/>
      <c r="B94" s="25" t="s">
        <v>1888</v>
      </c>
      <c r="C94" s="25" t="s">
        <v>1889</v>
      </c>
      <c r="D94" s="25" t="s">
        <v>1719</v>
      </c>
      <c r="E94" s="26" t="b">
        <v>1</v>
      </c>
      <c r="F94" s="27" t="str">
        <f>HYPERLINK("http://nsgreg.nga.mil/genc/view?v=118869&amp;gencs=T&amp;end_month=12&amp;end_day=31&amp;end_year=2014","Bordj Bou Arréridj")</f>
        <v>Bordj Bou Arréridj</v>
      </c>
      <c r="G94" s="28" t="str">
        <f>HYPERLINK("http://api.nsgreg.nga.mil/geo-division/GENC/6/ed3/DZ-34","as:GENC:6:ed3:DZ-34")</f>
        <v>as:GENC:6:ed3:DZ-34</v>
      </c>
    </row>
    <row r="95" spans="1:7" x14ac:dyDescent="0.2">
      <c r="A95" s="85"/>
      <c r="B95" s="25" t="s">
        <v>1890</v>
      </c>
      <c r="C95" s="25" t="s">
        <v>1891</v>
      </c>
      <c r="D95" s="25" t="s">
        <v>1719</v>
      </c>
      <c r="E95" s="26" t="b">
        <v>1</v>
      </c>
      <c r="F95" s="27" t="str">
        <f>HYPERLINK("http://nsgreg.nga.mil/genc/view?v=118845&amp;gencs=T&amp;end_month=12&amp;end_day=31&amp;end_year=2014","Bouira")</f>
        <v>Bouira</v>
      </c>
      <c r="G95" s="28" t="str">
        <f>HYPERLINK("http://api.nsgreg.nga.mil/geo-division/GENC/6/ed3/DZ-10","as:GENC:6:ed3:DZ-10")</f>
        <v>as:GENC:6:ed3:DZ-10</v>
      </c>
    </row>
    <row r="96" spans="1:7" x14ac:dyDescent="0.2">
      <c r="A96" s="85"/>
      <c r="B96" s="25" t="s">
        <v>1892</v>
      </c>
      <c r="C96" s="25" t="s">
        <v>12002</v>
      </c>
      <c r="D96" s="25" t="s">
        <v>1719</v>
      </c>
      <c r="E96" s="26" t="b">
        <v>1</v>
      </c>
      <c r="F96" s="27" t="str">
        <f>HYPERLINK("http://nsgreg.nga.mil/genc/view?v=211574&amp;end_month=12&amp;end_day=31&amp;end_year=2014","Boumerdes")</f>
        <v>Boumerdes</v>
      </c>
      <c r="G96" s="28" t="str">
        <f>HYPERLINK("http://api.nsgreg.nga.mil/geo-division/GENC/6/ed3/DZ-35","as:GENC:6:ed3:DZ-35")</f>
        <v>as:GENC:6:ed3:DZ-35</v>
      </c>
    </row>
    <row r="97" spans="1:7" x14ac:dyDescent="0.2">
      <c r="A97" s="85"/>
      <c r="B97" s="25" t="s">
        <v>1898</v>
      </c>
      <c r="C97" s="25" t="s">
        <v>1899</v>
      </c>
      <c r="D97" s="25" t="s">
        <v>1719</v>
      </c>
      <c r="E97" s="26" t="b">
        <v>1</v>
      </c>
      <c r="F97" s="27" t="str">
        <f>HYPERLINK("http://nsgreg.nga.mil/genc/view?v=118837&amp;gencs=T&amp;end_month=12&amp;end_day=31&amp;end_year=2014","Chlef")</f>
        <v>Chlef</v>
      </c>
      <c r="G97" s="28" t="str">
        <f>HYPERLINK("http://api.nsgreg.nga.mil/geo-division/GENC/6/ed3/DZ-02","as:GENC:6:ed3:DZ-02")</f>
        <v>as:GENC:6:ed3:DZ-02</v>
      </c>
    </row>
    <row r="98" spans="1:7" x14ac:dyDescent="0.2">
      <c r="A98" s="85"/>
      <c r="B98" s="25" t="s">
        <v>1900</v>
      </c>
      <c r="C98" s="25" t="s">
        <v>1901</v>
      </c>
      <c r="D98" s="25" t="s">
        <v>1719</v>
      </c>
      <c r="E98" s="26" t="b">
        <v>1</v>
      </c>
      <c r="F98" s="27" t="str">
        <f>HYPERLINK("http://nsgreg.nga.mil/genc/view?v=118860&amp;gencs=T&amp;end_month=12&amp;end_day=31&amp;end_year=2014","Constantine")</f>
        <v>Constantine</v>
      </c>
      <c r="G98" s="28" t="str">
        <f>HYPERLINK("http://api.nsgreg.nga.mil/geo-division/GENC/6/ed3/DZ-25","as:GENC:6:ed3:DZ-25")</f>
        <v>as:GENC:6:ed3:DZ-25</v>
      </c>
    </row>
    <row r="99" spans="1:7" x14ac:dyDescent="0.2">
      <c r="A99" s="85"/>
      <c r="B99" s="25" t="s">
        <v>1902</v>
      </c>
      <c r="C99" s="25" t="s">
        <v>1903</v>
      </c>
      <c r="D99" s="25" t="s">
        <v>1719</v>
      </c>
      <c r="E99" s="26" t="b">
        <v>1</v>
      </c>
      <c r="F99" s="27" t="str">
        <f>HYPERLINK("http://nsgreg.nga.mil/genc/view?v=118852&amp;gencs=T&amp;end_month=12&amp;end_day=31&amp;end_year=2014","Djelfa")</f>
        <v>Djelfa</v>
      </c>
      <c r="G99" s="28" t="str">
        <f>HYPERLINK("http://api.nsgreg.nga.mil/geo-division/GENC/6/ed3/DZ-17","as:GENC:6:ed3:DZ-17")</f>
        <v>as:GENC:6:ed3:DZ-17</v>
      </c>
    </row>
    <row r="100" spans="1:7" x14ac:dyDescent="0.2">
      <c r="A100" s="85"/>
      <c r="B100" s="25" t="s">
        <v>1904</v>
      </c>
      <c r="C100" s="25" t="s">
        <v>1905</v>
      </c>
      <c r="D100" s="25" t="s">
        <v>1719</v>
      </c>
      <c r="E100" s="26" t="b">
        <v>1</v>
      </c>
      <c r="F100" s="27" t="str">
        <f>HYPERLINK("http://nsgreg.nga.mil/genc/view?v=118867&amp;gencs=T&amp;end_month=12&amp;end_day=31&amp;end_year=2014","El Bayadh")</f>
        <v>El Bayadh</v>
      </c>
      <c r="G100" s="28" t="str">
        <f>HYPERLINK("http://api.nsgreg.nga.mil/geo-division/GENC/6/ed3/DZ-32","as:GENC:6:ed3:DZ-32")</f>
        <v>as:GENC:6:ed3:DZ-32</v>
      </c>
    </row>
    <row r="101" spans="1:7" x14ac:dyDescent="0.2">
      <c r="A101" s="85"/>
      <c r="B101" s="25" t="s">
        <v>1906</v>
      </c>
      <c r="C101" s="25" t="s">
        <v>1907</v>
      </c>
      <c r="D101" s="25" t="s">
        <v>1719</v>
      </c>
      <c r="E101" s="26" t="b">
        <v>1</v>
      </c>
      <c r="F101" s="27" t="str">
        <f>HYPERLINK("http://nsgreg.nga.mil/genc/view?v=118874&amp;gencs=T&amp;end_month=12&amp;end_day=31&amp;end_year=2014","El Oued")</f>
        <v>El Oued</v>
      </c>
      <c r="G101" s="28" t="str">
        <f>HYPERLINK("http://api.nsgreg.nga.mil/geo-division/GENC/6/ed3/DZ-39","as:GENC:6:ed3:DZ-39")</f>
        <v>as:GENC:6:ed3:DZ-39</v>
      </c>
    </row>
    <row r="102" spans="1:7" x14ac:dyDescent="0.2">
      <c r="A102" s="85"/>
      <c r="B102" s="25" t="s">
        <v>1908</v>
      </c>
      <c r="C102" s="25" t="s">
        <v>1909</v>
      </c>
      <c r="D102" s="25" t="s">
        <v>1719</v>
      </c>
      <c r="E102" s="26" t="b">
        <v>1</v>
      </c>
      <c r="F102" s="27" t="str">
        <f>HYPERLINK("http://nsgreg.nga.mil/genc/view?v=118871&amp;gencs=T&amp;end_month=12&amp;end_day=31&amp;end_year=2014","El Tarf")</f>
        <v>El Tarf</v>
      </c>
      <c r="G102" s="28" t="str">
        <f>HYPERLINK("http://api.nsgreg.nga.mil/geo-division/GENC/6/ed3/DZ-36","as:GENC:6:ed3:DZ-36")</f>
        <v>as:GENC:6:ed3:DZ-36</v>
      </c>
    </row>
    <row r="103" spans="1:7" x14ac:dyDescent="0.2">
      <c r="A103" s="85"/>
      <c r="B103" s="25" t="s">
        <v>1910</v>
      </c>
      <c r="C103" s="25" t="s">
        <v>1911</v>
      </c>
      <c r="D103" s="25" t="s">
        <v>1719</v>
      </c>
      <c r="E103" s="26" t="b">
        <v>1</v>
      </c>
      <c r="F103" s="27" t="str">
        <f>HYPERLINK("http://nsgreg.nga.mil/genc/view?v=118882&amp;gencs=T&amp;end_month=12&amp;end_day=31&amp;end_year=2014","Ghardaïa")</f>
        <v>Ghardaïa</v>
      </c>
      <c r="G103" s="28" t="str">
        <f>HYPERLINK("http://api.nsgreg.nga.mil/geo-division/GENC/6/ed3/DZ-47","as:GENC:6:ed3:DZ-47")</f>
        <v>as:GENC:6:ed3:DZ-47</v>
      </c>
    </row>
    <row r="104" spans="1:7" x14ac:dyDescent="0.2">
      <c r="A104" s="85"/>
      <c r="B104" s="25" t="s">
        <v>1912</v>
      </c>
      <c r="C104" s="25" t="s">
        <v>1913</v>
      </c>
      <c r="D104" s="25" t="s">
        <v>1719</v>
      </c>
      <c r="E104" s="26" t="b">
        <v>1</v>
      </c>
      <c r="F104" s="27" t="str">
        <f>HYPERLINK("http://nsgreg.nga.mil/genc/view?v=118859&amp;gencs=T&amp;end_month=12&amp;end_day=31&amp;end_year=2014","Guelma")</f>
        <v>Guelma</v>
      </c>
      <c r="G104" s="28" t="str">
        <f>HYPERLINK("http://api.nsgreg.nga.mil/geo-division/GENC/6/ed3/DZ-24","as:GENC:6:ed3:DZ-24")</f>
        <v>as:GENC:6:ed3:DZ-24</v>
      </c>
    </row>
    <row r="105" spans="1:7" x14ac:dyDescent="0.2">
      <c r="A105" s="85"/>
      <c r="B105" s="25" t="s">
        <v>1914</v>
      </c>
      <c r="C105" s="25" t="s">
        <v>1915</v>
      </c>
      <c r="D105" s="25" t="s">
        <v>1719</v>
      </c>
      <c r="E105" s="26" t="b">
        <v>1</v>
      </c>
      <c r="F105" s="27" t="str">
        <f>HYPERLINK("http://nsgreg.nga.mil/genc/view?v=118868&amp;gencs=T&amp;end_month=12&amp;end_day=31&amp;end_year=2014","Illizi")</f>
        <v>Illizi</v>
      </c>
      <c r="G105" s="28" t="str">
        <f>HYPERLINK("http://api.nsgreg.nga.mil/geo-division/GENC/6/ed3/DZ-33","as:GENC:6:ed3:DZ-33")</f>
        <v>as:GENC:6:ed3:DZ-33</v>
      </c>
    </row>
    <row r="106" spans="1:7" x14ac:dyDescent="0.2">
      <c r="A106" s="85"/>
      <c r="B106" s="25" t="s">
        <v>1916</v>
      </c>
      <c r="C106" s="25" t="s">
        <v>1917</v>
      </c>
      <c r="D106" s="25" t="s">
        <v>1719</v>
      </c>
      <c r="E106" s="26" t="b">
        <v>1</v>
      </c>
      <c r="F106" s="27" t="str">
        <f>HYPERLINK("http://nsgreg.nga.mil/genc/view?v=118853&amp;gencs=T&amp;end_month=12&amp;end_day=31&amp;end_year=2014","Jijel")</f>
        <v>Jijel</v>
      </c>
      <c r="G106" s="28" t="str">
        <f>HYPERLINK("http://api.nsgreg.nga.mil/geo-division/GENC/6/ed3/DZ-18","as:GENC:6:ed3:DZ-18")</f>
        <v>as:GENC:6:ed3:DZ-18</v>
      </c>
    </row>
    <row r="107" spans="1:7" x14ac:dyDescent="0.2">
      <c r="A107" s="85"/>
      <c r="B107" s="25" t="s">
        <v>1918</v>
      </c>
      <c r="C107" s="25" t="s">
        <v>1919</v>
      </c>
      <c r="D107" s="25" t="s">
        <v>1719</v>
      </c>
      <c r="E107" s="26" t="b">
        <v>1</v>
      </c>
      <c r="F107" s="27" t="str">
        <f>HYPERLINK("http://nsgreg.nga.mil/genc/view?v=118875&amp;gencs=T&amp;end_month=12&amp;end_day=31&amp;end_year=2014","Khenchela")</f>
        <v>Khenchela</v>
      </c>
      <c r="G107" s="28" t="str">
        <f>HYPERLINK("http://api.nsgreg.nga.mil/geo-division/GENC/6/ed3/DZ-40","as:GENC:6:ed3:DZ-40")</f>
        <v>as:GENC:6:ed3:DZ-40</v>
      </c>
    </row>
    <row r="108" spans="1:7" x14ac:dyDescent="0.2">
      <c r="A108" s="85"/>
      <c r="B108" s="25" t="s">
        <v>1920</v>
      </c>
      <c r="C108" s="25" t="s">
        <v>1921</v>
      </c>
      <c r="D108" s="25" t="s">
        <v>1719</v>
      </c>
      <c r="E108" s="26" t="b">
        <v>1</v>
      </c>
      <c r="F108" s="27" t="str">
        <f>HYPERLINK("http://nsgreg.nga.mil/genc/view?v=118838&amp;gencs=T&amp;end_month=12&amp;end_day=31&amp;end_year=2014","Laghouat")</f>
        <v>Laghouat</v>
      </c>
      <c r="G108" s="28" t="str">
        <f>HYPERLINK("http://api.nsgreg.nga.mil/geo-division/GENC/6/ed3/DZ-03","as:GENC:6:ed3:DZ-03")</f>
        <v>as:GENC:6:ed3:DZ-03</v>
      </c>
    </row>
    <row r="109" spans="1:7" x14ac:dyDescent="0.2">
      <c r="A109" s="85"/>
      <c r="B109" s="25" t="s">
        <v>1922</v>
      </c>
      <c r="C109" s="25" t="s">
        <v>1923</v>
      </c>
      <c r="D109" s="25" t="s">
        <v>1719</v>
      </c>
      <c r="E109" s="26" t="b">
        <v>1</v>
      </c>
      <c r="F109" s="27" t="str">
        <f>HYPERLINK("http://nsgreg.nga.mil/genc/view?v=118864&amp;gencs=T&amp;end_month=12&amp;end_day=31&amp;end_year=2014","Mascara")</f>
        <v>Mascara</v>
      </c>
      <c r="G109" s="28" t="str">
        <f>HYPERLINK("http://api.nsgreg.nga.mil/geo-division/GENC/6/ed3/DZ-29","as:GENC:6:ed3:DZ-29")</f>
        <v>as:GENC:6:ed3:DZ-29</v>
      </c>
    </row>
    <row r="110" spans="1:7" x14ac:dyDescent="0.2">
      <c r="A110" s="85"/>
      <c r="B110" s="25" t="s">
        <v>1930</v>
      </c>
      <c r="C110" s="25" t="s">
        <v>1931</v>
      </c>
      <c r="D110" s="25" t="s">
        <v>1719</v>
      </c>
      <c r="E110" s="26" t="b">
        <v>1</v>
      </c>
      <c r="F110" s="27" t="str">
        <f>HYPERLINK("http://nsgreg.nga.mil/genc/view?v=118861&amp;gencs=T&amp;end_month=12&amp;end_day=31&amp;end_year=2014","Médéa")</f>
        <v>Médéa</v>
      </c>
      <c r="G110" s="28" t="str">
        <f>HYPERLINK("http://api.nsgreg.nga.mil/geo-division/GENC/6/ed3/DZ-26","as:GENC:6:ed3:DZ-26")</f>
        <v>as:GENC:6:ed3:DZ-26</v>
      </c>
    </row>
    <row r="111" spans="1:7" x14ac:dyDescent="0.2">
      <c r="A111" s="85"/>
      <c r="B111" s="25" t="s">
        <v>1924</v>
      </c>
      <c r="C111" s="25" t="s">
        <v>1925</v>
      </c>
      <c r="D111" s="25" t="s">
        <v>1719</v>
      </c>
      <c r="E111" s="26" t="b">
        <v>1</v>
      </c>
      <c r="F111" s="27" t="str">
        <f>HYPERLINK("http://nsgreg.nga.mil/genc/view?v=118878&amp;gencs=T&amp;end_month=12&amp;end_day=31&amp;end_year=2014","Mila")</f>
        <v>Mila</v>
      </c>
      <c r="G111" s="28" t="str">
        <f>HYPERLINK("http://api.nsgreg.nga.mil/geo-division/GENC/6/ed3/DZ-43","as:GENC:6:ed3:DZ-43")</f>
        <v>as:GENC:6:ed3:DZ-43</v>
      </c>
    </row>
    <row r="112" spans="1:7" x14ac:dyDescent="0.2">
      <c r="A112" s="85"/>
      <c r="B112" s="25" t="s">
        <v>1926</v>
      </c>
      <c r="C112" s="25" t="s">
        <v>1927</v>
      </c>
      <c r="D112" s="25" t="s">
        <v>1719</v>
      </c>
      <c r="E112" s="26" t="b">
        <v>1</v>
      </c>
      <c r="F112" s="27" t="str">
        <f>HYPERLINK("http://nsgreg.nga.mil/genc/view?v=118862&amp;gencs=T&amp;end_month=12&amp;end_day=31&amp;end_year=2014","Mostaganem")</f>
        <v>Mostaganem</v>
      </c>
      <c r="G112" s="28" t="str">
        <f>HYPERLINK("http://api.nsgreg.nga.mil/geo-division/GENC/6/ed3/DZ-27","as:GENC:6:ed3:DZ-27")</f>
        <v>as:GENC:6:ed3:DZ-27</v>
      </c>
    </row>
    <row r="113" spans="1:7" x14ac:dyDescent="0.2">
      <c r="A113" s="85"/>
      <c r="B113" s="25" t="s">
        <v>1928</v>
      </c>
      <c r="C113" s="25" t="s">
        <v>12003</v>
      </c>
      <c r="D113" s="25" t="s">
        <v>1719</v>
      </c>
      <c r="E113" s="26" t="b">
        <v>1</v>
      </c>
      <c r="F113" s="27" t="str">
        <f>HYPERLINK("http://nsgreg.nga.mil/genc/view?v=211573&amp;end_month=12&amp;end_day=31&amp;end_year=2014","M’sila")</f>
        <v>M’sila</v>
      </c>
      <c r="G113" s="28" t="str">
        <f>HYPERLINK("http://api.nsgreg.nga.mil/geo-division/GENC/6/ed3/DZ-28","as:GENC:6:ed3:DZ-28")</f>
        <v>as:GENC:6:ed3:DZ-28</v>
      </c>
    </row>
    <row r="114" spans="1:7" x14ac:dyDescent="0.2">
      <c r="A114" s="85"/>
      <c r="B114" s="25" t="s">
        <v>1932</v>
      </c>
      <c r="C114" s="25" t="s">
        <v>1933</v>
      </c>
      <c r="D114" s="25" t="s">
        <v>1719</v>
      </c>
      <c r="E114" s="26" t="b">
        <v>1</v>
      </c>
      <c r="F114" s="27" t="str">
        <f>HYPERLINK("http://nsgreg.nga.mil/genc/view?v=118880&amp;gencs=T&amp;end_month=12&amp;end_day=31&amp;end_year=2014","Naama")</f>
        <v>Naama</v>
      </c>
      <c r="G114" s="28" t="str">
        <f>HYPERLINK("http://api.nsgreg.nga.mil/geo-division/GENC/6/ed3/DZ-45","as:GENC:6:ed3:DZ-45")</f>
        <v>as:GENC:6:ed3:DZ-45</v>
      </c>
    </row>
    <row r="115" spans="1:7" x14ac:dyDescent="0.2">
      <c r="A115" s="85"/>
      <c r="B115" s="25" t="s">
        <v>1934</v>
      </c>
      <c r="C115" s="25" t="s">
        <v>1935</v>
      </c>
      <c r="D115" s="25" t="s">
        <v>1719</v>
      </c>
      <c r="E115" s="26" t="b">
        <v>1</v>
      </c>
      <c r="F115" s="27" t="str">
        <f>HYPERLINK("http://nsgreg.nga.mil/genc/view?v=118866&amp;gencs=T&amp;end_month=12&amp;end_day=31&amp;end_year=2014","Oran")</f>
        <v>Oran</v>
      </c>
      <c r="G115" s="28" t="str">
        <f>HYPERLINK("http://api.nsgreg.nga.mil/geo-division/GENC/6/ed3/DZ-31","as:GENC:6:ed3:DZ-31")</f>
        <v>as:GENC:6:ed3:DZ-31</v>
      </c>
    </row>
    <row r="116" spans="1:7" x14ac:dyDescent="0.2">
      <c r="A116" s="85"/>
      <c r="B116" s="25" t="s">
        <v>1936</v>
      </c>
      <c r="C116" s="25" t="s">
        <v>1937</v>
      </c>
      <c r="D116" s="25" t="s">
        <v>1719</v>
      </c>
      <c r="E116" s="26" t="b">
        <v>1</v>
      </c>
      <c r="F116" s="27" t="str">
        <f>HYPERLINK("http://nsgreg.nga.mil/genc/view?v=118865&amp;gencs=T&amp;end_month=12&amp;end_day=31&amp;end_year=2014","Ouargla")</f>
        <v>Ouargla</v>
      </c>
      <c r="G116" s="28" t="str">
        <f>HYPERLINK("http://api.nsgreg.nga.mil/geo-division/GENC/6/ed3/DZ-30","as:GENC:6:ed3:DZ-30")</f>
        <v>as:GENC:6:ed3:DZ-30</v>
      </c>
    </row>
    <row r="117" spans="1:7" x14ac:dyDescent="0.2">
      <c r="A117" s="85"/>
      <c r="B117" s="25" t="s">
        <v>1938</v>
      </c>
      <c r="C117" s="25" t="s">
        <v>1939</v>
      </c>
      <c r="D117" s="25" t="s">
        <v>1719</v>
      </c>
      <c r="E117" s="26" t="b">
        <v>1</v>
      </c>
      <c r="F117" s="27" t="str">
        <f>HYPERLINK("http://nsgreg.nga.mil/genc/view?v=118839&amp;gencs=T&amp;end_month=12&amp;end_day=31&amp;end_year=2014","Oum el Bouaghi")</f>
        <v>Oum el Bouaghi</v>
      </c>
      <c r="G117" s="28" t="str">
        <f>HYPERLINK("http://api.nsgreg.nga.mil/geo-division/GENC/6/ed3/DZ-04","as:GENC:6:ed3:DZ-04")</f>
        <v>as:GENC:6:ed3:DZ-04</v>
      </c>
    </row>
    <row r="118" spans="1:7" x14ac:dyDescent="0.2">
      <c r="A118" s="85"/>
      <c r="B118" s="25" t="s">
        <v>1940</v>
      </c>
      <c r="C118" s="25" t="s">
        <v>1941</v>
      </c>
      <c r="D118" s="25" t="s">
        <v>1719</v>
      </c>
      <c r="E118" s="26" t="b">
        <v>1</v>
      </c>
      <c r="F118" s="27" t="str">
        <f>HYPERLINK("http://nsgreg.nga.mil/genc/view?v=118883&amp;gencs=T&amp;end_month=12&amp;end_day=31&amp;end_year=2014","Relizane")</f>
        <v>Relizane</v>
      </c>
      <c r="G118" s="28" t="str">
        <f>HYPERLINK("http://api.nsgreg.nga.mil/geo-division/GENC/6/ed3/DZ-48","as:GENC:6:ed3:DZ-48")</f>
        <v>as:GENC:6:ed3:DZ-48</v>
      </c>
    </row>
    <row r="119" spans="1:7" x14ac:dyDescent="0.2">
      <c r="A119" s="85"/>
      <c r="B119" s="25" t="s">
        <v>1942</v>
      </c>
      <c r="C119" s="25" t="s">
        <v>1943</v>
      </c>
      <c r="D119" s="25" t="s">
        <v>1719</v>
      </c>
      <c r="E119" s="26" t="b">
        <v>1</v>
      </c>
      <c r="F119" s="27" t="str">
        <f>HYPERLINK("http://nsgreg.nga.mil/genc/view?v=118855&amp;gencs=T&amp;end_month=12&amp;end_day=31&amp;end_year=2014","Saïda")</f>
        <v>Saïda</v>
      </c>
      <c r="G119" s="28" t="str">
        <f>HYPERLINK("http://api.nsgreg.nga.mil/geo-division/GENC/6/ed3/DZ-20","as:GENC:6:ed3:DZ-20")</f>
        <v>as:GENC:6:ed3:DZ-20</v>
      </c>
    </row>
    <row r="120" spans="1:7" x14ac:dyDescent="0.2">
      <c r="A120" s="85"/>
      <c r="B120" s="25" t="s">
        <v>1950</v>
      </c>
      <c r="C120" s="25" t="s">
        <v>1951</v>
      </c>
      <c r="D120" s="25" t="s">
        <v>1719</v>
      </c>
      <c r="E120" s="26" t="b">
        <v>1</v>
      </c>
      <c r="F120" s="27" t="str">
        <f>HYPERLINK("http://nsgreg.nga.mil/genc/view?v=118854&amp;gencs=T&amp;end_month=12&amp;end_day=31&amp;end_year=2014","Sétif")</f>
        <v>Sétif</v>
      </c>
      <c r="G120" s="28" t="str">
        <f>HYPERLINK("http://api.nsgreg.nga.mil/geo-division/GENC/6/ed3/DZ-19","as:GENC:6:ed3:DZ-19")</f>
        <v>as:GENC:6:ed3:DZ-19</v>
      </c>
    </row>
    <row r="121" spans="1:7" x14ac:dyDescent="0.2">
      <c r="A121" s="85"/>
      <c r="B121" s="25" t="s">
        <v>1944</v>
      </c>
      <c r="C121" s="25" t="s">
        <v>1945</v>
      </c>
      <c r="D121" s="25" t="s">
        <v>1719</v>
      </c>
      <c r="E121" s="26" t="b">
        <v>1</v>
      </c>
      <c r="F121" s="27" t="str">
        <f>HYPERLINK("http://nsgreg.nga.mil/genc/view?v=118857&amp;gencs=T&amp;end_month=12&amp;end_day=31&amp;end_year=2014","Sidi Bel Abbès")</f>
        <v>Sidi Bel Abbès</v>
      </c>
      <c r="G121" s="28" t="str">
        <f>HYPERLINK("http://api.nsgreg.nga.mil/geo-division/GENC/6/ed3/DZ-22","as:GENC:6:ed3:DZ-22")</f>
        <v>as:GENC:6:ed3:DZ-22</v>
      </c>
    </row>
    <row r="122" spans="1:7" x14ac:dyDescent="0.2">
      <c r="A122" s="85"/>
      <c r="B122" s="25" t="s">
        <v>1946</v>
      </c>
      <c r="C122" s="25" t="s">
        <v>1947</v>
      </c>
      <c r="D122" s="25" t="s">
        <v>1719</v>
      </c>
      <c r="E122" s="26" t="b">
        <v>1</v>
      </c>
      <c r="F122" s="27" t="str">
        <f>HYPERLINK("http://nsgreg.nga.mil/genc/view?v=118856&amp;gencs=T&amp;end_month=12&amp;end_day=31&amp;end_year=2014","Skikda")</f>
        <v>Skikda</v>
      </c>
      <c r="G122" s="28" t="str">
        <f>HYPERLINK("http://api.nsgreg.nga.mil/geo-division/GENC/6/ed3/DZ-21","as:GENC:6:ed3:DZ-21")</f>
        <v>as:GENC:6:ed3:DZ-21</v>
      </c>
    </row>
    <row r="123" spans="1:7" x14ac:dyDescent="0.2">
      <c r="A123" s="85"/>
      <c r="B123" s="25" t="s">
        <v>1948</v>
      </c>
      <c r="C123" s="25" t="s">
        <v>1949</v>
      </c>
      <c r="D123" s="25" t="s">
        <v>1719</v>
      </c>
      <c r="E123" s="26" t="b">
        <v>1</v>
      </c>
      <c r="F123" s="27" t="str">
        <f>HYPERLINK("http://nsgreg.nga.mil/genc/view?v=118876&amp;gencs=T&amp;end_month=12&amp;end_day=31&amp;end_year=2014","Souk Ahras")</f>
        <v>Souk Ahras</v>
      </c>
      <c r="G123" s="28" t="str">
        <f>HYPERLINK("http://api.nsgreg.nga.mil/geo-division/GENC/6/ed3/DZ-41","as:GENC:6:ed3:DZ-41")</f>
        <v>as:GENC:6:ed3:DZ-41</v>
      </c>
    </row>
    <row r="124" spans="1:7" x14ac:dyDescent="0.2">
      <c r="A124" s="85"/>
      <c r="B124" s="25" t="s">
        <v>1952</v>
      </c>
      <c r="C124" s="25" t="s">
        <v>12004</v>
      </c>
      <c r="D124" s="25" t="s">
        <v>1719</v>
      </c>
      <c r="E124" s="26" t="b">
        <v>1</v>
      </c>
      <c r="F124" s="27" t="str">
        <f>HYPERLINK("http://nsgreg.nga.mil/genc/view?v=118846&amp;gencs=T&amp;end_month=12&amp;end_day=31&amp;end_year=2014","Tamanrasset")</f>
        <v>Tamanrasset</v>
      </c>
      <c r="G124" s="28" t="str">
        <f>HYPERLINK("http://api.nsgreg.nga.mil/geo-division/GENC/6/ed3/DZ-11","as:GENC:6:ed3:DZ-11")</f>
        <v>as:GENC:6:ed3:DZ-11</v>
      </c>
    </row>
    <row r="125" spans="1:7" x14ac:dyDescent="0.2">
      <c r="A125" s="85"/>
      <c r="B125" s="25" t="s">
        <v>1966</v>
      </c>
      <c r="C125" s="25" t="s">
        <v>1967</v>
      </c>
      <c r="D125" s="25" t="s">
        <v>1719</v>
      </c>
      <c r="E125" s="26" t="b">
        <v>1</v>
      </c>
      <c r="F125" s="27" t="str">
        <f>HYPERLINK("http://nsgreg.nga.mil/genc/view?v=118847&amp;gencs=T&amp;end_month=12&amp;end_day=31&amp;end_year=2014","Tébessa")</f>
        <v>Tébessa</v>
      </c>
      <c r="G125" s="28" t="str">
        <f>HYPERLINK("http://api.nsgreg.nga.mil/geo-division/GENC/6/ed3/DZ-12","as:GENC:6:ed3:DZ-12")</f>
        <v>as:GENC:6:ed3:DZ-12</v>
      </c>
    </row>
    <row r="126" spans="1:7" x14ac:dyDescent="0.2">
      <c r="A126" s="85"/>
      <c r="B126" s="25" t="s">
        <v>1954</v>
      </c>
      <c r="C126" s="25" t="s">
        <v>1955</v>
      </c>
      <c r="D126" s="25" t="s">
        <v>1719</v>
      </c>
      <c r="E126" s="26" t="b">
        <v>1</v>
      </c>
      <c r="F126" s="27" t="str">
        <f>HYPERLINK("http://nsgreg.nga.mil/genc/view?v=118849&amp;gencs=T&amp;end_month=12&amp;end_day=31&amp;end_year=2014","Tiaret")</f>
        <v>Tiaret</v>
      </c>
      <c r="G126" s="28" t="str">
        <f>HYPERLINK("http://api.nsgreg.nga.mil/geo-division/GENC/6/ed3/DZ-14","as:GENC:6:ed3:DZ-14")</f>
        <v>as:GENC:6:ed3:DZ-14</v>
      </c>
    </row>
    <row r="127" spans="1:7" x14ac:dyDescent="0.2">
      <c r="A127" s="85"/>
      <c r="B127" s="25" t="s">
        <v>1956</v>
      </c>
      <c r="C127" s="25" t="s">
        <v>1957</v>
      </c>
      <c r="D127" s="25" t="s">
        <v>1719</v>
      </c>
      <c r="E127" s="26" t="b">
        <v>1</v>
      </c>
      <c r="F127" s="27" t="str">
        <f>HYPERLINK("http://nsgreg.nga.mil/genc/view?v=118872&amp;gencs=T&amp;end_month=12&amp;end_day=31&amp;end_year=2014","Tindouf")</f>
        <v>Tindouf</v>
      </c>
      <c r="G127" s="28" t="str">
        <f>HYPERLINK("http://api.nsgreg.nga.mil/geo-division/GENC/6/ed3/DZ-37","as:GENC:6:ed3:DZ-37")</f>
        <v>as:GENC:6:ed3:DZ-37</v>
      </c>
    </row>
    <row r="128" spans="1:7" x14ac:dyDescent="0.2">
      <c r="A128" s="85"/>
      <c r="B128" s="25" t="s">
        <v>1958</v>
      </c>
      <c r="C128" s="25" t="s">
        <v>1959</v>
      </c>
      <c r="D128" s="25" t="s">
        <v>1719</v>
      </c>
      <c r="E128" s="26" t="b">
        <v>1</v>
      </c>
      <c r="F128" s="27" t="str">
        <f>HYPERLINK("http://nsgreg.nga.mil/genc/view?v=118877&amp;gencs=T&amp;end_month=12&amp;end_day=31&amp;end_year=2014","Tipaza")</f>
        <v>Tipaza</v>
      </c>
      <c r="G128" s="28" t="str">
        <f>HYPERLINK("http://api.nsgreg.nga.mil/geo-division/GENC/6/ed3/DZ-42","as:GENC:6:ed3:DZ-42")</f>
        <v>as:GENC:6:ed3:DZ-42</v>
      </c>
    </row>
    <row r="129" spans="1:7" x14ac:dyDescent="0.2">
      <c r="A129" s="85"/>
      <c r="B129" s="25" t="s">
        <v>1960</v>
      </c>
      <c r="C129" s="25" t="s">
        <v>1961</v>
      </c>
      <c r="D129" s="25" t="s">
        <v>1719</v>
      </c>
      <c r="E129" s="26" t="b">
        <v>1</v>
      </c>
      <c r="F129" s="27" t="str">
        <f>HYPERLINK("http://nsgreg.nga.mil/genc/view?v=118873&amp;gencs=T&amp;end_month=12&amp;end_day=31&amp;end_year=2014","Tissemsilt")</f>
        <v>Tissemsilt</v>
      </c>
      <c r="G129" s="28" t="str">
        <f>HYPERLINK("http://api.nsgreg.nga.mil/geo-division/GENC/6/ed3/DZ-38","as:GENC:6:ed3:DZ-38")</f>
        <v>as:GENC:6:ed3:DZ-38</v>
      </c>
    </row>
    <row r="130" spans="1:7" x14ac:dyDescent="0.2">
      <c r="A130" s="85"/>
      <c r="B130" s="25" t="s">
        <v>1962</v>
      </c>
      <c r="C130" s="25" t="s">
        <v>1963</v>
      </c>
      <c r="D130" s="25" t="s">
        <v>1719</v>
      </c>
      <c r="E130" s="26" t="b">
        <v>1</v>
      </c>
      <c r="F130" s="27" t="str">
        <f>HYPERLINK("http://nsgreg.nga.mil/genc/view?v=118850&amp;gencs=T&amp;end_month=12&amp;end_day=31&amp;end_year=2014","Tizi Ouzou")</f>
        <v>Tizi Ouzou</v>
      </c>
      <c r="G130" s="28" t="str">
        <f>HYPERLINK("http://api.nsgreg.nga.mil/geo-division/GENC/6/ed3/DZ-15","as:GENC:6:ed3:DZ-15")</f>
        <v>as:GENC:6:ed3:DZ-15</v>
      </c>
    </row>
    <row r="131" spans="1:7" x14ac:dyDescent="0.2">
      <c r="A131" s="86"/>
      <c r="B131" s="29" t="s">
        <v>1964</v>
      </c>
      <c r="C131" s="29" t="s">
        <v>1965</v>
      </c>
      <c r="D131" s="29" t="s">
        <v>1719</v>
      </c>
      <c r="E131" s="30" t="b">
        <v>1</v>
      </c>
      <c r="F131" s="31" t="str">
        <f>HYPERLINK("http://nsgreg.nga.mil/genc/view?v=118848&amp;gencs=T&amp;end_month=12&amp;end_day=31&amp;end_year=2014","Tlemcen")</f>
        <v>Tlemcen</v>
      </c>
      <c r="G131" s="32" t="str">
        <f>HYPERLINK("http://api.nsgreg.nga.mil/geo-division/GENC/6/ed3/DZ-13","as:GENC:6:ed3:DZ-13")</f>
        <v>as:GENC:6:ed3:DZ-13</v>
      </c>
    </row>
    <row r="132" spans="1:7" x14ac:dyDescent="0.2">
      <c r="A132" s="84" t="str">
        <f>HYPERLINK("[#]Codes_for_GE_Names!A9:I9","ANDORRA")</f>
        <v>ANDORRA</v>
      </c>
      <c r="B132" s="33" t="s">
        <v>1968</v>
      </c>
      <c r="C132" s="33" t="s">
        <v>1969</v>
      </c>
      <c r="D132" s="33" t="s">
        <v>1970</v>
      </c>
      <c r="E132" s="34" t="b">
        <v>1</v>
      </c>
      <c r="F132" s="35" t="str">
        <f>HYPERLINK("http://nsgreg.nga.mil/genc/view?v=117811&amp;gencs=T&amp;end_month=12&amp;end_day=31&amp;end_year=2014","Andorra la Vella")</f>
        <v>Andorra la Vella</v>
      </c>
      <c r="G132" s="36" t="str">
        <f>HYPERLINK("http://api.nsgreg.nga.mil/geo-division/GENC/6/ed3/AD-07","as:GENC:6:ed3:AD-07")</f>
        <v>as:GENC:6:ed3:AD-07</v>
      </c>
    </row>
    <row r="133" spans="1:7" x14ac:dyDescent="0.2">
      <c r="A133" s="85"/>
      <c r="B133" s="25" t="s">
        <v>1971</v>
      </c>
      <c r="C133" s="25" t="s">
        <v>1972</v>
      </c>
      <c r="D133" s="25" t="s">
        <v>1970</v>
      </c>
      <c r="E133" s="26" t="b">
        <v>1</v>
      </c>
      <c r="F133" s="27" t="str">
        <f>HYPERLINK("http://nsgreg.nga.mil/genc/view?v=117806&amp;gencs=T&amp;end_month=12&amp;end_day=31&amp;end_year=2014","Canillo")</f>
        <v>Canillo</v>
      </c>
      <c r="G133" s="28" t="str">
        <f>HYPERLINK("http://api.nsgreg.nga.mil/geo-division/GENC/6/ed3/AD-02","as:GENC:6:ed3:AD-02")</f>
        <v>as:GENC:6:ed3:AD-02</v>
      </c>
    </row>
    <row r="134" spans="1:7" x14ac:dyDescent="0.2">
      <c r="A134" s="85"/>
      <c r="B134" s="25" t="s">
        <v>1973</v>
      </c>
      <c r="C134" s="25" t="s">
        <v>1974</v>
      </c>
      <c r="D134" s="25" t="s">
        <v>1970</v>
      </c>
      <c r="E134" s="26" t="b">
        <v>1</v>
      </c>
      <c r="F134" s="27" t="str">
        <f>HYPERLINK("http://nsgreg.nga.mil/genc/view?v=117807&amp;gencs=T&amp;end_month=12&amp;end_day=31&amp;end_year=2014","Encamp")</f>
        <v>Encamp</v>
      </c>
      <c r="G134" s="28" t="str">
        <f>HYPERLINK("http://api.nsgreg.nga.mil/geo-division/GENC/6/ed3/AD-03","as:GENC:6:ed3:AD-03")</f>
        <v>as:GENC:6:ed3:AD-03</v>
      </c>
    </row>
    <row r="135" spans="1:7" x14ac:dyDescent="0.2">
      <c r="A135" s="85"/>
      <c r="B135" s="25" t="s">
        <v>1975</v>
      </c>
      <c r="C135" s="25" t="s">
        <v>1976</v>
      </c>
      <c r="D135" s="25" t="s">
        <v>1970</v>
      </c>
      <c r="E135" s="26" t="b">
        <v>1</v>
      </c>
      <c r="F135" s="27" t="str">
        <f>HYPERLINK("http://nsgreg.nga.mil/genc/view?v=117812&amp;gencs=T&amp;end_month=12&amp;end_day=31&amp;end_year=2014","Escaldes-Engordany")</f>
        <v>Escaldes-Engordany</v>
      </c>
      <c r="G135" s="28" t="str">
        <f>HYPERLINK("http://api.nsgreg.nga.mil/geo-division/GENC/6/ed3/AD-08","as:GENC:6:ed3:AD-08")</f>
        <v>as:GENC:6:ed3:AD-08</v>
      </c>
    </row>
    <row r="136" spans="1:7" x14ac:dyDescent="0.2">
      <c r="A136" s="85"/>
      <c r="B136" s="25" t="s">
        <v>1977</v>
      </c>
      <c r="C136" s="25" t="s">
        <v>1978</v>
      </c>
      <c r="D136" s="25" t="s">
        <v>1970</v>
      </c>
      <c r="E136" s="26" t="b">
        <v>1</v>
      </c>
      <c r="F136" s="27" t="str">
        <f>HYPERLINK("http://nsgreg.nga.mil/genc/view?v=117808&amp;gencs=T&amp;end_month=12&amp;end_day=31&amp;end_year=2014","La Massana")</f>
        <v>La Massana</v>
      </c>
      <c r="G136" s="28" t="str">
        <f>HYPERLINK("http://api.nsgreg.nga.mil/geo-division/GENC/6/ed3/AD-04","as:GENC:6:ed3:AD-04")</f>
        <v>as:GENC:6:ed3:AD-04</v>
      </c>
    </row>
    <row r="137" spans="1:7" x14ac:dyDescent="0.2">
      <c r="A137" s="85"/>
      <c r="B137" s="25" t="s">
        <v>1979</v>
      </c>
      <c r="C137" s="25" t="s">
        <v>1980</v>
      </c>
      <c r="D137" s="25" t="s">
        <v>1970</v>
      </c>
      <c r="E137" s="26" t="b">
        <v>1</v>
      </c>
      <c r="F137" s="27" t="str">
        <f>HYPERLINK("http://nsgreg.nga.mil/genc/view?v=117809&amp;gencs=T&amp;end_month=12&amp;end_day=31&amp;end_year=2014","Ordino")</f>
        <v>Ordino</v>
      </c>
      <c r="G137" s="28" t="str">
        <f>HYPERLINK("http://api.nsgreg.nga.mil/geo-division/GENC/6/ed3/AD-05","as:GENC:6:ed3:AD-05")</f>
        <v>as:GENC:6:ed3:AD-05</v>
      </c>
    </row>
    <row r="138" spans="1:7" x14ac:dyDescent="0.2">
      <c r="A138" s="86"/>
      <c r="B138" s="29" t="s">
        <v>1981</v>
      </c>
      <c r="C138" s="29" t="s">
        <v>1982</v>
      </c>
      <c r="D138" s="29" t="s">
        <v>1970</v>
      </c>
      <c r="E138" s="30" t="b">
        <v>1</v>
      </c>
      <c r="F138" s="31" t="str">
        <f>HYPERLINK("http://nsgreg.nga.mil/genc/view?v=117810&amp;gencs=T&amp;end_month=12&amp;end_day=31&amp;end_year=2014","Sant Julià de Lòria")</f>
        <v>Sant Julià de Lòria</v>
      </c>
      <c r="G138" s="32" t="str">
        <f>HYPERLINK("http://api.nsgreg.nga.mil/geo-division/GENC/6/ed3/AD-06","as:GENC:6:ed3:AD-06")</f>
        <v>as:GENC:6:ed3:AD-06</v>
      </c>
    </row>
    <row r="139" spans="1:7" x14ac:dyDescent="0.2">
      <c r="A139" s="84" t="str">
        <f>HYPERLINK("[#]Codes_for_GE_Names!A10:I10","ANGOLA")</f>
        <v>ANGOLA</v>
      </c>
      <c r="B139" s="33" t="s">
        <v>1983</v>
      </c>
      <c r="C139" s="33" t="s">
        <v>1984</v>
      </c>
      <c r="D139" s="33" t="s">
        <v>1719</v>
      </c>
      <c r="E139" s="34" t="b">
        <v>1</v>
      </c>
      <c r="F139" s="35" t="str">
        <f>HYPERLINK("http://nsgreg.nga.mil/genc/view?v=117921&amp;gencs=T&amp;end_month=12&amp;end_day=31&amp;end_year=2014","Bengo")</f>
        <v>Bengo</v>
      </c>
      <c r="G139" s="36" t="str">
        <f>HYPERLINK("http://api.nsgreg.nga.mil/geo-division/GENC/6/ed3/AO-BGO","as:GENC:6:ed3:AO-BGO")</f>
        <v>as:GENC:6:ed3:AO-BGO</v>
      </c>
    </row>
    <row r="140" spans="1:7" x14ac:dyDescent="0.2">
      <c r="A140" s="85"/>
      <c r="B140" s="25" t="s">
        <v>1985</v>
      </c>
      <c r="C140" s="25" t="s">
        <v>1986</v>
      </c>
      <c r="D140" s="25" t="s">
        <v>1719</v>
      </c>
      <c r="E140" s="26" t="b">
        <v>1</v>
      </c>
      <c r="F140" s="27" t="str">
        <f>HYPERLINK("http://nsgreg.nga.mil/genc/view?v=117922&amp;gencs=T&amp;end_month=12&amp;end_day=31&amp;end_year=2014","Benguela")</f>
        <v>Benguela</v>
      </c>
      <c r="G140" s="28" t="str">
        <f>HYPERLINK("http://api.nsgreg.nga.mil/geo-division/GENC/6/ed3/AO-BGU","as:GENC:6:ed3:AO-BGU")</f>
        <v>as:GENC:6:ed3:AO-BGU</v>
      </c>
    </row>
    <row r="141" spans="1:7" x14ac:dyDescent="0.2">
      <c r="A141" s="85"/>
      <c r="B141" s="25" t="s">
        <v>1987</v>
      </c>
      <c r="C141" s="25" t="s">
        <v>1988</v>
      </c>
      <c r="D141" s="25" t="s">
        <v>1719</v>
      </c>
      <c r="E141" s="26" t="b">
        <v>1</v>
      </c>
      <c r="F141" s="27" t="str">
        <f>HYPERLINK("http://nsgreg.nga.mil/genc/view?v=117923&amp;gencs=T&amp;end_month=12&amp;end_day=31&amp;end_year=2014","Bié")</f>
        <v>Bié</v>
      </c>
      <c r="G141" s="28" t="str">
        <f>HYPERLINK("http://api.nsgreg.nga.mil/geo-division/GENC/6/ed3/AO-BIE","as:GENC:6:ed3:AO-BIE")</f>
        <v>as:GENC:6:ed3:AO-BIE</v>
      </c>
    </row>
    <row r="142" spans="1:7" x14ac:dyDescent="0.2">
      <c r="A142" s="85"/>
      <c r="B142" s="25" t="s">
        <v>1989</v>
      </c>
      <c r="C142" s="25" t="s">
        <v>1990</v>
      </c>
      <c r="D142" s="25" t="s">
        <v>1719</v>
      </c>
      <c r="E142" s="26" t="b">
        <v>1</v>
      </c>
      <c r="F142" s="27" t="str">
        <f>HYPERLINK("http://nsgreg.nga.mil/genc/view?v=117924&amp;gencs=T&amp;end_month=12&amp;end_day=31&amp;end_year=2014","Cabinda")</f>
        <v>Cabinda</v>
      </c>
      <c r="G142" s="28" t="str">
        <f>HYPERLINK("http://api.nsgreg.nga.mil/geo-division/GENC/6/ed3/AO-CAB","as:GENC:6:ed3:AO-CAB")</f>
        <v>as:GENC:6:ed3:AO-CAB</v>
      </c>
    </row>
    <row r="143" spans="1:7" x14ac:dyDescent="0.2">
      <c r="A143" s="85"/>
      <c r="B143" s="25" t="s">
        <v>1997</v>
      </c>
      <c r="C143" s="25" t="s">
        <v>1998</v>
      </c>
      <c r="D143" s="25" t="s">
        <v>1719</v>
      </c>
      <c r="E143" s="26" t="b">
        <v>1</v>
      </c>
      <c r="F143" s="27" t="str">
        <f>HYPERLINK("http://nsgreg.nga.mil/genc/view?v=117926&amp;gencs=T&amp;end_month=12&amp;end_day=31&amp;end_year=2014","Cunene")</f>
        <v>Cunene</v>
      </c>
      <c r="G143" s="28" t="str">
        <f>HYPERLINK("http://api.nsgreg.nga.mil/geo-division/GENC/6/ed3/AO-CNN","as:GENC:6:ed3:AO-CNN")</f>
        <v>as:GENC:6:ed3:AO-CNN</v>
      </c>
    </row>
    <row r="144" spans="1:7" x14ac:dyDescent="0.2">
      <c r="A144" s="85"/>
      <c r="B144" s="25" t="s">
        <v>1999</v>
      </c>
      <c r="C144" s="25" t="s">
        <v>2000</v>
      </c>
      <c r="D144" s="25" t="s">
        <v>1719</v>
      </c>
      <c r="E144" s="26" t="b">
        <v>1</v>
      </c>
      <c r="F144" s="27" t="str">
        <f>HYPERLINK("http://nsgreg.nga.mil/genc/view?v=117929&amp;gencs=T&amp;end_month=12&amp;end_day=31&amp;end_year=2014","Huambo")</f>
        <v>Huambo</v>
      </c>
      <c r="G144" s="28" t="str">
        <f>HYPERLINK("http://api.nsgreg.nga.mil/geo-division/GENC/6/ed3/AO-HUA","as:GENC:6:ed3:AO-HUA")</f>
        <v>as:GENC:6:ed3:AO-HUA</v>
      </c>
    </row>
    <row r="145" spans="1:7" x14ac:dyDescent="0.2">
      <c r="A145" s="85"/>
      <c r="B145" s="25" t="s">
        <v>2001</v>
      </c>
      <c r="C145" s="25" t="s">
        <v>2002</v>
      </c>
      <c r="D145" s="25" t="s">
        <v>1719</v>
      </c>
      <c r="E145" s="26" t="b">
        <v>1</v>
      </c>
      <c r="F145" s="27" t="str">
        <f>HYPERLINK("http://nsgreg.nga.mil/genc/view?v=117930&amp;gencs=T&amp;end_month=12&amp;end_day=31&amp;end_year=2014","Huíla")</f>
        <v>Huíla</v>
      </c>
      <c r="G145" s="28" t="str">
        <f>HYPERLINK("http://api.nsgreg.nga.mil/geo-division/GENC/6/ed3/AO-HUI","as:GENC:6:ed3:AO-HUI")</f>
        <v>as:GENC:6:ed3:AO-HUI</v>
      </c>
    </row>
    <row r="146" spans="1:7" x14ac:dyDescent="0.2">
      <c r="A146" s="85"/>
      <c r="B146" s="25" t="s">
        <v>1991</v>
      </c>
      <c r="C146" s="25" t="s">
        <v>12005</v>
      </c>
      <c r="D146" s="25" t="s">
        <v>1719</v>
      </c>
      <c r="E146" s="26" t="b">
        <v>1</v>
      </c>
      <c r="F146" s="27" t="str">
        <f>HYPERLINK("http://nsgreg.nga.mil/genc/view?v=211187&amp;end_month=12&amp;end_day=31&amp;end_year=2014","Kuando Kubango")</f>
        <v>Kuando Kubango</v>
      </c>
      <c r="G146" s="28" t="str">
        <f>HYPERLINK("http://api.nsgreg.nga.mil/geo-division/GENC/6/ed3/AO-CCU","as:GENC:6:ed3:AO-CCU")</f>
        <v>as:GENC:6:ed3:AO-CCU</v>
      </c>
    </row>
    <row r="147" spans="1:7" x14ac:dyDescent="0.2">
      <c r="A147" s="85"/>
      <c r="B147" s="25" t="s">
        <v>1993</v>
      </c>
      <c r="C147" s="25" t="s">
        <v>12006</v>
      </c>
      <c r="D147" s="25" t="s">
        <v>1719</v>
      </c>
      <c r="E147" s="26" t="b">
        <v>1</v>
      </c>
      <c r="F147" s="27" t="str">
        <f>HYPERLINK("http://nsgreg.nga.mil/genc/view?v=117927&amp;gencs=T&amp;end_month=12&amp;end_day=31&amp;end_year=2014","Kwanza Norte")</f>
        <v>Kwanza Norte</v>
      </c>
      <c r="G147" s="28" t="str">
        <f>HYPERLINK("http://api.nsgreg.nga.mil/geo-division/GENC/6/ed3/AO-CNO","as:GENC:6:ed3:AO-CNO")</f>
        <v>as:GENC:6:ed3:AO-CNO</v>
      </c>
    </row>
    <row r="148" spans="1:7" x14ac:dyDescent="0.2">
      <c r="A148" s="85"/>
      <c r="B148" s="25" t="s">
        <v>1995</v>
      </c>
      <c r="C148" s="25" t="s">
        <v>12007</v>
      </c>
      <c r="D148" s="25" t="s">
        <v>1719</v>
      </c>
      <c r="E148" s="26" t="b">
        <v>1</v>
      </c>
      <c r="F148" s="27" t="str">
        <f>HYPERLINK("http://nsgreg.nga.mil/genc/view?v=117928&amp;gencs=T&amp;end_month=12&amp;end_day=31&amp;end_year=2014","Kwanza Sul")</f>
        <v>Kwanza Sul</v>
      </c>
      <c r="G148" s="28" t="str">
        <f>HYPERLINK("http://api.nsgreg.nga.mil/geo-division/GENC/6/ed3/AO-CUS","as:GENC:6:ed3:AO-CUS")</f>
        <v>as:GENC:6:ed3:AO-CUS</v>
      </c>
    </row>
    <row r="149" spans="1:7" x14ac:dyDescent="0.2">
      <c r="A149" s="85"/>
      <c r="B149" s="25" t="s">
        <v>2003</v>
      </c>
      <c r="C149" s="25" t="s">
        <v>2004</v>
      </c>
      <c r="D149" s="25" t="s">
        <v>1719</v>
      </c>
      <c r="E149" s="26" t="b">
        <v>1</v>
      </c>
      <c r="F149" s="27" t="str">
        <f>HYPERLINK("http://nsgreg.nga.mil/genc/view?v=117933&amp;gencs=T&amp;end_month=12&amp;end_day=31&amp;end_year=2014","Luanda")</f>
        <v>Luanda</v>
      </c>
      <c r="G149" s="28" t="str">
        <f>HYPERLINK("http://api.nsgreg.nga.mil/geo-division/GENC/6/ed3/AO-LUA","as:GENC:6:ed3:AO-LUA")</f>
        <v>as:GENC:6:ed3:AO-LUA</v>
      </c>
    </row>
    <row r="150" spans="1:7" x14ac:dyDescent="0.2">
      <c r="A150" s="85"/>
      <c r="B150" s="25" t="s">
        <v>2005</v>
      </c>
      <c r="C150" s="25" t="s">
        <v>2006</v>
      </c>
      <c r="D150" s="25" t="s">
        <v>1719</v>
      </c>
      <c r="E150" s="26" t="b">
        <v>1</v>
      </c>
      <c r="F150" s="27" t="str">
        <f>HYPERLINK("http://nsgreg.nga.mil/genc/view?v=117931&amp;gencs=T&amp;end_month=12&amp;end_day=31&amp;end_year=2014","Lunda Norte")</f>
        <v>Lunda Norte</v>
      </c>
      <c r="G150" s="28" t="str">
        <f>HYPERLINK("http://api.nsgreg.nga.mil/geo-division/GENC/6/ed3/AO-LNO","as:GENC:6:ed3:AO-LNO")</f>
        <v>as:GENC:6:ed3:AO-LNO</v>
      </c>
    </row>
    <row r="151" spans="1:7" x14ac:dyDescent="0.2">
      <c r="A151" s="85"/>
      <c r="B151" s="25" t="s">
        <v>2007</v>
      </c>
      <c r="C151" s="25" t="s">
        <v>2008</v>
      </c>
      <c r="D151" s="25" t="s">
        <v>1719</v>
      </c>
      <c r="E151" s="26" t="b">
        <v>1</v>
      </c>
      <c r="F151" s="27" t="str">
        <f>HYPERLINK("http://nsgreg.nga.mil/genc/view?v=117932&amp;gencs=T&amp;end_month=12&amp;end_day=31&amp;end_year=2014","Lunda Sul")</f>
        <v>Lunda Sul</v>
      </c>
      <c r="G151" s="28" t="str">
        <f>HYPERLINK("http://api.nsgreg.nga.mil/geo-division/GENC/6/ed3/AO-LSU","as:GENC:6:ed3:AO-LSU")</f>
        <v>as:GENC:6:ed3:AO-LSU</v>
      </c>
    </row>
    <row r="152" spans="1:7" x14ac:dyDescent="0.2">
      <c r="A152" s="85"/>
      <c r="B152" s="25" t="s">
        <v>2009</v>
      </c>
      <c r="C152" s="25" t="s">
        <v>12008</v>
      </c>
      <c r="D152" s="25" t="s">
        <v>1719</v>
      </c>
      <c r="E152" s="26" t="b">
        <v>1</v>
      </c>
      <c r="F152" s="27" t="str">
        <f>HYPERLINK("http://nsgreg.nga.mil/genc/view?v=211188&amp;end_month=12&amp;end_day=31&amp;end_year=2014","Malanje")</f>
        <v>Malanje</v>
      </c>
      <c r="G152" s="28" t="str">
        <f>HYPERLINK("http://api.nsgreg.nga.mil/geo-division/GENC/6/ed3/AO-MAL","as:GENC:6:ed3:AO-MAL")</f>
        <v>as:GENC:6:ed3:AO-MAL</v>
      </c>
    </row>
    <row r="153" spans="1:7" x14ac:dyDescent="0.2">
      <c r="A153" s="85"/>
      <c r="B153" s="25" t="s">
        <v>2011</v>
      </c>
      <c r="C153" s="25" t="s">
        <v>2012</v>
      </c>
      <c r="D153" s="25" t="s">
        <v>1719</v>
      </c>
      <c r="E153" s="26" t="b">
        <v>1</v>
      </c>
      <c r="F153" s="27" t="str">
        <f>HYPERLINK("http://nsgreg.nga.mil/genc/view?v=117935&amp;gencs=T&amp;end_month=12&amp;end_day=31&amp;end_year=2014","Moxico")</f>
        <v>Moxico</v>
      </c>
      <c r="G153" s="28" t="str">
        <f>HYPERLINK("http://api.nsgreg.nga.mil/geo-division/GENC/6/ed3/AO-MOX","as:GENC:6:ed3:AO-MOX")</f>
        <v>as:GENC:6:ed3:AO-MOX</v>
      </c>
    </row>
    <row r="154" spans="1:7" x14ac:dyDescent="0.2">
      <c r="A154" s="85"/>
      <c r="B154" s="25" t="s">
        <v>2013</v>
      </c>
      <c r="C154" s="25" t="s">
        <v>2014</v>
      </c>
      <c r="D154" s="25" t="s">
        <v>1719</v>
      </c>
      <c r="E154" s="26" t="b">
        <v>1</v>
      </c>
      <c r="F154" s="27" t="str">
        <f>HYPERLINK("http://nsgreg.nga.mil/genc/view?v=117936&amp;gencs=T&amp;end_month=12&amp;end_day=31&amp;end_year=2014","Namibe")</f>
        <v>Namibe</v>
      </c>
      <c r="G154" s="28" t="str">
        <f>HYPERLINK("http://api.nsgreg.nga.mil/geo-division/GENC/6/ed3/AO-NAM","as:GENC:6:ed3:AO-NAM")</f>
        <v>as:GENC:6:ed3:AO-NAM</v>
      </c>
    </row>
    <row r="155" spans="1:7" x14ac:dyDescent="0.2">
      <c r="A155" s="85"/>
      <c r="B155" s="25" t="s">
        <v>2015</v>
      </c>
      <c r="C155" s="25" t="s">
        <v>2016</v>
      </c>
      <c r="D155" s="25" t="s">
        <v>1719</v>
      </c>
      <c r="E155" s="26" t="b">
        <v>1</v>
      </c>
      <c r="F155" s="27" t="str">
        <f>HYPERLINK("http://nsgreg.nga.mil/genc/view?v=117937&amp;gencs=T&amp;end_month=12&amp;end_day=31&amp;end_year=2014","Uíge")</f>
        <v>Uíge</v>
      </c>
      <c r="G155" s="28" t="str">
        <f>HYPERLINK("http://api.nsgreg.nga.mil/geo-division/GENC/6/ed3/AO-UIG","as:GENC:6:ed3:AO-UIG")</f>
        <v>as:GENC:6:ed3:AO-UIG</v>
      </c>
    </row>
    <row r="156" spans="1:7" x14ac:dyDescent="0.2">
      <c r="A156" s="86"/>
      <c r="B156" s="29" t="s">
        <v>2017</v>
      </c>
      <c r="C156" s="29" t="s">
        <v>2018</v>
      </c>
      <c r="D156" s="29" t="s">
        <v>1719</v>
      </c>
      <c r="E156" s="30" t="b">
        <v>1</v>
      </c>
      <c r="F156" s="31" t="str">
        <f>HYPERLINK("http://nsgreg.nga.mil/genc/view?v=117938&amp;gencs=T&amp;end_month=12&amp;end_day=31&amp;end_year=2014","Zaire")</f>
        <v>Zaire</v>
      </c>
      <c r="G156" s="32" t="str">
        <f>HYPERLINK("http://api.nsgreg.nga.mil/geo-division/GENC/6/ed3/AO-ZAI","as:GENC:6:ed3:AO-ZAI")</f>
        <v>as:GENC:6:ed3:AO-ZAI</v>
      </c>
    </row>
    <row r="157" spans="1:7" x14ac:dyDescent="0.2">
      <c r="A157" s="84" t="str">
        <f>HYPERLINK("[#]Codes_for_GE_Names!A13:I13","ANTIGUA AND BARBUDA")</f>
        <v>ANTIGUA AND BARBUDA</v>
      </c>
      <c r="B157" s="33" t="s">
        <v>2019</v>
      </c>
      <c r="C157" s="33" t="s">
        <v>2020</v>
      </c>
      <c r="D157" s="33" t="s">
        <v>2021</v>
      </c>
      <c r="E157" s="34" t="b">
        <v>1</v>
      </c>
      <c r="F157" s="35" t="str">
        <f>HYPERLINK("http://nsgreg.nga.mil/genc/view?v=117860&amp;gencs=T&amp;end_month=12&amp;end_day=31&amp;end_year=2014","Barbuda")</f>
        <v>Barbuda</v>
      </c>
      <c r="G157" s="36" t="str">
        <f>HYPERLINK("http://api.nsgreg.nga.mil/geo-division/GENC/6/ed3/AG-10","as:GENC:6:ed3:AG-10")</f>
        <v>as:GENC:6:ed3:AG-10</v>
      </c>
    </row>
    <row r="158" spans="1:7" x14ac:dyDescent="0.2">
      <c r="A158" s="85"/>
      <c r="B158" s="25" t="s">
        <v>2022</v>
      </c>
      <c r="C158" s="25" t="s">
        <v>2023</v>
      </c>
      <c r="D158" s="25" t="s">
        <v>2021</v>
      </c>
      <c r="E158" s="26" t="b">
        <v>1</v>
      </c>
      <c r="F158" s="27" t="str">
        <f>HYPERLINK("http://nsgreg.nga.mil/genc/view?v=117861&amp;gencs=T&amp;end_month=12&amp;end_day=31&amp;end_year=2014","Redonda")</f>
        <v>Redonda</v>
      </c>
      <c r="G158" s="28" t="str">
        <f>HYPERLINK("http://api.nsgreg.nga.mil/geo-division/GENC/6/ed3/AG-11","as:GENC:6:ed3:AG-11")</f>
        <v>as:GENC:6:ed3:AG-11</v>
      </c>
    </row>
    <row r="159" spans="1:7" x14ac:dyDescent="0.2">
      <c r="A159" s="85"/>
      <c r="B159" s="25" t="s">
        <v>2024</v>
      </c>
      <c r="C159" s="25" t="s">
        <v>2025</v>
      </c>
      <c r="D159" s="25" t="s">
        <v>1970</v>
      </c>
      <c r="E159" s="26" t="b">
        <v>1</v>
      </c>
      <c r="F159" s="27" t="str">
        <f>HYPERLINK("http://nsgreg.nga.mil/genc/view?v=117854&amp;gencs=T&amp;end_month=12&amp;end_day=31&amp;end_year=2014","Saint George")</f>
        <v>Saint George</v>
      </c>
      <c r="G159" s="28" t="str">
        <f>HYPERLINK("http://api.nsgreg.nga.mil/geo-division/GENC/6/ed3/AG-03","as:GENC:6:ed3:AG-03")</f>
        <v>as:GENC:6:ed3:AG-03</v>
      </c>
    </row>
    <row r="160" spans="1:7" x14ac:dyDescent="0.2">
      <c r="A160" s="85"/>
      <c r="B160" s="25" t="s">
        <v>2026</v>
      </c>
      <c r="C160" s="25" t="s">
        <v>2518</v>
      </c>
      <c r="D160" s="25" t="s">
        <v>1970</v>
      </c>
      <c r="E160" s="26" t="b">
        <v>1</v>
      </c>
      <c r="F160" s="27" t="str">
        <f>HYPERLINK("http://nsgreg.nga.mil/genc/view?v=117855&amp;gencs=T&amp;end_month=12&amp;end_day=31&amp;end_year=2014","Saint John")</f>
        <v>Saint John</v>
      </c>
      <c r="G160" s="28" t="str">
        <f>HYPERLINK("http://api.nsgreg.nga.mil/geo-division/GENC/6/ed3/AG-04","as:GENC:6:ed3:AG-04")</f>
        <v>as:GENC:6:ed3:AG-04</v>
      </c>
    </row>
    <row r="161" spans="1:7" x14ac:dyDescent="0.2">
      <c r="A161" s="85"/>
      <c r="B161" s="25" t="s">
        <v>2028</v>
      </c>
      <c r="C161" s="25" t="s">
        <v>2029</v>
      </c>
      <c r="D161" s="25" t="s">
        <v>1970</v>
      </c>
      <c r="E161" s="26" t="b">
        <v>1</v>
      </c>
      <c r="F161" s="27" t="str">
        <f>HYPERLINK("http://nsgreg.nga.mil/genc/view?v=117856&amp;gencs=T&amp;end_month=12&amp;end_day=31&amp;end_year=2014","Saint Mary")</f>
        <v>Saint Mary</v>
      </c>
      <c r="G161" s="28" t="str">
        <f>HYPERLINK("http://api.nsgreg.nga.mil/geo-division/GENC/6/ed3/AG-05","as:GENC:6:ed3:AG-05")</f>
        <v>as:GENC:6:ed3:AG-05</v>
      </c>
    </row>
    <row r="162" spans="1:7" x14ac:dyDescent="0.2">
      <c r="A162" s="85"/>
      <c r="B162" s="25" t="s">
        <v>2030</v>
      </c>
      <c r="C162" s="25" t="s">
        <v>2031</v>
      </c>
      <c r="D162" s="25" t="s">
        <v>1970</v>
      </c>
      <c r="E162" s="26" t="b">
        <v>1</v>
      </c>
      <c r="F162" s="27" t="str">
        <f>HYPERLINK("http://nsgreg.nga.mil/genc/view?v=117857&amp;gencs=T&amp;end_month=12&amp;end_day=31&amp;end_year=2014","Saint Paul")</f>
        <v>Saint Paul</v>
      </c>
      <c r="G162" s="28" t="str">
        <f>HYPERLINK("http://api.nsgreg.nga.mil/geo-division/GENC/6/ed3/AG-06","as:GENC:6:ed3:AG-06")</f>
        <v>as:GENC:6:ed3:AG-06</v>
      </c>
    </row>
    <row r="163" spans="1:7" x14ac:dyDescent="0.2">
      <c r="A163" s="85"/>
      <c r="B163" s="25" t="s">
        <v>2032</v>
      </c>
      <c r="C163" s="25" t="s">
        <v>2033</v>
      </c>
      <c r="D163" s="25" t="s">
        <v>1970</v>
      </c>
      <c r="E163" s="26" t="b">
        <v>1</v>
      </c>
      <c r="F163" s="27" t="str">
        <f>HYPERLINK("http://nsgreg.nga.mil/genc/view?v=117858&amp;gencs=T&amp;end_month=12&amp;end_day=31&amp;end_year=2014","Saint Peter")</f>
        <v>Saint Peter</v>
      </c>
      <c r="G163" s="28" t="str">
        <f>HYPERLINK("http://api.nsgreg.nga.mil/geo-division/GENC/6/ed3/AG-07","as:GENC:6:ed3:AG-07")</f>
        <v>as:GENC:6:ed3:AG-07</v>
      </c>
    </row>
    <row r="164" spans="1:7" x14ac:dyDescent="0.2">
      <c r="A164" s="86"/>
      <c r="B164" s="29" t="s">
        <v>2034</v>
      </c>
      <c r="C164" s="29" t="s">
        <v>2035</v>
      </c>
      <c r="D164" s="29" t="s">
        <v>1970</v>
      </c>
      <c r="E164" s="30" t="b">
        <v>1</v>
      </c>
      <c r="F164" s="31" t="str">
        <f>HYPERLINK("http://nsgreg.nga.mil/genc/view?v=117859&amp;gencs=T&amp;end_month=12&amp;end_day=31&amp;end_year=2014","Saint Philip")</f>
        <v>Saint Philip</v>
      </c>
      <c r="G164" s="32" t="str">
        <f>HYPERLINK("http://api.nsgreg.nga.mil/geo-division/GENC/6/ed3/AG-08","as:GENC:6:ed3:AG-08")</f>
        <v>as:GENC:6:ed3:AG-08</v>
      </c>
    </row>
    <row r="165" spans="1:7" x14ac:dyDescent="0.2">
      <c r="A165" s="84" t="str">
        <f>HYPERLINK("[#]Codes_for_GE_Names!A14:I14","ARGENTINA")</f>
        <v>ARGENTINA</v>
      </c>
      <c r="B165" s="33" t="s">
        <v>2036</v>
      </c>
      <c r="C165" s="33" t="s">
        <v>2037</v>
      </c>
      <c r="D165" s="33" t="s">
        <v>1719</v>
      </c>
      <c r="E165" s="34" t="b">
        <v>1</v>
      </c>
      <c r="F165" s="35" t="str">
        <f>HYPERLINK("http://nsgreg.nga.mil/genc/view?v=117940&amp;gencs=T&amp;end_month=12&amp;end_day=31&amp;end_year=2014","Buenos Aires")</f>
        <v>Buenos Aires</v>
      </c>
      <c r="G165" s="36" t="str">
        <f>HYPERLINK("http://api.nsgreg.nga.mil/geo-division/GENC/6/ed3/AR-B","as:GENC:6:ed3:AR-B")</f>
        <v>as:GENC:6:ed3:AR-B</v>
      </c>
    </row>
    <row r="166" spans="1:7" x14ac:dyDescent="0.2">
      <c r="A166" s="85"/>
      <c r="B166" s="25" t="s">
        <v>2044</v>
      </c>
      <c r="C166" s="25" t="s">
        <v>12009</v>
      </c>
      <c r="D166" s="25" t="s">
        <v>8770</v>
      </c>
      <c r="E166" s="26" t="b">
        <v>1</v>
      </c>
      <c r="F166" s="27" t="str">
        <f>HYPERLINK("http://nsgreg.nga.mil/genc/view?v=211189&amp;end_month=12&amp;end_day=31&amp;end_year=2014","Buenos Aires, Ciudad Autónoma de")</f>
        <v>Buenos Aires, Ciudad Autónoma de</v>
      </c>
      <c r="G166" s="28" t="str">
        <f>HYPERLINK("http://api.nsgreg.nga.mil/geo-division/GENC/6/ed3/AR-C","as:GENC:6:ed3:AR-C")</f>
        <v>as:GENC:6:ed3:AR-C</v>
      </c>
    </row>
    <row r="167" spans="1:7" x14ac:dyDescent="0.2">
      <c r="A167" s="85"/>
      <c r="B167" s="25" t="s">
        <v>2038</v>
      </c>
      <c r="C167" s="25" t="s">
        <v>2039</v>
      </c>
      <c r="D167" s="25" t="s">
        <v>1719</v>
      </c>
      <c r="E167" s="26" t="b">
        <v>1</v>
      </c>
      <c r="F167" s="27" t="str">
        <f>HYPERLINK("http://nsgreg.nga.mil/genc/view?v=117948&amp;gencs=T&amp;end_month=12&amp;end_day=31&amp;end_year=2014","Catamarca")</f>
        <v>Catamarca</v>
      </c>
      <c r="G167" s="28" t="str">
        <f>HYPERLINK("http://api.nsgreg.nga.mil/geo-division/GENC/6/ed3/AR-K","as:GENC:6:ed3:AR-K")</f>
        <v>as:GENC:6:ed3:AR-K</v>
      </c>
    </row>
    <row r="168" spans="1:7" x14ac:dyDescent="0.2">
      <c r="A168" s="85"/>
      <c r="B168" s="25" t="s">
        <v>2040</v>
      </c>
      <c r="C168" s="25" t="s">
        <v>2041</v>
      </c>
      <c r="D168" s="25" t="s">
        <v>1719</v>
      </c>
      <c r="E168" s="26" t="b">
        <v>1</v>
      </c>
      <c r="F168" s="27" t="str">
        <f>HYPERLINK("http://nsgreg.nga.mil/genc/view?v=117946&amp;gencs=T&amp;end_month=12&amp;end_day=31&amp;end_year=2014","Chaco")</f>
        <v>Chaco</v>
      </c>
      <c r="G168" s="28" t="str">
        <f>HYPERLINK("http://api.nsgreg.nga.mil/geo-division/GENC/6/ed3/AR-H","as:GENC:6:ed3:AR-H")</f>
        <v>as:GENC:6:ed3:AR-H</v>
      </c>
    </row>
    <row r="169" spans="1:7" x14ac:dyDescent="0.2">
      <c r="A169" s="85"/>
      <c r="B169" s="25" t="s">
        <v>2042</v>
      </c>
      <c r="C169" s="25" t="s">
        <v>2043</v>
      </c>
      <c r="D169" s="25" t="s">
        <v>1719</v>
      </c>
      <c r="E169" s="26" t="b">
        <v>1</v>
      </c>
      <c r="F169" s="27" t="str">
        <f>HYPERLINK("http://nsgreg.nga.mil/genc/view?v=117957&amp;gencs=T&amp;end_month=12&amp;end_day=31&amp;end_year=2014","Chubut")</f>
        <v>Chubut</v>
      </c>
      <c r="G169" s="28" t="str">
        <f>HYPERLINK("http://api.nsgreg.nga.mil/geo-division/GENC/6/ed3/AR-U","as:GENC:6:ed3:AR-U")</f>
        <v>as:GENC:6:ed3:AR-U</v>
      </c>
    </row>
    <row r="170" spans="1:7" x14ac:dyDescent="0.2">
      <c r="A170" s="85"/>
      <c r="B170" s="25" t="s">
        <v>2049</v>
      </c>
      <c r="C170" s="25" t="s">
        <v>2050</v>
      </c>
      <c r="D170" s="25" t="s">
        <v>1719</v>
      </c>
      <c r="E170" s="26" t="b">
        <v>1</v>
      </c>
      <c r="F170" s="27" t="str">
        <f>HYPERLINK("http://nsgreg.nga.mil/genc/view?v=117960&amp;gencs=T&amp;end_month=12&amp;end_day=31&amp;end_year=2014","Córdoba")</f>
        <v>Córdoba</v>
      </c>
      <c r="G170" s="28" t="str">
        <f>HYPERLINK("http://api.nsgreg.nga.mil/geo-division/GENC/6/ed3/AR-X","as:GENC:6:ed3:AR-X")</f>
        <v>as:GENC:6:ed3:AR-X</v>
      </c>
    </row>
    <row r="171" spans="1:7" x14ac:dyDescent="0.2">
      <c r="A171" s="85"/>
      <c r="B171" s="25" t="s">
        <v>2047</v>
      </c>
      <c r="C171" s="25" t="s">
        <v>2048</v>
      </c>
      <c r="D171" s="25" t="s">
        <v>1719</v>
      </c>
      <c r="E171" s="26" t="b">
        <v>1</v>
      </c>
      <c r="F171" s="27" t="str">
        <f>HYPERLINK("http://nsgreg.nga.mil/genc/view?v=117959&amp;gencs=T&amp;end_month=12&amp;end_day=31&amp;end_year=2014","Corrientes")</f>
        <v>Corrientes</v>
      </c>
      <c r="G171" s="28" t="str">
        <f>HYPERLINK("http://api.nsgreg.nga.mil/geo-division/GENC/6/ed3/AR-W","as:GENC:6:ed3:AR-W")</f>
        <v>as:GENC:6:ed3:AR-W</v>
      </c>
    </row>
    <row r="172" spans="1:7" x14ac:dyDescent="0.2">
      <c r="A172" s="85"/>
      <c r="B172" s="25" t="s">
        <v>2051</v>
      </c>
      <c r="C172" s="25" t="s">
        <v>2052</v>
      </c>
      <c r="D172" s="25" t="s">
        <v>1719</v>
      </c>
      <c r="E172" s="26" t="b">
        <v>1</v>
      </c>
      <c r="F172" s="27" t="str">
        <f>HYPERLINK("http://nsgreg.nga.mil/genc/view?v=117943&amp;gencs=T&amp;end_month=12&amp;end_day=31&amp;end_year=2014","Entre Ríos")</f>
        <v>Entre Ríos</v>
      </c>
      <c r="G172" s="28" t="str">
        <f>HYPERLINK("http://api.nsgreg.nga.mil/geo-division/GENC/6/ed3/AR-E","as:GENC:6:ed3:AR-E")</f>
        <v>as:GENC:6:ed3:AR-E</v>
      </c>
    </row>
    <row r="173" spans="1:7" x14ac:dyDescent="0.2">
      <c r="A173" s="85"/>
      <c r="B173" s="25" t="s">
        <v>2053</v>
      </c>
      <c r="C173" s="25" t="s">
        <v>2054</v>
      </c>
      <c r="D173" s="25" t="s">
        <v>1719</v>
      </c>
      <c r="E173" s="26" t="b">
        <v>1</v>
      </c>
      <c r="F173" s="27" t="str">
        <f>HYPERLINK("http://nsgreg.nga.mil/genc/view?v=117952&amp;gencs=T&amp;end_month=12&amp;end_day=31&amp;end_year=2014","Formosa")</f>
        <v>Formosa</v>
      </c>
      <c r="G173" s="28" t="str">
        <f>HYPERLINK("http://api.nsgreg.nga.mil/geo-division/GENC/6/ed3/AR-P","as:GENC:6:ed3:AR-P")</f>
        <v>as:GENC:6:ed3:AR-P</v>
      </c>
    </row>
    <row r="174" spans="1:7" x14ac:dyDescent="0.2">
      <c r="A174" s="85"/>
      <c r="B174" s="25" t="s">
        <v>2055</v>
      </c>
      <c r="C174" s="25" t="s">
        <v>2056</v>
      </c>
      <c r="D174" s="25" t="s">
        <v>1719</v>
      </c>
      <c r="E174" s="26" t="b">
        <v>1</v>
      </c>
      <c r="F174" s="27" t="str">
        <f>HYPERLINK("http://nsgreg.nga.mil/genc/view?v=117961&amp;gencs=T&amp;end_month=12&amp;end_day=31&amp;end_year=2014","Jujuy")</f>
        <v>Jujuy</v>
      </c>
      <c r="G174" s="28" t="str">
        <f>HYPERLINK("http://api.nsgreg.nga.mil/geo-division/GENC/6/ed3/AR-Y","as:GENC:6:ed3:AR-Y")</f>
        <v>as:GENC:6:ed3:AR-Y</v>
      </c>
    </row>
    <row r="175" spans="1:7" x14ac:dyDescent="0.2">
      <c r="A175" s="85"/>
      <c r="B175" s="25" t="s">
        <v>2057</v>
      </c>
      <c r="C175" s="25" t="s">
        <v>2058</v>
      </c>
      <c r="D175" s="25" t="s">
        <v>1719</v>
      </c>
      <c r="E175" s="26" t="b">
        <v>1</v>
      </c>
      <c r="F175" s="27" t="str">
        <f>HYPERLINK("http://nsgreg.nga.mil/genc/view?v=117949&amp;gencs=T&amp;end_month=12&amp;end_day=31&amp;end_year=2014","La Pampa")</f>
        <v>La Pampa</v>
      </c>
      <c r="G175" s="28" t="str">
        <f>HYPERLINK("http://api.nsgreg.nga.mil/geo-division/GENC/6/ed3/AR-L","as:GENC:6:ed3:AR-L")</f>
        <v>as:GENC:6:ed3:AR-L</v>
      </c>
    </row>
    <row r="176" spans="1:7" x14ac:dyDescent="0.2">
      <c r="A176" s="85"/>
      <c r="B176" s="25" t="s">
        <v>2059</v>
      </c>
      <c r="C176" s="25" t="s">
        <v>2060</v>
      </c>
      <c r="D176" s="25" t="s">
        <v>1719</v>
      </c>
      <c r="E176" s="26" t="b">
        <v>1</v>
      </c>
      <c r="F176" s="27" t="str">
        <f>HYPERLINK("http://nsgreg.nga.mil/genc/view?v=117944&amp;gencs=T&amp;end_month=12&amp;end_day=31&amp;end_year=2014","La Rioja")</f>
        <v>La Rioja</v>
      </c>
      <c r="G176" s="28" t="str">
        <f>HYPERLINK("http://api.nsgreg.nga.mil/geo-division/GENC/6/ed3/AR-F","as:GENC:6:ed3:AR-F")</f>
        <v>as:GENC:6:ed3:AR-F</v>
      </c>
    </row>
    <row r="177" spans="1:7" x14ac:dyDescent="0.2">
      <c r="A177" s="85"/>
      <c r="B177" s="25" t="s">
        <v>2061</v>
      </c>
      <c r="C177" s="25" t="s">
        <v>2062</v>
      </c>
      <c r="D177" s="25" t="s">
        <v>1719</v>
      </c>
      <c r="E177" s="26" t="b">
        <v>1</v>
      </c>
      <c r="F177" s="27" t="str">
        <f>HYPERLINK("http://nsgreg.nga.mil/genc/view?v=117950&amp;gencs=T&amp;end_month=12&amp;end_day=31&amp;end_year=2014","Mendoza")</f>
        <v>Mendoza</v>
      </c>
      <c r="G177" s="28" t="str">
        <f>HYPERLINK("http://api.nsgreg.nga.mil/geo-division/GENC/6/ed3/AR-M","as:GENC:6:ed3:AR-M")</f>
        <v>as:GENC:6:ed3:AR-M</v>
      </c>
    </row>
    <row r="178" spans="1:7" x14ac:dyDescent="0.2">
      <c r="A178" s="85"/>
      <c r="B178" s="25" t="s">
        <v>2063</v>
      </c>
      <c r="C178" s="25" t="s">
        <v>2064</v>
      </c>
      <c r="D178" s="25" t="s">
        <v>1719</v>
      </c>
      <c r="E178" s="26" t="b">
        <v>1</v>
      </c>
      <c r="F178" s="27" t="str">
        <f>HYPERLINK("http://nsgreg.nga.mil/genc/view?v=117951&amp;gencs=T&amp;end_month=12&amp;end_day=31&amp;end_year=2014","Misiones")</f>
        <v>Misiones</v>
      </c>
      <c r="G178" s="28" t="str">
        <f>HYPERLINK("http://api.nsgreg.nga.mil/geo-division/GENC/6/ed3/AR-N","as:GENC:6:ed3:AR-N")</f>
        <v>as:GENC:6:ed3:AR-N</v>
      </c>
    </row>
    <row r="179" spans="1:7" x14ac:dyDescent="0.2">
      <c r="A179" s="85"/>
      <c r="B179" s="25" t="s">
        <v>2065</v>
      </c>
      <c r="C179" s="25" t="s">
        <v>2066</v>
      </c>
      <c r="D179" s="25" t="s">
        <v>1719</v>
      </c>
      <c r="E179" s="26" t="b">
        <v>1</v>
      </c>
      <c r="F179" s="27" t="str">
        <f>HYPERLINK("http://nsgreg.nga.mil/genc/view?v=117953&amp;gencs=T&amp;end_month=12&amp;end_day=31&amp;end_year=2014","Neuquén")</f>
        <v>Neuquén</v>
      </c>
      <c r="G179" s="28" t="str">
        <f>HYPERLINK("http://api.nsgreg.nga.mil/geo-division/GENC/6/ed3/AR-Q","as:GENC:6:ed3:AR-Q")</f>
        <v>as:GENC:6:ed3:AR-Q</v>
      </c>
    </row>
    <row r="180" spans="1:7" x14ac:dyDescent="0.2">
      <c r="A180" s="85"/>
      <c r="B180" s="25" t="s">
        <v>2067</v>
      </c>
      <c r="C180" s="25" t="s">
        <v>2068</v>
      </c>
      <c r="D180" s="25" t="s">
        <v>1719</v>
      </c>
      <c r="E180" s="26" t="b">
        <v>1</v>
      </c>
      <c r="F180" s="27" t="str">
        <f>HYPERLINK("http://nsgreg.nga.mil/genc/view?v=117954&amp;gencs=T&amp;end_month=12&amp;end_day=31&amp;end_year=2014","Río Negro")</f>
        <v>Río Negro</v>
      </c>
      <c r="G180" s="28" t="str">
        <f>HYPERLINK("http://api.nsgreg.nga.mil/geo-division/GENC/6/ed3/AR-R","as:GENC:6:ed3:AR-R")</f>
        <v>as:GENC:6:ed3:AR-R</v>
      </c>
    </row>
    <row r="181" spans="1:7" x14ac:dyDescent="0.2">
      <c r="A181" s="85"/>
      <c r="B181" s="25" t="s">
        <v>2069</v>
      </c>
      <c r="C181" s="25" t="s">
        <v>2070</v>
      </c>
      <c r="D181" s="25" t="s">
        <v>1719</v>
      </c>
      <c r="E181" s="26" t="b">
        <v>1</v>
      </c>
      <c r="F181" s="27" t="str">
        <f>HYPERLINK("http://nsgreg.nga.mil/genc/view?v=117939&amp;gencs=T&amp;end_month=12&amp;end_day=31&amp;end_year=2014","Salta")</f>
        <v>Salta</v>
      </c>
      <c r="G181" s="28" t="str">
        <f>HYPERLINK("http://api.nsgreg.nga.mil/geo-division/GENC/6/ed3/AR-A","as:GENC:6:ed3:AR-A")</f>
        <v>as:GENC:6:ed3:AR-A</v>
      </c>
    </row>
    <row r="182" spans="1:7" x14ac:dyDescent="0.2">
      <c r="A182" s="85"/>
      <c r="B182" s="25" t="s">
        <v>2071</v>
      </c>
      <c r="C182" s="25" t="s">
        <v>2072</v>
      </c>
      <c r="D182" s="25" t="s">
        <v>1719</v>
      </c>
      <c r="E182" s="26" t="b">
        <v>1</v>
      </c>
      <c r="F182" s="27" t="str">
        <f>HYPERLINK("http://nsgreg.nga.mil/genc/view?v=117947&amp;gencs=T&amp;end_month=12&amp;end_day=31&amp;end_year=2014","San Juan")</f>
        <v>San Juan</v>
      </c>
      <c r="G182" s="28" t="str">
        <f>HYPERLINK("http://api.nsgreg.nga.mil/geo-division/GENC/6/ed3/AR-J","as:GENC:6:ed3:AR-J")</f>
        <v>as:GENC:6:ed3:AR-J</v>
      </c>
    </row>
    <row r="183" spans="1:7" x14ac:dyDescent="0.2">
      <c r="A183" s="85"/>
      <c r="B183" s="25" t="s">
        <v>2073</v>
      </c>
      <c r="C183" s="25" t="s">
        <v>2074</v>
      </c>
      <c r="D183" s="25" t="s">
        <v>1719</v>
      </c>
      <c r="E183" s="26" t="b">
        <v>1</v>
      </c>
      <c r="F183" s="27" t="str">
        <f>HYPERLINK("http://nsgreg.nga.mil/genc/view?v=117942&amp;gencs=T&amp;end_month=12&amp;end_day=31&amp;end_year=2014","San Luis")</f>
        <v>San Luis</v>
      </c>
      <c r="G183" s="28" t="str">
        <f>HYPERLINK("http://api.nsgreg.nga.mil/geo-division/GENC/6/ed3/AR-D","as:GENC:6:ed3:AR-D")</f>
        <v>as:GENC:6:ed3:AR-D</v>
      </c>
    </row>
    <row r="184" spans="1:7" x14ac:dyDescent="0.2">
      <c r="A184" s="85"/>
      <c r="B184" s="25" t="s">
        <v>2075</v>
      </c>
      <c r="C184" s="25" t="s">
        <v>2076</v>
      </c>
      <c r="D184" s="25" t="s">
        <v>1719</v>
      </c>
      <c r="E184" s="26" t="b">
        <v>1</v>
      </c>
      <c r="F184" s="27" t="str">
        <f>HYPERLINK("http://nsgreg.nga.mil/genc/view?v=117962&amp;gencs=T&amp;end_month=12&amp;end_day=31&amp;end_year=2014","Santa Cruz")</f>
        <v>Santa Cruz</v>
      </c>
      <c r="G184" s="28" t="str">
        <f>HYPERLINK("http://api.nsgreg.nga.mil/geo-division/GENC/6/ed3/AR-Z","as:GENC:6:ed3:AR-Z")</f>
        <v>as:GENC:6:ed3:AR-Z</v>
      </c>
    </row>
    <row r="185" spans="1:7" x14ac:dyDescent="0.2">
      <c r="A185" s="85"/>
      <c r="B185" s="25" t="s">
        <v>2077</v>
      </c>
      <c r="C185" s="25" t="s">
        <v>2078</v>
      </c>
      <c r="D185" s="25" t="s">
        <v>1719</v>
      </c>
      <c r="E185" s="26" t="b">
        <v>1</v>
      </c>
      <c r="F185" s="27" t="str">
        <f>HYPERLINK("http://nsgreg.nga.mil/genc/view?v=117955&amp;gencs=T&amp;end_month=12&amp;end_day=31&amp;end_year=2014","Santa Fe")</f>
        <v>Santa Fe</v>
      </c>
      <c r="G185" s="28" t="str">
        <f>HYPERLINK("http://api.nsgreg.nga.mil/geo-division/GENC/6/ed3/AR-S","as:GENC:6:ed3:AR-S")</f>
        <v>as:GENC:6:ed3:AR-S</v>
      </c>
    </row>
    <row r="186" spans="1:7" x14ac:dyDescent="0.2">
      <c r="A186" s="85"/>
      <c r="B186" s="25" t="s">
        <v>2079</v>
      </c>
      <c r="C186" s="25" t="s">
        <v>2080</v>
      </c>
      <c r="D186" s="25" t="s">
        <v>1719</v>
      </c>
      <c r="E186" s="26" t="b">
        <v>1</v>
      </c>
      <c r="F186" s="27" t="str">
        <f>HYPERLINK("http://nsgreg.nga.mil/genc/view?v=117945&amp;gencs=T&amp;end_month=12&amp;end_day=31&amp;end_year=2014","Santiago del Estero")</f>
        <v>Santiago del Estero</v>
      </c>
      <c r="G186" s="28" t="str">
        <f>HYPERLINK("http://api.nsgreg.nga.mil/geo-division/GENC/6/ed3/AR-G","as:GENC:6:ed3:AR-G")</f>
        <v>as:GENC:6:ed3:AR-G</v>
      </c>
    </row>
    <row r="187" spans="1:7" x14ac:dyDescent="0.2">
      <c r="A187" s="85"/>
      <c r="B187" s="25" t="s">
        <v>2081</v>
      </c>
      <c r="C187" s="25" t="s">
        <v>12010</v>
      </c>
      <c r="D187" s="25" t="s">
        <v>1719</v>
      </c>
      <c r="E187" s="26" t="b">
        <v>1</v>
      </c>
      <c r="F187" s="27" t="str">
        <f>HYPERLINK("http://nsgreg.nga.mil/genc/view?v=211190&amp;end_month=12&amp;end_day=31&amp;end_year=2014","Tierra del Fuego, Antártida e Islas del Atlántico Sur")</f>
        <v>Tierra del Fuego, Antártida e Islas del Atlántico Sur</v>
      </c>
      <c r="G187" s="28" t="str">
        <f>HYPERLINK("http://api.nsgreg.nga.mil/geo-division/GENC/6/ed3/AR-V","as:GENC:6:ed3:AR-V")</f>
        <v>as:GENC:6:ed3:AR-V</v>
      </c>
    </row>
    <row r="188" spans="1:7" x14ac:dyDescent="0.2">
      <c r="A188" s="86"/>
      <c r="B188" s="29" t="s">
        <v>2083</v>
      </c>
      <c r="C188" s="29" t="s">
        <v>2084</v>
      </c>
      <c r="D188" s="29" t="s">
        <v>1719</v>
      </c>
      <c r="E188" s="30" t="b">
        <v>1</v>
      </c>
      <c r="F188" s="31" t="str">
        <f>HYPERLINK("http://nsgreg.nga.mil/genc/view?v=117956&amp;gencs=T&amp;end_month=12&amp;end_day=31&amp;end_year=2014","Tucumán")</f>
        <v>Tucumán</v>
      </c>
      <c r="G188" s="32" t="str">
        <f>HYPERLINK("http://api.nsgreg.nga.mil/geo-division/GENC/6/ed3/AR-T","as:GENC:6:ed3:AR-T")</f>
        <v>as:GENC:6:ed3:AR-T</v>
      </c>
    </row>
    <row r="189" spans="1:7" x14ac:dyDescent="0.2">
      <c r="A189" s="84" t="str">
        <f>HYPERLINK("[#]Codes_for_GE_Names!A15:I15","ARMENIA")</f>
        <v>ARMENIA</v>
      </c>
      <c r="B189" s="33" t="s">
        <v>2085</v>
      </c>
      <c r="C189" s="33" t="s">
        <v>12011</v>
      </c>
      <c r="D189" s="33" t="s">
        <v>1790</v>
      </c>
      <c r="E189" s="34" t="b">
        <v>1</v>
      </c>
      <c r="F189" s="35" t="str">
        <f>HYPERLINK("http://nsgreg.nga.mil/genc/view?v=211176&amp;end_month=12&amp;end_day=31&amp;end_year=2014","Aragatsotn")</f>
        <v>Aragatsotn</v>
      </c>
      <c r="G189" s="36" t="str">
        <f>HYPERLINK("http://api.nsgreg.nga.mil/geo-division/GENC/6/ed3/AM-AG","as:GENC:6:ed3:AM-AG")</f>
        <v>as:GENC:6:ed3:AM-AG</v>
      </c>
    </row>
    <row r="190" spans="1:7" x14ac:dyDescent="0.2">
      <c r="A190" s="85"/>
      <c r="B190" s="25" t="s">
        <v>2088</v>
      </c>
      <c r="C190" s="25" t="s">
        <v>2089</v>
      </c>
      <c r="D190" s="25" t="s">
        <v>1790</v>
      </c>
      <c r="E190" s="26" t="b">
        <v>1</v>
      </c>
      <c r="F190" s="27" t="str">
        <f>HYPERLINK("http://nsgreg.nga.mil/genc/view?v=211177&amp;end_month=12&amp;end_day=31&amp;end_year=2014","Ararat")</f>
        <v>Ararat</v>
      </c>
      <c r="G190" s="28" t="str">
        <f>HYPERLINK("http://api.nsgreg.nga.mil/geo-division/GENC/6/ed3/AM-AR","as:GENC:6:ed3:AM-AR")</f>
        <v>as:GENC:6:ed3:AM-AR</v>
      </c>
    </row>
    <row r="191" spans="1:7" x14ac:dyDescent="0.2">
      <c r="A191" s="85"/>
      <c r="B191" s="25" t="s">
        <v>2090</v>
      </c>
      <c r="C191" s="25" t="s">
        <v>2091</v>
      </c>
      <c r="D191" s="25" t="s">
        <v>1790</v>
      </c>
      <c r="E191" s="26" t="b">
        <v>1</v>
      </c>
      <c r="F191" s="27" t="str">
        <f>HYPERLINK("http://nsgreg.nga.mil/genc/view?v=211178&amp;end_month=12&amp;end_day=31&amp;end_year=2014","Armavir")</f>
        <v>Armavir</v>
      </c>
      <c r="G191" s="28" t="str">
        <f>HYPERLINK("http://api.nsgreg.nga.mil/geo-division/GENC/6/ed3/AM-AV","as:GENC:6:ed3:AM-AV")</f>
        <v>as:GENC:6:ed3:AM-AV</v>
      </c>
    </row>
    <row r="192" spans="1:7" x14ac:dyDescent="0.2">
      <c r="A192" s="85"/>
      <c r="B192" s="25" t="s">
        <v>2094</v>
      </c>
      <c r="C192" s="25" t="s">
        <v>12012</v>
      </c>
      <c r="D192" s="25" t="s">
        <v>1790</v>
      </c>
      <c r="E192" s="26" t="b">
        <v>1</v>
      </c>
      <c r="F192" s="27" t="str">
        <f>HYPERLINK("http://nsgreg.nga.mil/genc/view?v=211180&amp;end_month=12&amp;end_day=31&amp;end_year=2014","Geghark’unik’")</f>
        <v>Geghark’unik’</v>
      </c>
      <c r="G192" s="28" t="str">
        <f>HYPERLINK("http://api.nsgreg.nga.mil/geo-division/GENC/6/ed3/AM-GR","as:GENC:6:ed3:AM-GR")</f>
        <v>as:GENC:6:ed3:AM-GR</v>
      </c>
    </row>
    <row r="193" spans="1:7" x14ac:dyDescent="0.2">
      <c r="A193" s="85"/>
      <c r="B193" s="25" t="s">
        <v>2096</v>
      </c>
      <c r="C193" s="25" t="s">
        <v>12013</v>
      </c>
      <c r="D193" s="25" t="s">
        <v>1790</v>
      </c>
      <c r="E193" s="26" t="b">
        <v>1</v>
      </c>
      <c r="F193" s="27" t="str">
        <f>HYPERLINK("http://nsgreg.nga.mil/genc/view?v=211181&amp;end_month=12&amp;end_day=31&amp;end_year=2014","Kotayk’")</f>
        <v>Kotayk’</v>
      </c>
      <c r="G193" s="28" t="str">
        <f>HYPERLINK("http://api.nsgreg.nga.mil/geo-division/GENC/6/ed3/AM-KT","as:GENC:6:ed3:AM-KT")</f>
        <v>as:GENC:6:ed3:AM-KT</v>
      </c>
    </row>
    <row r="194" spans="1:7" x14ac:dyDescent="0.2">
      <c r="A194" s="85"/>
      <c r="B194" s="25" t="s">
        <v>2098</v>
      </c>
      <c r="C194" s="25" t="s">
        <v>12014</v>
      </c>
      <c r="D194" s="25" t="s">
        <v>1790</v>
      </c>
      <c r="E194" s="26" t="b">
        <v>1</v>
      </c>
      <c r="F194" s="27" t="str">
        <f>HYPERLINK("http://nsgreg.nga.mil/genc/view?v=211182&amp;end_month=12&amp;end_day=31&amp;end_year=2014","Lorri")</f>
        <v>Lorri</v>
      </c>
      <c r="G194" s="28" t="str">
        <f>HYPERLINK("http://api.nsgreg.nga.mil/geo-division/GENC/6/ed3/AM-LO","as:GENC:6:ed3:AM-LO")</f>
        <v>as:GENC:6:ed3:AM-LO</v>
      </c>
    </row>
    <row r="195" spans="1:7" x14ac:dyDescent="0.2">
      <c r="A195" s="85"/>
      <c r="B195" s="25" t="s">
        <v>2106</v>
      </c>
      <c r="C195" s="25" t="s">
        <v>12015</v>
      </c>
      <c r="D195" s="25" t="s">
        <v>1790</v>
      </c>
      <c r="E195" s="26" t="b">
        <v>1</v>
      </c>
      <c r="F195" s="27" t="str">
        <f>HYPERLINK("http://nsgreg.nga.mil/genc/view?v=211183&amp;end_month=12&amp;end_day=31&amp;end_year=2014","Shirak")</f>
        <v>Shirak</v>
      </c>
      <c r="G195" s="28" t="str">
        <f>HYPERLINK("http://api.nsgreg.nga.mil/geo-division/GENC/6/ed3/AM-SH","as:GENC:6:ed3:AM-SH")</f>
        <v>as:GENC:6:ed3:AM-SH</v>
      </c>
    </row>
    <row r="196" spans="1:7" x14ac:dyDescent="0.2">
      <c r="A196" s="85"/>
      <c r="B196" s="25" t="s">
        <v>2100</v>
      </c>
      <c r="C196" s="25" t="s">
        <v>12016</v>
      </c>
      <c r="D196" s="25" t="s">
        <v>1790</v>
      </c>
      <c r="E196" s="26" t="b">
        <v>1</v>
      </c>
      <c r="F196" s="27" t="str">
        <f>HYPERLINK("http://nsgreg.nga.mil/genc/view?v=211184&amp;end_month=12&amp;end_day=31&amp;end_year=2014","Syunik’")</f>
        <v>Syunik’</v>
      </c>
      <c r="G196" s="28" t="str">
        <f>HYPERLINK("http://api.nsgreg.nga.mil/geo-division/GENC/6/ed3/AM-SU","as:GENC:6:ed3:AM-SU")</f>
        <v>as:GENC:6:ed3:AM-SU</v>
      </c>
    </row>
    <row r="197" spans="1:7" x14ac:dyDescent="0.2">
      <c r="A197" s="85"/>
      <c r="B197" s="25" t="s">
        <v>2102</v>
      </c>
      <c r="C197" s="25" t="s">
        <v>12017</v>
      </c>
      <c r="D197" s="25" t="s">
        <v>1790</v>
      </c>
      <c r="E197" s="26" t="b">
        <v>1</v>
      </c>
      <c r="F197" s="27" t="str">
        <f>HYPERLINK("http://nsgreg.nga.mil/genc/view?v=211185&amp;end_month=12&amp;end_day=31&amp;end_year=2014","Tavush")</f>
        <v>Tavush</v>
      </c>
      <c r="G197" s="28" t="str">
        <f>HYPERLINK("http://api.nsgreg.nga.mil/geo-division/GENC/6/ed3/AM-TV","as:GENC:6:ed3:AM-TV")</f>
        <v>as:GENC:6:ed3:AM-TV</v>
      </c>
    </row>
    <row r="198" spans="1:7" x14ac:dyDescent="0.2">
      <c r="A198" s="85"/>
      <c r="B198" s="25" t="s">
        <v>2104</v>
      </c>
      <c r="C198" s="25" t="s">
        <v>12018</v>
      </c>
      <c r="D198" s="25" t="s">
        <v>1790</v>
      </c>
      <c r="E198" s="26" t="b">
        <v>1</v>
      </c>
      <c r="F198" s="27" t="str">
        <f>HYPERLINK("http://nsgreg.nga.mil/genc/view?v=211186&amp;end_month=12&amp;end_day=31&amp;end_year=2014","Vayots’ Dzor")</f>
        <v>Vayots’ Dzor</v>
      </c>
      <c r="G198" s="28" t="str">
        <f>HYPERLINK("http://api.nsgreg.nga.mil/geo-division/GENC/6/ed3/AM-VD","as:GENC:6:ed3:AM-VD")</f>
        <v>as:GENC:6:ed3:AM-VD</v>
      </c>
    </row>
    <row r="199" spans="1:7" x14ac:dyDescent="0.2">
      <c r="A199" s="86"/>
      <c r="B199" s="29" t="s">
        <v>2092</v>
      </c>
      <c r="C199" s="29" t="s">
        <v>12019</v>
      </c>
      <c r="D199" s="29" t="s">
        <v>2046</v>
      </c>
      <c r="E199" s="30" t="b">
        <v>1</v>
      </c>
      <c r="F199" s="31" t="str">
        <f>HYPERLINK("http://nsgreg.nga.mil/genc/view?v=211179&amp;end_month=12&amp;end_day=31&amp;end_year=2014","Yerevan")</f>
        <v>Yerevan</v>
      </c>
      <c r="G199" s="32" t="str">
        <f>HYPERLINK("http://api.nsgreg.nga.mil/geo-division/GENC/6/ed3/AM-ER","as:GENC:6:ed3:AM-ER")</f>
        <v>as:GENC:6:ed3:AM-ER</v>
      </c>
    </row>
    <row r="200" spans="1:7" x14ac:dyDescent="0.2">
      <c r="A200" s="84" t="str">
        <f>HYPERLINK("[#]Codes_for_GE_Names!A18:I18","AUSTRALIA")</f>
        <v>AUSTRALIA</v>
      </c>
      <c r="B200" s="33" t="s">
        <v>2108</v>
      </c>
      <c r="C200" s="33" t="s">
        <v>2109</v>
      </c>
      <c r="D200" s="33" t="s">
        <v>2110</v>
      </c>
      <c r="E200" s="34" t="b">
        <v>1</v>
      </c>
      <c r="F200" s="35" t="str">
        <f>HYPERLINK("http://nsgreg.nga.mil/genc/view?v=117972&amp;gencs=T&amp;end_month=12&amp;end_day=31&amp;end_year=2014","Australian Capital Territory")</f>
        <v>Australian Capital Territory</v>
      </c>
      <c r="G200" s="36" t="str">
        <f>HYPERLINK("http://api.nsgreg.nga.mil/geo-division/GENC/6/ed3/AU-ACT","as:GENC:6:ed3:AU-ACT")</f>
        <v>as:GENC:6:ed3:AU-ACT</v>
      </c>
    </row>
    <row r="201" spans="1:7" x14ac:dyDescent="0.2">
      <c r="A201" s="85"/>
      <c r="B201" s="25" t="s">
        <v>2111</v>
      </c>
      <c r="C201" s="25" t="s">
        <v>2112</v>
      </c>
      <c r="D201" s="25" t="s">
        <v>2113</v>
      </c>
      <c r="E201" s="26" t="b">
        <v>1</v>
      </c>
      <c r="F201" s="27" t="str">
        <f>HYPERLINK("http://nsgreg.nga.mil/genc/view?v=117973&amp;gencs=T&amp;end_month=12&amp;end_day=31&amp;end_year=2014","New South Wales")</f>
        <v>New South Wales</v>
      </c>
      <c r="G201" s="28" t="str">
        <f>HYPERLINK("http://api.nsgreg.nga.mil/geo-division/GENC/6/ed3/AU-NSW","as:GENC:6:ed3:AU-NSW")</f>
        <v>as:GENC:6:ed3:AU-NSW</v>
      </c>
    </row>
    <row r="202" spans="1:7" x14ac:dyDescent="0.2">
      <c r="A202" s="85"/>
      <c r="B202" s="25" t="s">
        <v>2114</v>
      </c>
      <c r="C202" s="25" t="s">
        <v>2115</v>
      </c>
      <c r="D202" s="25" t="s">
        <v>2110</v>
      </c>
      <c r="E202" s="26" t="b">
        <v>1</v>
      </c>
      <c r="F202" s="27" t="str">
        <f>HYPERLINK("http://nsgreg.nga.mil/genc/view?v=117974&amp;gencs=T&amp;end_month=12&amp;end_day=31&amp;end_year=2014","Northern Territory")</f>
        <v>Northern Territory</v>
      </c>
      <c r="G202" s="28" t="str">
        <f>HYPERLINK("http://api.nsgreg.nga.mil/geo-division/GENC/6/ed3/AU-NT","as:GENC:6:ed3:AU-NT")</f>
        <v>as:GENC:6:ed3:AU-NT</v>
      </c>
    </row>
    <row r="203" spans="1:7" x14ac:dyDescent="0.2">
      <c r="A203" s="85"/>
      <c r="B203" s="25" t="s">
        <v>2116</v>
      </c>
      <c r="C203" s="25" t="s">
        <v>2117</v>
      </c>
      <c r="D203" s="25" t="s">
        <v>2113</v>
      </c>
      <c r="E203" s="26" t="b">
        <v>1</v>
      </c>
      <c r="F203" s="27" t="str">
        <f>HYPERLINK("http://nsgreg.nga.mil/genc/view?v=117975&amp;gencs=T&amp;end_month=12&amp;end_day=31&amp;end_year=2014","Queensland")</f>
        <v>Queensland</v>
      </c>
      <c r="G203" s="28" t="str">
        <f>HYPERLINK("http://api.nsgreg.nga.mil/geo-division/GENC/6/ed3/AU-QLD","as:GENC:6:ed3:AU-QLD")</f>
        <v>as:GENC:6:ed3:AU-QLD</v>
      </c>
    </row>
    <row r="204" spans="1:7" x14ac:dyDescent="0.2">
      <c r="A204" s="85"/>
      <c r="B204" s="25" t="s">
        <v>2118</v>
      </c>
      <c r="C204" s="25" t="s">
        <v>2119</v>
      </c>
      <c r="D204" s="25" t="s">
        <v>2113</v>
      </c>
      <c r="E204" s="26" t="b">
        <v>1</v>
      </c>
      <c r="F204" s="27" t="str">
        <f>HYPERLINK("http://nsgreg.nga.mil/genc/view?v=117976&amp;gencs=T&amp;end_month=12&amp;end_day=31&amp;end_year=2014","South Australia")</f>
        <v>South Australia</v>
      </c>
      <c r="G204" s="28" t="str">
        <f>HYPERLINK("http://api.nsgreg.nga.mil/geo-division/GENC/6/ed3/AU-SA","as:GENC:6:ed3:AU-SA")</f>
        <v>as:GENC:6:ed3:AU-SA</v>
      </c>
    </row>
    <row r="205" spans="1:7" x14ac:dyDescent="0.2">
      <c r="A205" s="85"/>
      <c r="B205" s="25" t="s">
        <v>2120</v>
      </c>
      <c r="C205" s="25" t="s">
        <v>2121</v>
      </c>
      <c r="D205" s="25" t="s">
        <v>2113</v>
      </c>
      <c r="E205" s="26" t="b">
        <v>1</v>
      </c>
      <c r="F205" s="27" t="str">
        <f>HYPERLINK("http://nsgreg.nga.mil/genc/view?v=117977&amp;gencs=T&amp;end_month=12&amp;end_day=31&amp;end_year=2014","Tasmania")</f>
        <v>Tasmania</v>
      </c>
      <c r="G205" s="28" t="str">
        <f>HYPERLINK("http://api.nsgreg.nga.mil/geo-division/GENC/6/ed3/AU-TAS","as:GENC:6:ed3:AU-TAS")</f>
        <v>as:GENC:6:ed3:AU-TAS</v>
      </c>
    </row>
    <row r="206" spans="1:7" x14ac:dyDescent="0.2">
      <c r="A206" s="85"/>
      <c r="B206" s="25" t="s">
        <v>2122</v>
      </c>
      <c r="C206" s="25" t="s">
        <v>2123</v>
      </c>
      <c r="D206" s="25" t="s">
        <v>2113</v>
      </c>
      <c r="E206" s="26" t="b">
        <v>1</v>
      </c>
      <c r="F206" s="27" t="str">
        <f>HYPERLINK("http://nsgreg.nga.mil/genc/view?v=117978&amp;gencs=T&amp;end_month=12&amp;end_day=31&amp;end_year=2014","Victoria")</f>
        <v>Victoria</v>
      </c>
      <c r="G206" s="28" t="str">
        <f>HYPERLINK("http://api.nsgreg.nga.mil/geo-division/GENC/6/ed3/AU-VIC","as:GENC:6:ed3:AU-VIC")</f>
        <v>as:GENC:6:ed3:AU-VIC</v>
      </c>
    </row>
    <row r="207" spans="1:7" x14ac:dyDescent="0.2">
      <c r="A207" s="86"/>
      <c r="B207" s="29" t="s">
        <v>2124</v>
      </c>
      <c r="C207" s="29" t="s">
        <v>2125</v>
      </c>
      <c r="D207" s="29" t="s">
        <v>2113</v>
      </c>
      <c r="E207" s="30" t="b">
        <v>1</v>
      </c>
      <c r="F207" s="31" t="str">
        <f>HYPERLINK("http://nsgreg.nga.mil/genc/view?v=117979&amp;gencs=T&amp;end_month=12&amp;end_day=31&amp;end_year=2014","Western Australia")</f>
        <v>Western Australia</v>
      </c>
      <c r="G207" s="32" t="str">
        <f>HYPERLINK("http://api.nsgreg.nga.mil/geo-division/GENC/6/ed3/AU-WA","as:GENC:6:ed3:AU-WA")</f>
        <v>as:GENC:6:ed3:AU-WA</v>
      </c>
    </row>
    <row r="208" spans="1:7" x14ac:dyDescent="0.2">
      <c r="A208" s="84" t="str">
        <f>HYPERLINK("[#]Codes_for_GE_Names!A19:I19","AUSTRIA")</f>
        <v>AUSTRIA</v>
      </c>
      <c r="B208" s="33" t="s">
        <v>2126</v>
      </c>
      <c r="C208" s="33" t="s">
        <v>2127</v>
      </c>
      <c r="D208" s="33" t="s">
        <v>2113</v>
      </c>
      <c r="E208" s="34" t="b">
        <v>1</v>
      </c>
      <c r="F208" s="35" t="str">
        <f>HYPERLINK("http://nsgreg.nga.mil/genc/view?v=211191&amp;end_month=12&amp;end_day=31&amp;end_year=2014","Burgenland")</f>
        <v>Burgenland</v>
      </c>
      <c r="G208" s="36" t="str">
        <f>HYPERLINK("http://api.nsgreg.nga.mil/geo-division/GENC/6/ed3/AT-1","as:GENC:6:ed3:AT-1")</f>
        <v>as:GENC:6:ed3:AT-1</v>
      </c>
    </row>
    <row r="209" spans="1:7" x14ac:dyDescent="0.2">
      <c r="A209" s="85"/>
      <c r="B209" s="25" t="s">
        <v>2129</v>
      </c>
      <c r="C209" s="25" t="s">
        <v>2130</v>
      </c>
      <c r="D209" s="25" t="s">
        <v>2113</v>
      </c>
      <c r="E209" s="26" t="b">
        <v>1</v>
      </c>
      <c r="F209" s="27" t="str">
        <f>HYPERLINK("http://nsgreg.nga.mil/genc/view?v=211192&amp;end_month=12&amp;end_day=31&amp;end_year=2014","Kärnten")</f>
        <v>Kärnten</v>
      </c>
      <c r="G209" s="28" t="str">
        <f>HYPERLINK("http://api.nsgreg.nga.mil/geo-division/GENC/6/ed3/AT-2","as:GENC:6:ed3:AT-2")</f>
        <v>as:GENC:6:ed3:AT-2</v>
      </c>
    </row>
    <row r="210" spans="1:7" x14ac:dyDescent="0.2">
      <c r="A210" s="85"/>
      <c r="B210" s="25" t="s">
        <v>2131</v>
      </c>
      <c r="C210" s="25" t="s">
        <v>2132</v>
      </c>
      <c r="D210" s="25" t="s">
        <v>2113</v>
      </c>
      <c r="E210" s="26" t="b">
        <v>1</v>
      </c>
      <c r="F210" s="27" t="str">
        <f>HYPERLINK("http://nsgreg.nga.mil/genc/view?v=211193&amp;end_month=12&amp;end_day=31&amp;end_year=2014","Niederösterreich")</f>
        <v>Niederösterreich</v>
      </c>
      <c r="G210" s="28" t="str">
        <f>HYPERLINK("http://api.nsgreg.nga.mil/geo-division/GENC/6/ed3/AT-3","as:GENC:6:ed3:AT-3")</f>
        <v>as:GENC:6:ed3:AT-3</v>
      </c>
    </row>
    <row r="211" spans="1:7" x14ac:dyDescent="0.2">
      <c r="A211" s="85"/>
      <c r="B211" s="25" t="s">
        <v>2133</v>
      </c>
      <c r="C211" s="25" t="s">
        <v>2134</v>
      </c>
      <c r="D211" s="25" t="s">
        <v>2113</v>
      </c>
      <c r="E211" s="26" t="b">
        <v>1</v>
      </c>
      <c r="F211" s="27" t="str">
        <f>HYPERLINK("http://nsgreg.nga.mil/genc/view?v=211194&amp;end_month=12&amp;end_day=31&amp;end_year=2014","Oberösterreich")</f>
        <v>Oberösterreich</v>
      </c>
      <c r="G211" s="28" t="str">
        <f>HYPERLINK("http://api.nsgreg.nga.mil/geo-division/GENC/6/ed3/AT-4","as:GENC:6:ed3:AT-4")</f>
        <v>as:GENC:6:ed3:AT-4</v>
      </c>
    </row>
    <row r="212" spans="1:7" x14ac:dyDescent="0.2">
      <c r="A212" s="85"/>
      <c r="B212" s="25" t="s">
        <v>2135</v>
      </c>
      <c r="C212" s="25" t="s">
        <v>2136</v>
      </c>
      <c r="D212" s="25" t="s">
        <v>2113</v>
      </c>
      <c r="E212" s="26" t="b">
        <v>1</v>
      </c>
      <c r="F212" s="27" t="str">
        <f>HYPERLINK("http://nsgreg.nga.mil/genc/view?v=211195&amp;end_month=12&amp;end_day=31&amp;end_year=2014","Salzburg")</f>
        <v>Salzburg</v>
      </c>
      <c r="G212" s="28" t="str">
        <f>HYPERLINK("http://api.nsgreg.nga.mil/geo-division/GENC/6/ed3/AT-5","as:GENC:6:ed3:AT-5")</f>
        <v>as:GENC:6:ed3:AT-5</v>
      </c>
    </row>
    <row r="213" spans="1:7" x14ac:dyDescent="0.2">
      <c r="A213" s="85"/>
      <c r="B213" s="25" t="s">
        <v>2137</v>
      </c>
      <c r="C213" s="25" t="s">
        <v>2138</v>
      </c>
      <c r="D213" s="25" t="s">
        <v>2113</v>
      </c>
      <c r="E213" s="26" t="b">
        <v>1</v>
      </c>
      <c r="F213" s="27" t="str">
        <f>HYPERLINK("http://nsgreg.nga.mil/genc/view?v=211196&amp;end_month=12&amp;end_day=31&amp;end_year=2014","Steiermark")</f>
        <v>Steiermark</v>
      </c>
      <c r="G213" s="28" t="str">
        <f>HYPERLINK("http://api.nsgreg.nga.mil/geo-division/GENC/6/ed3/AT-6","as:GENC:6:ed3:AT-6")</f>
        <v>as:GENC:6:ed3:AT-6</v>
      </c>
    </row>
    <row r="214" spans="1:7" x14ac:dyDescent="0.2">
      <c r="A214" s="85"/>
      <c r="B214" s="25" t="s">
        <v>2139</v>
      </c>
      <c r="C214" s="25" t="s">
        <v>2140</v>
      </c>
      <c r="D214" s="25" t="s">
        <v>2113</v>
      </c>
      <c r="E214" s="26" t="b">
        <v>1</v>
      </c>
      <c r="F214" s="27" t="str">
        <f>HYPERLINK("http://nsgreg.nga.mil/genc/view?v=211197&amp;end_month=12&amp;end_day=31&amp;end_year=2014","Tirol")</f>
        <v>Tirol</v>
      </c>
      <c r="G214" s="28" t="str">
        <f>HYPERLINK("http://api.nsgreg.nga.mil/geo-division/GENC/6/ed3/AT-7","as:GENC:6:ed3:AT-7")</f>
        <v>as:GENC:6:ed3:AT-7</v>
      </c>
    </row>
    <row r="215" spans="1:7" x14ac:dyDescent="0.2">
      <c r="A215" s="85"/>
      <c r="B215" s="25" t="s">
        <v>2141</v>
      </c>
      <c r="C215" s="25" t="s">
        <v>2142</v>
      </c>
      <c r="D215" s="25" t="s">
        <v>2113</v>
      </c>
      <c r="E215" s="26" t="b">
        <v>1</v>
      </c>
      <c r="F215" s="27" t="str">
        <f>HYPERLINK("http://nsgreg.nga.mil/genc/view?v=211198&amp;end_month=12&amp;end_day=31&amp;end_year=2014","Vorarlberg")</f>
        <v>Vorarlberg</v>
      </c>
      <c r="G215" s="28" t="str">
        <f>HYPERLINK("http://api.nsgreg.nga.mil/geo-division/GENC/6/ed3/AT-8","as:GENC:6:ed3:AT-8")</f>
        <v>as:GENC:6:ed3:AT-8</v>
      </c>
    </row>
    <row r="216" spans="1:7" x14ac:dyDescent="0.2">
      <c r="A216" s="86"/>
      <c r="B216" s="29" t="s">
        <v>2143</v>
      </c>
      <c r="C216" s="29" t="s">
        <v>2144</v>
      </c>
      <c r="D216" s="29" t="s">
        <v>2113</v>
      </c>
      <c r="E216" s="30" t="b">
        <v>1</v>
      </c>
      <c r="F216" s="31" t="str">
        <f>HYPERLINK("http://nsgreg.nga.mil/genc/view?v=211199&amp;end_month=12&amp;end_day=31&amp;end_year=2014","Wien")</f>
        <v>Wien</v>
      </c>
      <c r="G216" s="32" t="str">
        <f>HYPERLINK("http://api.nsgreg.nga.mil/geo-division/GENC/6/ed3/AT-9","as:GENC:6:ed3:AT-9")</f>
        <v>as:GENC:6:ed3:AT-9</v>
      </c>
    </row>
    <row r="217" spans="1:7" x14ac:dyDescent="0.2">
      <c r="A217" s="84" t="str">
        <f>HYPERLINK("[#]Codes_for_GE_Names!A20:I20","AZERBAIJAN")</f>
        <v>AZERBAIJAN</v>
      </c>
      <c r="B217" s="33" t="s">
        <v>2145</v>
      </c>
      <c r="C217" s="33" t="s">
        <v>2146</v>
      </c>
      <c r="D217" s="33" t="s">
        <v>1790</v>
      </c>
      <c r="E217" s="34" t="b">
        <v>1</v>
      </c>
      <c r="F217" s="35" t="str">
        <f>HYPERLINK("http://nsgreg.nga.mil/genc/view?v=211200&amp;end_month=12&amp;end_day=31&amp;end_year=2014","Abşeron")</f>
        <v>Abşeron</v>
      </c>
      <c r="G217" s="36" t="str">
        <f>HYPERLINK("http://api.nsgreg.nga.mil/geo-division/GENC/6/ed3/AZ-ABS","as:GENC:6:ed3:AZ-ABS")</f>
        <v>as:GENC:6:ed3:AZ-ABS</v>
      </c>
    </row>
    <row r="218" spans="1:7" x14ac:dyDescent="0.2">
      <c r="A218" s="85"/>
      <c r="B218" s="25" t="s">
        <v>2150</v>
      </c>
      <c r="C218" s="25" t="s">
        <v>12020</v>
      </c>
      <c r="D218" s="25" t="s">
        <v>1790</v>
      </c>
      <c r="E218" s="26" t="b">
        <v>1</v>
      </c>
      <c r="F218" s="27" t="str">
        <f>HYPERLINK("http://nsgreg.nga.mil/genc/view?v=211202&amp;end_month=12&amp;end_day=31&amp;end_year=2014","Ağcabədi")</f>
        <v>Ağcabədi</v>
      </c>
      <c r="G218" s="28" t="str">
        <f>HYPERLINK("http://api.nsgreg.nga.mil/geo-division/GENC/6/ed3/AZ-AGC","as:GENC:6:ed3:AZ-AGC")</f>
        <v>as:GENC:6:ed3:AZ-AGC</v>
      </c>
    </row>
    <row r="219" spans="1:7" x14ac:dyDescent="0.2">
      <c r="A219" s="85"/>
      <c r="B219" s="25" t="s">
        <v>2152</v>
      </c>
      <c r="C219" s="25" t="s">
        <v>2153</v>
      </c>
      <c r="D219" s="25" t="s">
        <v>1790</v>
      </c>
      <c r="E219" s="26" t="b">
        <v>1</v>
      </c>
      <c r="F219" s="27" t="str">
        <f>HYPERLINK("http://nsgreg.nga.mil/genc/view?v=211203&amp;end_month=12&amp;end_day=31&amp;end_year=2014","Ağdam")</f>
        <v>Ağdam</v>
      </c>
      <c r="G219" s="28" t="str">
        <f>HYPERLINK("http://api.nsgreg.nga.mil/geo-division/GENC/6/ed3/AZ-AGM","as:GENC:6:ed3:AZ-AGM")</f>
        <v>as:GENC:6:ed3:AZ-AGM</v>
      </c>
    </row>
    <row r="220" spans="1:7" x14ac:dyDescent="0.2">
      <c r="A220" s="85"/>
      <c r="B220" s="25" t="s">
        <v>2154</v>
      </c>
      <c r="C220" s="25" t="s">
        <v>2155</v>
      </c>
      <c r="D220" s="25" t="s">
        <v>1790</v>
      </c>
      <c r="E220" s="26" t="b">
        <v>1</v>
      </c>
      <c r="F220" s="27" t="str">
        <f>HYPERLINK("http://nsgreg.nga.mil/genc/view?v=211204&amp;end_month=12&amp;end_day=31&amp;end_year=2014","Ağdaş")</f>
        <v>Ağdaş</v>
      </c>
      <c r="G220" s="28" t="str">
        <f>HYPERLINK("http://api.nsgreg.nga.mil/geo-division/GENC/6/ed3/AZ-AGS","as:GENC:6:ed3:AZ-AGS")</f>
        <v>as:GENC:6:ed3:AZ-AGS</v>
      </c>
    </row>
    <row r="221" spans="1:7" x14ac:dyDescent="0.2">
      <c r="A221" s="85"/>
      <c r="B221" s="25" t="s">
        <v>2156</v>
      </c>
      <c r="C221" s="25" t="s">
        <v>2157</v>
      </c>
      <c r="D221" s="25" t="s">
        <v>1790</v>
      </c>
      <c r="E221" s="26" t="b">
        <v>1</v>
      </c>
      <c r="F221" s="27" t="str">
        <f>HYPERLINK("http://nsgreg.nga.mil/genc/view?v=211201&amp;end_month=12&amp;end_day=31&amp;end_year=2014","Ağstafa")</f>
        <v>Ağstafa</v>
      </c>
      <c r="G221" s="28" t="str">
        <f>HYPERLINK("http://api.nsgreg.nga.mil/geo-division/GENC/6/ed3/AZ-AGA","as:GENC:6:ed3:AZ-AGA")</f>
        <v>as:GENC:6:ed3:AZ-AGA</v>
      </c>
    </row>
    <row r="222" spans="1:7" x14ac:dyDescent="0.2">
      <c r="A222" s="85"/>
      <c r="B222" s="25" t="s">
        <v>2158</v>
      </c>
      <c r="C222" s="25" t="s">
        <v>2159</v>
      </c>
      <c r="D222" s="25" t="s">
        <v>1790</v>
      </c>
      <c r="E222" s="26" t="b">
        <v>1</v>
      </c>
      <c r="F222" s="27" t="str">
        <f>HYPERLINK("http://nsgreg.nga.mil/genc/view?v=211205&amp;end_month=12&amp;end_day=31&amp;end_year=2014","Ağsu")</f>
        <v>Ağsu</v>
      </c>
      <c r="G222" s="28" t="str">
        <f>HYPERLINK("http://api.nsgreg.nga.mil/geo-division/GENC/6/ed3/AZ-AGU","as:GENC:6:ed3:AZ-AGU")</f>
        <v>as:GENC:6:ed3:AZ-AGU</v>
      </c>
    </row>
    <row r="223" spans="1:7" x14ac:dyDescent="0.2">
      <c r="A223" s="85"/>
      <c r="B223" s="25" t="s">
        <v>2148</v>
      </c>
      <c r="C223" s="25" t="s">
        <v>2149</v>
      </c>
      <c r="D223" s="25" t="s">
        <v>1790</v>
      </c>
      <c r="E223" s="26" t="b">
        <v>1</v>
      </c>
      <c r="F223" s="27" t="str">
        <f>HYPERLINK("http://nsgreg.nga.mil/genc/view?v=211206&amp;end_month=12&amp;end_day=31&amp;end_year=2014","Astara")</f>
        <v>Astara</v>
      </c>
      <c r="G223" s="28" t="str">
        <f>HYPERLINK("http://api.nsgreg.nga.mil/geo-division/GENC/6/ed3/AZ-AST","as:GENC:6:ed3:AZ-AST")</f>
        <v>as:GENC:6:ed3:AZ-AST</v>
      </c>
    </row>
    <row r="224" spans="1:7" x14ac:dyDescent="0.2">
      <c r="A224" s="85"/>
      <c r="B224" s="25" t="s">
        <v>2160</v>
      </c>
      <c r="C224" s="25" t="s">
        <v>2161</v>
      </c>
      <c r="D224" s="25" t="s">
        <v>1790</v>
      </c>
      <c r="E224" s="26" t="b">
        <v>1</v>
      </c>
      <c r="F224" s="27" t="str">
        <f>HYPERLINK("http://nsgreg.nga.mil/genc/view?v=211208&amp;end_month=12&amp;end_day=31&amp;end_year=2014","Babək")</f>
        <v>Babək</v>
      </c>
      <c r="G224" s="28" t="str">
        <f>HYPERLINK("http://api.nsgreg.nga.mil/geo-division/GENC/6/ed3/AZ-BAB","as:GENC:6:ed3:AZ-BAB")</f>
        <v>as:GENC:6:ed3:AZ-BAB</v>
      </c>
    </row>
    <row r="225" spans="1:7" x14ac:dyDescent="0.2">
      <c r="A225" s="85"/>
      <c r="B225" s="25" t="s">
        <v>2162</v>
      </c>
      <c r="C225" s="25" t="s">
        <v>2163</v>
      </c>
      <c r="D225" s="25" t="s">
        <v>2046</v>
      </c>
      <c r="E225" s="26" t="b">
        <v>1</v>
      </c>
      <c r="F225" s="27" t="str">
        <f>HYPERLINK("http://nsgreg.nga.mil/genc/view?v=211207&amp;end_month=12&amp;end_day=31&amp;end_year=2014","Bakı")</f>
        <v>Bakı</v>
      </c>
      <c r="G225" s="28" t="str">
        <f>HYPERLINK("http://api.nsgreg.nga.mil/geo-division/GENC/6/ed3/AZ-BA","as:GENC:6:ed3:AZ-BA")</f>
        <v>as:GENC:6:ed3:AZ-BA</v>
      </c>
    </row>
    <row r="226" spans="1:7" x14ac:dyDescent="0.2">
      <c r="A226" s="85"/>
      <c r="B226" s="25" t="s">
        <v>2165</v>
      </c>
      <c r="C226" s="25" t="s">
        <v>2166</v>
      </c>
      <c r="D226" s="25" t="s">
        <v>1790</v>
      </c>
      <c r="E226" s="26" t="b">
        <v>1</v>
      </c>
      <c r="F226" s="27" t="str">
        <f>HYPERLINK("http://nsgreg.nga.mil/genc/view?v=211209&amp;end_month=12&amp;end_day=31&amp;end_year=2014","Balakən")</f>
        <v>Balakən</v>
      </c>
      <c r="G226" s="28" t="str">
        <f>HYPERLINK("http://api.nsgreg.nga.mil/geo-division/GENC/6/ed3/AZ-BAL","as:GENC:6:ed3:AZ-BAL")</f>
        <v>as:GENC:6:ed3:AZ-BAL</v>
      </c>
    </row>
    <row r="227" spans="1:7" x14ac:dyDescent="0.2">
      <c r="A227" s="85"/>
      <c r="B227" s="25" t="s">
        <v>2171</v>
      </c>
      <c r="C227" s="25" t="s">
        <v>2172</v>
      </c>
      <c r="D227" s="25" t="s">
        <v>1790</v>
      </c>
      <c r="E227" s="26" t="b">
        <v>1</v>
      </c>
      <c r="F227" s="27" t="str">
        <f>HYPERLINK("http://nsgreg.nga.mil/genc/view?v=211210&amp;end_month=12&amp;end_day=31&amp;end_year=2014","Bərdə")</f>
        <v>Bərdə</v>
      </c>
      <c r="G227" s="28" t="str">
        <f>HYPERLINK("http://api.nsgreg.nga.mil/geo-division/GENC/6/ed3/AZ-BAR","as:GENC:6:ed3:AZ-BAR")</f>
        <v>as:GENC:6:ed3:AZ-BAR</v>
      </c>
    </row>
    <row r="228" spans="1:7" x14ac:dyDescent="0.2">
      <c r="A228" s="85"/>
      <c r="B228" s="25" t="s">
        <v>2167</v>
      </c>
      <c r="C228" s="25" t="s">
        <v>2168</v>
      </c>
      <c r="D228" s="25" t="s">
        <v>1790</v>
      </c>
      <c r="E228" s="26" t="b">
        <v>1</v>
      </c>
      <c r="F228" s="27" t="str">
        <f>HYPERLINK("http://nsgreg.nga.mil/genc/view?v=211211&amp;end_month=12&amp;end_day=31&amp;end_year=2014","Beyləqan")</f>
        <v>Beyləqan</v>
      </c>
      <c r="G228" s="28" t="str">
        <f>HYPERLINK("http://api.nsgreg.nga.mil/geo-division/GENC/6/ed3/AZ-BEY","as:GENC:6:ed3:AZ-BEY")</f>
        <v>as:GENC:6:ed3:AZ-BEY</v>
      </c>
    </row>
    <row r="229" spans="1:7" x14ac:dyDescent="0.2">
      <c r="A229" s="85"/>
      <c r="B229" s="25" t="s">
        <v>2169</v>
      </c>
      <c r="C229" s="25" t="s">
        <v>2170</v>
      </c>
      <c r="D229" s="25" t="s">
        <v>1790</v>
      </c>
      <c r="E229" s="26" t="b">
        <v>1</v>
      </c>
      <c r="F229" s="27" t="str">
        <f>HYPERLINK("http://nsgreg.nga.mil/genc/view?v=211212&amp;end_month=12&amp;end_day=31&amp;end_year=2014","Biləsuvar")</f>
        <v>Biləsuvar</v>
      </c>
      <c r="G229" s="28" t="str">
        <f>HYPERLINK("http://api.nsgreg.nga.mil/geo-division/GENC/6/ed3/AZ-BIL","as:GENC:6:ed3:AZ-BIL")</f>
        <v>as:GENC:6:ed3:AZ-BIL</v>
      </c>
    </row>
    <row r="230" spans="1:7" x14ac:dyDescent="0.2">
      <c r="A230" s="85"/>
      <c r="B230" s="25" t="s">
        <v>2175</v>
      </c>
      <c r="C230" s="25" t="s">
        <v>2176</v>
      </c>
      <c r="D230" s="25" t="s">
        <v>1790</v>
      </c>
      <c r="E230" s="26" t="b">
        <v>1</v>
      </c>
      <c r="F230" s="27" t="str">
        <f>HYPERLINK("http://nsgreg.nga.mil/genc/view?v=211213&amp;end_month=12&amp;end_day=31&amp;end_year=2014","Cəbrayıl")</f>
        <v>Cəbrayıl</v>
      </c>
      <c r="G230" s="28" t="str">
        <f>HYPERLINK("http://api.nsgreg.nga.mil/geo-division/GENC/6/ed3/AZ-CAB","as:GENC:6:ed3:AZ-CAB")</f>
        <v>as:GENC:6:ed3:AZ-CAB</v>
      </c>
    </row>
    <row r="231" spans="1:7" x14ac:dyDescent="0.2">
      <c r="A231" s="85"/>
      <c r="B231" s="25" t="s">
        <v>2177</v>
      </c>
      <c r="C231" s="25" t="s">
        <v>2178</v>
      </c>
      <c r="D231" s="25" t="s">
        <v>1790</v>
      </c>
      <c r="E231" s="26" t="b">
        <v>1</v>
      </c>
      <c r="F231" s="27" t="str">
        <f>HYPERLINK("http://nsgreg.nga.mil/genc/view?v=211214&amp;end_month=12&amp;end_day=31&amp;end_year=2014","Cəlilabad")</f>
        <v>Cəlilabad</v>
      </c>
      <c r="G231" s="28" t="str">
        <f>HYPERLINK("http://api.nsgreg.nga.mil/geo-division/GENC/6/ed3/AZ-CAL","as:GENC:6:ed3:AZ-CAL")</f>
        <v>as:GENC:6:ed3:AZ-CAL</v>
      </c>
    </row>
    <row r="232" spans="1:7" x14ac:dyDescent="0.2">
      <c r="A232" s="85"/>
      <c r="B232" s="25" t="s">
        <v>2173</v>
      </c>
      <c r="C232" s="25" t="s">
        <v>2174</v>
      </c>
      <c r="D232" s="25" t="s">
        <v>1790</v>
      </c>
      <c r="E232" s="26" t="b">
        <v>1</v>
      </c>
      <c r="F232" s="27" t="str">
        <f>HYPERLINK("http://nsgreg.nga.mil/genc/view?v=211215&amp;end_month=12&amp;end_day=31&amp;end_year=2014","Culfa")</f>
        <v>Culfa</v>
      </c>
      <c r="G232" s="28" t="str">
        <f>HYPERLINK("http://api.nsgreg.nga.mil/geo-division/GENC/6/ed3/AZ-CUL","as:GENC:6:ed3:AZ-CUL")</f>
        <v>as:GENC:6:ed3:AZ-CUL</v>
      </c>
    </row>
    <row r="233" spans="1:7" x14ac:dyDescent="0.2">
      <c r="A233" s="85"/>
      <c r="B233" s="25" t="s">
        <v>2179</v>
      </c>
      <c r="C233" s="25" t="s">
        <v>2180</v>
      </c>
      <c r="D233" s="25" t="s">
        <v>1790</v>
      </c>
      <c r="E233" s="26" t="b">
        <v>1</v>
      </c>
      <c r="F233" s="27" t="str">
        <f>HYPERLINK("http://nsgreg.nga.mil/genc/view?v=211216&amp;end_month=12&amp;end_day=31&amp;end_year=2014","Daşkəsən")</f>
        <v>Daşkəsən</v>
      </c>
      <c r="G233" s="28" t="str">
        <f>HYPERLINK("http://api.nsgreg.nga.mil/geo-division/GENC/6/ed3/AZ-DAS","as:GENC:6:ed3:AZ-DAS")</f>
        <v>as:GENC:6:ed3:AZ-DAS</v>
      </c>
    </row>
    <row r="234" spans="1:7" x14ac:dyDescent="0.2">
      <c r="A234" s="85"/>
      <c r="B234" s="25" t="s">
        <v>2181</v>
      </c>
      <c r="C234" s="25" t="s">
        <v>2182</v>
      </c>
      <c r="D234" s="25" t="s">
        <v>1790</v>
      </c>
      <c r="E234" s="26" t="b">
        <v>1</v>
      </c>
      <c r="F234" s="27" t="str">
        <f>HYPERLINK("http://nsgreg.nga.mil/genc/view?v=211217&amp;end_month=12&amp;end_day=31&amp;end_year=2014","Füzuli")</f>
        <v>Füzuli</v>
      </c>
      <c r="G234" s="28" t="str">
        <f>HYPERLINK("http://api.nsgreg.nga.mil/geo-division/GENC/6/ed3/AZ-FUZ","as:GENC:6:ed3:AZ-FUZ")</f>
        <v>as:GENC:6:ed3:AZ-FUZ</v>
      </c>
    </row>
    <row r="235" spans="1:7" x14ac:dyDescent="0.2">
      <c r="A235" s="85"/>
      <c r="B235" s="25" t="s">
        <v>2189</v>
      </c>
      <c r="C235" s="25" t="s">
        <v>2190</v>
      </c>
      <c r="D235" s="25" t="s">
        <v>1790</v>
      </c>
      <c r="E235" s="26" t="b">
        <v>1</v>
      </c>
      <c r="F235" s="27" t="str">
        <f>HYPERLINK("http://nsgreg.nga.mil/genc/view?v=211219&amp;end_month=12&amp;end_day=31&amp;end_year=2014","Gədəbəy")</f>
        <v>Gədəbəy</v>
      </c>
      <c r="G235" s="28" t="str">
        <f>HYPERLINK("http://api.nsgreg.nga.mil/geo-division/GENC/6/ed3/AZ-GAD","as:GENC:6:ed3:AZ-GAD")</f>
        <v>as:GENC:6:ed3:AZ-GAD</v>
      </c>
    </row>
    <row r="236" spans="1:7" x14ac:dyDescent="0.2">
      <c r="A236" s="85"/>
      <c r="B236" s="25" t="s">
        <v>2191</v>
      </c>
      <c r="C236" s="25" t="s">
        <v>12021</v>
      </c>
      <c r="D236" s="25" t="s">
        <v>2046</v>
      </c>
      <c r="E236" s="26" t="b">
        <v>1</v>
      </c>
      <c r="F236" s="27" t="str">
        <f>HYPERLINK("http://nsgreg.nga.mil/genc/view?v=211218&amp;end_month=12&amp;end_day=31&amp;end_year=2014","Gəncə")</f>
        <v>Gəncə</v>
      </c>
      <c r="G236" s="28" t="str">
        <f>HYPERLINK("http://api.nsgreg.nga.mil/geo-division/GENC/6/ed3/AZ-GA","as:GENC:6:ed3:AZ-GA")</f>
        <v>as:GENC:6:ed3:AZ-GA</v>
      </c>
    </row>
    <row r="237" spans="1:7" x14ac:dyDescent="0.2">
      <c r="A237" s="85"/>
      <c r="B237" s="25" t="s">
        <v>2183</v>
      </c>
      <c r="C237" s="25" t="s">
        <v>2184</v>
      </c>
      <c r="D237" s="25" t="s">
        <v>1790</v>
      </c>
      <c r="E237" s="26" t="b">
        <v>1</v>
      </c>
      <c r="F237" s="27" t="str">
        <f>HYPERLINK("http://nsgreg.nga.mil/genc/view?v=211220&amp;end_month=12&amp;end_day=31&amp;end_year=2014","Goranboy")</f>
        <v>Goranboy</v>
      </c>
      <c r="G237" s="28" t="str">
        <f>HYPERLINK("http://api.nsgreg.nga.mil/geo-division/GENC/6/ed3/AZ-GOR","as:GENC:6:ed3:AZ-GOR")</f>
        <v>as:GENC:6:ed3:AZ-GOR</v>
      </c>
    </row>
    <row r="238" spans="1:7" x14ac:dyDescent="0.2">
      <c r="A238" s="85"/>
      <c r="B238" s="25" t="s">
        <v>2187</v>
      </c>
      <c r="C238" s="25" t="s">
        <v>2188</v>
      </c>
      <c r="D238" s="25" t="s">
        <v>1790</v>
      </c>
      <c r="E238" s="26" t="b">
        <v>1</v>
      </c>
      <c r="F238" s="27" t="str">
        <f>HYPERLINK("http://nsgreg.nga.mil/genc/view?v=211221&amp;end_month=12&amp;end_day=31&amp;end_year=2014","Göyçay")</f>
        <v>Göyçay</v>
      </c>
      <c r="G238" s="28" t="str">
        <f>HYPERLINK("http://api.nsgreg.nga.mil/geo-division/GENC/6/ed3/AZ-GOY","as:GENC:6:ed3:AZ-GOY")</f>
        <v>as:GENC:6:ed3:AZ-GOY</v>
      </c>
    </row>
    <row r="239" spans="1:7" x14ac:dyDescent="0.2">
      <c r="A239" s="85"/>
      <c r="B239" s="25" t="s">
        <v>2185</v>
      </c>
      <c r="C239" s="25" t="s">
        <v>2186</v>
      </c>
      <c r="D239" s="25" t="s">
        <v>1790</v>
      </c>
      <c r="E239" s="26" t="b">
        <v>1</v>
      </c>
      <c r="F239" s="27" t="str">
        <f>HYPERLINK("http://nsgreg.nga.mil/genc/view?v=211222&amp;end_month=12&amp;end_day=31&amp;end_year=2014","Göygöl")</f>
        <v>Göygöl</v>
      </c>
      <c r="G239" s="28" t="str">
        <f>HYPERLINK("http://api.nsgreg.nga.mil/geo-division/GENC/6/ed3/AZ-GYG","as:GENC:6:ed3:AZ-GYG")</f>
        <v>as:GENC:6:ed3:AZ-GYG</v>
      </c>
    </row>
    <row r="240" spans="1:7" x14ac:dyDescent="0.2">
      <c r="A240" s="85"/>
      <c r="B240" s="25" t="s">
        <v>2193</v>
      </c>
      <c r="C240" s="25" t="s">
        <v>2194</v>
      </c>
      <c r="D240" s="25" t="s">
        <v>1790</v>
      </c>
      <c r="E240" s="26" t="b">
        <v>1</v>
      </c>
      <c r="F240" s="27" t="str">
        <f>HYPERLINK("http://nsgreg.nga.mil/genc/view?v=211223&amp;end_month=12&amp;end_day=31&amp;end_year=2014","Hacıqabul")</f>
        <v>Hacıqabul</v>
      </c>
      <c r="G240" s="28" t="str">
        <f>HYPERLINK("http://api.nsgreg.nga.mil/geo-division/GENC/6/ed3/AZ-HAC","as:GENC:6:ed3:AZ-HAC")</f>
        <v>as:GENC:6:ed3:AZ-HAC</v>
      </c>
    </row>
    <row r="241" spans="1:7" x14ac:dyDescent="0.2">
      <c r="A241" s="85"/>
      <c r="B241" s="25" t="s">
        <v>2280</v>
      </c>
      <c r="C241" s="25" t="s">
        <v>2281</v>
      </c>
      <c r="D241" s="25" t="s">
        <v>1790</v>
      </c>
      <c r="E241" s="26" t="b">
        <v>1</v>
      </c>
      <c r="F241" s="27" t="str">
        <f>HYPERLINK("http://nsgreg.nga.mil/genc/view?v=211224&amp;end_month=12&amp;end_day=31&amp;end_year=2014","İmişli")</f>
        <v>İmişli</v>
      </c>
      <c r="G241" s="28" t="str">
        <f>HYPERLINK("http://api.nsgreg.nga.mil/geo-division/GENC/6/ed3/AZ-IMI","as:GENC:6:ed3:AZ-IMI")</f>
        <v>as:GENC:6:ed3:AZ-IMI</v>
      </c>
    </row>
    <row r="242" spans="1:7" x14ac:dyDescent="0.2">
      <c r="A242" s="85"/>
      <c r="B242" s="25" t="s">
        <v>2282</v>
      </c>
      <c r="C242" s="25" t="s">
        <v>2283</v>
      </c>
      <c r="D242" s="25" t="s">
        <v>1790</v>
      </c>
      <c r="E242" s="26" t="b">
        <v>1</v>
      </c>
      <c r="F242" s="27" t="str">
        <f>HYPERLINK("http://nsgreg.nga.mil/genc/view?v=211225&amp;end_month=12&amp;end_day=31&amp;end_year=2014","İsmayıllı")</f>
        <v>İsmayıllı</v>
      </c>
      <c r="G242" s="28" t="str">
        <f>HYPERLINK("http://api.nsgreg.nga.mil/geo-division/GENC/6/ed3/AZ-ISM","as:GENC:6:ed3:AZ-ISM")</f>
        <v>as:GENC:6:ed3:AZ-ISM</v>
      </c>
    </row>
    <row r="243" spans="1:7" x14ac:dyDescent="0.2">
      <c r="A243" s="85"/>
      <c r="B243" s="25" t="s">
        <v>2199</v>
      </c>
      <c r="C243" s="25" t="s">
        <v>2200</v>
      </c>
      <c r="D243" s="25" t="s">
        <v>1790</v>
      </c>
      <c r="E243" s="26" t="b">
        <v>1</v>
      </c>
      <c r="F243" s="27" t="str">
        <f>HYPERLINK("http://nsgreg.nga.mil/genc/view?v=211226&amp;end_month=12&amp;end_day=31&amp;end_year=2014","Kəlbəcər")</f>
        <v>Kəlbəcər</v>
      </c>
      <c r="G243" s="28" t="str">
        <f>HYPERLINK("http://api.nsgreg.nga.mil/geo-division/GENC/6/ed3/AZ-KAL","as:GENC:6:ed3:AZ-KAL")</f>
        <v>as:GENC:6:ed3:AZ-KAL</v>
      </c>
    </row>
    <row r="244" spans="1:7" x14ac:dyDescent="0.2">
      <c r="A244" s="85"/>
      <c r="B244" s="25" t="s">
        <v>2197</v>
      </c>
      <c r="C244" s="25" t="s">
        <v>12022</v>
      </c>
      <c r="D244" s="25" t="s">
        <v>1790</v>
      </c>
      <c r="E244" s="26" t="b">
        <v>1</v>
      </c>
      <c r="F244" s="27" t="str">
        <f>HYPERLINK("http://nsgreg.nga.mil/genc/view?v=211227&amp;end_month=12&amp;end_day=31&amp;end_year=2014","Kəngərli")</f>
        <v>Kəngərli</v>
      </c>
      <c r="G244" s="28" t="str">
        <f>HYPERLINK("http://api.nsgreg.nga.mil/geo-division/GENC/6/ed3/AZ-KAN","as:GENC:6:ed3:AZ-KAN")</f>
        <v>as:GENC:6:ed3:AZ-KAN</v>
      </c>
    </row>
    <row r="245" spans="1:7" x14ac:dyDescent="0.2">
      <c r="A245" s="85"/>
      <c r="B245" s="25" t="s">
        <v>2195</v>
      </c>
      <c r="C245" s="25" t="s">
        <v>2196</v>
      </c>
      <c r="D245" s="25" t="s">
        <v>1790</v>
      </c>
      <c r="E245" s="26" t="b">
        <v>1</v>
      </c>
      <c r="F245" s="27" t="str">
        <f>HYPERLINK("http://nsgreg.nga.mil/genc/view?v=211228&amp;end_month=12&amp;end_day=31&amp;end_year=2014","Kürdəmir")</f>
        <v>Kürdəmir</v>
      </c>
      <c r="G245" s="28" t="str">
        <f>HYPERLINK("http://api.nsgreg.nga.mil/geo-division/GENC/6/ed3/AZ-KUR","as:GENC:6:ed3:AZ-KUR")</f>
        <v>as:GENC:6:ed3:AZ-KUR</v>
      </c>
    </row>
    <row r="246" spans="1:7" x14ac:dyDescent="0.2">
      <c r="A246" s="85"/>
      <c r="B246" s="25" t="s">
        <v>2201</v>
      </c>
      <c r="C246" s="25" t="s">
        <v>2202</v>
      </c>
      <c r="D246" s="25" t="s">
        <v>1790</v>
      </c>
      <c r="E246" s="26" t="b">
        <v>1</v>
      </c>
      <c r="F246" s="27" t="str">
        <f>HYPERLINK("http://nsgreg.nga.mil/genc/view?v=211230&amp;end_month=12&amp;end_day=31&amp;end_year=2014","Laçın")</f>
        <v>Laçın</v>
      </c>
      <c r="G246" s="28" t="str">
        <f>HYPERLINK("http://api.nsgreg.nga.mil/geo-division/GENC/6/ed3/AZ-LAC","as:GENC:6:ed3:AZ-LAC")</f>
        <v>as:GENC:6:ed3:AZ-LAC</v>
      </c>
    </row>
    <row r="247" spans="1:7" x14ac:dyDescent="0.2">
      <c r="A247" s="85"/>
      <c r="B247" s="25" t="s">
        <v>2207</v>
      </c>
      <c r="C247" s="25" t="s">
        <v>2206</v>
      </c>
      <c r="D247" s="25" t="s">
        <v>2046</v>
      </c>
      <c r="E247" s="26" t="b">
        <v>1</v>
      </c>
      <c r="F247" s="27" t="str">
        <f>HYPERLINK("http://nsgreg.nga.mil/genc/view?v=211229&amp;end_month=12&amp;end_day=31&amp;end_year=2014","Lənkəran")</f>
        <v>Lənkəran</v>
      </c>
      <c r="G247" s="28" t="str">
        <f>HYPERLINK("http://api.nsgreg.nga.mil/geo-division/GENC/6/ed3/AZ-LA","as:GENC:6:ed3:AZ-LA")</f>
        <v>as:GENC:6:ed3:AZ-LA</v>
      </c>
    </row>
    <row r="248" spans="1:7" x14ac:dyDescent="0.2">
      <c r="A248" s="85"/>
      <c r="B248" s="25" t="s">
        <v>2205</v>
      </c>
      <c r="C248" s="25" t="s">
        <v>2206</v>
      </c>
      <c r="D248" s="25" t="s">
        <v>1790</v>
      </c>
      <c r="E248" s="26" t="b">
        <v>1</v>
      </c>
      <c r="F248" s="27" t="str">
        <f>HYPERLINK("http://nsgreg.nga.mil/genc/view?v=211231&amp;end_month=12&amp;end_day=31&amp;end_year=2014","Lənkəran")</f>
        <v>Lənkəran</v>
      </c>
      <c r="G248" s="28" t="str">
        <f>HYPERLINK("http://api.nsgreg.nga.mil/geo-division/GENC/6/ed3/AZ-LAN","as:GENC:6:ed3:AZ-LAN")</f>
        <v>as:GENC:6:ed3:AZ-LAN</v>
      </c>
    </row>
    <row r="249" spans="1:7" x14ac:dyDescent="0.2">
      <c r="A249" s="85"/>
      <c r="B249" s="25" t="s">
        <v>2203</v>
      </c>
      <c r="C249" s="25" t="s">
        <v>2204</v>
      </c>
      <c r="D249" s="25" t="s">
        <v>1790</v>
      </c>
      <c r="E249" s="26" t="b">
        <v>1</v>
      </c>
      <c r="F249" s="27" t="str">
        <f>HYPERLINK("http://nsgreg.nga.mil/genc/view?v=211232&amp;end_month=12&amp;end_day=31&amp;end_year=2014","Lerik")</f>
        <v>Lerik</v>
      </c>
      <c r="G249" s="28" t="str">
        <f>HYPERLINK("http://api.nsgreg.nga.mil/geo-division/GENC/6/ed3/AZ-LER","as:GENC:6:ed3:AZ-LER")</f>
        <v>as:GENC:6:ed3:AZ-LER</v>
      </c>
    </row>
    <row r="250" spans="1:7" x14ac:dyDescent="0.2">
      <c r="A250" s="85"/>
      <c r="B250" s="25" t="s">
        <v>2209</v>
      </c>
      <c r="C250" s="25" t="s">
        <v>2210</v>
      </c>
      <c r="D250" s="25" t="s">
        <v>1790</v>
      </c>
      <c r="E250" s="26" t="b">
        <v>1</v>
      </c>
      <c r="F250" s="27" t="str">
        <f>HYPERLINK("http://nsgreg.nga.mil/genc/view?v=211233&amp;end_month=12&amp;end_day=31&amp;end_year=2014","Masallı")</f>
        <v>Masallı</v>
      </c>
      <c r="G250" s="28" t="str">
        <f>HYPERLINK("http://api.nsgreg.nga.mil/geo-division/GENC/6/ed3/AZ-MAS","as:GENC:6:ed3:AZ-MAS")</f>
        <v>as:GENC:6:ed3:AZ-MAS</v>
      </c>
    </row>
    <row r="251" spans="1:7" x14ac:dyDescent="0.2">
      <c r="A251" s="85"/>
      <c r="B251" s="25" t="s">
        <v>2211</v>
      </c>
      <c r="C251" s="25" t="s">
        <v>12023</v>
      </c>
      <c r="D251" s="25" t="s">
        <v>2046</v>
      </c>
      <c r="E251" s="26" t="b">
        <v>1</v>
      </c>
      <c r="F251" s="27" t="str">
        <f>HYPERLINK("http://nsgreg.nga.mil/genc/view?v=211234&amp;end_month=12&amp;end_day=31&amp;end_year=2014","Mingəçevir")</f>
        <v>Mingəçevir</v>
      </c>
      <c r="G251" s="28" t="str">
        <f>HYPERLINK("http://api.nsgreg.nga.mil/geo-division/GENC/6/ed3/AZ-MI","as:GENC:6:ed3:AZ-MI")</f>
        <v>as:GENC:6:ed3:AZ-MI</v>
      </c>
    </row>
    <row r="252" spans="1:7" x14ac:dyDescent="0.2">
      <c r="A252" s="85"/>
      <c r="B252" s="25" t="s">
        <v>2213</v>
      </c>
      <c r="C252" s="25" t="s">
        <v>2214</v>
      </c>
      <c r="D252" s="25" t="s">
        <v>2046</v>
      </c>
      <c r="E252" s="26" t="b">
        <v>1</v>
      </c>
      <c r="F252" s="27" t="str">
        <f>HYPERLINK("http://nsgreg.nga.mil/genc/view?v=211235&amp;end_month=12&amp;end_day=31&amp;end_year=2014","Naftalan")</f>
        <v>Naftalan</v>
      </c>
      <c r="G252" s="28" t="str">
        <f>HYPERLINK("http://api.nsgreg.nga.mil/geo-division/GENC/6/ed3/AZ-NA","as:GENC:6:ed3:AZ-NA")</f>
        <v>as:GENC:6:ed3:AZ-NA</v>
      </c>
    </row>
    <row r="253" spans="1:7" x14ac:dyDescent="0.2">
      <c r="A253" s="85"/>
      <c r="B253" s="25" t="s">
        <v>2217</v>
      </c>
      <c r="C253" s="25" t="s">
        <v>2216</v>
      </c>
      <c r="D253" s="37" t="s">
        <v>2218</v>
      </c>
      <c r="E253" s="38" t="b">
        <v>0</v>
      </c>
      <c r="F253" s="27" t="str">
        <f>HYPERLINK("http://nsgreg.nga.mil/genc/view?v=211238&amp;end_month=12&amp;end_day=31&amp;end_year=2014","Naxçıvan")</f>
        <v>Naxçıvan</v>
      </c>
      <c r="G253" s="28" t="str">
        <f>HYPERLINK("http://api.nsgreg.nga.mil/geo-division/GENC/6/ed3/AZ-NX","as:GENC:6:ed3:AZ-NX")</f>
        <v>as:GENC:6:ed3:AZ-NX</v>
      </c>
    </row>
    <row r="254" spans="1:7" x14ac:dyDescent="0.2">
      <c r="A254" s="85"/>
      <c r="B254" s="25" t="s">
        <v>2215</v>
      </c>
      <c r="C254" s="25" t="s">
        <v>2216</v>
      </c>
      <c r="D254" s="25" t="s">
        <v>2046</v>
      </c>
      <c r="E254" s="26" t="b">
        <v>1</v>
      </c>
      <c r="F254" s="27" t="str">
        <f>HYPERLINK("http://nsgreg.nga.mil/genc/view?v=211237&amp;end_month=12&amp;end_day=31&amp;end_year=2014","Naxçıvan")</f>
        <v>Naxçıvan</v>
      </c>
      <c r="G254" s="28" t="str">
        <f>HYPERLINK("http://api.nsgreg.nga.mil/geo-division/GENC/6/ed3/AZ-NV","as:GENC:6:ed3:AZ-NV")</f>
        <v>as:GENC:6:ed3:AZ-NV</v>
      </c>
    </row>
    <row r="255" spans="1:7" x14ac:dyDescent="0.2">
      <c r="A255" s="85"/>
      <c r="B255" s="25" t="s">
        <v>2219</v>
      </c>
      <c r="C255" s="25" t="s">
        <v>2220</v>
      </c>
      <c r="D255" s="25" t="s">
        <v>1790</v>
      </c>
      <c r="E255" s="26" t="b">
        <v>1</v>
      </c>
      <c r="F255" s="27" t="str">
        <f>HYPERLINK("http://nsgreg.nga.mil/genc/view?v=211236&amp;end_month=12&amp;end_day=31&amp;end_year=2014","Neftçala")</f>
        <v>Neftçala</v>
      </c>
      <c r="G255" s="28" t="str">
        <f>HYPERLINK("http://api.nsgreg.nga.mil/geo-division/GENC/6/ed3/AZ-NEF","as:GENC:6:ed3:AZ-NEF")</f>
        <v>as:GENC:6:ed3:AZ-NEF</v>
      </c>
    </row>
    <row r="256" spans="1:7" x14ac:dyDescent="0.2">
      <c r="A256" s="85"/>
      <c r="B256" s="25" t="s">
        <v>2223</v>
      </c>
      <c r="C256" s="25" t="s">
        <v>2224</v>
      </c>
      <c r="D256" s="25" t="s">
        <v>1790</v>
      </c>
      <c r="E256" s="26" t="b">
        <v>1</v>
      </c>
      <c r="F256" s="27" t="str">
        <f>HYPERLINK("http://nsgreg.nga.mil/genc/view?v=211239&amp;end_month=12&amp;end_day=31&amp;end_year=2014","Oğuz")</f>
        <v>Oğuz</v>
      </c>
      <c r="G256" s="28" t="str">
        <f>HYPERLINK("http://api.nsgreg.nga.mil/geo-division/GENC/6/ed3/AZ-OGU","as:GENC:6:ed3:AZ-OGU")</f>
        <v>as:GENC:6:ed3:AZ-OGU</v>
      </c>
    </row>
    <row r="257" spans="1:7" x14ac:dyDescent="0.2">
      <c r="A257" s="85"/>
      <c r="B257" s="25" t="s">
        <v>2221</v>
      </c>
      <c r="C257" s="25" t="s">
        <v>2222</v>
      </c>
      <c r="D257" s="25" t="s">
        <v>1790</v>
      </c>
      <c r="E257" s="26" t="b">
        <v>1</v>
      </c>
      <c r="F257" s="27" t="str">
        <f>HYPERLINK("http://nsgreg.nga.mil/genc/view?v=211240&amp;end_month=12&amp;end_day=31&amp;end_year=2014","Ordubad")</f>
        <v>Ordubad</v>
      </c>
      <c r="G257" s="28" t="str">
        <f>HYPERLINK("http://api.nsgreg.nga.mil/geo-division/GENC/6/ed3/AZ-ORD","as:GENC:6:ed3:AZ-ORD")</f>
        <v>as:GENC:6:ed3:AZ-ORD</v>
      </c>
    </row>
    <row r="258" spans="1:7" x14ac:dyDescent="0.2">
      <c r="A258" s="85"/>
      <c r="B258" s="25" t="s">
        <v>2237</v>
      </c>
      <c r="C258" s="25" t="s">
        <v>12024</v>
      </c>
      <c r="D258" s="25" t="s">
        <v>1790</v>
      </c>
      <c r="E258" s="26" t="b">
        <v>1</v>
      </c>
      <c r="F258" s="27" t="str">
        <f>HYPERLINK("http://nsgreg.nga.mil/genc/view?v=211241&amp;end_month=12&amp;end_day=31&amp;end_year=2014","Qəbələ")</f>
        <v>Qəbələ</v>
      </c>
      <c r="G258" s="28" t="str">
        <f>HYPERLINK("http://api.nsgreg.nga.mil/geo-division/GENC/6/ed3/AZ-QAB","as:GENC:6:ed3:AZ-QAB")</f>
        <v>as:GENC:6:ed3:AZ-QAB</v>
      </c>
    </row>
    <row r="259" spans="1:7" x14ac:dyDescent="0.2">
      <c r="A259" s="85"/>
      <c r="B259" s="25" t="s">
        <v>2225</v>
      </c>
      <c r="C259" s="25" t="s">
        <v>2226</v>
      </c>
      <c r="D259" s="25" t="s">
        <v>1790</v>
      </c>
      <c r="E259" s="26" t="b">
        <v>1</v>
      </c>
      <c r="F259" s="27" t="str">
        <f>HYPERLINK("http://nsgreg.nga.mil/genc/view?v=211242&amp;end_month=12&amp;end_day=31&amp;end_year=2014","Qax")</f>
        <v>Qax</v>
      </c>
      <c r="G259" s="28" t="str">
        <f>HYPERLINK("http://api.nsgreg.nga.mil/geo-division/GENC/6/ed3/AZ-QAX","as:GENC:6:ed3:AZ-QAX")</f>
        <v>as:GENC:6:ed3:AZ-QAX</v>
      </c>
    </row>
    <row r="260" spans="1:7" x14ac:dyDescent="0.2">
      <c r="A260" s="85"/>
      <c r="B260" s="25" t="s">
        <v>2227</v>
      </c>
      <c r="C260" s="25" t="s">
        <v>2228</v>
      </c>
      <c r="D260" s="25" t="s">
        <v>1790</v>
      </c>
      <c r="E260" s="26" t="b">
        <v>1</v>
      </c>
      <c r="F260" s="27" t="str">
        <f>HYPERLINK("http://nsgreg.nga.mil/genc/view?v=211243&amp;end_month=12&amp;end_day=31&amp;end_year=2014","Qazax")</f>
        <v>Qazax</v>
      </c>
      <c r="G260" s="28" t="str">
        <f>HYPERLINK("http://api.nsgreg.nga.mil/geo-division/GENC/6/ed3/AZ-QAZ","as:GENC:6:ed3:AZ-QAZ")</f>
        <v>as:GENC:6:ed3:AZ-QAZ</v>
      </c>
    </row>
    <row r="261" spans="1:7" x14ac:dyDescent="0.2">
      <c r="A261" s="85"/>
      <c r="B261" s="25" t="s">
        <v>2229</v>
      </c>
      <c r="C261" s="25" t="s">
        <v>2230</v>
      </c>
      <c r="D261" s="25" t="s">
        <v>1790</v>
      </c>
      <c r="E261" s="26" t="b">
        <v>1</v>
      </c>
      <c r="F261" s="27" t="str">
        <f>HYPERLINK("http://nsgreg.nga.mil/genc/view?v=211246&amp;end_month=12&amp;end_day=31&amp;end_year=2014","Qobustan")</f>
        <v>Qobustan</v>
      </c>
      <c r="G261" s="28" t="str">
        <f>HYPERLINK("http://api.nsgreg.nga.mil/geo-division/GENC/6/ed3/AZ-QOB","as:GENC:6:ed3:AZ-QOB")</f>
        <v>as:GENC:6:ed3:AZ-QOB</v>
      </c>
    </row>
    <row r="262" spans="1:7" x14ac:dyDescent="0.2">
      <c r="A262" s="85"/>
      <c r="B262" s="25" t="s">
        <v>2231</v>
      </c>
      <c r="C262" s="25" t="s">
        <v>2232</v>
      </c>
      <c r="D262" s="25" t="s">
        <v>1790</v>
      </c>
      <c r="E262" s="26" t="b">
        <v>1</v>
      </c>
      <c r="F262" s="27" t="str">
        <f>HYPERLINK("http://nsgreg.nga.mil/genc/view?v=211244&amp;end_month=12&amp;end_day=31&amp;end_year=2014","Quba")</f>
        <v>Quba</v>
      </c>
      <c r="G262" s="28" t="str">
        <f>HYPERLINK("http://api.nsgreg.nga.mil/geo-division/GENC/6/ed3/AZ-QBA","as:GENC:6:ed3:AZ-QBA")</f>
        <v>as:GENC:6:ed3:AZ-QBA</v>
      </c>
    </row>
    <row r="263" spans="1:7" x14ac:dyDescent="0.2">
      <c r="A263" s="85"/>
      <c r="B263" s="25" t="s">
        <v>2233</v>
      </c>
      <c r="C263" s="25" t="s">
        <v>2234</v>
      </c>
      <c r="D263" s="25" t="s">
        <v>1790</v>
      </c>
      <c r="E263" s="26" t="b">
        <v>1</v>
      </c>
      <c r="F263" s="27" t="str">
        <f>HYPERLINK("http://nsgreg.nga.mil/genc/view?v=211245&amp;end_month=12&amp;end_day=31&amp;end_year=2014","Qubadlı")</f>
        <v>Qubadlı</v>
      </c>
      <c r="G263" s="28" t="str">
        <f>HYPERLINK("http://api.nsgreg.nga.mil/geo-division/GENC/6/ed3/AZ-QBI","as:GENC:6:ed3:AZ-QBI")</f>
        <v>as:GENC:6:ed3:AZ-QBI</v>
      </c>
    </row>
    <row r="264" spans="1:7" x14ac:dyDescent="0.2">
      <c r="A264" s="85"/>
      <c r="B264" s="25" t="s">
        <v>2235</v>
      </c>
      <c r="C264" s="25" t="s">
        <v>2236</v>
      </c>
      <c r="D264" s="25" t="s">
        <v>1790</v>
      </c>
      <c r="E264" s="26" t="b">
        <v>1</v>
      </c>
      <c r="F264" s="27" t="str">
        <f>HYPERLINK("http://nsgreg.nga.mil/genc/view?v=211247&amp;end_month=12&amp;end_day=31&amp;end_year=2014","Qusar")</f>
        <v>Qusar</v>
      </c>
      <c r="G264" s="28" t="str">
        <f>HYPERLINK("http://api.nsgreg.nga.mil/geo-division/GENC/6/ed3/AZ-QUS","as:GENC:6:ed3:AZ-QUS")</f>
        <v>as:GENC:6:ed3:AZ-QUS</v>
      </c>
    </row>
    <row r="265" spans="1:7" x14ac:dyDescent="0.2">
      <c r="A265" s="85"/>
      <c r="B265" s="25" t="s">
        <v>2239</v>
      </c>
      <c r="C265" s="25" t="s">
        <v>2240</v>
      </c>
      <c r="D265" s="25" t="s">
        <v>1790</v>
      </c>
      <c r="E265" s="26" t="b">
        <v>1</v>
      </c>
      <c r="F265" s="27" t="str">
        <f>HYPERLINK("http://nsgreg.nga.mil/genc/view?v=211255&amp;end_month=12&amp;end_day=31&amp;end_year=2014","Saatlı")</f>
        <v>Saatlı</v>
      </c>
      <c r="G265" s="28" t="str">
        <f>HYPERLINK("http://api.nsgreg.nga.mil/geo-division/GENC/6/ed3/AZ-SAT","as:GENC:6:ed3:AZ-SAT")</f>
        <v>as:GENC:6:ed3:AZ-SAT</v>
      </c>
    </row>
    <row r="266" spans="1:7" x14ac:dyDescent="0.2">
      <c r="A266" s="85"/>
      <c r="B266" s="25" t="s">
        <v>2241</v>
      </c>
      <c r="C266" s="25" t="s">
        <v>2242</v>
      </c>
      <c r="D266" s="25" t="s">
        <v>1790</v>
      </c>
      <c r="E266" s="26" t="b">
        <v>1</v>
      </c>
      <c r="F266" s="27" t="str">
        <f>HYPERLINK("http://nsgreg.nga.mil/genc/view?v=211249&amp;end_month=12&amp;end_day=31&amp;end_year=2014","Sabirabad")</f>
        <v>Sabirabad</v>
      </c>
      <c r="G266" s="28" t="str">
        <f>HYPERLINK("http://api.nsgreg.nga.mil/geo-division/GENC/6/ed3/AZ-SAB","as:GENC:6:ed3:AZ-SAB")</f>
        <v>as:GENC:6:ed3:AZ-SAB</v>
      </c>
    </row>
    <row r="267" spans="1:7" x14ac:dyDescent="0.2">
      <c r="A267" s="85"/>
      <c r="B267" s="25" t="s">
        <v>2284</v>
      </c>
      <c r="C267" s="25" t="s">
        <v>2285</v>
      </c>
      <c r="D267" s="25" t="s">
        <v>1790</v>
      </c>
      <c r="E267" s="26" t="b">
        <v>1</v>
      </c>
      <c r="F267" s="27" t="str">
        <f>HYPERLINK("http://nsgreg.nga.mil/genc/view?v=211256&amp;end_month=12&amp;end_day=31&amp;end_year=2014","Şabran")</f>
        <v>Şabran</v>
      </c>
      <c r="G267" s="28" t="str">
        <f>HYPERLINK("http://api.nsgreg.nga.mil/geo-division/GENC/6/ed3/AZ-SBN","as:GENC:6:ed3:AZ-SBN")</f>
        <v>as:GENC:6:ed3:AZ-SBN</v>
      </c>
    </row>
    <row r="268" spans="1:7" x14ac:dyDescent="0.2">
      <c r="A268" s="85"/>
      <c r="B268" s="25" t="s">
        <v>2251</v>
      </c>
      <c r="C268" s="25" t="s">
        <v>12025</v>
      </c>
      <c r="D268" s="25" t="s">
        <v>1790</v>
      </c>
      <c r="E268" s="26" t="b">
        <v>1</v>
      </c>
      <c r="F268" s="27" t="str">
        <f>HYPERLINK("http://nsgreg.nga.mil/genc/view?v=211250&amp;end_month=12&amp;end_day=31&amp;end_year=2014","Sədərək")</f>
        <v>Sədərək</v>
      </c>
      <c r="G268" s="28" t="str">
        <f>HYPERLINK("http://api.nsgreg.nga.mil/geo-division/GENC/6/ed3/AZ-SAD","as:GENC:6:ed3:AZ-SAD")</f>
        <v>as:GENC:6:ed3:AZ-SAD</v>
      </c>
    </row>
    <row r="269" spans="1:7" x14ac:dyDescent="0.2">
      <c r="A269" s="85"/>
      <c r="B269" s="25" t="s">
        <v>2286</v>
      </c>
      <c r="C269" s="25" t="s">
        <v>2287</v>
      </c>
      <c r="D269" s="25" t="s">
        <v>1790</v>
      </c>
      <c r="E269" s="26" t="b">
        <v>1</v>
      </c>
      <c r="F269" s="27" t="str">
        <f>HYPERLINK("http://nsgreg.nga.mil/genc/view?v=211251&amp;end_month=12&amp;end_day=31&amp;end_year=2014","Şahbuz")</f>
        <v>Şahbuz</v>
      </c>
      <c r="G269" s="28" t="str">
        <f>HYPERLINK("http://api.nsgreg.nga.mil/geo-division/GENC/6/ed3/AZ-SAH","as:GENC:6:ed3:AZ-SAH")</f>
        <v>as:GENC:6:ed3:AZ-SAH</v>
      </c>
    </row>
    <row r="270" spans="1:7" x14ac:dyDescent="0.2">
      <c r="A270" s="85"/>
      <c r="B270" s="25" t="s">
        <v>2294</v>
      </c>
      <c r="C270" s="25" t="s">
        <v>12026</v>
      </c>
      <c r="D270" s="25" t="s">
        <v>2046</v>
      </c>
      <c r="E270" s="26" t="b">
        <v>1</v>
      </c>
      <c r="F270" s="27" t="str">
        <f>HYPERLINK("http://nsgreg.nga.mil/genc/view?v=211248&amp;end_month=12&amp;end_day=31&amp;end_year=2014","Şəki")</f>
        <v>Şəki</v>
      </c>
      <c r="G270" s="28" t="str">
        <f>HYPERLINK("http://api.nsgreg.nga.mil/geo-division/GENC/6/ed3/AZ-SA","as:GENC:6:ed3:AZ-SA")</f>
        <v>as:GENC:6:ed3:AZ-SA</v>
      </c>
    </row>
    <row r="271" spans="1:7" x14ac:dyDescent="0.2">
      <c r="A271" s="85"/>
      <c r="B271" s="25" t="s">
        <v>2296</v>
      </c>
      <c r="C271" s="25" t="s">
        <v>12026</v>
      </c>
      <c r="D271" s="25" t="s">
        <v>1790</v>
      </c>
      <c r="E271" s="26" t="b">
        <v>1</v>
      </c>
      <c r="F271" s="27" t="str">
        <f>HYPERLINK("http://nsgreg.nga.mil/genc/view?v=211252&amp;end_month=12&amp;end_day=31&amp;end_year=2014","Şəki")</f>
        <v>Şəki</v>
      </c>
      <c r="G271" s="28" t="str">
        <f>HYPERLINK("http://api.nsgreg.nga.mil/geo-division/GENC/6/ed3/AZ-SAK","as:GENC:6:ed3:AZ-SAK")</f>
        <v>as:GENC:6:ed3:AZ-SAK</v>
      </c>
    </row>
    <row r="272" spans="1:7" x14ac:dyDescent="0.2">
      <c r="A272" s="85"/>
      <c r="B272" s="25" t="s">
        <v>2243</v>
      </c>
      <c r="C272" s="25" t="s">
        <v>2244</v>
      </c>
      <c r="D272" s="25" t="s">
        <v>1790</v>
      </c>
      <c r="E272" s="26" t="b">
        <v>1</v>
      </c>
      <c r="F272" s="27" t="str">
        <f>HYPERLINK("http://nsgreg.nga.mil/genc/view?v=211253&amp;end_month=12&amp;end_day=31&amp;end_year=2014","Salyan")</f>
        <v>Salyan</v>
      </c>
      <c r="G272" s="28" t="str">
        <f>HYPERLINK("http://api.nsgreg.nga.mil/geo-division/GENC/6/ed3/AZ-SAL","as:GENC:6:ed3:AZ-SAL")</f>
        <v>as:GENC:6:ed3:AZ-SAL</v>
      </c>
    </row>
    <row r="273" spans="1:7" x14ac:dyDescent="0.2">
      <c r="A273" s="85"/>
      <c r="B273" s="25" t="s">
        <v>2288</v>
      </c>
      <c r="C273" s="25" t="s">
        <v>2289</v>
      </c>
      <c r="D273" s="25" t="s">
        <v>1790</v>
      </c>
      <c r="E273" s="26" t="b">
        <v>1</v>
      </c>
      <c r="F273" s="27" t="str">
        <f>HYPERLINK("http://nsgreg.nga.mil/genc/view?v=211260&amp;end_month=12&amp;end_day=31&amp;end_year=2014","Şamaxı")</f>
        <v>Şamaxı</v>
      </c>
      <c r="G273" s="28" t="str">
        <f>HYPERLINK("http://api.nsgreg.nga.mil/geo-division/GENC/6/ed3/AZ-SMI","as:GENC:6:ed3:AZ-SMI")</f>
        <v>as:GENC:6:ed3:AZ-SMI</v>
      </c>
    </row>
    <row r="274" spans="1:7" x14ac:dyDescent="0.2">
      <c r="A274" s="85"/>
      <c r="B274" s="25" t="s">
        <v>2297</v>
      </c>
      <c r="C274" s="25" t="s">
        <v>12027</v>
      </c>
      <c r="D274" s="25" t="s">
        <v>1790</v>
      </c>
      <c r="E274" s="26" t="b">
        <v>1</v>
      </c>
      <c r="F274" s="27" t="str">
        <f>HYPERLINK("http://nsgreg.nga.mil/genc/view?v=211258&amp;end_month=12&amp;end_day=31&amp;end_year=2014","Şəmkir")</f>
        <v>Şəmkir</v>
      </c>
      <c r="G274" s="28" t="str">
        <f>HYPERLINK("http://api.nsgreg.nga.mil/geo-division/GENC/6/ed3/AZ-SKR","as:GENC:6:ed3:AZ-SKR")</f>
        <v>as:GENC:6:ed3:AZ-SKR</v>
      </c>
    </row>
    <row r="275" spans="1:7" x14ac:dyDescent="0.2">
      <c r="A275" s="85"/>
      <c r="B275" s="25" t="s">
        <v>2245</v>
      </c>
      <c r="C275" s="25" t="s">
        <v>2246</v>
      </c>
      <c r="D275" s="25" t="s">
        <v>1790</v>
      </c>
      <c r="E275" s="26" t="b">
        <v>1</v>
      </c>
      <c r="F275" s="27" t="str">
        <f>HYPERLINK("http://nsgreg.nga.mil/genc/view?v=211261&amp;end_month=12&amp;end_day=31&amp;end_year=2014","Samux")</f>
        <v>Samux</v>
      </c>
      <c r="G275" s="28" t="str">
        <f>HYPERLINK("http://api.nsgreg.nga.mil/geo-division/GENC/6/ed3/AZ-SMX","as:GENC:6:ed3:AZ-SMX")</f>
        <v>as:GENC:6:ed3:AZ-SMX</v>
      </c>
    </row>
    <row r="276" spans="1:7" x14ac:dyDescent="0.2">
      <c r="A276" s="85"/>
      <c r="B276" s="25" t="s">
        <v>2299</v>
      </c>
      <c r="C276" s="25" t="s">
        <v>12028</v>
      </c>
      <c r="D276" s="25" t="s">
        <v>1790</v>
      </c>
      <c r="E276" s="26" t="b">
        <v>1</v>
      </c>
      <c r="F276" s="27" t="str">
        <f>HYPERLINK("http://nsgreg.nga.mil/genc/view?v=211254&amp;end_month=12&amp;end_day=31&amp;end_year=2014","Şərur")</f>
        <v>Şərur</v>
      </c>
      <c r="G276" s="28" t="str">
        <f>HYPERLINK("http://api.nsgreg.nga.mil/geo-division/GENC/6/ed3/AZ-SAR","as:GENC:6:ed3:AZ-SAR")</f>
        <v>as:GENC:6:ed3:AZ-SAR</v>
      </c>
    </row>
    <row r="277" spans="1:7" x14ac:dyDescent="0.2">
      <c r="A277" s="85"/>
      <c r="B277" s="25" t="s">
        <v>2290</v>
      </c>
      <c r="C277" s="25" t="s">
        <v>2291</v>
      </c>
      <c r="D277" s="25" t="s">
        <v>2046</v>
      </c>
      <c r="E277" s="26" t="b">
        <v>1</v>
      </c>
      <c r="F277" s="27" t="str">
        <f>HYPERLINK("http://nsgreg.nga.mil/genc/view?v=211262&amp;end_month=12&amp;end_day=31&amp;end_year=2014","Şirvan")</f>
        <v>Şirvan</v>
      </c>
      <c r="G277" s="28" t="str">
        <f>HYPERLINK("http://api.nsgreg.nga.mil/geo-division/GENC/6/ed3/AZ-SR","as:GENC:6:ed3:AZ-SR")</f>
        <v>as:GENC:6:ed3:AZ-SR</v>
      </c>
    </row>
    <row r="278" spans="1:7" x14ac:dyDescent="0.2">
      <c r="A278" s="85"/>
      <c r="B278" s="25" t="s">
        <v>2247</v>
      </c>
      <c r="C278" s="25" t="s">
        <v>12029</v>
      </c>
      <c r="D278" s="25" t="s">
        <v>1790</v>
      </c>
      <c r="E278" s="26" t="b">
        <v>1</v>
      </c>
      <c r="F278" s="27" t="str">
        <f>HYPERLINK("http://nsgreg.nga.mil/genc/view?v=211257&amp;end_month=12&amp;end_day=31&amp;end_year=2014","Siyəzən")</f>
        <v>Siyəzən</v>
      </c>
      <c r="G278" s="28" t="str">
        <f>HYPERLINK("http://api.nsgreg.nga.mil/geo-division/GENC/6/ed3/AZ-SIY","as:GENC:6:ed3:AZ-SIY")</f>
        <v>as:GENC:6:ed3:AZ-SIY</v>
      </c>
    </row>
    <row r="279" spans="1:7" x14ac:dyDescent="0.2">
      <c r="A279" s="85"/>
      <c r="B279" s="25" t="s">
        <v>2249</v>
      </c>
      <c r="C279" s="25" t="s">
        <v>2250</v>
      </c>
      <c r="D279" s="25" t="s">
        <v>2046</v>
      </c>
      <c r="E279" s="26" t="b">
        <v>1</v>
      </c>
      <c r="F279" s="27" t="str">
        <f>HYPERLINK("http://nsgreg.nga.mil/genc/view?v=211259&amp;end_month=12&amp;end_day=31&amp;end_year=2014","Sumqayıt")</f>
        <v>Sumqayıt</v>
      </c>
      <c r="G279" s="28" t="str">
        <f>HYPERLINK("http://api.nsgreg.nga.mil/geo-division/GENC/6/ed3/AZ-SM","as:GENC:6:ed3:AZ-SM")</f>
        <v>as:GENC:6:ed3:AZ-SM</v>
      </c>
    </row>
    <row r="280" spans="1:7" x14ac:dyDescent="0.2">
      <c r="A280" s="85"/>
      <c r="B280" s="25" t="s">
        <v>2292</v>
      </c>
      <c r="C280" s="25" t="s">
        <v>2293</v>
      </c>
      <c r="D280" s="25" t="s">
        <v>1790</v>
      </c>
      <c r="E280" s="26" t="b">
        <v>1</v>
      </c>
      <c r="F280" s="27" t="str">
        <f>HYPERLINK("http://nsgreg.nga.mil/genc/view?v=211263&amp;end_month=12&amp;end_day=31&amp;end_year=2014","Şuşa")</f>
        <v>Şuşa</v>
      </c>
      <c r="G280" s="28" t="str">
        <f>HYPERLINK("http://api.nsgreg.nga.mil/geo-division/GENC/6/ed3/AZ-SUS","as:GENC:6:ed3:AZ-SUS")</f>
        <v>as:GENC:6:ed3:AZ-SUS</v>
      </c>
    </row>
    <row r="281" spans="1:7" x14ac:dyDescent="0.2">
      <c r="A281" s="85"/>
      <c r="B281" s="25" t="s">
        <v>2255</v>
      </c>
      <c r="C281" s="25" t="s">
        <v>12030</v>
      </c>
      <c r="D281" s="25" t="s">
        <v>1790</v>
      </c>
      <c r="E281" s="26" t="b">
        <v>1</v>
      </c>
      <c r="F281" s="27" t="str">
        <f>HYPERLINK("http://nsgreg.nga.mil/genc/view?v=211264&amp;end_month=12&amp;end_day=31&amp;end_year=2014","Tərtər")</f>
        <v>Tərtər</v>
      </c>
      <c r="G281" s="28" t="str">
        <f>HYPERLINK("http://api.nsgreg.nga.mil/geo-division/GENC/6/ed3/AZ-TAR","as:GENC:6:ed3:AZ-TAR")</f>
        <v>as:GENC:6:ed3:AZ-TAR</v>
      </c>
    </row>
    <row r="282" spans="1:7" x14ac:dyDescent="0.2">
      <c r="A282" s="85"/>
      <c r="B282" s="25" t="s">
        <v>2253</v>
      </c>
      <c r="C282" s="25" t="s">
        <v>2254</v>
      </c>
      <c r="D282" s="25" t="s">
        <v>1790</v>
      </c>
      <c r="E282" s="26" t="b">
        <v>1</v>
      </c>
      <c r="F282" s="27" t="str">
        <f>HYPERLINK("http://nsgreg.nga.mil/genc/view?v=211265&amp;end_month=12&amp;end_day=31&amp;end_year=2014","Tovuz")</f>
        <v>Tovuz</v>
      </c>
      <c r="G282" s="28" t="str">
        <f>HYPERLINK("http://api.nsgreg.nga.mil/geo-division/GENC/6/ed3/AZ-TOV","as:GENC:6:ed3:AZ-TOV")</f>
        <v>as:GENC:6:ed3:AZ-TOV</v>
      </c>
    </row>
    <row r="283" spans="1:7" x14ac:dyDescent="0.2">
      <c r="A283" s="85"/>
      <c r="B283" s="25" t="s">
        <v>2257</v>
      </c>
      <c r="C283" s="25" t="s">
        <v>2258</v>
      </c>
      <c r="D283" s="25" t="s">
        <v>1790</v>
      </c>
      <c r="E283" s="26" t="b">
        <v>1</v>
      </c>
      <c r="F283" s="27" t="str">
        <f>HYPERLINK("http://nsgreg.nga.mil/genc/view?v=211266&amp;end_month=12&amp;end_day=31&amp;end_year=2014","Ucar")</f>
        <v>Ucar</v>
      </c>
      <c r="G283" s="28" t="str">
        <f>HYPERLINK("http://api.nsgreg.nga.mil/geo-division/GENC/6/ed3/AZ-UCA","as:GENC:6:ed3:AZ-UCA")</f>
        <v>as:GENC:6:ed3:AZ-UCA</v>
      </c>
    </row>
    <row r="284" spans="1:7" x14ac:dyDescent="0.2">
      <c r="A284" s="85"/>
      <c r="B284" s="25" t="s">
        <v>2261</v>
      </c>
      <c r="C284" s="25" t="s">
        <v>2262</v>
      </c>
      <c r="D284" s="25" t="s">
        <v>1790</v>
      </c>
      <c r="E284" s="26" t="b">
        <v>1</v>
      </c>
      <c r="F284" s="27" t="str">
        <f>HYPERLINK("http://nsgreg.nga.mil/genc/view?v=211268&amp;end_month=12&amp;end_day=31&amp;end_year=2014","Xaçmaz")</f>
        <v>Xaçmaz</v>
      </c>
      <c r="G284" s="28" t="str">
        <f>HYPERLINK("http://api.nsgreg.nga.mil/geo-division/GENC/6/ed3/AZ-XAC","as:GENC:6:ed3:AZ-XAC")</f>
        <v>as:GENC:6:ed3:AZ-XAC</v>
      </c>
    </row>
    <row r="285" spans="1:7" x14ac:dyDescent="0.2">
      <c r="A285" s="85"/>
      <c r="B285" s="25" t="s">
        <v>2259</v>
      </c>
      <c r="C285" s="25" t="s">
        <v>12031</v>
      </c>
      <c r="D285" s="25" t="s">
        <v>2046</v>
      </c>
      <c r="E285" s="26" t="b">
        <v>1</v>
      </c>
      <c r="F285" s="27" t="str">
        <f>HYPERLINK("http://nsgreg.nga.mil/genc/view?v=211267&amp;end_month=12&amp;end_day=31&amp;end_year=2014","Xankəndi")</f>
        <v>Xankəndi</v>
      </c>
      <c r="G285" s="28" t="str">
        <f>HYPERLINK("http://api.nsgreg.nga.mil/geo-division/GENC/6/ed3/AZ-XA","as:GENC:6:ed3:AZ-XA")</f>
        <v>as:GENC:6:ed3:AZ-XA</v>
      </c>
    </row>
    <row r="286" spans="1:7" x14ac:dyDescent="0.2">
      <c r="A286" s="85"/>
      <c r="B286" s="25" t="s">
        <v>2267</v>
      </c>
      <c r="C286" s="25" t="s">
        <v>2268</v>
      </c>
      <c r="D286" s="25" t="s">
        <v>1790</v>
      </c>
      <c r="E286" s="26" t="b">
        <v>1</v>
      </c>
      <c r="F286" s="27" t="str">
        <f>HYPERLINK("http://nsgreg.nga.mil/genc/view?v=211270&amp;end_month=12&amp;end_day=31&amp;end_year=2014","Xızı")</f>
        <v>Xızı</v>
      </c>
      <c r="G286" s="28" t="str">
        <f>HYPERLINK("http://api.nsgreg.nga.mil/geo-division/GENC/6/ed3/AZ-XIZ","as:GENC:6:ed3:AZ-XIZ")</f>
        <v>as:GENC:6:ed3:AZ-XIZ</v>
      </c>
    </row>
    <row r="287" spans="1:7" x14ac:dyDescent="0.2">
      <c r="A287" s="85"/>
      <c r="B287" s="25" t="s">
        <v>2263</v>
      </c>
      <c r="C287" s="25" t="s">
        <v>2264</v>
      </c>
      <c r="D287" s="25" t="s">
        <v>1790</v>
      </c>
      <c r="E287" s="26" t="b">
        <v>1</v>
      </c>
      <c r="F287" s="27" t="str">
        <f>HYPERLINK("http://nsgreg.nga.mil/genc/view?v=211269&amp;end_month=12&amp;end_day=31&amp;end_year=2014","Xocalı")</f>
        <v>Xocalı</v>
      </c>
      <c r="G287" s="28" t="str">
        <f>HYPERLINK("http://api.nsgreg.nga.mil/geo-division/GENC/6/ed3/AZ-XCI","as:GENC:6:ed3:AZ-XCI")</f>
        <v>as:GENC:6:ed3:AZ-XCI</v>
      </c>
    </row>
    <row r="288" spans="1:7" x14ac:dyDescent="0.2">
      <c r="A288" s="85"/>
      <c r="B288" s="25" t="s">
        <v>2265</v>
      </c>
      <c r="C288" s="25" t="s">
        <v>12032</v>
      </c>
      <c r="D288" s="25" t="s">
        <v>1790</v>
      </c>
      <c r="E288" s="26" t="b">
        <v>1</v>
      </c>
      <c r="F288" s="27" t="str">
        <f>HYPERLINK("http://nsgreg.nga.mil/genc/view?v=211271&amp;end_month=12&amp;end_day=31&amp;end_year=2014","Xocavənd")</f>
        <v>Xocavənd</v>
      </c>
      <c r="G288" s="28" t="str">
        <f>HYPERLINK("http://api.nsgreg.nga.mil/geo-division/GENC/6/ed3/AZ-XVD","as:GENC:6:ed3:AZ-XVD")</f>
        <v>as:GENC:6:ed3:AZ-XVD</v>
      </c>
    </row>
    <row r="289" spans="1:7" x14ac:dyDescent="0.2">
      <c r="A289" s="85"/>
      <c r="B289" s="25" t="s">
        <v>2269</v>
      </c>
      <c r="C289" s="25" t="s">
        <v>2270</v>
      </c>
      <c r="D289" s="25" t="s">
        <v>1790</v>
      </c>
      <c r="E289" s="26" t="b">
        <v>1</v>
      </c>
      <c r="F289" s="27" t="str">
        <f>HYPERLINK("http://nsgreg.nga.mil/genc/view?v=211272&amp;end_month=12&amp;end_day=31&amp;end_year=2014","Yardımlı")</f>
        <v>Yardımlı</v>
      </c>
      <c r="G289" s="28" t="str">
        <f>HYPERLINK("http://api.nsgreg.nga.mil/geo-division/GENC/6/ed3/AZ-YAR","as:GENC:6:ed3:AZ-YAR")</f>
        <v>as:GENC:6:ed3:AZ-YAR</v>
      </c>
    </row>
    <row r="290" spans="1:7" x14ac:dyDescent="0.2">
      <c r="A290" s="85"/>
      <c r="B290" s="25" t="s">
        <v>2271</v>
      </c>
      <c r="C290" s="25" t="s">
        <v>2272</v>
      </c>
      <c r="D290" s="25" t="s">
        <v>2046</v>
      </c>
      <c r="E290" s="26" t="b">
        <v>1</v>
      </c>
      <c r="F290" s="27" t="str">
        <f>HYPERLINK("http://nsgreg.nga.mil/genc/view?v=211273&amp;end_month=12&amp;end_day=31&amp;end_year=2014","Yevlax")</f>
        <v>Yevlax</v>
      </c>
      <c r="G290" s="28" t="str">
        <f>HYPERLINK("http://api.nsgreg.nga.mil/geo-division/GENC/6/ed3/AZ-YE","as:GENC:6:ed3:AZ-YE")</f>
        <v>as:GENC:6:ed3:AZ-YE</v>
      </c>
    </row>
    <row r="291" spans="1:7" x14ac:dyDescent="0.2">
      <c r="A291" s="85"/>
      <c r="B291" s="25" t="s">
        <v>2273</v>
      </c>
      <c r="C291" s="25" t="s">
        <v>2272</v>
      </c>
      <c r="D291" s="25" t="s">
        <v>1790</v>
      </c>
      <c r="E291" s="26" t="b">
        <v>1</v>
      </c>
      <c r="F291" s="27" t="str">
        <f>HYPERLINK("http://nsgreg.nga.mil/genc/view?v=211274&amp;end_month=12&amp;end_day=31&amp;end_year=2014","Yevlax")</f>
        <v>Yevlax</v>
      </c>
      <c r="G291" s="28" t="str">
        <f>HYPERLINK("http://api.nsgreg.nga.mil/geo-division/GENC/6/ed3/AZ-YEV","as:GENC:6:ed3:AZ-YEV")</f>
        <v>as:GENC:6:ed3:AZ-YEV</v>
      </c>
    </row>
    <row r="292" spans="1:7" x14ac:dyDescent="0.2">
      <c r="A292" s="85"/>
      <c r="B292" s="25" t="s">
        <v>2276</v>
      </c>
      <c r="C292" s="25" t="s">
        <v>12033</v>
      </c>
      <c r="D292" s="25" t="s">
        <v>1790</v>
      </c>
      <c r="E292" s="26" t="b">
        <v>1</v>
      </c>
      <c r="F292" s="27" t="str">
        <f>HYPERLINK("http://nsgreg.nga.mil/genc/view?v=211275&amp;end_month=12&amp;end_day=31&amp;end_year=2014","Zəngilan")</f>
        <v>Zəngilan</v>
      </c>
      <c r="G292" s="28" t="str">
        <f>HYPERLINK("http://api.nsgreg.nga.mil/geo-division/GENC/6/ed3/AZ-ZAN","as:GENC:6:ed3:AZ-ZAN")</f>
        <v>as:GENC:6:ed3:AZ-ZAN</v>
      </c>
    </row>
    <row r="293" spans="1:7" x14ac:dyDescent="0.2">
      <c r="A293" s="85"/>
      <c r="B293" s="25" t="s">
        <v>2274</v>
      </c>
      <c r="C293" s="25" t="s">
        <v>2275</v>
      </c>
      <c r="D293" s="25" t="s">
        <v>1790</v>
      </c>
      <c r="E293" s="26" t="b">
        <v>1</v>
      </c>
      <c r="F293" s="27" t="str">
        <f>HYPERLINK("http://nsgreg.nga.mil/genc/view?v=211276&amp;end_month=12&amp;end_day=31&amp;end_year=2014","Zaqatala")</f>
        <v>Zaqatala</v>
      </c>
      <c r="G293" s="28" t="str">
        <f>HYPERLINK("http://api.nsgreg.nga.mil/geo-division/GENC/6/ed3/AZ-ZAQ","as:GENC:6:ed3:AZ-ZAQ")</f>
        <v>as:GENC:6:ed3:AZ-ZAQ</v>
      </c>
    </row>
    <row r="294" spans="1:7" x14ac:dyDescent="0.2">
      <c r="A294" s="86"/>
      <c r="B294" s="29" t="s">
        <v>2278</v>
      </c>
      <c r="C294" s="29" t="s">
        <v>12034</v>
      </c>
      <c r="D294" s="29" t="s">
        <v>1790</v>
      </c>
      <c r="E294" s="30" t="b">
        <v>1</v>
      </c>
      <c r="F294" s="31" t="str">
        <f>HYPERLINK("http://nsgreg.nga.mil/genc/view?v=211277&amp;end_month=12&amp;end_day=31&amp;end_year=2014","Zərdab")</f>
        <v>Zərdab</v>
      </c>
      <c r="G294" s="32" t="str">
        <f>HYPERLINK("http://api.nsgreg.nga.mil/geo-division/GENC/6/ed3/AZ-ZAR","as:GENC:6:ed3:AZ-ZAR")</f>
        <v>as:GENC:6:ed3:AZ-ZAR</v>
      </c>
    </row>
    <row r="295" spans="1:7" x14ac:dyDescent="0.2">
      <c r="A295" s="84" t="str">
        <f>HYPERLINK("[#]Codes_for_GE_Names!A21:I21","BAHAMAS, THE")</f>
        <v>BAHAMAS, THE</v>
      </c>
      <c r="B295" s="33" t="s">
        <v>2301</v>
      </c>
      <c r="C295" s="33" t="s">
        <v>2302</v>
      </c>
      <c r="D295" s="33" t="s">
        <v>1790</v>
      </c>
      <c r="E295" s="34" t="b">
        <v>1</v>
      </c>
      <c r="F295" s="35" t="str">
        <f>HYPERLINK("http://nsgreg.nga.mil/genc/view?v=118329&amp;gencs=T&amp;end_month=12&amp;end_day=31&amp;end_year=2014","Acklins")</f>
        <v>Acklins</v>
      </c>
      <c r="G295" s="36" t="str">
        <f>HYPERLINK("http://api.nsgreg.nga.mil/geo-division/GENC/6/ed3/BS-AK","as:GENC:6:ed3:BS-AK")</f>
        <v>as:GENC:6:ed3:BS-AK</v>
      </c>
    </row>
    <row r="296" spans="1:7" x14ac:dyDescent="0.2">
      <c r="A296" s="85"/>
      <c r="B296" s="25" t="s">
        <v>2303</v>
      </c>
      <c r="C296" s="25" t="s">
        <v>2304</v>
      </c>
      <c r="D296" s="25" t="s">
        <v>1790</v>
      </c>
      <c r="E296" s="26" t="b">
        <v>1</v>
      </c>
      <c r="F296" s="27" t="str">
        <f>HYPERLINK("http://nsgreg.nga.mil/genc/view?v=118332&amp;gencs=T&amp;end_month=12&amp;end_day=31&amp;end_year=2014","Berry Islands")</f>
        <v>Berry Islands</v>
      </c>
      <c r="G296" s="28" t="str">
        <f>HYPERLINK("http://api.nsgreg.nga.mil/geo-division/GENC/6/ed3/BS-BY","as:GENC:6:ed3:BS-BY")</f>
        <v>as:GENC:6:ed3:BS-BY</v>
      </c>
    </row>
    <row r="297" spans="1:7" x14ac:dyDescent="0.2">
      <c r="A297" s="85"/>
      <c r="B297" s="25" t="s">
        <v>2305</v>
      </c>
      <c r="C297" s="25" t="s">
        <v>2306</v>
      </c>
      <c r="D297" s="25" t="s">
        <v>1790</v>
      </c>
      <c r="E297" s="26" t="b">
        <v>1</v>
      </c>
      <c r="F297" s="27" t="str">
        <f>HYPERLINK("http://nsgreg.nga.mil/genc/view?v=118330&amp;gencs=T&amp;end_month=12&amp;end_day=31&amp;end_year=2014","Bimini")</f>
        <v>Bimini</v>
      </c>
      <c r="G297" s="28" t="str">
        <f>HYPERLINK("http://api.nsgreg.nga.mil/geo-division/GENC/6/ed3/BS-BI","as:GENC:6:ed3:BS-BI")</f>
        <v>as:GENC:6:ed3:BS-BI</v>
      </c>
    </row>
    <row r="298" spans="1:7" x14ac:dyDescent="0.2">
      <c r="A298" s="85"/>
      <c r="B298" s="25" t="s">
        <v>2307</v>
      </c>
      <c r="C298" s="25" t="s">
        <v>2308</v>
      </c>
      <c r="D298" s="25" t="s">
        <v>1790</v>
      </c>
      <c r="E298" s="26" t="b">
        <v>1</v>
      </c>
      <c r="F298" s="27" t="str">
        <f>HYPERLINK("http://nsgreg.nga.mil/genc/view?v=118331&amp;gencs=T&amp;end_month=12&amp;end_day=31&amp;end_year=2014","Black Point")</f>
        <v>Black Point</v>
      </c>
      <c r="G298" s="28" t="str">
        <f>HYPERLINK("http://api.nsgreg.nga.mil/geo-division/GENC/6/ed3/BS-BP","as:GENC:6:ed3:BS-BP")</f>
        <v>as:GENC:6:ed3:BS-BP</v>
      </c>
    </row>
    <row r="299" spans="1:7" x14ac:dyDescent="0.2">
      <c r="A299" s="85"/>
      <c r="B299" s="25" t="s">
        <v>2309</v>
      </c>
      <c r="C299" s="25" t="s">
        <v>2310</v>
      </c>
      <c r="D299" s="25" t="s">
        <v>1790</v>
      </c>
      <c r="E299" s="26" t="b">
        <v>1</v>
      </c>
      <c r="F299" s="27" t="str">
        <f>HYPERLINK("http://nsgreg.nga.mil/genc/view?v=118334&amp;gencs=T&amp;end_month=12&amp;end_day=31&amp;end_year=2014","Cat Island")</f>
        <v>Cat Island</v>
      </c>
      <c r="G299" s="28" t="str">
        <f>HYPERLINK("http://api.nsgreg.nga.mil/geo-division/GENC/6/ed3/BS-CI","as:GENC:6:ed3:BS-CI")</f>
        <v>as:GENC:6:ed3:BS-CI</v>
      </c>
    </row>
    <row r="300" spans="1:7" x14ac:dyDescent="0.2">
      <c r="A300" s="85"/>
      <c r="B300" s="25" t="s">
        <v>2311</v>
      </c>
      <c r="C300" s="25" t="s">
        <v>2312</v>
      </c>
      <c r="D300" s="25" t="s">
        <v>1790</v>
      </c>
      <c r="E300" s="26" t="b">
        <v>1</v>
      </c>
      <c r="F300" s="27" t="str">
        <f>HYPERLINK("http://nsgreg.nga.mil/genc/view?v=118336&amp;gencs=T&amp;end_month=12&amp;end_day=31&amp;end_year=2014","Central Abaco")</f>
        <v>Central Abaco</v>
      </c>
      <c r="G300" s="28" t="str">
        <f>HYPERLINK("http://api.nsgreg.nga.mil/geo-division/GENC/6/ed3/BS-CO","as:GENC:6:ed3:BS-CO")</f>
        <v>as:GENC:6:ed3:BS-CO</v>
      </c>
    </row>
    <row r="301" spans="1:7" x14ac:dyDescent="0.2">
      <c r="A301" s="85"/>
      <c r="B301" s="25" t="s">
        <v>2313</v>
      </c>
      <c r="C301" s="25" t="s">
        <v>2314</v>
      </c>
      <c r="D301" s="25" t="s">
        <v>1790</v>
      </c>
      <c r="E301" s="26" t="b">
        <v>1</v>
      </c>
      <c r="F301" s="27" t="str">
        <f>HYPERLINK("http://nsgreg.nga.mil/genc/view?v=118337&amp;gencs=T&amp;end_month=12&amp;end_day=31&amp;end_year=2014","Central Andros")</f>
        <v>Central Andros</v>
      </c>
      <c r="G301" s="28" t="str">
        <f>HYPERLINK("http://api.nsgreg.nga.mil/geo-division/GENC/6/ed3/BS-CS","as:GENC:6:ed3:BS-CS")</f>
        <v>as:GENC:6:ed3:BS-CS</v>
      </c>
    </row>
    <row r="302" spans="1:7" x14ac:dyDescent="0.2">
      <c r="A302" s="85"/>
      <c r="B302" s="25" t="s">
        <v>2315</v>
      </c>
      <c r="C302" s="25" t="s">
        <v>2316</v>
      </c>
      <c r="D302" s="25" t="s">
        <v>1790</v>
      </c>
      <c r="E302" s="26" t="b">
        <v>1</v>
      </c>
      <c r="F302" s="27" t="str">
        <f>HYPERLINK("http://nsgreg.nga.mil/genc/view?v=118333&amp;gencs=T&amp;end_month=12&amp;end_day=31&amp;end_year=2014","Central Eleuthera")</f>
        <v>Central Eleuthera</v>
      </c>
      <c r="G302" s="28" t="str">
        <f>HYPERLINK("http://api.nsgreg.nga.mil/geo-division/GENC/6/ed3/BS-CE","as:GENC:6:ed3:BS-CE")</f>
        <v>as:GENC:6:ed3:BS-CE</v>
      </c>
    </row>
    <row r="303" spans="1:7" x14ac:dyDescent="0.2">
      <c r="A303" s="85"/>
      <c r="B303" s="25" t="s">
        <v>2317</v>
      </c>
      <c r="C303" s="25" t="s">
        <v>2318</v>
      </c>
      <c r="D303" s="25" t="s">
        <v>1790</v>
      </c>
      <c r="E303" s="26" t="b">
        <v>1</v>
      </c>
      <c r="F303" s="27" t="str">
        <f>HYPERLINK("http://nsgreg.nga.mil/genc/view?v=118340&amp;gencs=T&amp;end_month=12&amp;end_day=31&amp;end_year=2014","City of Freeport")</f>
        <v>City of Freeport</v>
      </c>
      <c r="G303" s="28" t="str">
        <f>HYPERLINK("http://api.nsgreg.nga.mil/geo-division/GENC/6/ed3/BS-FP","as:GENC:6:ed3:BS-FP")</f>
        <v>as:GENC:6:ed3:BS-FP</v>
      </c>
    </row>
    <row r="304" spans="1:7" x14ac:dyDescent="0.2">
      <c r="A304" s="85"/>
      <c r="B304" s="25" t="s">
        <v>2319</v>
      </c>
      <c r="C304" s="25" t="s">
        <v>2320</v>
      </c>
      <c r="D304" s="25" t="s">
        <v>1790</v>
      </c>
      <c r="E304" s="26" t="b">
        <v>1</v>
      </c>
      <c r="F304" s="27" t="str">
        <f>HYPERLINK("http://nsgreg.nga.mil/genc/view?v=118335&amp;gencs=T&amp;end_month=12&amp;end_day=31&amp;end_year=2014","Crooked Island and Long Cay")</f>
        <v>Crooked Island and Long Cay</v>
      </c>
      <c r="G304" s="28" t="str">
        <f>HYPERLINK("http://api.nsgreg.nga.mil/geo-division/GENC/6/ed3/BS-CK","as:GENC:6:ed3:BS-CK")</f>
        <v>as:GENC:6:ed3:BS-CK</v>
      </c>
    </row>
    <row r="305" spans="1:7" x14ac:dyDescent="0.2">
      <c r="A305" s="85"/>
      <c r="B305" s="25" t="s">
        <v>2321</v>
      </c>
      <c r="C305" s="25" t="s">
        <v>2322</v>
      </c>
      <c r="D305" s="25" t="s">
        <v>1790</v>
      </c>
      <c r="E305" s="26" t="b">
        <v>1</v>
      </c>
      <c r="F305" s="27" t="str">
        <f>HYPERLINK("http://nsgreg.nga.mil/genc/view?v=118338&amp;gencs=T&amp;end_month=12&amp;end_day=31&amp;end_year=2014","East Grand Bahama")</f>
        <v>East Grand Bahama</v>
      </c>
      <c r="G305" s="28" t="str">
        <f>HYPERLINK("http://api.nsgreg.nga.mil/geo-division/GENC/6/ed3/BS-EG","as:GENC:6:ed3:BS-EG")</f>
        <v>as:GENC:6:ed3:BS-EG</v>
      </c>
    </row>
    <row r="306" spans="1:7" x14ac:dyDescent="0.2">
      <c r="A306" s="85"/>
      <c r="B306" s="25" t="s">
        <v>2323</v>
      </c>
      <c r="C306" s="25" t="s">
        <v>2324</v>
      </c>
      <c r="D306" s="25" t="s">
        <v>1790</v>
      </c>
      <c r="E306" s="26" t="b">
        <v>1</v>
      </c>
      <c r="F306" s="27" t="str">
        <f>HYPERLINK("http://nsgreg.nga.mil/genc/view?v=118339&amp;gencs=T&amp;end_month=12&amp;end_day=31&amp;end_year=2014","Exuma")</f>
        <v>Exuma</v>
      </c>
      <c r="G306" s="28" t="str">
        <f>HYPERLINK("http://api.nsgreg.nga.mil/geo-division/GENC/6/ed3/BS-EX","as:GENC:6:ed3:BS-EX")</f>
        <v>as:GENC:6:ed3:BS-EX</v>
      </c>
    </row>
    <row r="307" spans="1:7" x14ac:dyDescent="0.2">
      <c r="A307" s="85"/>
      <c r="B307" s="25" t="s">
        <v>2325</v>
      </c>
      <c r="C307" s="25" t="s">
        <v>2326</v>
      </c>
      <c r="D307" s="25" t="s">
        <v>1790</v>
      </c>
      <c r="E307" s="26" t="b">
        <v>1</v>
      </c>
      <c r="F307" s="27" t="str">
        <f>HYPERLINK("http://nsgreg.nga.mil/genc/view?v=118341&amp;gencs=T&amp;end_month=12&amp;end_day=31&amp;end_year=2014","Grand Cay")</f>
        <v>Grand Cay</v>
      </c>
      <c r="G307" s="28" t="str">
        <f>HYPERLINK("http://api.nsgreg.nga.mil/geo-division/GENC/6/ed3/BS-GC","as:GENC:6:ed3:BS-GC")</f>
        <v>as:GENC:6:ed3:BS-GC</v>
      </c>
    </row>
    <row r="308" spans="1:7" x14ac:dyDescent="0.2">
      <c r="A308" s="85"/>
      <c r="B308" s="25" t="s">
        <v>2327</v>
      </c>
      <c r="C308" s="25" t="s">
        <v>2328</v>
      </c>
      <c r="D308" s="25" t="s">
        <v>1790</v>
      </c>
      <c r="E308" s="26" t="b">
        <v>1</v>
      </c>
      <c r="F308" s="27" t="str">
        <f>HYPERLINK("http://nsgreg.nga.mil/genc/view?v=118342&amp;gencs=T&amp;end_month=12&amp;end_day=31&amp;end_year=2014","Harbour Island")</f>
        <v>Harbour Island</v>
      </c>
      <c r="G308" s="28" t="str">
        <f>HYPERLINK("http://api.nsgreg.nga.mil/geo-division/GENC/6/ed3/BS-HI","as:GENC:6:ed3:BS-HI")</f>
        <v>as:GENC:6:ed3:BS-HI</v>
      </c>
    </row>
    <row r="309" spans="1:7" x14ac:dyDescent="0.2">
      <c r="A309" s="85"/>
      <c r="B309" s="25" t="s">
        <v>2329</v>
      </c>
      <c r="C309" s="25" t="s">
        <v>2330</v>
      </c>
      <c r="D309" s="25" t="s">
        <v>1790</v>
      </c>
      <c r="E309" s="26" t="b">
        <v>1</v>
      </c>
      <c r="F309" s="27" t="str">
        <f>HYPERLINK("http://nsgreg.nga.mil/genc/view?v=118343&amp;gencs=T&amp;end_month=12&amp;end_day=31&amp;end_year=2014","Hope Town")</f>
        <v>Hope Town</v>
      </c>
      <c r="G309" s="28" t="str">
        <f>HYPERLINK("http://api.nsgreg.nga.mil/geo-division/GENC/6/ed3/BS-HT","as:GENC:6:ed3:BS-HT")</f>
        <v>as:GENC:6:ed3:BS-HT</v>
      </c>
    </row>
    <row r="310" spans="1:7" x14ac:dyDescent="0.2">
      <c r="A310" s="85"/>
      <c r="B310" s="25" t="s">
        <v>2331</v>
      </c>
      <c r="C310" s="25" t="s">
        <v>2332</v>
      </c>
      <c r="D310" s="25" t="s">
        <v>1790</v>
      </c>
      <c r="E310" s="26" t="b">
        <v>1</v>
      </c>
      <c r="F310" s="27" t="str">
        <f>HYPERLINK("http://nsgreg.nga.mil/genc/view?v=118344&amp;gencs=T&amp;end_month=12&amp;end_day=31&amp;end_year=2014","Inagua")</f>
        <v>Inagua</v>
      </c>
      <c r="G310" s="28" t="str">
        <f>HYPERLINK("http://api.nsgreg.nga.mil/geo-division/GENC/6/ed3/BS-IN","as:GENC:6:ed3:BS-IN")</f>
        <v>as:GENC:6:ed3:BS-IN</v>
      </c>
    </row>
    <row r="311" spans="1:7" x14ac:dyDescent="0.2">
      <c r="A311" s="85"/>
      <c r="B311" s="25" t="s">
        <v>2333</v>
      </c>
      <c r="C311" s="25" t="s">
        <v>2334</v>
      </c>
      <c r="D311" s="25" t="s">
        <v>1790</v>
      </c>
      <c r="E311" s="26" t="b">
        <v>1</v>
      </c>
      <c r="F311" s="27" t="str">
        <f>HYPERLINK("http://nsgreg.nga.mil/genc/view?v=118345&amp;gencs=T&amp;end_month=12&amp;end_day=31&amp;end_year=2014","Long Island")</f>
        <v>Long Island</v>
      </c>
      <c r="G311" s="28" t="str">
        <f>HYPERLINK("http://api.nsgreg.nga.mil/geo-division/GENC/6/ed3/BS-LI","as:GENC:6:ed3:BS-LI")</f>
        <v>as:GENC:6:ed3:BS-LI</v>
      </c>
    </row>
    <row r="312" spans="1:7" x14ac:dyDescent="0.2">
      <c r="A312" s="85"/>
      <c r="B312" s="25" t="s">
        <v>2335</v>
      </c>
      <c r="C312" s="25" t="s">
        <v>2336</v>
      </c>
      <c r="D312" s="25" t="s">
        <v>1790</v>
      </c>
      <c r="E312" s="26" t="b">
        <v>1</v>
      </c>
      <c r="F312" s="27" t="str">
        <f>HYPERLINK("http://nsgreg.nga.mil/genc/view?v=118346&amp;gencs=T&amp;end_month=12&amp;end_day=31&amp;end_year=2014","Mangrove Cay")</f>
        <v>Mangrove Cay</v>
      </c>
      <c r="G312" s="28" t="str">
        <f>HYPERLINK("http://api.nsgreg.nga.mil/geo-division/GENC/6/ed3/BS-MC","as:GENC:6:ed3:BS-MC")</f>
        <v>as:GENC:6:ed3:BS-MC</v>
      </c>
    </row>
    <row r="313" spans="1:7" x14ac:dyDescent="0.2">
      <c r="A313" s="85"/>
      <c r="B313" s="25" t="s">
        <v>2337</v>
      </c>
      <c r="C313" s="25" t="s">
        <v>2338</v>
      </c>
      <c r="D313" s="25" t="s">
        <v>1790</v>
      </c>
      <c r="E313" s="26" t="b">
        <v>1</v>
      </c>
      <c r="F313" s="27" t="str">
        <f>HYPERLINK("http://nsgreg.nga.mil/genc/view?v=118347&amp;gencs=T&amp;end_month=12&amp;end_day=31&amp;end_year=2014","Mayaguana")</f>
        <v>Mayaguana</v>
      </c>
      <c r="G313" s="28" t="str">
        <f>HYPERLINK("http://api.nsgreg.nga.mil/geo-division/GENC/6/ed3/BS-MG","as:GENC:6:ed3:BS-MG")</f>
        <v>as:GENC:6:ed3:BS-MG</v>
      </c>
    </row>
    <row r="314" spans="1:7" x14ac:dyDescent="0.2">
      <c r="A314" s="85"/>
      <c r="B314" s="25" t="s">
        <v>2339</v>
      </c>
      <c r="C314" s="25" t="s">
        <v>12035</v>
      </c>
      <c r="D314" s="25" t="s">
        <v>1790</v>
      </c>
      <c r="E314" s="26" t="b">
        <v>1</v>
      </c>
      <c r="F314" s="27" t="str">
        <f>HYPERLINK("http://nsgreg.nga.mil/genc/view?v=118348&amp;gencs=T&amp;end_month=12&amp;end_day=31&amp;end_year=2014","Moore’s Island")</f>
        <v>Moore’s Island</v>
      </c>
      <c r="G314" s="28" t="str">
        <f>HYPERLINK("http://api.nsgreg.nga.mil/geo-division/GENC/6/ed3/BS-MI","as:GENC:6:ed3:BS-MI")</f>
        <v>as:GENC:6:ed3:BS-MI</v>
      </c>
    </row>
    <row r="315" spans="1:7" x14ac:dyDescent="0.2">
      <c r="A315" s="85"/>
      <c r="B315" s="25" t="s">
        <v>2341</v>
      </c>
      <c r="C315" s="25" t="s">
        <v>2342</v>
      </c>
      <c r="D315" s="25" t="s">
        <v>1790</v>
      </c>
      <c r="E315" s="26" t="b">
        <v>1</v>
      </c>
      <c r="F315" s="27" t="str">
        <f>HYPERLINK("http://nsgreg.nga.mil/genc/view?v=118350&amp;gencs=T&amp;end_month=12&amp;end_day=31&amp;end_year=2014","North Abaco")</f>
        <v>North Abaco</v>
      </c>
      <c r="G315" s="28" t="str">
        <f>HYPERLINK("http://api.nsgreg.nga.mil/geo-division/GENC/6/ed3/BS-NO","as:GENC:6:ed3:BS-NO")</f>
        <v>as:GENC:6:ed3:BS-NO</v>
      </c>
    </row>
    <row r="316" spans="1:7" x14ac:dyDescent="0.2">
      <c r="A316" s="85"/>
      <c r="B316" s="25" t="s">
        <v>2343</v>
      </c>
      <c r="C316" s="25" t="s">
        <v>2344</v>
      </c>
      <c r="D316" s="25" t="s">
        <v>1790</v>
      </c>
      <c r="E316" s="26" t="b">
        <v>1</v>
      </c>
      <c r="F316" s="27" t="str">
        <f>HYPERLINK("http://nsgreg.nga.mil/genc/view?v=118351&amp;gencs=T&amp;end_month=12&amp;end_day=31&amp;end_year=2014","North Andros")</f>
        <v>North Andros</v>
      </c>
      <c r="G316" s="28" t="str">
        <f>HYPERLINK("http://api.nsgreg.nga.mil/geo-division/GENC/6/ed3/BS-NS","as:GENC:6:ed3:BS-NS")</f>
        <v>as:GENC:6:ed3:BS-NS</v>
      </c>
    </row>
    <row r="317" spans="1:7" x14ac:dyDescent="0.2">
      <c r="A317" s="85"/>
      <c r="B317" s="25" t="s">
        <v>2345</v>
      </c>
      <c r="C317" s="25" t="s">
        <v>2346</v>
      </c>
      <c r="D317" s="25" t="s">
        <v>1790</v>
      </c>
      <c r="E317" s="26" t="b">
        <v>1</v>
      </c>
      <c r="F317" s="27" t="str">
        <f>HYPERLINK("http://nsgreg.nga.mil/genc/view?v=118349&amp;gencs=T&amp;end_month=12&amp;end_day=31&amp;end_year=2014","North Eleuthera")</f>
        <v>North Eleuthera</v>
      </c>
      <c r="G317" s="28" t="str">
        <f>HYPERLINK("http://api.nsgreg.nga.mil/geo-division/GENC/6/ed3/BS-NE","as:GENC:6:ed3:BS-NE")</f>
        <v>as:GENC:6:ed3:BS-NE</v>
      </c>
    </row>
    <row r="318" spans="1:7" x14ac:dyDescent="0.2">
      <c r="A318" s="85"/>
      <c r="B318" s="25" t="s">
        <v>2347</v>
      </c>
      <c r="C318" s="25" t="s">
        <v>2348</v>
      </c>
      <c r="D318" s="25" t="s">
        <v>1790</v>
      </c>
      <c r="E318" s="26" t="b">
        <v>1</v>
      </c>
      <c r="F318" s="27" t="str">
        <f>HYPERLINK("http://nsgreg.nga.mil/genc/view?v=118353&amp;gencs=T&amp;end_month=12&amp;end_day=31&amp;end_year=2014","Ragged Island")</f>
        <v>Ragged Island</v>
      </c>
      <c r="G318" s="28" t="str">
        <f>HYPERLINK("http://api.nsgreg.nga.mil/geo-division/GENC/6/ed3/BS-RI","as:GENC:6:ed3:BS-RI")</f>
        <v>as:GENC:6:ed3:BS-RI</v>
      </c>
    </row>
    <row r="319" spans="1:7" x14ac:dyDescent="0.2">
      <c r="A319" s="85"/>
      <c r="B319" s="25" t="s">
        <v>2349</v>
      </c>
      <c r="C319" s="25" t="s">
        <v>2350</v>
      </c>
      <c r="D319" s="25" t="s">
        <v>1790</v>
      </c>
      <c r="E319" s="26" t="b">
        <v>1</v>
      </c>
      <c r="F319" s="27" t="str">
        <f>HYPERLINK("http://nsgreg.nga.mil/genc/view?v=118352&amp;gencs=T&amp;end_month=12&amp;end_day=31&amp;end_year=2014","Rum Cay")</f>
        <v>Rum Cay</v>
      </c>
      <c r="G319" s="28" t="str">
        <f>HYPERLINK("http://api.nsgreg.nga.mil/geo-division/GENC/6/ed3/BS-RC","as:GENC:6:ed3:BS-RC")</f>
        <v>as:GENC:6:ed3:BS-RC</v>
      </c>
    </row>
    <row r="320" spans="1:7" x14ac:dyDescent="0.2">
      <c r="A320" s="85"/>
      <c r="B320" s="25" t="s">
        <v>2351</v>
      </c>
      <c r="C320" s="25" t="s">
        <v>2352</v>
      </c>
      <c r="D320" s="25" t="s">
        <v>1790</v>
      </c>
      <c r="E320" s="26" t="b">
        <v>1</v>
      </c>
      <c r="F320" s="27" t="str">
        <f>HYPERLINK("http://nsgreg.nga.mil/genc/view?v=118357&amp;gencs=T&amp;end_month=12&amp;end_day=31&amp;end_year=2014","San Salvador")</f>
        <v>San Salvador</v>
      </c>
      <c r="G320" s="28" t="str">
        <f>HYPERLINK("http://api.nsgreg.nga.mil/geo-division/GENC/6/ed3/BS-SS","as:GENC:6:ed3:BS-SS")</f>
        <v>as:GENC:6:ed3:BS-SS</v>
      </c>
    </row>
    <row r="321" spans="1:7" x14ac:dyDescent="0.2">
      <c r="A321" s="85"/>
      <c r="B321" s="25" t="s">
        <v>2353</v>
      </c>
      <c r="C321" s="25" t="s">
        <v>2354</v>
      </c>
      <c r="D321" s="25" t="s">
        <v>1790</v>
      </c>
      <c r="E321" s="26" t="b">
        <v>1</v>
      </c>
      <c r="F321" s="27" t="str">
        <f>HYPERLINK("http://nsgreg.nga.mil/genc/view?v=118356&amp;gencs=T&amp;end_month=12&amp;end_day=31&amp;end_year=2014","South Abaco")</f>
        <v>South Abaco</v>
      </c>
      <c r="G321" s="28" t="str">
        <f>HYPERLINK("http://api.nsgreg.nga.mil/geo-division/GENC/6/ed3/BS-SO","as:GENC:6:ed3:BS-SO")</f>
        <v>as:GENC:6:ed3:BS-SO</v>
      </c>
    </row>
    <row r="322" spans="1:7" x14ac:dyDescent="0.2">
      <c r="A322" s="85"/>
      <c r="B322" s="25" t="s">
        <v>2355</v>
      </c>
      <c r="C322" s="25" t="s">
        <v>2356</v>
      </c>
      <c r="D322" s="25" t="s">
        <v>1790</v>
      </c>
      <c r="E322" s="26" t="b">
        <v>1</v>
      </c>
      <c r="F322" s="27" t="str">
        <f>HYPERLINK("http://nsgreg.nga.mil/genc/view?v=118354&amp;gencs=T&amp;end_month=12&amp;end_day=31&amp;end_year=2014","South Andros")</f>
        <v>South Andros</v>
      </c>
      <c r="G322" s="28" t="str">
        <f>HYPERLINK("http://api.nsgreg.nga.mil/geo-division/GENC/6/ed3/BS-SA","as:GENC:6:ed3:BS-SA")</f>
        <v>as:GENC:6:ed3:BS-SA</v>
      </c>
    </row>
    <row r="323" spans="1:7" x14ac:dyDescent="0.2">
      <c r="A323" s="85"/>
      <c r="B323" s="25" t="s">
        <v>2357</v>
      </c>
      <c r="C323" s="25" t="s">
        <v>2358</v>
      </c>
      <c r="D323" s="25" t="s">
        <v>1790</v>
      </c>
      <c r="E323" s="26" t="b">
        <v>1</v>
      </c>
      <c r="F323" s="27" t="str">
        <f>HYPERLINK("http://nsgreg.nga.mil/genc/view?v=118355&amp;gencs=T&amp;end_month=12&amp;end_day=31&amp;end_year=2014","South Eleuthera")</f>
        <v>South Eleuthera</v>
      </c>
      <c r="G323" s="28" t="str">
        <f>HYPERLINK("http://api.nsgreg.nga.mil/geo-division/GENC/6/ed3/BS-SE","as:GENC:6:ed3:BS-SE")</f>
        <v>as:GENC:6:ed3:BS-SE</v>
      </c>
    </row>
    <row r="324" spans="1:7" x14ac:dyDescent="0.2">
      <c r="A324" s="85"/>
      <c r="B324" s="25" t="s">
        <v>2359</v>
      </c>
      <c r="C324" s="25" t="s">
        <v>2360</v>
      </c>
      <c r="D324" s="25" t="s">
        <v>1790</v>
      </c>
      <c r="E324" s="26" t="b">
        <v>1</v>
      </c>
      <c r="F324" s="27" t="str">
        <f>HYPERLINK("http://nsgreg.nga.mil/genc/view?v=118358&amp;gencs=T&amp;end_month=12&amp;end_day=31&amp;end_year=2014","Spanish Wells")</f>
        <v>Spanish Wells</v>
      </c>
      <c r="G324" s="28" t="str">
        <f>HYPERLINK("http://api.nsgreg.nga.mil/geo-division/GENC/6/ed3/BS-SW","as:GENC:6:ed3:BS-SW")</f>
        <v>as:GENC:6:ed3:BS-SW</v>
      </c>
    </row>
    <row r="325" spans="1:7" x14ac:dyDescent="0.2">
      <c r="A325" s="86"/>
      <c r="B325" s="29" t="s">
        <v>2361</v>
      </c>
      <c r="C325" s="29" t="s">
        <v>2362</v>
      </c>
      <c r="D325" s="29" t="s">
        <v>1790</v>
      </c>
      <c r="E325" s="30" t="b">
        <v>1</v>
      </c>
      <c r="F325" s="31" t="str">
        <f>HYPERLINK("http://nsgreg.nga.mil/genc/view?v=118359&amp;gencs=T&amp;end_month=12&amp;end_day=31&amp;end_year=2014","West Grand Bahama")</f>
        <v>West Grand Bahama</v>
      </c>
      <c r="G325" s="32" t="str">
        <f>HYPERLINK("http://api.nsgreg.nga.mil/geo-division/GENC/6/ed3/BS-WG","as:GENC:6:ed3:BS-WG")</f>
        <v>as:GENC:6:ed3:BS-WG</v>
      </c>
    </row>
    <row r="326" spans="1:7" x14ac:dyDescent="0.2">
      <c r="A326" s="84" t="str">
        <f>HYPERLINK("[#]Codes_for_GE_Names!A22:I22","BAHRAIN")</f>
        <v>BAHRAIN</v>
      </c>
      <c r="B326" s="33" t="s">
        <v>2366</v>
      </c>
      <c r="C326" s="33" t="s">
        <v>12036</v>
      </c>
      <c r="D326" s="33" t="s">
        <v>2365</v>
      </c>
      <c r="E326" s="34" t="b">
        <v>1</v>
      </c>
      <c r="F326" s="35" t="str">
        <f>HYPERLINK("http://nsgreg.nga.mil/genc/view?v=211371&amp;end_month=12&amp;end_day=31&amp;end_year=2014","Al ‘Āşimah")</f>
        <v>Al ‘Āşimah</v>
      </c>
      <c r="G326" s="36" t="str">
        <f>HYPERLINK("http://api.nsgreg.nga.mil/geo-division/GENC/6/ed3/BH-13","as:GENC:6:ed3:BH-13")</f>
        <v>as:GENC:6:ed3:BH-13</v>
      </c>
    </row>
    <row r="327" spans="1:7" x14ac:dyDescent="0.2">
      <c r="A327" s="85"/>
      <c r="B327" s="25" t="s">
        <v>2363</v>
      </c>
      <c r="C327" s="25" t="s">
        <v>2364</v>
      </c>
      <c r="D327" s="25" t="s">
        <v>2365</v>
      </c>
      <c r="E327" s="26" t="b">
        <v>1</v>
      </c>
      <c r="F327" s="27" t="str">
        <f>HYPERLINK("http://nsgreg.nga.mil/genc/view?v=118253&amp;gencs=T&amp;end_month=12&amp;end_day=31&amp;end_year=2014","Al Janūbīyah")</f>
        <v>Al Janūbīyah</v>
      </c>
      <c r="G327" s="28" t="str">
        <f>HYPERLINK("http://api.nsgreg.nga.mil/geo-division/GENC/6/ed3/BH-14","as:GENC:6:ed3:BH-14")</f>
        <v>as:GENC:6:ed3:BH-14</v>
      </c>
    </row>
    <row r="328" spans="1:7" x14ac:dyDescent="0.2">
      <c r="A328" s="85"/>
      <c r="B328" s="25" t="s">
        <v>2368</v>
      </c>
      <c r="C328" s="25" t="s">
        <v>2369</v>
      </c>
      <c r="D328" s="25" t="s">
        <v>2365</v>
      </c>
      <c r="E328" s="26" t="b">
        <v>1</v>
      </c>
      <c r="F328" s="27" t="str">
        <f>HYPERLINK("http://nsgreg.nga.mil/genc/view?v=118254&amp;gencs=T&amp;end_month=12&amp;end_day=31&amp;end_year=2014","Al Muḩarraq")</f>
        <v>Al Muḩarraq</v>
      </c>
      <c r="G328" s="28" t="str">
        <f>HYPERLINK("http://api.nsgreg.nga.mil/geo-division/GENC/6/ed3/BH-15","as:GENC:6:ed3:BH-15")</f>
        <v>as:GENC:6:ed3:BH-15</v>
      </c>
    </row>
    <row r="329" spans="1:7" x14ac:dyDescent="0.2">
      <c r="A329" s="85"/>
      <c r="B329" s="25" t="s">
        <v>2370</v>
      </c>
      <c r="C329" s="25" t="s">
        <v>2371</v>
      </c>
      <c r="D329" s="25" t="s">
        <v>2365</v>
      </c>
      <c r="E329" s="26" t="b">
        <v>1</v>
      </c>
      <c r="F329" s="27" t="str">
        <f>HYPERLINK("http://nsgreg.nga.mil/genc/view?v=118255&amp;gencs=T&amp;end_month=12&amp;end_day=31&amp;end_year=2014","Al Wusţá")</f>
        <v>Al Wusţá</v>
      </c>
      <c r="G329" s="28" t="str">
        <f>HYPERLINK("http://api.nsgreg.nga.mil/geo-division/GENC/6/ed3/BH-16","as:GENC:6:ed3:BH-16")</f>
        <v>as:GENC:6:ed3:BH-16</v>
      </c>
    </row>
    <row r="330" spans="1:7" x14ac:dyDescent="0.2">
      <c r="A330" s="86"/>
      <c r="B330" s="29" t="s">
        <v>2372</v>
      </c>
      <c r="C330" s="29" t="s">
        <v>2373</v>
      </c>
      <c r="D330" s="29" t="s">
        <v>2365</v>
      </c>
      <c r="E330" s="30" t="b">
        <v>1</v>
      </c>
      <c r="F330" s="31" t="str">
        <f>HYPERLINK("http://nsgreg.nga.mil/genc/view?v=118256&amp;gencs=T&amp;end_month=12&amp;end_day=31&amp;end_year=2014","Ash Shamālīyah")</f>
        <v>Ash Shamālīyah</v>
      </c>
      <c r="G330" s="32" t="str">
        <f>HYPERLINK("http://api.nsgreg.nga.mil/geo-division/GENC/6/ed3/BH-17","as:GENC:6:ed3:BH-17")</f>
        <v>as:GENC:6:ed3:BH-17</v>
      </c>
    </row>
    <row r="331" spans="1:7" x14ac:dyDescent="0.2">
      <c r="A331" s="84" t="str">
        <f>HYPERLINK("[#]Codes_for_GE_Names!A24:I24","BANGLADESH")</f>
        <v>BANGLADESH</v>
      </c>
      <c r="B331" s="33" t="s">
        <v>2374</v>
      </c>
      <c r="C331" s="33" t="s">
        <v>12037</v>
      </c>
      <c r="D331" s="41" t="s">
        <v>1790</v>
      </c>
      <c r="E331" s="42" t="b">
        <v>0</v>
      </c>
      <c r="F331" s="35" t="str">
        <f>HYPERLINK("http://nsgreg.nga.mil/genc/view?v=211292&amp;end_month=12&amp;end_day=31&amp;end_year=2014","Bāgerhāt")</f>
        <v>Bāgerhāt</v>
      </c>
      <c r="G331" s="36" t="str">
        <f>HYPERLINK("http://api.nsgreg.nga.mil/geo-division/GENC/6/ed3/BD-05","as:GENC:6:ed3:BD-05")</f>
        <v>as:GENC:6:ed3:BD-05</v>
      </c>
    </row>
    <row r="332" spans="1:7" x14ac:dyDescent="0.2">
      <c r="A332" s="85"/>
      <c r="B332" s="25" t="s">
        <v>2376</v>
      </c>
      <c r="C332" s="25" t="s">
        <v>2377</v>
      </c>
      <c r="D332" s="37" t="s">
        <v>1790</v>
      </c>
      <c r="E332" s="38" t="b">
        <v>0</v>
      </c>
      <c r="F332" s="27" t="str">
        <f>HYPERLINK("http://nsgreg.nga.mil/genc/view?v=118082&amp;gencs=T&amp;end_month=12&amp;end_day=31&amp;end_year=2014","Bandarban")</f>
        <v>Bandarban</v>
      </c>
      <c r="G332" s="28" t="str">
        <f>HYPERLINK("http://api.nsgreg.nga.mil/geo-division/GENC/6/ed3/BD-01","as:GENC:6:ed3:BD-01")</f>
        <v>as:GENC:6:ed3:BD-01</v>
      </c>
    </row>
    <row r="333" spans="1:7" x14ac:dyDescent="0.2">
      <c r="A333" s="85"/>
      <c r="B333" s="25" t="s">
        <v>2378</v>
      </c>
      <c r="C333" s="25" t="s">
        <v>2379</v>
      </c>
      <c r="D333" s="37" t="s">
        <v>1790</v>
      </c>
      <c r="E333" s="38" t="b">
        <v>0</v>
      </c>
      <c r="F333" s="27" t="str">
        <f>HYPERLINK("http://nsgreg.nga.mil/genc/view?v=118083&amp;gencs=T&amp;end_month=12&amp;end_day=31&amp;end_year=2014","Barguna")</f>
        <v>Barguna</v>
      </c>
      <c r="G333" s="28" t="str">
        <f>HYPERLINK("http://api.nsgreg.nga.mil/geo-division/GENC/6/ed3/BD-02","as:GENC:6:ed3:BD-02")</f>
        <v>as:GENC:6:ed3:BD-02</v>
      </c>
    </row>
    <row r="334" spans="1:7" x14ac:dyDescent="0.2">
      <c r="A334" s="85"/>
      <c r="B334" s="25" t="s">
        <v>2380</v>
      </c>
      <c r="C334" s="25" t="s">
        <v>12038</v>
      </c>
      <c r="D334" s="37" t="s">
        <v>1790</v>
      </c>
      <c r="E334" s="38" t="b">
        <v>0</v>
      </c>
      <c r="F334" s="27" t="str">
        <f>HYPERLINK("http://nsgreg.nga.mil/genc/view?v=211293&amp;end_month=12&amp;end_day=31&amp;end_year=2014","Barisāl")</f>
        <v>Barisāl</v>
      </c>
      <c r="G334" s="28" t="str">
        <f>HYPERLINK("http://api.nsgreg.nga.mil/geo-division/GENC/6/ed3/BD-06","as:GENC:6:ed3:BD-06")</f>
        <v>as:GENC:6:ed3:BD-06</v>
      </c>
    </row>
    <row r="335" spans="1:7" x14ac:dyDescent="0.2">
      <c r="A335" s="85"/>
      <c r="B335" s="25" t="s">
        <v>2382</v>
      </c>
      <c r="C335" s="25" t="s">
        <v>12038</v>
      </c>
      <c r="D335" s="25" t="s">
        <v>2383</v>
      </c>
      <c r="E335" s="26" t="b">
        <v>1</v>
      </c>
      <c r="F335" s="27" t="str">
        <f>HYPERLINK("http://nsgreg.nga.mil/genc/view?v=211327&amp;end_month=12&amp;end_day=31&amp;end_year=2014","Barisāl")</f>
        <v>Barisāl</v>
      </c>
      <c r="G335" s="28" t="str">
        <f>HYPERLINK("http://api.nsgreg.nga.mil/geo-division/GENC/6/ed3/BD-A","as:GENC:6:ed3:BD-A")</f>
        <v>as:GENC:6:ed3:BD-A</v>
      </c>
    </row>
    <row r="336" spans="1:7" x14ac:dyDescent="0.2">
      <c r="A336" s="85"/>
      <c r="B336" s="25" t="s">
        <v>2384</v>
      </c>
      <c r="C336" s="25" t="s">
        <v>2385</v>
      </c>
      <c r="D336" s="37" t="s">
        <v>1790</v>
      </c>
      <c r="E336" s="38" t="b">
        <v>0</v>
      </c>
      <c r="F336" s="27" t="str">
        <f>HYPERLINK("http://nsgreg.nga.mil/genc/view?v=118088&amp;gencs=T&amp;end_month=12&amp;end_day=31&amp;end_year=2014","Bhola")</f>
        <v>Bhola</v>
      </c>
      <c r="G336" s="28" t="str">
        <f>HYPERLINK("http://api.nsgreg.nga.mil/geo-division/GENC/6/ed3/BD-07","as:GENC:6:ed3:BD-07")</f>
        <v>as:GENC:6:ed3:BD-07</v>
      </c>
    </row>
    <row r="337" spans="1:7" x14ac:dyDescent="0.2">
      <c r="A337" s="85"/>
      <c r="B337" s="25" t="s">
        <v>2386</v>
      </c>
      <c r="C337" s="25" t="s">
        <v>2387</v>
      </c>
      <c r="D337" s="37" t="s">
        <v>1790</v>
      </c>
      <c r="E337" s="38" t="b">
        <v>0</v>
      </c>
      <c r="F337" s="27" t="str">
        <f>HYPERLINK("http://nsgreg.nga.mil/genc/view?v=118084&amp;gencs=T&amp;end_month=12&amp;end_day=31&amp;end_year=2014","Bogra")</f>
        <v>Bogra</v>
      </c>
      <c r="G337" s="28" t="str">
        <f>HYPERLINK("http://api.nsgreg.nga.mil/geo-division/GENC/6/ed3/BD-03","as:GENC:6:ed3:BD-03")</f>
        <v>as:GENC:6:ed3:BD-03</v>
      </c>
    </row>
    <row r="338" spans="1:7" x14ac:dyDescent="0.2">
      <c r="A338" s="85"/>
      <c r="B338" s="25" t="s">
        <v>2388</v>
      </c>
      <c r="C338" s="25" t="s">
        <v>12039</v>
      </c>
      <c r="D338" s="37" t="s">
        <v>1790</v>
      </c>
      <c r="E338" s="38" t="b">
        <v>0</v>
      </c>
      <c r="F338" s="27" t="str">
        <f>HYPERLINK("http://nsgreg.nga.mil/genc/view?v=211291&amp;end_month=12&amp;end_day=31&amp;end_year=2014","Brāhmanbāria")</f>
        <v>Brāhmanbāria</v>
      </c>
      <c r="G338" s="28" t="str">
        <f>HYPERLINK("http://api.nsgreg.nga.mil/geo-division/GENC/6/ed3/BD-04","as:GENC:6:ed3:BD-04")</f>
        <v>as:GENC:6:ed3:BD-04</v>
      </c>
    </row>
    <row r="339" spans="1:7" x14ac:dyDescent="0.2">
      <c r="A339" s="85"/>
      <c r="B339" s="25" t="s">
        <v>2390</v>
      </c>
      <c r="C339" s="25" t="s">
        <v>12040</v>
      </c>
      <c r="D339" s="37" t="s">
        <v>1790</v>
      </c>
      <c r="E339" s="38" t="b">
        <v>0</v>
      </c>
      <c r="F339" s="27" t="str">
        <f>HYPERLINK("http://nsgreg.nga.mil/genc/view?v=211294&amp;end_month=12&amp;end_day=31&amp;end_year=2014","Chāndpur")</f>
        <v>Chāndpur</v>
      </c>
      <c r="G339" s="28" t="str">
        <f>HYPERLINK("http://api.nsgreg.nga.mil/geo-division/GENC/6/ed3/BD-09","as:GENC:6:ed3:BD-09")</f>
        <v>as:GENC:6:ed3:BD-09</v>
      </c>
    </row>
    <row r="340" spans="1:7" x14ac:dyDescent="0.2">
      <c r="A340" s="85"/>
      <c r="B340" s="25" t="s">
        <v>2467</v>
      </c>
      <c r="C340" s="25" t="s">
        <v>12041</v>
      </c>
      <c r="D340" s="37" t="s">
        <v>1790</v>
      </c>
      <c r="E340" s="38" t="b">
        <v>0</v>
      </c>
      <c r="F340" s="27" t="str">
        <f>HYPERLINK("http://nsgreg.nga.mil/genc/view?v=211314&amp;end_month=12&amp;end_day=31&amp;end_year=2014","Chapai Nawābganj")</f>
        <v>Chapai Nawābganj</v>
      </c>
      <c r="G340" s="28" t="str">
        <f>HYPERLINK("http://api.nsgreg.nga.mil/geo-division/GENC/6/ed3/BD-45","as:GENC:6:ed3:BD-45")</f>
        <v>as:GENC:6:ed3:BD-45</v>
      </c>
    </row>
    <row r="341" spans="1:7" x14ac:dyDescent="0.2">
      <c r="A341" s="85"/>
      <c r="B341" s="25" t="s">
        <v>2392</v>
      </c>
      <c r="C341" s="25" t="s">
        <v>2393</v>
      </c>
      <c r="D341" s="37" t="s">
        <v>1790</v>
      </c>
      <c r="E341" s="38" t="b">
        <v>0</v>
      </c>
      <c r="F341" s="27" t="str">
        <f>HYPERLINK("http://nsgreg.nga.mil/genc/view?v=118091&amp;gencs=T&amp;end_month=12&amp;end_day=31&amp;end_year=2014","Chittagong")</f>
        <v>Chittagong</v>
      </c>
      <c r="G341" s="28" t="str">
        <f>HYPERLINK("http://api.nsgreg.nga.mil/geo-division/GENC/6/ed3/BD-10","as:GENC:6:ed3:BD-10")</f>
        <v>as:GENC:6:ed3:BD-10</v>
      </c>
    </row>
    <row r="342" spans="1:7" x14ac:dyDescent="0.2">
      <c r="A342" s="85"/>
      <c r="B342" s="25" t="s">
        <v>2394</v>
      </c>
      <c r="C342" s="25" t="s">
        <v>2393</v>
      </c>
      <c r="D342" s="25" t="s">
        <v>2383</v>
      </c>
      <c r="E342" s="26" t="b">
        <v>1</v>
      </c>
      <c r="F342" s="27" t="str">
        <f>HYPERLINK("http://nsgreg.nga.mil/genc/view?v=118147&amp;gencs=T&amp;end_month=12&amp;end_day=31&amp;end_year=2014","Chittagong")</f>
        <v>Chittagong</v>
      </c>
      <c r="G342" s="28" t="str">
        <f>HYPERLINK("http://api.nsgreg.nga.mil/geo-division/GENC/6/ed3/BD-B","as:GENC:6:ed3:BD-B")</f>
        <v>as:GENC:6:ed3:BD-B</v>
      </c>
    </row>
    <row r="343" spans="1:7" x14ac:dyDescent="0.2">
      <c r="A343" s="85"/>
      <c r="B343" s="25" t="s">
        <v>2395</v>
      </c>
      <c r="C343" s="25" t="s">
        <v>12042</v>
      </c>
      <c r="D343" s="37" t="s">
        <v>1790</v>
      </c>
      <c r="E343" s="38" t="b">
        <v>0</v>
      </c>
      <c r="F343" s="27" t="str">
        <f>HYPERLINK("http://nsgreg.nga.mil/genc/view?v=211296&amp;end_month=12&amp;end_day=31&amp;end_year=2014","Chuādānga")</f>
        <v>Chuādānga</v>
      </c>
      <c r="G343" s="28" t="str">
        <f>HYPERLINK("http://api.nsgreg.nga.mil/geo-division/GENC/6/ed3/BD-12","as:GENC:6:ed3:BD-12")</f>
        <v>as:GENC:6:ed3:BD-12</v>
      </c>
    </row>
    <row r="344" spans="1:7" x14ac:dyDescent="0.2">
      <c r="A344" s="85"/>
      <c r="B344" s="25" t="s">
        <v>2397</v>
      </c>
      <c r="C344" s="25" t="s">
        <v>2398</v>
      </c>
      <c r="D344" s="37" t="s">
        <v>1790</v>
      </c>
      <c r="E344" s="38" t="b">
        <v>0</v>
      </c>
      <c r="F344" s="27" t="str">
        <f>HYPERLINK("http://nsgreg.nga.mil/genc/view?v=118089&amp;gencs=T&amp;end_month=12&amp;end_day=31&amp;end_year=2014","Comilla")</f>
        <v>Comilla</v>
      </c>
      <c r="G344" s="28" t="str">
        <f>HYPERLINK("http://api.nsgreg.nga.mil/geo-division/GENC/6/ed3/BD-08","as:GENC:6:ed3:BD-08")</f>
        <v>as:GENC:6:ed3:BD-08</v>
      </c>
    </row>
    <row r="345" spans="1:7" x14ac:dyDescent="0.2">
      <c r="A345" s="85"/>
      <c r="B345" s="25" t="s">
        <v>2399</v>
      </c>
      <c r="C345" s="25" t="s">
        <v>12043</v>
      </c>
      <c r="D345" s="37" t="s">
        <v>1790</v>
      </c>
      <c r="E345" s="38" t="b">
        <v>0</v>
      </c>
      <c r="F345" s="27" t="str">
        <f>HYPERLINK("http://nsgreg.nga.mil/genc/view?v=211295&amp;end_month=12&amp;end_day=31&amp;end_year=2014","Cox’s Bāzār")</f>
        <v>Cox’s Bāzār</v>
      </c>
      <c r="G345" s="28" t="str">
        <f>HYPERLINK("http://api.nsgreg.nga.mil/geo-division/GENC/6/ed3/BD-11","as:GENC:6:ed3:BD-11")</f>
        <v>as:GENC:6:ed3:BD-11</v>
      </c>
    </row>
    <row r="346" spans="1:7" x14ac:dyDescent="0.2">
      <c r="A346" s="85"/>
      <c r="B346" s="25" t="s">
        <v>2401</v>
      </c>
      <c r="C346" s="25" t="s">
        <v>2402</v>
      </c>
      <c r="D346" s="37" t="s">
        <v>1790</v>
      </c>
      <c r="E346" s="38" t="b">
        <v>0</v>
      </c>
      <c r="F346" s="27" t="str">
        <f>HYPERLINK("http://nsgreg.nga.mil/genc/view?v=118094&amp;gencs=T&amp;end_month=12&amp;end_day=31&amp;end_year=2014","Dhaka")</f>
        <v>Dhaka</v>
      </c>
      <c r="G346" s="28" t="str">
        <f>HYPERLINK("http://api.nsgreg.nga.mil/geo-division/GENC/6/ed3/BD-13","as:GENC:6:ed3:BD-13")</f>
        <v>as:GENC:6:ed3:BD-13</v>
      </c>
    </row>
    <row r="347" spans="1:7" x14ac:dyDescent="0.2">
      <c r="A347" s="85"/>
      <c r="B347" s="25" t="s">
        <v>2403</v>
      </c>
      <c r="C347" s="25" t="s">
        <v>2402</v>
      </c>
      <c r="D347" s="25" t="s">
        <v>2383</v>
      </c>
      <c r="E347" s="26" t="b">
        <v>1</v>
      </c>
      <c r="F347" s="27" t="str">
        <f>HYPERLINK("http://nsgreg.nga.mil/genc/view?v=118148&amp;gencs=T&amp;end_month=12&amp;end_day=31&amp;end_year=2014","Dhaka")</f>
        <v>Dhaka</v>
      </c>
      <c r="G347" s="28" t="str">
        <f>HYPERLINK("http://api.nsgreg.nga.mil/geo-division/GENC/6/ed3/BD-C","as:GENC:6:ed3:BD-C")</f>
        <v>as:GENC:6:ed3:BD-C</v>
      </c>
    </row>
    <row r="348" spans="1:7" x14ac:dyDescent="0.2">
      <c r="A348" s="85"/>
      <c r="B348" s="25" t="s">
        <v>2404</v>
      </c>
      <c r="C348" s="25" t="s">
        <v>12044</v>
      </c>
      <c r="D348" s="37" t="s">
        <v>1790</v>
      </c>
      <c r="E348" s="38" t="b">
        <v>0</v>
      </c>
      <c r="F348" s="27" t="str">
        <f>HYPERLINK("http://nsgreg.nga.mil/genc/view?v=211297&amp;end_month=12&amp;end_day=31&amp;end_year=2014","Dinājpur")</f>
        <v>Dinājpur</v>
      </c>
      <c r="G348" s="28" t="str">
        <f>HYPERLINK("http://api.nsgreg.nga.mil/geo-division/GENC/6/ed3/BD-14","as:GENC:6:ed3:BD-14")</f>
        <v>as:GENC:6:ed3:BD-14</v>
      </c>
    </row>
    <row r="349" spans="1:7" x14ac:dyDescent="0.2">
      <c r="A349" s="85"/>
      <c r="B349" s="25" t="s">
        <v>2406</v>
      </c>
      <c r="C349" s="25" t="s">
        <v>12045</v>
      </c>
      <c r="D349" s="37" t="s">
        <v>1790</v>
      </c>
      <c r="E349" s="38" t="b">
        <v>0</v>
      </c>
      <c r="F349" s="27" t="str">
        <f>HYPERLINK("http://nsgreg.nga.mil/genc/view?v=211298&amp;end_month=12&amp;end_day=31&amp;end_year=2014","Farīdpur")</f>
        <v>Farīdpur</v>
      </c>
      <c r="G349" s="28" t="str">
        <f>HYPERLINK("http://api.nsgreg.nga.mil/geo-division/GENC/6/ed3/BD-15","as:GENC:6:ed3:BD-15")</f>
        <v>as:GENC:6:ed3:BD-15</v>
      </c>
    </row>
    <row r="350" spans="1:7" x14ac:dyDescent="0.2">
      <c r="A350" s="85"/>
      <c r="B350" s="25" t="s">
        <v>2408</v>
      </c>
      <c r="C350" s="25" t="s">
        <v>2409</v>
      </c>
      <c r="D350" s="37" t="s">
        <v>1790</v>
      </c>
      <c r="E350" s="38" t="b">
        <v>0</v>
      </c>
      <c r="F350" s="27" t="str">
        <f>HYPERLINK("http://nsgreg.nga.mil/genc/view?v=118097&amp;gencs=T&amp;end_month=12&amp;end_day=31&amp;end_year=2014","Feni")</f>
        <v>Feni</v>
      </c>
      <c r="G350" s="28" t="str">
        <f>HYPERLINK("http://api.nsgreg.nga.mil/geo-division/GENC/6/ed3/BD-16","as:GENC:6:ed3:BD-16")</f>
        <v>as:GENC:6:ed3:BD-16</v>
      </c>
    </row>
    <row r="351" spans="1:7" x14ac:dyDescent="0.2">
      <c r="A351" s="85"/>
      <c r="B351" s="25" t="s">
        <v>2410</v>
      </c>
      <c r="C351" s="25" t="s">
        <v>2411</v>
      </c>
      <c r="D351" s="37" t="s">
        <v>1790</v>
      </c>
      <c r="E351" s="38" t="b">
        <v>0</v>
      </c>
      <c r="F351" s="27" t="str">
        <f>HYPERLINK("http://nsgreg.nga.mil/genc/view?v=118100&amp;gencs=T&amp;end_month=12&amp;end_day=31&amp;end_year=2014","Gaibandha")</f>
        <v>Gaibandha</v>
      </c>
      <c r="G351" s="28" t="str">
        <f>HYPERLINK("http://api.nsgreg.nga.mil/geo-division/GENC/6/ed3/BD-19","as:GENC:6:ed3:BD-19")</f>
        <v>as:GENC:6:ed3:BD-19</v>
      </c>
    </row>
    <row r="352" spans="1:7" x14ac:dyDescent="0.2">
      <c r="A352" s="85"/>
      <c r="B352" s="25" t="s">
        <v>2412</v>
      </c>
      <c r="C352" s="25" t="s">
        <v>12046</v>
      </c>
      <c r="D352" s="37" t="s">
        <v>1790</v>
      </c>
      <c r="E352" s="38" t="b">
        <v>0</v>
      </c>
      <c r="F352" s="27" t="str">
        <f>HYPERLINK("http://nsgreg.nga.mil/genc/view?v=211300&amp;end_month=12&amp;end_day=31&amp;end_year=2014","Gāzipur")</f>
        <v>Gāzipur</v>
      </c>
      <c r="G352" s="28" t="str">
        <f>HYPERLINK("http://api.nsgreg.nga.mil/geo-division/GENC/6/ed3/BD-18","as:GENC:6:ed3:BD-18")</f>
        <v>as:GENC:6:ed3:BD-18</v>
      </c>
    </row>
    <row r="353" spans="1:7" x14ac:dyDescent="0.2">
      <c r="A353" s="85"/>
      <c r="B353" s="25" t="s">
        <v>2414</v>
      </c>
      <c r="C353" s="25" t="s">
        <v>12047</v>
      </c>
      <c r="D353" s="37" t="s">
        <v>1790</v>
      </c>
      <c r="E353" s="38" t="b">
        <v>0</v>
      </c>
      <c r="F353" s="27" t="str">
        <f>HYPERLINK("http://nsgreg.nga.mil/genc/view?v=211299&amp;end_month=12&amp;end_day=31&amp;end_year=2014","Gopālganj")</f>
        <v>Gopālganj</v>
      </c>
      <c r="G353" s="28" t="str">
        <f>HYPERLINK("http://api.nsgreg.nga.mil/geo-division/GENC/6/ed3/BD-17","as:GENC:6:ed3:BD-17")</f>
        <v>as:GENC:6:ed3:BD-17</v>
      </c>
    </row>
    <row r="354" spans="1:7" x14ac:dyDescent="0.2">
      <c r="A354" s="85"/>
      <c r="B354" s="25" t="s">
        <v>2416</v>
      </c>
      <c r="C354" s="25" t="s">
        <v>2417</v>
      </c>
      <c r="D354" s="37" t="s">
        <v>1790</v>
      </c>
      <c r="E354" s="38" t="b">
        <v>0</v>
      </c>
      <c r="F354" s="27" t="str">
        <f>HYPERLINK("http://nsgreg.nga.mil/genc/view?v=118101&amp;gencs=T&amp;end_month=12&amp;end_day=31&amp;end_year=2014","Habiganj")</f>
        <v>Habiganj</v>
      </c>
      <c r="G354" s="28" t="str">
        <f>HYPERLINK("http://api.nsgreg.nga.mil/geo-division/GENC/6/ed3/BD-20","as:GENC:6:ed3:BD-20")</f>
        <v>as:GENC:6:ed3:BD-20</v>
      </c>
    </row>
    <row r="355" spans="1:7" x14ac:dyDescent="0.2">
      <c r="A355" s="85"/>
      <c r="B355" s="25" t="s">
        <v>2418</v>
      </c>
      <c r="C355" s="25" t="s">
        <v>12048</v>
      </c>
      <c r="D355" s="37" t="s">
        <v>1790</v>
      </c>
      <c r="E355" s="38" t="b">
        <v>0</v>
      </c>
      <c r="F355" s="27" t="str">
        <f>HYPERLINK("http://nsgreg.nga.mil/genc/view?v=211302&amp;end_month=12&amp;end_day=31&amp;end_year=2014","Jaipurhāt")</f>
        <v>Jaipurhāt</v>
      </c>
      <c r="G355" s="28" t="str">
        <f>HYPERLINK("http://api.nsgreg.nga.mil/geo-division/GENC/6/ed3/BD-24","as:GENC:6:ed3:BD-24")</f>
        <v>as:GENC:6:ed3:BD-24</v>
      </c>
    </row>
    <row r="356" spans="1:7" x14ac:dyDescent="0.2">
      <c r="A356" s="85"/>
      <c r="B356" s="25" t="s">
        <v>2420</v>
      </c>
      <c r="C356" s="25" t="s">
        <v>12049</v>
      </c>
      <c r="D356" s="37" t="s">
        <v>1790</v>
      </c>
      <c r="E356" s="38" t="b">
        <v>0</v>
      </c>
      <c r="F356" s="27" t="str">
        <f>HYPERLINK("http://nsgreg.nga.mil/genc/view?v=211301&amp;end_month=12&amp;end_day=31&amp;end_year=2014","Jamālpur")</f>
        <v>Jamālpur</v>
      </c>
      <c r="G356" s="28" t="str">
        <f>HYPERLINK("http://api.nsgreg.nga.mil/geo-division/GENC/6/ed3/BD-21","as:GENC:6:ed3:BD-21")</f>
        <v>as:GENC:6:ed3:BD-21</v>
      </c>
    </row>
    <row r="357" spans="1:7" x14ac:dyDescent="0.2">
      <c r="A357" s="85"/>
      <c r="B357" s="25" t="s">
        <v>2422</v>
      </c>
      <c r="C357" s="25" t="s">
        <v>2423</v>
      </c>
      <c r="D357" s="37" t="s">
        <v>1790</v>
      </c>
      <c r="E357" s="38" t="b">
        <v>0</v>
      </c>
      <c r="F357" s="27" t="str">
        <f>HYPERLINK("http://nsgreg.nga.mil/genc/view?v=118103&amp;gencs=T&amp;end_month=12&amp;end_day=31&amp;end_year=2014","Jessore")</f>
        <v>Jessore</v>
      </c>
      <c r="G357" s="28" t="str">
        <f>HYPERLINK("http://api.nsgreg.nga.mil/geo-division/GENC/6/ed3/BD-22","as:GENC:6:ed3:BD-22")</f>
        <v>as:GENC:6:ed3:BD-22</v>
      </c>
    </row>
    <row r="358" spans="1:7" x14ac:dyDescent="0.2">
      <c r="A358" s="85"/>
      <c r="B358" s="25" t="s">
        <v>2424</v>
      </c>
      <c r="C358" s="25" t="s">
        <v>12050</v>
      </c>
      <c r="D358" s="37" t="s">
        <v>1790</v>
      </c>
      <c r="E358" s="38" t="b">
        <v>0</v>
      </c>
      <c r="F358" s="27" t="str">
        <f>HYPERLINK("http://nsgreg.nga.mil/genc/view?v=211303&amp;end_month=12&amp;end_day=31&amp;end_year=2014","Jhālakāti")</f>
        <v>Jhālakāti</v>
      </c>
      <c r="G358" s="28" t="str">
        <f>HYPERLINK("http://api.nsgreg.nga.mil/geo-division/GENC/6/ed3/BD-25","as:GENC:6:ed3:BD-25")</f>
        <v>as:GENC:6:ed3:BD-25</v>
      </c>
    </row>
    <row r="359" spans="1:7" x14ac:dyDescent="0.2">
      <c r="A359" s="85"/>
      <c r="B359" s="25" t="s">
        <v>2426</v>
      </c>
      <c r="C359" s="25" t="s">
        <v>2427</v>
      </c>
      <c r="D359" s="37" t="s">
        <v>1790</v>
      </c>
      <c r="E359" s="38" t="b">
        <v>0</v>
      </c>
      <c r="F359" s="27" t="str">
        <f>HYPERLINK("http://nsgreg.nga.mil/genc/view?v=118104&amp;gencs=T&amp;end_month=12&amp;end_day=31&amp;end_year=2014","Jhenaidah")</f>
        <v>Jhenaidah</v>
      </c>
      <c r="G359" s="28" t="str">
        <f>HYPERLINK("http://api.nsgreg.nga.mil/geo-division/GENC/6/ed3/BD-23","as:GENC:6:ed3:BD-23")</f>
        <v>as:GENC:6:ed3:BD-23</v>
      </c>
    </row>
    <row r="360" spans="1:7" x14ac:dyDescent="0.2">
      <c r="A360" s="85"/>
      <c r="B360" s="25" t="s">
        <v>2428</v>
      </c>
      <c r="C360" s="25" t="s">
        <v>12051</v>
      </c>
      <c r="D360" s="37" t="s">
        <v>1790</v>
      </c>
      <c r="E360" s="38" t="b">
        <v>0</v>
      </c>
      <c r="F360" s="27" t="str">
        <f>HYPERLINK("http://nsgreg.nga.mil/genc/view?v=211306&amp;end_month=12&amp;end_day=31&amp;end_year=2014","Khagrāchari")</f>
        <v>Khagrāchari</v>
      </c>
      <c r="G360" s="28" t="str">
        <f>HYPERLINK("http://api.nsgreg.nga.mil/geo-division/GENC/6/ed3/BD-29","as:GENC:6:ed3:BD-29")</f>
        <v>as:GENC:6:ed3:BD-29</v>
      </c>
    </row>
    <row r="361" spans="1:7" x14ac:dyDescent="0.2">
      <c r="A361" s="85"/>
      <c r="B361" s="25" t="s">
        <v>2430</v>
      </c>
      <c r="C361" s="25" t="s">
        <v>2431</v>
      </c>
      <c r="D361" s="37" t="s">
        <v>1790</v>
      </c>
      <c r="E361" s="38" t="b">
        <v>0</v>
      </c>
      <c r="F361" s="27" t="str">
        <f>HYPERLINK("http://nsgreg.nga.mil/genc/view?v=118108&amp;gencs=T&amp;end_month=12&amp;end_day=31&amp;end_year=2014","Khulna")</f>
        <v>Khulna</v>
      </c>
      <c r="G361" s="28" t="str">
        <f>HYPERLINK("http://api.nsgreg.nga.mil/geo-division/GENC/6/ed3/BD-27","as:GENC:6:ed3:BD-27")</f>
        <v>as:GENC:6:ed3:BD-27</v>
      </c>
    </row>
    <row r="362" spans="1:7" x14ac:dyDescent="0.2">
      <c r="A362" s="85"/>
      <c r="B362" s="25" t="s">
        <v>2432</v>
      </c>
      <c r="C362" s="25" t="s">
        <v>2431</v>
      </c>
      <c r="D362" s="25" t="s">
        <v>2383</v>
      </c>
      <c r="E362" s="26" t="b">
        <v>1</v>
      </c>
      <c r="F362" s="27" t="str">
        <f>HYPERLINK("http://nsgreg.nga.mil/genc/view?v=118149&amp;gencs=T&amp;end_month=12&amp;end_day=31&amp;end_year=2014","Khulna")</f>
        <v>Khulna</v>
      </c>
      <c r="G362" s="28" t="str">
        <f>HYPERLINK("http://api.nsgreg.nga.mil/geo-division/GENC/6/ed3/BD-D","as:GENC:6:ed3:BD-D")</f>
        <v>as:GENC:6:ed3:BD-D</v>
      </c>
    </row>
    <row r="363" spans="1:7" x14ac:dyDescent="0.2">
      <c r="A363" s="85"/>
      <c r="B363" s="25" t="s">
        <v>2433</v>
      </c>
      <c r="C363" s="25" t="s">
        <v>12052</v>
      </c>
      <c r="D363" s="37" t="s">
        <v>1790</v>
      </c>
      <c r="E363" s="38" t="b">
        <v>0</v>
      </c>
      <c r="F363" s="27" t="str">
        <f>HYPERLINK("http://nsgreg.nga.mil/genc/view?v=211304&amp;end_month=12&amp;end_day=31&amp;end_year=2014","Kishorganj")</f>
        <v>Kishorganj</v>
      </c>
      <c r="G363" s="28" t="str">
        <f>HYPERLINK("http://api.nsgreg.nga.mil/geo-division/GENC/6/ed3/BD-26","as:GENC:6:ed3:BD-26")</f>
        <v>as:GENC:6:ed3:BD-26</v>
      </c>
    </row>
    <row r="364" spans="1:7" x14ac:dyDescent="0.2">
      <c r="A364" s="85"/>
      <c r="B364" s="25" t="s">
        <v>2435</v>
      </c>
      <c r="C364" s="25" t="s">
        <v>12053</v>
      </c>
      <c r="D364" s="37" t="s">
        <v>1790</v>
      </c>
      <c r="E364" s="38" t="b">
        <v>0</v>
      </c>
      <c r="F364" s="27" t="str">
        <f>HYPERLINK("http://nsgreg.nga.mil/genc/view?v=211305&amp;end_month=12&amp;end_day=31&amp;end_year=2014","Kurīgrām")</f>
        <v>Kurīgrām</v>
      </c>
      <c r="G364" s="28" t="str">
        <f>HYPERLINK("http://api.nsgreg.nga.mil/geo-division/GENC/6/ed3/BD-28","as:GENC:6:ed3:BD-28")</f>
        <v>as:GENC:6:ed3:BD-28</v>
      </c>
    </row>
    <row r="365" spans="1:7" x14ac:dyDescent="0.2">
      <c r="A365" s="85"/>
      <c r="B365" s="25" t="s">
        <v>2437</v>
      </c>
      <c r="C365" s="25" t="s">
        <v>2438</v>
      </c>
      <c r="D365" s="37" t="s">
        <v>1790</v>
      </c>
      <c r="E365" s="38" t="b">
        <v>0</v>
      </c>
      <c r="F365" s="27" t="str">
        <f>HYPERLINK("http://nsgreg.nga.mil/genc/view?v=118111&amp;gencs=T&amp;end_month=12&amp;end_day=31&amp;end_year=2014","Kushtia")</f>
        <v>Kushtia</v>
      </c>
      <c r="G365" s="28" t="str">
        <f>HYPERLINK("http://api.nsgreg.nga.mil/geo-division/GENC/6/ed3/BD-30","as:GENC:6:ed3:BD-30")</f>
        <v>as:GENC:6:ed3:BD-30</v>
      </c>
    </row>
    <row r="366" spans="1:7" x14ac:dyDescent="0.2">
      <c r="A366" s="85"/>
      <c r="B366" s="25" t="s">
        <v>2439</v>
      </c>
      <c r="C366" s="25" t="s">
        <v>2440</v>
      </c>
      <c r="D366" s="37" t="s">
        <v>1790</v>
      </c>
      <c r="E366" s="38" t="b">
        <v>0</v>
      </c>
      <c r="F366" s="27" t="str">
        <f>HYPERLINK("http://nsgreg.nga.mil/genc/view?v=118112&amp;gencs=T&amp;end_month=12&amp;end_day=31&amp;end_year=2014","Lakshmipur")</f>
        <v>Lakshmipur</v>
      </c>
      <c r="G366" s="28" t="str">
        <f>HYPERLINK("http://api.nsgreg.nga.mil/geo-division/GENC/6/ed3/BD-31","as:GENC:6:ed3:BD-31")</f>
        <v>as:GENC:6:ed3:BD-31</v>
      </c>
    </row>
    <row r="367" spans="1:7" x14ac:dyDescent="0.2">
      <c r="A367" s="85"/>
      <c r="B367" s="25" t="s">
        <v>2441</v>
      </c>
      <c r="C367" s="25" t="s">
        <v>12054</v>
      </c>
      <c r="D367" s="37" t="s">
        <v>1790</v>
      </c>
      <c r="E367" s="38" t="b">
        <v>0</v>
      </c>
      <c r="F367" s="27" t="str">
        <f>HYPERLINK("http://nsgreg.nga.mil/genc/view?v=211307&amp;end_month=12&amp;end_day=31&amp;end_year=2014","Lālmonirhāt")</f>
        <v>Lālmonirhāt</v>
      </c>
      <c r="G367" s="28" t="str">
        <f>HYPERLINK("http://api.nsgreg.nga.mil/geo-division/GENC/6/ed3/BD-32","as:GENC:6:ed3:BD-32")</f>
        <v>as:GENC:6:ed3:BD-32</v>
      </c>
    </row>
    <row r="368" spans="1:7" x14ac:dyDescent="0.2">
      <c r="A368" s="85"/>
      <c r="B368" s="25" t="s">
        <v>2443</v>
      </c>
      <c r="C368" s="25" t="s">
        <v>12055</v>
      </c>
      <c r="D368" s="37" t="s">
        <v>1790</v>
      </c>
      <c r="E368" s="38" t="b">
        <v>0</v>
      </c>
      <c r="F368" s="27" t="str">
        <f>HYPERLINK("http://nsgreg.nga.mil/genc/view?v=211309&amp;end_month=12&amp;end_day=31&amp;end_year=2014","Mādārīpur")</f>
        <v>Mādārīpur</v>
      </c>
      <c r="G368" s="28" t="str">
        <f>HYPERLINK("http://api.nsgreg.nga.mil/geo-division/GENC/6/ed3/BD-36","as:GENC:6:ed3:BD-36")</f>
        <v>as:GENC:6:ed3:BD-36</v>
      </c>
    </row>
    <row r="369" spans="1:7" x14ac:dyDescent="0.2">
      <c r="A369" s="85"/>
      <c r="B369" s="25" t="s">
        <v>2445</v>
      </c>
      <c r="C369" s="25" t="s">
        <v>12056</v>
      </c>
      <c r="D369" s="37" t="s">
        <v>1790</v>
      </c>
      <c r="E369" s="38" t="b">
        <v>0</v>
      </c>
      <c r="F369" s="27" t="str">
        <f>HYPERLINK("http://nsgreg.nga.mil/genc/view?v=211310&amp;end_month=12&amp;end_day=31&amp;end_year=2014","Māgura")</f>
        <v>Māgura</v>
      </c>
      <c r="G369" s="28" t="str">
        <f>HYPERLINK("http://api.nsgreg.nga.mil/geo-division/GENC/6/ed3/BD-37","as:GENC:6:ed3:BD-37")</f>
        <v>as:GENC:6:ed3:BD-37</v>
      </c>
    </row>
    <row r="370" spans="1:7" x14ac:dyDescent="0.2">
      <c r="A370" s="85"/>
      <c r="B370" s="25" t="s">
        <v>2447</v>
      </c>
      <c r="C370" s="25" t="s">
        <v>12057</v>
      </c>
      <c r="D370" s="37" t="s">
        <v>1790</v>
      </c>
      <c r="E370" s="38" t="b">
        <v>0</v>
      </c>
      <c r="F370" s="27" t="str">
        <f>HYPERLINK("http://nsgreg.nga.mil/genc/view?v=211308&amp;end_month=12&amp;end_day=31&amp;end_year=2014","Mānikganj")</f>
        <v>Mānikganj</v>
      </c>
      <c r="G370" s="28" t="str">
        <f>HYPERLINK("http://api.nsgreg.nga.mil/geo-division/GENC/6/ed3/BD-33","as:GENC:6:ed3:BD-33")</f>
        <v>as:GENC:6:ed3:BD-33</v>
      </c>
    </row>
    <row r="371" spans="1:7" x14ac:dyDescent="0.2">
      <c r="A371" s="85"/>
      <c r="B371" s="25" t="s">
        <v>2449</v>
      </c>
      <c r="C371" s="25" t="s">
        <v>2450</v>
      </c>
      <c r="D371" s="37" t="s">
        <v>1790</v>
      </c>
      <c r="E371" s="38" t="b">
        <v>0</v>
      </c>
      <c r="F371" s="27" t="str">
        <f>HYPERLINK("http://nsgreg.nga.mil/genc/view?v=118120&amp;gencs=T&amp;end_month=12&amp;end_day=31&amp;end_year=2014","Meherpur")</f>
        <v>Meherpur</v>
      </c>
      <c r="G371" s="28" t="str">
        <f>HYPERLINK("http://api.nsgreg.nga.mil/geo-division/GENC/6/ed3/BD-39","as:GENC:6:ed3:BD-39")</f>
        <v>as:GENC:6:ed3:BD-39</v>
      </c>
    </row>
    <row r="372" spans="1:7" x14ac:dyDescent="0.2">
      <c r="A372" s="85"/>
      <c r="B372" s="25" t="s">
        <v>2451</v>
      </c>
      <c r="C372" s="25" t="s">
        <v>12058</v>
      </c>
      <c r="D372" s="37" t="s">
        <v>1790</v>
      </c>
      <c r="E372" s="38" t="b">
        <v>0</v>
      </c>
      <c r="F372" s="27" t="str">
        <f>HYPERLINK("http://nsgreg.nga.mil/genc/view?v=211311&amp;end_month=12&amp;end_day=31&amp;end_year=2014","Moulvibāzār")</f>
        <v>Moulvibāzār</v>
      </c>
      <c r="G372" s="28" t="str">
        <f>HYPERLINK("http://api.nsgreg.nga.mil/geo-division/GENC/6/ed3/BD-38","as:GENC:6:ed3:BD-38")</f>
        <v>as:GENC:6:ed3:BD-38</v>
      </c>
    </row>
    <row r="373" spans="1:7" x14ac:dyDescent="0.2">
      <c r="A373" s="85"/>
      <c r="B373" s="25" t="s">
        <v>2453</v>
      </c>
      <c r="C373" s="25" t="s">
        <v>2454</v>
      </c>
      <c r="D373" s="37" t="s">
        <v>1790</v>
      </c>
      <c r="E373" s="38" t="b">
        <v>0</v>
      </c>
      <c r="F373" s="27" t="str">
        <f>HYPERLINK("http://nsgreg.nga.mil/genc/view?v=118116&amp;gencs=T&amp;end_month=12&amp;end_day=31&amp;end_year=2014","Munshiganj")</f>
        <v>Munshiganj</v>
      </c>
      <c r="G373" s="28" t="str">
        <f>HYPERLINK("http://api.nsgreg.nga.mil/geo-division/GENC/6/ed3/BD-35","as:GENC:6:ed3:BD-35")</f>
        <v>as:GENC:6:ed3:BD-35</v>
      </c>
    </row>
    <row r="374" spans="1:7" x14ac:dyDescent="0.2">
      <c r="A374" s="85"/>
      <c r="B374" s="25" t="s">
        <v>2455</v>
      </c>
      <c r="C374" s="25" t="s">
        <v>2456</v>
      </c>
      <c r="D374" s="37" t="s">
        <v>1790</v>
      </c>
      <c r="E374" s="38" t="b">
        <v>0</v>
      </c>
      <c r="F374" s="27" t="str">
        <f>HYPERLINK("http://nsgreg.nga.mil/genc/view?v=118115&amp;gencs=T&amp;end_month=12&amp;end_day=31&amp;end_year=2014","Mymensingh")</f>
        <v>Mymensingh</v>
      </c>
      <c r="G374" s="28" t="str">
        <f>HYPERLINK("http://api.nsgreg.nga.mil/geo-division/GENC/6/ed3/BD-34","as:GENC:6:ed3:BD-34")</f>
        <v>as:GENC:6:ed3:BD-34</v>
      </c>
    </row>
    <row r="375" spans="1:7" x14ac:dyDescent="0.2">
      <c r="A375" s="85"/>
      <c r="B375" s="25" t="s">
        <v>2457</v>
      </c>
      <c r="C375" s="25" t="s">
        <v>2458</v>
      </c>
      <c r="D375" s="37" t="s">
        <v>1790</v>
      </c>
      <c r="E375" s="38" t="b">
        <v>0</v>
      </c>
      <c r="F375" s="27" t="str">
        <f>HYPERLINK("http://nsgreg.nga.mil/genc/view?v=118129&amp;gencs=T&amp;end_month=12&amp;end_day=31&amp;end_year=2014","Naogaon")</f>
        <v>Naogaon</v>
      </c>
      <c r="G375" s="28" t="str">
        <f>HYPERLINK("http://api.nsgreg.nga.mil/geo-division/GENC/6/ed3/BD-48","as:GENC:6:ed3:BD-48")</f>
        <v>as:GENC:6:ed3:BD-48</v>
      </c>
    </row>
    <row r="376" spans="1:7" x14ac:dyDescent="0.2">
      <c r="A376" s="85"/>
      <c r="B376" s="25" t="s">
        <v>2459</v>
      </c>
      <c r="C376" s="25" t="s">
        <v>2460</v>
      </c>
      <c r="D376" s="37" t="s">
        <v>1790</v>
      </c>
      <c r="E376" s="38" t="b">
        <v>0</v>
      </c>
      <c r="F376" s="27" t="str">
        <f>HYPERLINK("http://nsgreg.nga.mil/genc/view?v=118124&amp;gencs=T&amp;end_month=12&amp;end_day=31&amp;end_year=2014","Narail")</f>
        <v>Narail</v>
      </c>
      <c r="G376" s="28" t="str">
        <f>HYPERLINK("http://api.nsgreg.nga.mil/geo-division/GENC/6/ed3/BD-43","as:GENC:6:ed3:BD-43")</f>
        <v>as:GENC:6:ed3:BD-43</v>
      </c>
    </row>
    <row r="377" spans="1:7" x14ac:dyDescent="0.2">
      <c r="A377" s="85"/>
      <c r="B377" s="25" t="s">
        <v>2461</v>
      </c>
      <c r="C377" s="25" t="s">
        <v>12059</v>
      </c>
      <c r="D377" s="37" t="s">
        <v>1790</v>
      </c>
      <c r="E377" s="38" t="b">
        <v>0</v>
      </c>
      <c r="F377" s="27" t="str">
        <f>HYPERLINK("http://nsgreg.nga.mil/genc/view?v=211312&amp;end_month=12&amp;end_day=31&amp;end_year=2014","Nārāyanganj")</f>
        <v>Nārāyanganj</v>
      </c>
      <c r="G377" s="28" t="str">
        <f>HYPERLINK("http://api.nsgreg.nga.mil/geo-division/GENC/6/ed3/BD-40","as:GENC:6:ed3:BD-40")</f>
        <v>as:GENC:6:ed3:BD-40</v>
      </c>
    </row>
    <row r="378" spans="1:7" x14ac:dyDescent="0.2">
      <c r="A378" s="85"/>
      <c r="B378" s="25" t="s">
        <v>2463</v>
      </c>
      <c r="C378" s="25" t="s">
        <v>2464</v>
      </c>
      <c r="D378" s="37" t="s">
        <v>1790</v>
      </c>
      <c r="E378" s="38" t="b">
        <v>0</v>
      </c>
      <c r="F378" s="27" t="str">
        <f>HYPERLINK("http://nsgreg.nga.mil/genc/view?v=118123&amp;gencs=T&amp;end_month=12&amp;end_day=31&amp;end_year=2014","Narsingdi")</f>
        <v>Narsingdi</v>
      </c>
      <c r="G378" s="28" t="str">
        <f>HYPERLINK("http://api.nsgreg.nga.mil/geo-division/GENC/6/ed3/BD-42","as:GENC:6:ed3:BD-42")</f>
        <v>as:GENC:6:ed3:BD-42</v>
      </c>
    </row>
    <row r="379" spans="1:7" x14ac:dyDescent="0.2">
      <c r="A379" s="85"/>
      <c r="B379" s="25" t="s">
        <v>2465</v>
      </c>
      <c r="C379" s="25" t="s">
        <v>12060</v>
      </c>
      <c r="D379" s="37" t="s">
        <v>1790</v>
      </c>
      <c r="E379" s="38" t="b">
        <v>0</v>
      </c>
      <c r="F379" s="27" t="str">
        <f>HYPERLINK("http://nsgreg.nga.mil/genc/view?v=211313&amp;end_month=12&amp;end_day=31&amp;end_year=2014","Nator")</f>
        <v>Nator</v>
      </c>
      <c r="G379" s="28" t="str">
        <f>HYPERLINK("http://api.nsgreg.nga.mil/geo-division/GENC/6/ed3/BD-44","as:GENC:6:ed3:BD-44")</f>
        <v>as:GENC:6:ed3:BD-44</v>
      </c>
    </row>
    <row r="380" spans="1:7" x14ac:dyDescent="0.2">
      <c r="A380" s="85"/>
      <c r="B380" s="25" t="s">
        <v>2469</v>
      </c>
      <c r="C380" s="25" t="s">
        <v>2470</v>
      </c>
      <c r="D380" s="37" t="s">
        <v>1790</v>
      </c>
      <c r="E380" s="38" t="b">
        <v>0</v>
      </c>
      <c r="F380" s="27" t="str">
        <f>HYPERLINK("http://nsgreg.nga.mil/genc/view?v=118122&amp;gencs=T&amp;end_month=12&amp;end_day=31&amp;end_year=2014","Netrakona")</f>
        <v>Netrakona</v>
      </c>
      <c r="G380" s="28" t="str">
        <f>HYPERLINK("http://api.nsgreg.nga.mil/geo-division/GENC/6/ed3/BD-41","as:GENC:6:ed3:BD-41")</f>
        <v>as:GENC:6:ed3:BD-41</v>
      </c>
    </row>
    <row r="381" spans="1:7" x14ac:dyDescent="0.2">
      <c r="A381" s="85"/>
      <c r="B381" s="25" t="s">
        <v>2471</v>
      </c>
      <c r="C381" s="25" t="s">
        <v>12061</v>
      </c>
      <c r="D381" s="37" t="s">
        <v>1790</v>
      </c>
      <c r="E381" s="38" t="b">
        <v>0</v>
      </c>
      <c r="F381" s="27" t="str">
        <f>HYPERLINK("http://nsgreg.nga.mil/genc/view?v=211315&amp;end_month=12&amp;end_day=31&amp;end_year=2014","Nilphāmāri")</f>
        <v>Nilphāmāri</v>
      </c>
      <c r="G381" s="28" t="str">
        <f>HYPERLINK("http://api.nsgreg.nga.mil/geo-division/GENC/6/ed3/BD-46","as:GENC:6:ed3:BD-46")</f>
        <v>as:GENC:6:ed3:BD-46</v>
      </c>
    </row>
    <row r="382" spans="1:7" x14ac:dyDescent="0.2">
      <c r="A382" s="85"/>
      <c r="B382" s="25" t="s">
        <v>2473</v>
      </c>
      <c r="C382" s="25" t="s">
        <v>12062</v>
      </c>
      <c r="D382" s="37" t="s">
        <v>1790</v>
      </c>
      <c r="E382" s="38" t="b">
        <v>0</v>
      </c>
      <c r="F382" s="27" t="str">
        <f>HYPERLINK("http://nsgreg.nga.mil/genc/view?v=211316&amp;end_month=12&amp;end_day=31&amp;end_year=2014","Noākhāli")</f>
        <v>Noākhāli</v>
      </c>
      <c r="G382" s="28" t="str">
        <f>HYPERLINK("http://api.nsgreg.nga.mil/geo-division/GENC/6/ed3/BD-47","as:GENC:6:ed3:BD-47")</f>
        <v>as:GENC:6:ed3:BD-47</v>
      </c>
    </row>
    <row r="383" spans="1:7" x14ac:dyDescent="0.2">
      <c r="A383" s="85"/>
      <c r="B383" s="25" t="s">
        <v>2475</v>
      </c>
      <c r="C383" s="25" t="s">
        <v>12063</v>
      </c>
      <c r="D383" s="37" t="s">
        <v>1790</v>
      </c>
      <c r="E383" s="38" t="b">
        <v>0</v>
      </c>
      <c r="F383" s="27" t="str">
        <f>HYPERLINK("http://nsgreg.nga.mil/genc/view?v=211317&amp;end_month=12&amp;end_day=31&amp;end_year=2014","Pābna")</f>
        <v>Pābna</v>
      </c>
      <c r="G383" s="28" t="str">
        <f>HYPERLINK("http://api.nsgreg.nga.mil/geo-division/GENC/6/ed3/BD-49","as:GENC:6:ed3:BD-49")</f>
        <v>as:GENC:6:ed3:BD-49</v>
      </c>
    </row>
    <row r="384" spans="1:7" x14ac:dyDescent="0.2">
      <c r="A384" s="85"/>
      <c r="B384" s="25" t="s">
        <v>2477</v>
      </c>
      <c r="C384" s="25" t="s">
        <v>12064</v>
      </c>
      <c r="D384" s="37" t="s">
        <v>1790</v>
      </c>
      <c r="E384" s="38" t="b">
        <v>0</v>
      </c>
      <c r="F384" s="27" t="str">
        <f>HYPERLINK("http://nsgreg.nga.mil/genc/view?v=211319&amp;end_month=12&amp;end_day=31&amp;end_year=2014","Panchāgarh")</f>
        <v>Panchāgarh</v>
      </c>
      <c r="G384" s="28" t="str">
        <f>HYPERLINK("http://api.nsgreg.nga.mil/geo-division/GENC/6/ed3/BD-52","as:GENC:6:ed3:BD-52")</f>
        <v>as:GENC:6:ed3:BD-52</v>
      </c>
    </row>
    <row r="385" spans="1:7" x14ac:dyDescent="0.2">
      <c r="A385" s="85"/>
      <c r="B385" s="25" t="s">
        <v>2479</v>
      </c>
      <c r="C385" s="25" t="s">
        <v>12065</v>
      </c>
      <c r="D385" s="37" t="s">
        <v>1790</v>
      </c>
      <c r="E385" s="38" t="b">
        <v>0</v>
      </c>
      <c r="F385" s="27" t="str">
        <f>HYPERLINK("http://nsgreg.nga.mil/genc/view?v=211318&amp;end_month=12&amp;end_day=31&amp;end_year=2014","Patuākhāli")</f>
        <v>Patuākhāli</v>
      </c>
      <c r="G385" s="28" t="str">
        <f>HYPERLINK("http://api.nsgreg.nga.mil/geo-division/GENC/6/ed3/BD-51","as:GENC:6:ed3:BD-51")</f>
        <v>as:GENC:6:ed3:BD-51</v>
      </c>
    </row>
    <row r="386" spans="1:7" x14ac:dyDescent="0.2">
      <c r="A386" s="85"/>
      <c r="B386" s="25" t="s">
        <v>2481</v>
      </c>
      <c r="C386" s="25" t="s">
        <v>2482</v>
      </c>
      <c r="D386" s="37" t="s">
        <v>1790</v>
      </c>
      <c r="E386" s="38" t="b">
        <v>0</v>
      </c>
      <c r="F386" s="27" t="str">
        <f>HYPERLINK("http://nsgreg.nga.mil/genc/view?v=118131&amp;gencs=T&amp;end_month=12&amp;end_day=31&amp;end_year=2014","Pirojpur")</f>
        <v>Pirojpur</v>
      </c>
      <c r="G386" s="28" t="str">
        <f>HYPERLINK("http://api.nsgreg.nga.mil/geo-division/GENC/6/ed3/BD-50","as:GENC:6:ed3:BD-50")</f>
        <v>as:GENC:6:ed3:BD-50</v>
      </c>
    </row>
    <row r="387" spans="1:7" x14ac:dyDescent="0.2">
      <c r="A387" s="85"/>
      <c r="B387" s="25" t="s">
        <v>2483</v>
      </c>
      <c r="C387" s="25" t="s">
        <v>12066</v>
      </c>
      <c r="D387" s="37" t="s">
        <v>1790</v>
      </c>
      <c r="E387" s="38" t="b">
        <v>0</v>
      </c>
      <c r="F387" s="27" t="str">
        <f>HYPERLINK("http://nsgreg.nga.mil/genc/view?v=211320&amp;end_month=12&amp;end_day=31&amp;end_year=2014","Rājbāri")</f>
        <v>Rājbāri</v>
      </c>
      <c r="G387" s="28" t="str">
        <f>HYPERLINK("http://api.nsgreg.nga.mil/geo-division/GENC/6/ed3/BD-53","as:GENC:6:ed3:BD-53")</f>
        <v>as:GENC:6:ed3:BD-53</v>
      </c>
    </row>
    <row r="388" spans="1:7" x14ac:dyDescent="0.2">
      <c r="A388" s="85"/>
      <c r="B388" s="25" t="s">
        <v>2485</v>
      </c>
      <c r="C388" s="25" t="s">
        <v>12067</v>
      </c>
      <c r="D388" s="37" t="s">
        <v>1790</v>
      </c>
      <c r="E388" s="38" t="b">
        <v>0</v>
      </c>
      <c r="F388" s="27" t="str">
        <f>HYPERLINK("http://nsgreg.nga.mil/genc/view?v=211321&amp;end_month=12&amp;end_day=31&amp;end_year=2014","Rājshāhi")</f>
        <v>Rājshāhi</v>
      </c>
      <c r="G388" s="28" t="str">
        <f>HYPERLINK("http://api.nsgreg.nga.mil/geo-division/GENC/6/ed3/BD-54","as:GENC:6:ed3:BD-54")</f>
        <v>as:GENC:6:ed3:BD-54</v>
      </c>
    </row>
    <row r="389" spans="1:7" x14ac:dyDescent="0.2">
      <c r="A389" s="85"/>
      <c r="B389" s="25" t="s">
        <v>2487</v>
      </c>
      <c r="C389" s="25" t="s">
        <v>12067</v>
      </c>
      <c r="D389" s="25" t="s">
        <v>2383</v>
      </c>
      <c r="E389" s="26" t="b">
        <v>1</v>
      </c>
      <c r="F389" s="27" t="str">
        <f>HYPERLINK("http://nsgreg.nga.mil/genc/view?v=211328&amp;end_month=12&amp;end_day=31&amp;end_year=2014","Rājshāhi")</f>
        <v>Rājshāhi</v>
      </c>
      <c r="G389" s="28" t="str">
        <f>HYPERLINK("http://api.nsgreg.nga.mil/geo-division/GENC/6/ed3/BD-E","as:GENC:6:ed3:BD-E")</f>
        <v>as:GENC:6:ed3:BD-E</v>
      </c>
    </row>
    <row r="390" spans="1:7" x14ac:dyDescent="0.2">
      <c r="A390" s="85"/>
      <c r="B390" s="25" t="s">
        <v>2488</v>
      </c>
      <c r="C390" s="25" t="s">
        <v>2489</v>
      </c>
      <c r="D390" s="37" t="s">
        <v>1790</v>
      </c>
      <c r="E390" s="38" t="b">
        <v>0</v>
      </c>
      <c r="F390" s="27" t="str">
        <f>HYPERLINK("http://nsgreg.nga.mil/genc/view?v=118137&amp;gencs=T&amp;end_month=12&amp;end_day=31&amp;end_year=2014","Rangamati")</f>
        <v>Rangamati</v>
      </c>
      <c r="G390" s="28" t="str">
        <f>HYPERLINK("http://api.nsgreg.nga.mil/geo-division/GENC/6/ed3/BD-56","as:GENC:6:ed3:BD-56")</f>
        <v>as:GENC:6:ed3:BD-56</v>
      </c>
    </row>
    <row r="391" spans="1:7" x14ac:dyDescent="0.2">
      <c r="A391" s="85"/>
      <c r="B391" s="25" t="s">
        <v>2490</v>
      </c>
      <c r="C391" s="25" t="s">
        <v>2491</v>
      </c>
      <c r="D391" s="37" t="s">
        <v>1790</v>
      </c>
      <c r="E391" s="38" t="b">
        <v>0</v>
      </c>
      <c r="F391" s="27" t="str">
        <f>HYPERLINK("http://nsgreg.nga.mil/genc/view?v=118136&amp;gencs=T&amp;end_month=12&amp;end_day=31&amp;end_year=2014","Rangpur")</f>
        <v>Rangpur</v>
      </c>
      <c r="G391" s="28" t="str">
        <f>HYPERLINK("http://api.nsgreg.nga.mil/geo-division/GENC/6/ed3/BD-55","as:GENC:6:ed3:BD-55")</f>
        <v>as:GENC:6:ed3:BD-55</v>
      </c>
    </row>
    <row r="392" spans="1:7" x14ac:dyDescent="0.2">
      <c r="A392" s="85"/>
      <c r="B392" s="25" t="s">
        <v>2492</v>
      </c>
      <c r="C392" s="25" t="s">
        <v>2491</v>
      </c>
      <c r="D392" s="25" t="s">
        <v>2383</v>
      </c>
      <c r="E392" s="26" t="b">
        <v>1</v>
      </c>
      <c r="F392" s="27" t="str">
        <f>HYPERLINK("http://nsgreg.nga.mil/genc/view?v=118151&amp;gencs=T&amp;end_month=12&amp;end_day=31&amp;end_year=2014","Rangpur")</f>
        <v>Rangpur</v>
      </c>
      <c r="G392" s="28" t="str">
        <f>HYPERLINK("http://api.nsgreg.nga.mil/geo-division/GENC/6/ed3/BD-F","as:GENC:6:ed3:BD-F")</f>
        <v>as:GENC:6:ed3:BD-F</v>
      </c>
    </row>
    <row r="393" spans="1:7" x14ac:dyDescent="0.2">
      <c r="A393" s="85"/>
      <c r="B393" s="25" t="s">
        <v>2493</v>
      </c>
      <c r="C393" s="25" t="s">
        <v>12068</v>
      </c>
      <c r="D393" s="37" t="s">
        <v>1790</v>
      </c>
      <c r="E393" s="38" t="b">
        <v>0</v>
      </c>
      <c r="F393" s="27" t="str">
        <f>HYPERLINK("http://nsgreg.nga.mil/genc/view?v=211322&amp;end_month=12&amp;end_day=31&amp;end_year=2014","Sātkhira")</f>
        <v>Sātkhira</v>
      </c>
      <c r="G393" s="28" t="str">
        <f>HYPERLINK("http://api.nsgreg.nga.mil/geo-division/GENC/6/ed3/BD-58","as:GENC:6:ed3:BD-58")</f>
        <v>as:GENC:6:ed3:BD-58</v>
      </c>
    </row>
    <row r="394" spans="1:7" x14ac:dyDescent="0.2">
      <c r="A394" s="85"/>
      <c r="B394" s="25" t="s">
        <v>2495</v>
      </c>
      <c r="C394" s="25" t="s">
        <v>12069</v>
      </c>
      <c r="D394" s="37" t="s">
        <v>1790</v>
      </c>
      <c r="E394" s="38" t="b">
        <v>0</v>
      </c>
      <c r="F394" s="27" t="str">
        <f>HYPERLINK("http://nsgreg.nga.mil/genc/view?v=211325&amp;end_month=12&amp;end_day=31&amp;end_year=2014","Shariyatpur")</f>
        <v>Shariyatpur</v>
      </c>
      <c r="G394" s="28" t="str">
        <f>HYPERLINK("http://api.nsgreg.nga.mil/geo-division/GENC/6/ed3/BD-62","as:GENC:6:ed3:BD-62")</f>
        <v>as:GENC:6:ed3:BD-62</v>
      </c>
    </row>
    <row r="395" spans="1:7" x14ac:dyDescent="0.2">
      <c r="A395" s="85"/>
      <c r="B395" s="25" t="s">
        <v>2497</v>
      </c>
      <c r="C395" s="25" t="s">
        <v>2498</v>
      </c>
      <c r="D395" s="37" t="s">
        <v>1790</v>
      </c>
      <c r="E395" s="38" t="b">
        <v>0</v>
      </c>
      <c r="F395" s="27" t="str">
        <f>HYPERLINK("http://nsgreg.nga.mil/genc/view?v=118138&amp;gencs=T&amp;end_month=12&amp;end_day=31&amp;end_year=2014","Sherpur")</f>
        <v>Sherpur</v>
      </c>
      <c r="G395" s="28" t="str">
        <f>HYPERLINK("http://api.nsgreg.nga.mil/geo-division/GENC/6/ed3/BD-57","as:GENC:6:ed3:BD-57")</f>
        <v>as:GENC:6:ed3:BD-57</v>
      </c>
    </row>
    <row r="396" spans="1:7" x14ac:dyDescent="0.2">
      <c r="A396" s="85"/>
      <c r="B396" s="25" t="s">
        <v>2499</v>
      </c>
      <c r="C396" s="25" t="s">
        <v>12070</v>
      </c>
      <c r="D396" s="37" t="s">
        <v>1790</v>
      </c>
      <c r="E396" s="38" t="b">
        <v>0</v>
      </c>
      <c r="F396" s="27" t="str">
        <f>HYPERLINK("http://nsgreg.nga.mil/genc/view?v=211323&amp;end_month=12&amp;end_day=31&amp;end_year=2014","Sirājganj")</f>
        <v>Sirājganj</v>
      </c>
      <c r="G396" s="28" t="str">
        <f>HYPERLINK("http://api.nsgreg.nga.mil/geo-division/GENC/6/ed3/BD-59","as:GENC:6:ed3:BD-59")</f>
        <v>as:GENC:6:ed3:BD-59</v>
      </c>
    </row>
    <row r="397" spans="1:7" x14ac:dyDescent="0.2">
      <c r="A397" s="85"/>
      <c r="B397" s="25" t="s">
        <v>2501</v>
      </c>
      <c r="C397" s="25" t="s">
        <v>12071</v>
      </c>
      <c r="D397" s="37" t="s">
        <v>1790</v>
      </c>
      <c r="E397" s="38" t="b">
        <v>0</v>
      </c>
      <c r="F397" s="27" t="str">
        <f>HYPERLINK("http://nsgreg.nga.mil/genc/view?v=211324&amp;end_month=12&amp;end_day=31&amp;end_year=2014","Sunāmganj")</f>
        <v>Sunāmganj</v>
      </c>
      <c r="G397" s="28" t="str">
        <f>HYPERLINK("http://api.nsgreg.nga.mil/geo-division/GENC/6/ed3/BD-61","as:GENC:6:ed3:BD-61")</f>
        <v>as:GENC:6:ed3:BD-61</v>
      </c>
    </row>
    <row r="398" spans="1:7" x14ac:dyDescent="0.2">
      <c r="A398" s="85"/>
      <c r="B398" s="25" t="s">
        <v>2503</v>
      </c>
      <c r="C398" s="25" t="s">
        <v>2504</v>
      </c>
      <c r="D398" s="37" t="s">
        <v>1790</v>
      </c>
      <c r="E398" s="38" t="b">
        <v>0</v>
      </c>
      <c r="F398" s="27" t="str">
        <f>HYPERLINK("http://nsgreg.nga.mil/genc/view?v=118141&amp;gencs=T&amp;end_month=12&amp;end_day=31&amp;end_year=2014","Sylhet")</f>
        <v>Sylhet</v>
      </c>
      <c r="G398" s="28" t="str">
        <f>HYPERLINK("http://api.nsgreg.nga.mil/geo-division/GENC/6/ed3/BD-60","as:GENC:6:ed3:BD-60")</f>
        <v>as:GENC:6:ed3:BD-60</v>
      </c>
    </row>
    <row r="399" spans="1:7" x14ac:dyDescent="0.2">
      <c r="A399" s="85"/>
      <c r="B399" s="25" t="s">
        <v>2505</v>
      </c>
      <c r="C399" s="25" t="s">
        <v>2504</v>
      </c>
      <c r="D399" s="25" t="s">
        <v>2383</v>
      </c>
      <c r="E399" s="26" t="b">
        <v>1</v>
      </c>
      <c r="F399" s="27" t="str">
        <f>HYPERLINK("http://nsgreg.nga.mil/genc/view?v=118152&amp;gencs=T&amp;end_month=12&amp;end_day=31&amp;end_year=2014","Sylhet")</f>
        <v>Sylhet</v>
      </c>
      <c r="G399" s="28" t="str">
        <f>HYPERLINK("http://api.nsgreg.nga.mil/geo-division/GENC/6/ed3/BD-G","as:GENC:6:ed3:BD-G")</f>
        <v>as:GENC:6:ed3:BD-G</v>
      </c>
    </row>
    <row r="400" spans="1:7" x14ac:dyDescent="0.2">
      <c r="A400" s="85"/>
      <c r="B400" s="25" t="s">
        <v>2506</v>
      </c>
      <c r="C400" s="25" t="s">
        <v>2507</v>
      </c>
      <c r="D400" s="37" t="s">
        <v>1790</v>
      </c>
      <c r="E400" s="38" t="b">
        <v>0</v>
      </c>
      <c r="F400" s="27" t="str">
        <f>HYPERLINK("http://nsgreg.nga.mil/genc/view?v=118144&amp;gencs=T&amp;end_month=12&amp;end_day=31&amp;end_year=2014","Tangail")</f>
        <v>Tangail</v>
      </c>
      <c r="G400" s="28" t="str">
        <f>HYPERLINK("http://api.nsgreg.nga.mil/geo-division/GENC/6/ed3/BD-63","as:GENC:6:ed3:BD-63")</f>
        <v>as:GENC:6:ed3:BD-63</v>
      </c>
    </row>
    <row r="401" spans="1:7" x14ac:dyDescent="0.2">
      <c r="A401" s="86"/>
      <c r="B401" s="29" t="s">
        <v>2508</v>
      </c>
      <c r="C401" s="29" t="s">
        <v>12072</v>
      </c>
      <c r="D401" s="39" t="s">
        <v>1790</v>
      </c>
      <c r="E401" s="40" t="b">
        <v>0</v>
      </c>
      <c r="F401" s="31" t="str">
        <f>HYPERLINK("http://nsgreg.nga.mil/genc/view?v=211326&amp;end_month=12&amp;end_day=31&amp;end_year=2014","Thākurgaon")</f>
        <v>Thākurgaon</v>
      </c>
      <c r="G401" s="32" t="str">
        <f>HYPERLINK("http://api.nsgreg.nga.mil/geo-division/GENC/6/ed3/BD-64","as:GENC:6:ed3:BD-64")</f>
        <v>as:GENC:6:ed3:BD-64</v>
      </c>
    </row>
    <row r="402" spans="1:7" x14ac:dyDescent="0.2">
      <c r="A402" s="84" t="str">
        <f>HYPERLINK("[#]Codes_for_GE_Names!A25:I25","BARBADOS")</f>
        <v>BARBADOS</v>
      </c>
      <c r="B402" s="33" t="s">
        <v>2510</v>
      </c>
      <c r="C402" s="33" t="s">
        <v>2511</v>
      </c>
      <c r="D402" s="33" t="s">
        <v>1970</v>
      </c>
      <c r="E402" s="34" t="b">
        <v>1</v>
      </c>
      <c r="F402" s="35" t="str">
        <f>HYPERLINK("http://nsgreg.nga.mil/genc/view?v=118071&amp;gencs=T&amp;end_month=12&amp;end_day=31&amp;end_year=2014","Christ Church")</f>
        <v>Christ Church</v>
      </c>
      <c r="G402" s="36" t="str">
        <f>HYPERLINK("http://api.nsgreg.nga.mil/geo-division/GENC/6/ed3/BB-01","as:GENC:6:ed3:BB-01")</f>
        <v>as:GENC:6:ed3:BB-01</v>
      </c>
    </row>
    <row r="403" spans="1:7" x14ac:dyDescent="0.2">
      <c r="A403" s="85"/>
      <c r="B403" s="25" t="s">
        <v>2512</v>
      </c>
      <c r="C403" s="25" t="s">
        <v>2513</v>
      </c>
      <c r="D403" s="25" t="s">
        <v>1970</v>
      </c>
      <c r="E403" s="26" t="b">
        <v>1</v>
      </c>
      <c r="F403" s="27" t="str">
        <f>HYPERLINK("http://nsgreg.nga.mil/genc/view?v=118072&amp;gencs=T&amp;end_month=12&amp;end_day=31&amp;end_year=2014","Saint Andrew")</f>
        <v>Saint Andrew</v>
      </c>
      <c r="G403" s="28" t="str">
        <f>HYPERLINK("http://api.nsgreg.nga.mil/geo-division/GENC/6/ed3/BB-02","as:GENC:6:ed3:BB-02")</f>
        <v>as:GENC:6:ed3:BB-02</v>
      </c>
    </row>
    <row r="404" spans="1:7" x14ac:dyDescent="0.2">
      <c r="A404" s="85"/>
      <c r="B404" s="25" t="s">
        <v>2514</v>
      </c>
      <c r="C404" s="25" t="s">
        <v>2025</v>
      </c>
      <c r="D404" s="25" t="s">
        <v>1970</v>
      </c>
      <c r="E404" s="26" t="b">
        <v>1</v>
      </c>
      <c r="F404" s="27" t="str">
        <f>HYPERLINK("http://nsgreg.nga.mil/genc/view?v=118073&amp;gencs=T&amp;end_month=12&amp;end_day=31&amp;end_year=2014","Saint George")</f>
        <v>Saint George</v>
      </c>
      <c r="G404" s="28" t="str">
        <f>HYPERLINK("http://api.nsgreg.nga.mil/geo-division/GENC/6/ed3/BB-03","as:GENC:6:ed3:BB-03")</f>
        <v>as:GENC:6:ed3:BB-03</v>
      </c>
    </row>
    <row r="405" spans="1:7" x14ac:dyDescent="0.2">
      <c r="A405" s="85"/>
      <c r="B405" s="25" t="s">
        <v>2515</v>
      </c>
      <c r="C405" s="25" t="s">
        <v>2516</v>
      </c>
      <c r="D405" s="25" t="s">
        <v>1970</v>
      </c>
      <c r="E405" s="26" t="b">
        <v>1</v>
      </c>
      <c r="F405" s="27" t="str">
        <f>HYPERLINK("http://nsgreg.nga.mil/genc/view?v=118074&amp;gencs=T&amp;end_month=12&amp;end_day=31&amp;end_year=2014","Saint James")</f>
        <v>Saint James</v>
      </c>
      <c r="G405" s="28" t="str">
        <f>HYPERLINK("http://api.nsgreg.nga.mil/geo-division/GENC/6/ed3/BB-04","as:GENC:6:ed3:BB-04")</f>
        <v>as:GENC:6:ed3:BB-04</v>
      </c>
    </row>
    <row r="406" spans="1:7" x14ac:dyDescent="0.2">
      <c r="A406" s="85"/>
      <c r="B406" s="25" t="s">
        <v>2517</v>
      </c>
      <c r="C406" s="25" t="s">
        <v>2518</v>
      </c>
      <c r="D406" s="25" t="s">
        <v>1970</v>
      </c>
      <c r="E406" s="26" t="b">
        <v>1</v>
      </c>
      <c r="F406" s="27" t="str">
        <f>HYPERLINK("http://nsgreg.nga.mil/genc/view?v=118075&amp;gencs=T&amp;end_month=12&amp;end_day=31&amp;end_year=2014","Saint John")</f>
        <v>Saint John</v>
      </c>
      <c r="G406" s="28" t="str">
        <f>HYPERLINK("http://api.nsgreg.nga.mil/geo-division/GENC/6/ed3/BB-05","as:GENC:6:ed3:BB-05")</f>
        <v>as:GENC:6:ed3:BB-05</v>
      </c>
    </row>
    <row r="407" spans="1:7" x14ac:dyDescent="0.2">
      <c r="A407" s="85"/>
      <c r="B407" s="25" t="s">
        <v>2519</v>
      </c>
      <c r="C407" s="25" t="s">
        <v>2520</v>
      </c>
      <c r="D407" s="25" t="s">
        <v>1970</v>
      </c>
      <c r="E407" s="26" t="b">
        <v>1</v>
      </c>
      <c r="F407" s="27" t="str">
        <f>HYPERLINK("http://nsgreg.nga.mil/genc/view?v=118076&amp;gencs=T&amp;end_month=12&amp;end_day=31&amp;end_year=2014","Saint Joseph")</f>
        <v>Saint Joseph</v>
      </c>
      <c r="G407" s="28" t="str">
        <f>HYPERLINK("http://api.nsgreg.nga.mil/geo-division/GENC/6/ed3/BB-06","as:GENC:6:ed3:BB-06")</f>
        <v>as:GENC:6:ed3:BB-06</v>
      </c>
    </row>
    <row r="408" spans="1:7" x14ac:dyDescent="0.2">
      <c r="A408" s="85"/>
      <c r="B408" s="25" t="s">
        <v>2521</v>
      </c>
      <c r="C408" s="25" t="s">
        <v>2522</v>
      </c>
      <c r="D408" s="25" t="s">
        <v>1970</v>
      </c>
      <c r="E408" s="26" t="b">
        <v>1</v>
      </c>
      <c r="F408" s="27" t="str">
        <f>HYPERLINK("http://nsgreg.nga.mil/genc/view?v=118077&amp;gencs=T&amp;end_month=12&amp;end_day=31&amp;end_year=2014","Saint Lucy")</f>
        <v>Saint Lucy</v>
      </c>
      <c r="G408" s="28" t="str">
        <f>HYPERLINK("http://api.nsgreg.nga.mil/geo-division/GENC/6/ed3/BB-07","as:GENC:6:ed3:BB-07")</f>
        <v>as:GENC:6:ed3:BB-07</v>
      </c>
    </row>
    <row r="409" spans="1:7" x14ac:dyDescent="0.2">
      <c r="A409" s="85"/>
      <c r="B409" s="25" t="s">
        <v>2523</v>
      </c>
      <c r="C409" s="25" t="s">
        <v>2524</v>
      </c>
      <c r="D409" s="25" t="s">
        <v>1970</v>
      </c>
      <c r="E409" s="26" t="b">
        <v>1</v>
      </c>
      <c r="F409" s="27" t="str">
        <f>HYPERLINK("http://nsgreg.nga.mil/genc/view?v=118078&amp;gencs=T&amp;end_month=12&amp;end_day=31&amp;end_year=2014","Saint Michael")</f>
        <v>Saint Michael</v>
      </c>
      <c r="G409" s="28" t="str">
        <f>HYPERLINK("http://api.nsgreg.nga.mil/geo-division/GENC/6/ed3/BB-08","as:GENC:6:ed3:BB-08")</f>
        <v>as:GENC:6:ed3:BB-08</v>
      </c>
    </row>
    <row r="410" spans="1:7" x14ac:dyDescent="0.2">
      <c r="A410" s="85"/>
      <c r="B410" s="25" t="s">
        <v>2525</v>
      </c>
      <c r="C410" s="25" t="s">
        <v>2033</v>
      </c>
      <c r="D410" s="25" t="s">
        <v>1970</v>
      </c>
      <c r="E410" s="26" t="b">
        <v>1</v>
      </c>
      <c r="F410" s="27" t="str">
        <f>HYPERLINK("http://nsgreg.nga.mil/genc/view?v=118079&amp;gencs=T&amp;end_month=12&amp;end_day=31&amp;end_year=2014","Saint Peter")</f>
        <v>Saint Peter</v>
      </c>
      <c r="G410" s="28" t="str">
        <f>HYPERLINK("http://api.nsgreg.nga.mil/geo-division/GENC/6/ed3/BB-09","as:GENC:6:ed3:BB-09")</f>
        <v>as:GENC:6:ed3:BB-09</v>
      </c>
    </row>
    <row r="411" spans="1:7" x14ac:dyDescent="0.2">
      <c r="A411" s="85"/>
      <c r="B411" s="25" t="s">
        <v>2526</v>
      </c>
      <c r="C411" s="25" t="s">
        <v>2035</v>
      </c>
      <c r="D411" s="25" t="s">
        <v>1970</v>
      </c>
      <c r="E411" s="26" t="b">
        <v>1</v>
      </c>
      <c r="F411" s="27" t="str">
        <f>HYPERLINK("http://nsgreg.nga.mil/genc/view?v=118080&amp;gencs=T&amp;end_month=12&amp;end_day=31&amp;end_year=2014","Saint Philip")</f>
        <v>Saint Philip</v>
      </c>
      <c r="G411" s="28" t="str">
        <f>HYPERLINK("http://api.nsgreg.nga.mil/geo-division/GENC/6/ed3/BB-10","as:GENC:6:ed3:BB-10")</f>
        <v>as:GENC:6:ed3:BB-10</v>
      </c>
    </row>
    <row r="412" spans="1:7" x14ac:dyDescent="0.2">
      <c r="A412" s="86"/>
      <c r="B412" s="29" t="s">
        <v>2527</v>
      </c>
      <c r="C412" s="29" t="s">
        <v>2528</v>
      </c>
      <c r="D412" s="29" t="s">
        <v>1970</v>
      </c>
      <c r="E412" s="30" t="b">
        <v>1</v>
      </c>
      <c r="F412" s="31" t="str">
        <f>HYPERLINK("http://nsgreg.nga.mil/genc/view?v=118081&amp;gencs=T&amp;end_month=12&amp;end_day=31&amp;end_year=2014","Saint Thomas")</f>
        <v>Saint Thomas</v>
      </c>
      <c r="G412" s="32" t="str">
        <f>HYPERLINK("http://api.nsgreg.nga.mil/geo-division/GENC/6/ed3/BB-11","as:GENC:6:ed3:BB-11")</f>
        <v>as:GENC:6:ed3:BB-11</v>
      </c>
    </row>
    <row r="413" spans="1:7" x14ac:dyDescent="0.2">
      <c r="A413" s="84" t="str">
        <f>HYPERLINK("[#]Codes_for_GE_Names!A27:I27","BELARUS")</f>
        <v>BELARUS</v>
      </c>
      <c r="B413" s="33" t="s">
        <v>2529</v>
      </c>
      <c r="C413" s="33" t="s">
        <v>12073</v>
      </c>
      <c r="D413" s="33" t="s">
        <v>2087</v>
      </c>
      <c r="E413" s="34" t="b">
        <v>1</v>
      </c>
      <c r="F413" s="35" t="str">
        <f>HYPERLINK("http://nsgreg.nga.mil/genc/view?v=211412&amp;end_month=12&amp;end_day=31&amp;end_year=2014","Brestskaya Voblasts’")</f>
        <v>Brestskaya Voblasts’</v>
      </c>
      <c r="G413" s="36" t="str">
        <f>HYPERLINK("http://api.nsgreg.nga.mil/geo-division/GENC/6/ed3/BY-BR","as:GENC:6:ed3:BY-BR")</f>
        <v>as:GENC:6:ed3:BY-BR</v>
      </c>
    </row>
    <row r="414" spans="1:7" x14ac:dyDescent="0.2">
      <c r="A414" s="85"/>
      <c r="B414" s="25" t="s">
        <v>2533</v>
      </c>
      <c r="C414" s="25" t="s">
        <v>12074</v>
      </c>
      <c r="D414" s="25" t="s">
        <v>2087</v>
      </c>
      <c r="E414" s="26" t="b">
        <v>1</v>
      </c>
      <c r="F414" s="27" t="str">
        <f>HYPERLINK("http://nsgreg.nga.mil/genc/view?v=211414&amp;end_month=12&amp;end_day=31&amp;end_year=2014","Homyel’skaya Voblasts’")</f>
        <v>Homyel’skaya Voblasts’</v>
      </c>
      <c r="G414" s="28" t="str">
        <f>HYPERLINK("http://api.nsgreg.nga.mil/geo-division/GENC/6/ed3/BY-HO","as:GENC:6:ed3:BY-HO")</f>
        <v>as:GENC:6:ed3:BY-HO</v>
      </c>
    </row>
    <row r="415" spans="1:7" x14ac:dyDescent="0.2">
      <c r="A415" s="85"/>
      <c r="B415" s="25" t="s">
        <v>2537</v>
      </c>
      <c r="C415" s="25" t="s">
        <v>12075</v>
      </c>
      <c r="D415" s="25" t="s">
        <v>2087</v>
      </c>
      <c r="E415" s="26" t="b">
        <v>1</v>
      </c>
      <c r="F415" s="27" t="str">
        <f>HYPERLINK("http://nsgreg.nga.mil/genc/view?v=211415&amp;end_month=12&amp;end_day=31&amp;end_year=2014","Hrodzyenskaya Voblasts’")</f>
        <v>Hrodzyenskaya Voblasts’</v>
      </c>
      <c r="G415" s="28" t="str">
        <f>HYPERLINK("http://api.nsgreg.nga.mil/geo-division/GENC/6/ed3/BY-HR","as:GENC:6:ed3:BY-HR")</f>
        <v>as:GENC:6:ed3:BY-HR</v>
      </c>
    </row>
    <row r="416" spans="1:7" x14ac:dyDescent="0.2">
      <c r="A416" s="85"/>
      <c r="B416" s="25" t="s">
        <v>2542</v>
      </c>
      <c r="C416" s="25" t="s">
        <v>12076</v>
      </c>
      <c r="D416" s="25" t="s">
        <v>2087</v>
      </c>
      <c r="E416" s="26" t="b">
        <v>1</v>
      </c>
      <c r="F416" s="27" t="str">
        <f>HYPERLINK("http://nsgreg.nga.mil/genc/view?v=211416&amp;end_month=12&amp;end_day=31&amp;end_year=2014","Mahilyowskaya Voblasts’")</f>
        <v>Mahilyowskaya Voblasts’</v>
      </c>
      <c r="G416" s="28" t="str">
        <f>HYPERLINK("http://api.nsgreg.nga.mil/geo-division/GENC/6/ed3/BY-MA","as:GENC:6:ed3:BY-MA")</f>
        <v>as:GENC:6:ed3:BY-MA</v>
      </c>
    </row>
    <row r="417" spans="1:7" x14ac:dyDescent="0.2">
      <c r="A417" s="85"/>
      <c r="B417" s="25" t="s">
        <v>2535</v>
      </c>
      <c r="C417" s="25" t="s">
        <v>12077</v>
      </c>
      <c r="D417" s="25" t="s">
        <v>2046</v>
      </c>
      <c r="E417" s="26" t="b">
        <v>1</v>
      </c>
      <c r="F417" s="27" t="str">
        <f>HYPERLINK("http://nsgreg.nga.mil/genc/view?v=211413&amp;end_month=12&amp;end_day=31&amp;end_year=2014","Minsk")</f>
        <v>Minsk</v>
      </c>
      <c r="G417" s="28" t="str">
        <f>HYPERLINK("http://api.nsgreg.nga.mil/geo-division/GENC/6/ed3/BY-HM","as:GENC:6:ed3:BY-HM")</f>
        <v>as:GENC:6:ed3:BY-HM</v>
      </c>
    </row>
    <row r="418" spans="1:7" x14ac:dyDescent="0.2">
      <c r="A418" s="85"/>
      <c r="B418" s="25" t="s">
        <v>2544</v>
      </c>
      <c r="C418" s="25" t="s">
        <v>12078</v>
      </c>
      <c r="D418" s="25" t="s">
        <v>2087</v>
      </c>
      <c r="E418" s="26" t="b">
        <v>1</v>
      </c>
      <c r="F418" s="27" t="str">
        <f>HYPERLINK("http://nsgreg.nga.mil/genc/view?v=211417&amp;end_month=12&amp;end_day=31&amp;end_year=2014","Minskaya Voblasts’")</f>
        <v>Minskaya Voblasts’</v>
      </c>
      <c r="G418" s="28" t="str">
        <f>HYPERLINK("http://api.nsgreg.nga.mil/geo-division/GENC/6/ed3/BY-MI","as:GENC:6:ed3:BY-MI")</f>
        <v>as:GENC:6:ed3:BY-MI</v>
      </c>
    </row>
    <row r="419" spans="1:7" x14ac:dyDescent="0.2">
      <c r="A419" s="86"/>
      <c r="B419" s="29" t="s">
        <v>2548</v>
      </c>
      <c r="C419" s="29" t="s">
        <v>12079</v>
      </c>
      <c r="D419" s="29" t="s">
        <v>2087</v>
      </c>
      <c r="E419" s="30" t="b">
        <v>1</v>
      </c>
      <c r="F419" s="31" t="str">
        <f>HYPERLINK("http://nsgreg.nga.mil/genc/view?v=211418&amp;end_month=12&amp;end_day=31&amp;end_year=2014","Vitsyebskaya Voblasts’")</f>
        <v>Vitsyebskaya Voblasts’</v>
      </c>
      <c r="G419" s="32" t="str">
        <f>HYPERLINK("http://api.nsgreg.nga.mil/geo-division/GENC/6/ed3/BY-VI","as:GENC:6:ed3:BY-VI")</f>
        <v>as:GENC:6:ed3:BY-VI</v>
      </c>
    </row>
    <row r="420" spans="1:7" x14ac:dyDescent="0.2">
      <c r="A420" s="84" t="str">
        <f>HYPERLINK("[#]Codes_for_GE_Names!A28:I28","BELGIUM")</f>
        <v>BELGIUM</v>
      </c>
      <c r="B420" s="33" t="s">
        <v>2551</v>
      </c>
      <c r="C420" s="33" t="s">
        <v>2552</v>
      </c>
      <c r="D420" s="41" t="s">
        <v>1719</v>
      </c>
      <c r="E420" s="42" t="b">
        <v>0</v>
      </c>
      <c r="F420" s="35" t="str">
        <f>HYPERLINK("http://nsgreg.nga.mil/genc/view?v=211330&amp;end_month=12&amp;end_day=31&amp;end_year=2014","Antwerpen")</f>
        <v>Antwerpen</v>
      </c>
      <c r="G420" s="36" t="str">
        <f>HYPERLINK("http://api.nsgreg.nga.mil/geo-division/GENC/6/ed3/BE-VAN","as:GENC:6:ed3:BE-VAN")</f>
        <v>as:GENC:6:ed3:BE-VAN</v>
      </c>
    </row>
    <row r="421" spans="1:7" x14ac:dyDescent="0.2">
      <c r="A421" s="85"/>
      <c r="B421" s="25" t="s">
        <v>2553</v>
      </c>
      <c r="C421" s="25" t="s">
        <v>12080</v>
      </c>
      <c r="D421" s="37" t="s">
        <v>1719</v>
      </c>
      <c r="E421" s="38" t="b">
        <v>0</v>
      </c>
      <c r="F421" s="27" t="str">
        <f>HYPERLINK("http://nsgreg.nga.mil/genc/view?v=211337&amp;end_month=12&amp;end_day=31&amp;end_year=2014","Brabant Wallon")</f>
        <v>Brabant Wallon</v>
      </c>
      <c r="G421" s="28" t="str">
        <f>HYPERLINK("http://api.nsgreg.nga.mil/geo-division/GENC/6/ed3/BE-WBR","as:GENC:6:ed3:BE-WBR")</f>
        <v>as:GENC:6:ed3:BE-WBR</v>
      </c>
    </row>
    <row r="422" spans="1:7" x14ac:dyDescent="0.2">
      <c r="A422" s="85"/>
      <c r="B422" s="25" t="s">
        <v>2555</v>
      </c>
      <c r="C422" s="25" t="s">
        <v>12081</v>
      </c>
      <c r="D422" s="25" t="s">
        <v>2087</v>
      </c>
      <c r="E422" s="26" t="b">
        <v>1</v>
      </c>
      <c r="F422" s="27" t="str">
        <f>HYPERLINK("http://nsgreg.nga.mil/genc/view?v=211329&amp;end_month=12&amp;end_day=31&amp;end_year=2014","Brussels-Capital Region")</f>
        <v>Brussels-Capital Region</v>
      </c>
      <c r="G422" s="28" t="str">
        <f>HYPERLINK("http://api.nsgreg.nga.mil/geo-division/GENC/6/ed3/BE-BRU","as:GENC:6:ed3:BE-BRU")</f>
        <v>as:GENC:6:ed3:BE-BRU</v>
      </c>
    </row>
    <row r="423" spans="1:7" x14ac:dyDescent="0.2">
      <c r="A423" s="85"/>
      <c r="B423" s="25" t="s">
        <v>2571</v>
      </c>
      <c r="C423" s="25" t="s">
        <v>12082</v>
      </c>
      <c r="D423" s="25" t="s">
        <v>2087</v>
      </c>
      <c r="E423" s="26" t="b">
        <v>1</v>
      </c>
      <c r="F423" s="27" t="str">
        <f>HYPERLINK("http://nsgreg.nga.mil/genc/view?v=211332&amp;end_month=12&amp;end_day=31&amp;end_year=2014","Flanders")</f>
        <v>Flanders</v>
      </c>
      <c r="G423" s="28" t="str">
        <f>HYPERLINK("http://api.nsgreg.nga.mil/geo-division/GENC/6/ed3/BE-VLG","as:GENC:6:ed3:BE-VLG")</f>
        <v>as:GENC:6:ed3:BE-VLG</v>
      </c>
    </row>
    <row r="424" spans="1:7" x14ac:dyDescent="0.2">
      <c r="A424" s="85"/>
      <c r="B424" s="25" t="s">
        <v>2558</v>
      </c>
      <c r="C424" s="25" t="s">
        <v>2559</v>
      </c>
      <c r="D424" s="37" t="s">
        <v>1719</v>
      </c>
      <c r="E424" s="38" t="b">
        <v>0</v>
      </c>
      <c r="F424" s="27" t="str">
        <f>HYPERLINK("http://nsgreg.nga.mil/genc/view?v=211338&amp;end_month=12&amp;end_day=31&amp;end_year=2014","Hainaut")</f>
        <v>Hainaut</v>
      </c>
      <c r="G424" s="28" t="str">
        <f>HYPERLINK("http://api.nsgreg.nga.mil/geo-division/GENC/6/ed3/BE-WHT","as:GENC:6:ed3:BE-WHT")</f>
        <v>as:GENC:6:ed3:BE-WHT</v>
      </c>
    </row>
    <row r="425" spans="1:7" x14ac:dyDescent="0.2">
      <c r="A425" s="85"/>
      <c r="B425" s="25" t="s">
        <v>2562</v>
      </c>
      <c r="C425" s="25" t="s">
        <v>2563</v>
      </c>
      <c r="D425" s="37" t="s">
        <v>1719</v>
      </c>
      <c r="E425" s="38" t="b">
        <v>0</v>
      </c>
      <c r="F425" s="27" t="str">
        <f>HYPERLINK("http://nsgreg.nga.mil/genc/view?v=211339&amp;end_month=12&amp;end_day=31&amp;end_year=2014","Liège")</f>
        <v>Liège</v>
      </c>
      <c r="G425" s="28" t="str">
        <f>HYPERLINK("http://api.nsgreg.nga.mil/geo-division/GENC/6/ed3/BE-WLG","as:GENC:6:ed3:BE-WLG")</f>
        <v>as:GENC:6:ed3:BE-WLG</v>
      </c>
    </row>
    <row r="426" spans="1:7" x14ac:dyDescent="0.2">
      <c r="A426" s="85"/>
      <c r="B426" s="25" t="s">
        <v>2560</v>
      </c>
      <c r="C426" s="25" t="s">
        <v>2561</v>
      </c>
      <c r="D426" s="37" t="s">
        <v>1719</v>
      </c>
      <c r="E426" s="38" t="b">
        <v>0</v>
      </c>
      <c r="F426" s="27" t="str">
        <f>HYPERLINK("http://nsgreg.nga.mil/genc/view?v=211333&amp;end_month=12&amp;end_day=31&amp;end_year=2014","Limburg")</f>
        <v>Limburg</v>
      </c>
      <c r="G426" s="28" t="str">
        <f>HYPERLINK("http://api.nsgreg.nga.mil/geo-division/GENC/6/ed3/BE-VLI","as:GENC:6:ed3:BE-VLI")</f>
        <v>as:GENC:6:ed3:BE-VLI</v>
      </c>
    </row>
    <row r="427" spans="1:7" x14ac:dyDescent="0.2">
      <c r="A427" s="85"/>
      <c r="B427" s="25" t="s">
        <v>2564</v>
      </c>
      <c r="C427" s="25" t="s">
        <v>1642</v>
      </c>
      <c r="D427" s="37" t="s">
        <v>1719</v>
      </c>
      <c r="E427" s="38" t="b">
        <v>0</v>
      </c>
      <c r="F427" s="27" t="str">
        <f>HYPERLINK("http://nsgreg.nga.mil/genc/view?v=211340&amp;end_month=12&amp;end_day=31&amp;end_year=2014","Luxembourg")</f>
        <v>Luxembourg</v>
      </c>
      <c r="G427" s="28" t="str">
        <f>HYPERLINK("http://api.nsgreg.nga.mil/geo-division/GENC/6/ed3/BE-WLX","as:GENC:6:ed3:BE-WLX")</f>
        <v>as:GENC:6:ed3:BE-WLX</v>
      </c>
    </row>
    <row r="428" spans="1:7" x14ac:dyDescent="0.2">
      <c r="A428" s="85"/>
      <c r="B428" s="25" t="s">
        <v>2565</v>
      </c>
      <c r="C428" s="25" t="s">
        <v>2566</v>
      </c>
      <c r="D428" s="37" t="s">
        <v>1719</v>
      </c>
      <c r="E428" s="38" t="b">
        <v>0</v>
      </c>
      <c r="F428" s="27" t="str">
        <f>HYPERLINK("http://nsgreg.nga.mil/genc/view?v=211341&amp;end_month=12&amp;end_day=31&amp;end_year=2014","Namur")</f>
        <v>Namur</v>
      </c>
      <c r="G428" s="28" t="str">
        <f>HYPERLINK("http://api.nsgreg.nga.mil/geo-division/GENC/6/ed3/BE-WNA","as:GENC:6:ed3:BE-WNA")</f>
        <v>as:GENC:6:ed3:BE-WNA</v>
      </c>
    </row>
    <row r="429" spans="1:7" x14ac:dyDescent="0.2">
      <c r="A429" s="85"/>
      <c r="B429" s="25" t="s">
        <v>2567</v>
      </c>
      <c r="C429" s="25" t="s">
        <v>2568</v>
      </c>
      <c r="D429" s="37" t="s">
        <v>1719</v>
      </c>
      <c r="E429" s="38" t="b">
        <v>0</v>
      </c>
      <c r="F429" s="27" t="str">
        <f>HYPERLINK("http://nsgreg.nga.mil/genc/view?v=211334&amp;end_month=12&amp;end_day=31&amp;end_year=2014","Oost-Vlaanderen")</f>
        <v>Oost-Vlaanderen</v>
      </c>
      <c r="G429" s="28" t="str">
        <f>HYPERLINK("http://api.nsgreg.nga.mil/geo-division/GENC/6/ed3/BE-VOV","as:GENC:6:ed3:BE-VOV")</f>
        <v>as:GENC:6:ed3:BE-VOV</v>
      </c>
    </row>
    <row r="430" spans="1:7" x14ac:dyDescent="0.2">
      <c r="A430" s="85"/>
      <c r="B430" s="25" t="s">
        <v>2569</v>
      </c>
      <c r="C430" s="25" t="s">
        <v>2570</v>
      </c>
      <c r="D430" s="37" t="s">
        <v>1719</v>
      </c>
      <c r="E430" s="38" t="b">
        <v>0</v>
      </c>
      <c r="F430" s="27" t="str">
        <f>HYPERLINK("http://nsgreg.nga.mil/genc/view?v=211331&amp;end_month=12&amp;end_day=31&amp;end_year=2014","Vlaams Brabant")</f>
        <v>Vlaams Brabant</v>
      </c>
      <c r="G430" s="28" t="str">
        <f>HYPERLINK("http://api.nsgreg.nga.mil/geo-division/GENC/6/ed3/BE-VBR","as:GENC:6:ed3:BE-VBR")</f>
        <v>as:GENC:6:ed3:BE-VBR</v>
      </c>
    </row>
    <row r="431" spans="1:7" x14ac:dyDescent="0.2">
      <c r="A431" s="85"/>
      <c r="B431" s="25" t="s">
        <v>2575</v>
      </c>
      <c r="C431" s="25" t="s">
        <v>12083</v>
      </c>
      <c r="D431" s="25" t="s">
        <v>2087</v>
      </c>
      <c r="E431" s="26" t="b">
        <v>1</v>
      </c>
      <c r="F431" s="27" t="str">
        <f>HYPERLINK("http://nsgreg.nga.mil/genc/view?v=211336&amp;end_month=12&amp;end_day=31&amp;end_year=2014","Wallonia")</f>
        <v>Wallonia</v>
      </c>
      <c r="G431" s="28" t="str">
        <f>HYPERLINK("http://api.nsgreg.nga.mil/geo-division/GENC/6/ed3/BE-WAL","as:GENC:6:ed3:BE-WAL")</f>
        <v>as:GENC:6:ed3:BE-WAL</v>
      </c>
    </row>
    <row r="432" spans="1:7" x14ac:dyDescent="0.2">
      <c r="A432" s="86"/>
      <c r="B432" s="29" t="s">
        <v>2573</v>
      </c>
      <c r="C432" s="29" t="s">
        <v>2574</v>
      </c>
      <c r="D432" s="39" t="s">
        <v>1719</v>
      </c>
      <c r="E432" s="40" t="b">
        <v>0</v>
      </c>
      <c r="F432" s="31" t="str">
        <f>HYPERLINK("http://nsgreg.nga.mil/genc/view?v=211335&amp;end_month=12&amp;end_day=31&amp;end_year=2014","West-Vlaanderen")</f>
        <v>West-Vlaanderen</v>
      </c>
      <c r="G432" s="32" t="str">
        <f>HYPERLINK("http://api.nsgreg.nga.mil/geo-division/GENC/6/ed3/BE-VWV","as:GENC:6:ed3:BE-VWV")</f>
        <v>as:GENC:6:ed3:BE-VWV</v>
      </c>
    </row>
    <row r="433" spans="1:7" x14ac:dyDescent="0.2">
      <c r="A433" s="84" t="str">
        <f>HYPERLINK("[#]Codes_for_GE_Names!A29:I29","BELIZE")</f>
        <v>BELIZE</v>
      </c>
      <c r="B433" s="33" t="s">
        <v>2577</v>
      </c>
      <c r="C433" s="33" t="s">
        <v>1599</v>
      </c>
      <c r="D433" s="33" t="s">
        <v>1790</v>
      </c>
      <c r="E433" s="34" t="b">
        <v>1</v>
      </c>
      <c r="F433" s="35" t="str">
        <f>HYPERLINK("http://nsgreg.nga.mil/genc/view?v=118403&amp;gencs=T&amp;end_month=12&amp;end_day=31&amp;end_year=2014","Belize")</f>
        <v>Belize</v>
      </c>
      <c r="G433" s="36" t="str">
        <f>HYPERLINK("http://api.nsgreg.nga.mil/geo-division/GENC/6/ed3/BZ-BZ","as:GENC:6:ed3:BZ-BZ")</f>
        <v>as:GENC:6:ed3:BZ-BZ</v>
      </c>
    </row>
    <row r="434" spans="1:7" x14ac:dyDescent="0.2">
      <c r="A434" s="85"/>
      <c r="B434" s="25" t="s">
        <v>2578</v>
      </c>
      <c r="C434" s="25" t="s">
        <v>2579</v>
      </c>
      <c r="D434" s="25" t="s">
        <v>1790</v>
      </c>
      <c r="E434" s="26" t="b">
        <v>1</v>
      </c>
      <c r="F434" s="27" t="str">
        <f>HYPERLINK("http://nsgreg.nga.mil/genc/view?v=118404&amp;gencs=T&amp;end_month=12&amp;end_day=31&amp;end_year=2014","Cayo")</f>
        <v>Cayo</v>
      </c>
      <c r="G434" s="28" t="str">
        <f>HYPERLINK("http://api.nsgreg.nga.mil/geo-division/GENC/6/ed3/BZ-CY","as:GENC:6:ed3:BZ-CY")</f>
        <v>as:GENC:6:ed3:BZ-CY</v>
      </c>
    </row>
    <row r="435" spans="1:7" x14ac:dyDescent="0.2">
      <c r="A435" s="85"/>
      <c r="B435" s="25" t="s">
        <v>2580</v>
      </c>
      <c r="C435" s="25" t="s">
        <v>2581</v>
      </c>
      <c r="D435" s="25" t="s">
        <v>1790</v>
      </c>
      <c r="E435" s="26" t="b">
        <v>1</v>
      </c>
      <c r="F435" s="27" t="str">
        <f>HYPERLINK("http://nsgreg.nga.mil/genc/view?v=118405&amp;gencs=T&amp;end_month=12&amp;end_day=31&amp;end_year=2014","Corozal")</f>
        <v>Corozal</v>
      </c>
      <c r="G435" s="28" t="str">
        <f>HYPERLINK("http://api.nsgreg.nga.mil/geo-division/GENC/6/ed3/BZ-CZL","as:GENC:6:ed3:BZ-CZL")</f>
        <v>as:GENC:6:ed3:BZ-CZL</v>
      </c>
    </row>
    <row r="436" spans="1:7" x14ac:dyDescent="0.2">
      <c r="A436" s="85"/>
      <c r="B436" s="25" t="s">
        <v>2582</v>
      </c>
      <c r="C436" s="25" t="s">
        <v>2583</v>
      </c>
      <c r="D436" s="25" t="s">
        <v>1790</v>
      </c>
      <c r="E436" s="26" t="b">
        <v>1</v>
      </c>
      <c r="F436" s="27" t="str">
        <f>HYPERLINK("http://nsgreg.nga.mil/genc/view?v=118406&amp;gencs=T&amp;end_month=12&amp;end_day=31&amp;end_year=2014","Orange Walk")</f>
        <v>Orange Walk</v>
      </c>
      <c r="G436" s="28" t="str">
        <f>HYPERLINK("http://api.nsgreg.nga.mil/geo-division/GENC/6/ed3/BZ-OW","as:GENC:6:ed3:BZ-OW")</f>
        <v>as:GENC:6:ed3:BZ-OW</v>
      </c>
    </row>
    <row r="437" spans="1:7" x14ac:dyDescent="0.2">
      <c r="A437" s="85"/>
      <c r="B437" s="25" t="s">
        <v>2584</v>
      </c>
      <c r="C437" s="25" t="s">
        <v>2585</v>
      </c>
      <c r="D437" s="25" t="s">
        <v>1790</v>
      </c>
      <c r="E437" s="26" t="b">
        <v>1</v>
      </c>
      <c r="F437" s="27" t="str">
        <f>HYPERLINK("http://nsgreg.nga.mil/genc/view?v=118407&amp;gencs=T&amp;end_month=12&amp;end_day=31&amp;end_year=2014","Stann Creek")</f>
        <v>Stann Creek</v>
      </c>
      <c r="G437" s="28" t="str">
        <f>HYPERLINK("http://api.nsgreg.nga.mil/geo-division/GENC/6/ed3/BZ-SC","as:GENC:6:ed3:BZ-SC")</f>
        <v>as:GENC:6:ed3:BZ-SC</v>
      </c>
    </row>
    <row r="438" spans="1:7" x14ac:dyDescent="0.2">
      <c r="A438" s="86"/>
      <c r="B438" s="29" t="s">
        <v>2586</v>
      </c>
      <c r="C438" s="29" t="s">
        <v>2587</v>
      </c>
      <c r="D438" s="29" t="s">
        <v>1790</v>
      </c>
      <c r="E438" s="30" t="b">
        <v>1</v>
      </c>
      <c r="F438" s="31" t="str">
        <f>HYPERLINK("http://nsgreg.nga.mil/genc/view?v=118408&amp;gencs=T&amp;end_month=12&amp;end_day=31&amp;end_year=2014","Toledo")</f>
        <v>Toledo</v>
      </c>
      <c r="G438" s="32" t="str">
        <f>HYPERLINK("http://api.nsgreg.nga.mil/geo-division/GENC/6/ed3/BZ-TOL","as:GENC:6:ed3:BZ-TOL")</f>
        <v>as:GENC:6:ed3:BZ-TOL</v>
      </c>
    </row>
    <row r="439" spans="1:7" x14ac:dyDescent="0.2">
      <c r="A439" s="84" t="str">
        <f>HYPERLINK("[#]Codes_for_GE_Names!A30:I30","BENIN")</f>
        <v>BENIN</v>
      </c>
      <c r="B439" s="33" t="s">
        <v>2588</v>
      </c>
      <c r="C439" s="33" t="s">
        <v>2589</v>
      </c>
      <c r="D439" s="33" t="s">
        <v>2590</v>
      </c>
      <c r="E439" s="34" t="b">
        <v>1</v>
      </c>
      <c r="F439" s="35" t="str">
        <f>HYPERLINK("http://nsgreg.nga.mil/genc/view?v=118275&amp;gencs=T&amp;end_month=12&amp;end_day=31&amp;end_year=2014","Alibori")</f>
        <v>Alibori</v>
      </c>
      <c r="G439" s="36" t="str">
        <f>HYPERLINK("http://api.nsgreg.nga.mil/geo-division/GENC/6/ed3/BJ-AL","as:GENC:6:ed3:BJ-AL")</f>
        <v>as:GENC:6:ed3:BJ-AL</v>
      </c>
    </row>
    <row r="440" spans="1:7" x14ac:dyDescent="0.2">
      <c r="A440" s="85"/>
      <c r="B440" s="25" t="s">
        <v>2591</v>
      </c>
      <c r="C440" s="25" t="s">
        <v>2592</v>
      </c>
      <c r="D440" s="25" t="s">
        <v>2590</v>
      </c>
      <c r="E440" s="26" t="b">
        <v>1</v>
      </c>
      <c r="F440" s="27" t="str">
        <f>HYPERLINK("http://nsgreg.nga.mil/genc/view?v=211389&amp;end_month=12&amp;end_day=31&amp;end_year=2014","Atakora")</f>
        <v>Atakora</v>
      </c>
      <c r="G440" s="28" t="str">
        <f>HYPERLINK("http://api.nsgreg.nga.mil/geo-division/GENC/6/ed3/BJ-AK","as:GENC:6:ed3:BJ-AK")</f>
        <v>as:GENC:6:ed3:BJ-AK</v>
      </c>
    </row>
    <row r="441" spans="1:7" x14ac:dyDescent="0.2">
      <c r="A441" s="85"/>
      <c r="B441" s="25" t="s">
        <v>2593</v>
      </c>
      <c r="C441" s="25" t="s">
        <v>2594</v>
      </c>
      <c r="D441" s="25" t="s">
        <v>2590</v>
      </c>
      <c r="E441" s="26" t="b">
        <v>1</v>
      </c>
      <c r="F441" s="27" t="str">
        <f>HYPERLINK("http://nsgreg.nga.mil/genc/view?v=118276&amp;gencs=T&amp;end_month=12&amp;end_day=31&amp;end_year=2014","Atlantique")</f>
        <v>Atlantique</v>
      </c>
      <c r="G441" s="28" t="str">
        <f>HYPERLINK("http://api.nsgreg.nga.mil/geo-division/GENC/6/ed3/BJ-AQ","as:GENC:6:ed3:BJ-AQ")</f>
        <v>as:GENC:6:ed3:BJ-AQ</v>
      </c>
    </row>
    <row r="442" spans="1:7" x14ac:dyDescent="0.2">
      <c r="A442" s="85"/>
      <c r="B442" s="25" t="s">
        <v>2595</v>
      </c>
      <c r="C442" s="25" t="s">
        <v>2596</v>
      </c>
      <c r="D442" s="25" t="s">
        <v>2590</v>
      </c>
      <c r="E442" s="26" t="b">
        <v>1</v>
      </c>
      <c r="F442" s="27" t="str">
        <f>HYPERLINK("http://nsgreg.nga.mil/genc/view?v=118277&amp;gencs=T&amp;end_month=12&amp;end_day=31&amp;end_year=2014","Borgou")</f>
        <v>Borgou</v>
      </c>
      <c r="G442" s="28" t="str">
        <f>HYPERLINK("http://api.nsgreg.nga.mil/geo-division/GENC/6/ed3/BJ-BO","as:GENC:6:ed3:BJ-BO")</f>
        <v>as:GENC:6:ed3:BJ-BO</v>
      </c>
    </row>
    <row r="443" spans="1:7" x14ac:dyDescent="0.2">
      <c r="A443" s="85"/>
      <c r="B443" s="25" t="s">
        <v>2597</v>
      </c>
      <c r="C443" s="25" t="s">
        <v>2598</v>
      </c>
      <c r="D443" s="25" t="s">
        <v>2590</v>
      </c>
      <c r="E443" s="26" t="b">
        <v>1</v>
      </c>
      <c r="F443" s="27" t="str">
        <f>HYPERLINK("http://nsgreg.nga.mil/genc/view?v=118278&amp;gencs=T&amp;end_month=12&amp;end_day=31&amp;end_year=2014","Collines")</f>
        <v>Collines</v>
      </c>
      <c r="G443" s="28" t="str">
        <f>HYPERLINK("http://api.nsgreg.nga.mil/geo-division/GENC/6/ed3/BJ-CO","as:GENC:6:ed3:BJ-CO")</f>
        <v>as:GENC:6:ed3:BJ-CO</v>
      </c>
    </row>
    <row r="444" spans="1:7" x14ac:dyDescent="0.2">
      <c r="A444" s="85"/>
      <c r="B444" s="25" t="s">
        <v>2599</v>
      </c>
      <c r="C444" s="25" t="s">
        <v>2600</v>
      </c>
      <c r="D444" s="25" t="s">
        <v>2590</v>
      </c>
      <c r="E444" s="26" t="b">
        <v>1</v>
      </c>
      <c r="F444" s="27" t="str">
        <f>HYPERLINK("http://nsgreg.nga.mil/genc/view?v=118279&amp;gencs=T&amp;end_month=12&amp;end_day=31&amp;end_year=2014","Donga")</f>
        <v>Donga</v>
      </c>
      <c r="G444" s="28" t="str">
        <f>HYPERLINK("http://api.nsgreg.nga.mil/geo-division/GENC/6/ed3/BJ-DO","as:GENC:6:ed3:BJ-DO")</f>
        <v>as:GENC:6:ed3:BJ-DO</v>
      </c>
    </row>
    <row r="445" spans="1:7" x14ac:dyDescent="0.2">
      <c r="A445" s="85"/>
      <c r="B445" s="25" t="s">
        <v>2601</v>
      </c>
      <c r="C445" s="25" t="s">
        <v>2602</v>
      </c>
      <c r="D445" s="25" t="s">
        <v>2590</v>
      </c>
      <c r="E445" s="26" t="b">
        <v>1</v>
      </c>
      <c r="F445" s="27" t="str">
        <f>HYPERLINK("http://nsgreg.nga.mil/genc/view?v=211390&amp;end_month=12&amp;end_day=31&amp;end_year=2014","Kouffo")</f>
        <v>Kouffo</v>
      </c>
      <c r="G445" s="28" t="str">
        <f>HYPERLINK("http://api.nsgreg.nga.mil/geo-division/GENC/6/ed3/BJ-KO","as:GENC:6:ed3:BJ-KO")</f>
        <v>as:GENC:6:ed3:BJ-KO</v>
      </c>
    </row>
    <row r="446" spans="1:7" x14ac:dyDescent="0.2">
      <c r="A446" s="85"/>
      <c r="B446" s="25" t="s">
        <v>2603</v>
      </c>
      <c r="C446" s="25" t="s">
        <v>2604</v>
      </c>
      <c r="D446" s="25" t="s">
        <v>2590</v>
      </c>
      <c r="E446" s="26" t="b">
        <v>1</v>
      </c>
      <c r="F446" s="27" t="str">
        <f>HYPERLINK("http://nsgreg.nga.mil/genc/view?v=118281&amp;gencs=T&amp;end_month=12&amp;end_day=31&amp;end_year=2014","Littoral")</f>
        <v>Littoral</v>
      </c>
      <c r="G446" s="28" t="str">
        <f>HYPERLINK("http://api.nsgreg.nga.mil/geo-division/GENC/6/ed3/BJ-LI","as:GENC:6:ed3:BJ-LI")</f>
        <v>as:GENC:6:ed3:BJ-LI</v>
      </c>
    </row>
    <row r="447" spans="1:7" x14ac:dyDescent="0.2">
      <c r="A447" s="85"/>
      <c r="B447" s="25" t="s">
        <v>2605</v>
      </c>
      <c r="C447" s="25" t="s">
        <v>2606</v>
      </c>
      <c r="D447" s="25" t="s">
        <v>2590</v>
      </c>
      <c r="E447" s="26" t="b">
        <v>1</v>
      </c>
      <c r="F447" s="27" t="str">
        <f>HYPERLINK("http://nsgreg.nga.mil/genc/view?v=118282&amp;gencs=T&amp;end_month=12&amp;end_day=31&amp;end_year=2014","Mono")</f>
        <v>Mono</v>
      </c>
      <c r="G447" s="28" t="str">
        <f>HYPERLINK("http://api.nsgreg.nga.mil/geo-division/GENC/6/ed3/BJ-MO","as:GENC:6:ed3:BJ-MO")</f>
        <v>as:GENC:6:ed3:BJ-MO</v>
      </c>
    </row>
    <row r="448" spans="1:7" x14ac:dyDescent="0.2">
      <c r="A448" s="85"/>
      <c r="B448" s="25" t="s">
        <v>2607</v>
      </c>
      <c r="C448" s="25" t="s">
        <v>2608</v>
      </c>
      <c r="D448" s="25" t="s">
        <v>2590</v>
      </c>
      <c r="E448" s="26" t="b">
        <v>1</v>
      </c>
      <c r="F448" s="27" t="str">
        <f>HYPERLINK("http://nsgreg.nga.mil/genc/view?v=118283&amp;gencs=T&amp;end_month=12&amp;end_day=31&amp;end_year=2014","Ouémé")</f>
        <v>Ouémé</v>
      </c>
      <c r="G448" s="28" t="str">
        <f>HYPERLINK("http://api.nsgreg.nga.mil/geo-division/GENC/6/ed3/BJ-OU","as:GENC:6:ed3:BJ-OU")</f>
        <v>as:GENC:6:ed3:BJ-OU</v>
      </c>
    </row>
    <row r="449" spans="1:7" x14ac:dyDescent="0.2">
      <c r="A449" s="85"/>
      <c r="B449" s="25" t="s">
        <v>2609</v>
      </c>
      <c r="C449" s="25" t="s">
        <v>2610</v>
      </c>
      <c r="D449" s="25" t="s">
        <v>2590</v>
      </c>
      <c r="E449" s="26" t="b">
        <v>1</v>
      </c>
      <c r="F449" s="27" t="str">
        <f>HYPERLINK("http://nsgreg.nga.mil/genc/view?v=118284&amp;gencs=T&amp;end_month=12&amp;end_day=31&amp;end_year=2014","Plateau")</f>
        <v>Plateau</v>
      </c>
      <c r="G449" s="28" t="str">
        <f>HYPERLINK("http://api.nsgreg.nga.mil/geo-division/GENC/6/ed3/BJ-PL","as:GENC:6:ed3:BJ-PL")</f>
        <v>as:GENC:6:ed3:BJ-PL</v>
      </c>
    </row>
    <row r="450" spans="1:7" x14ac:dyDescent="0.2">
      <c r="A450" s="86"/>
      <c r="B450" s="29" t="s">
        <v>2611</v>
      </c>
      <c r="C450" s="29" t="s">
        <v>2612</v>
      </c>
      <c r="D450" s="29" t="s">
        <v>2590</v>
      </c>
      <c r="E450" s="30" t="b">
        <v>1</v>
      </c>
      <c r="F450" s="31" t="str">
        <f>HYPERLINK("http://nsgreg.nga.mil/genc/view?v=118285&amp;gencs=T&amp;end_month=12&amp;end_day=31&amp;end_year=2014","Zou")</f>
        <v>Zou</v>
      </c>
      <c r="G450" s="32" t="str">
        <f>HYPERLINK("http://api.nsgreg.nga.mil/geo-division/GENC/6/ed3/BJ-ZO","as:GENC:6:ed3:BJ-ZO")</f>
        <v>as:GENC:6:ed3:BJ-ZO</v>
      </c>
    </row>
    <row r="451" spans="1:7" x14ac:dyDescent="0.2">
      <c r="A451" s="84" t="str">
        <f>HYPERLINK("[#]Codes_for_GE_Names!A31:I31","BERMUDA")</f>
        <v>BERMUDA</v>
      </c>
      <c r="B451" s="33" t="s">
        <v>12084</v>
      </c>
      <c r="C451" s="33" t="s">
        <v>12085</v>
      </c>
      <c r="D451" s="33" t="s">
        <v>1970</v>
      </c>
      <c r="E451" s="34" t="b">
        <v>1</v>
      </c>
      <c r="F451" s="35" t="str">
        <f>HYPERLINK("http://nsgreg.nga.mil/genc/view?v=211391&amp;end_month=12&amp;end_day=31&amp;end_year=2014","Devonshire")</f>
        <v>Devonshire</v>
      </c>
      <c r="G451" s="36" t="str">
        <f>HYPERLINK("http://api.nsgreg.nga.mil/geo-division/GENC/6/ed3/BM-01","as:GENC:6:ed3:BM-01")</f>
        <v>as:GENC:6:ed3:BM-01</v>
      </c>
    </row>
    <row r="452" spans="1:7" x14ac:dyDescent="0.2">
      <c r="A452" s="85"/>
      <c r="B452" s="25" t="s">
        <v>12086</v>
      </c>
      <c r="C452" s="25" t="s">
        <v>12087</v>
      </c>
      <c r="D452" s="25" t="s">
        <v>2164</v>
      </c>
      <c r="E452" s="26" t="b">
        <v>1</v>
      </c>
      <c r="F452" s="27" t="str">
        <f>HYPERLINK("http://nsgreg.nga.mil/genc/view?v=211393&amp;end_month=12&amp;end_day=31&amp;end_year=2014","Hamilton")</f>
        <v>Hamilton</v>
      </c>
      <c r="G452" s="28" t="str">
        <f>HYPERLINK("http://api.nsgreg.nga.mil/geo-division/GENC/6/ed3/BM-03","as:GENC:6:ed3:BM-03")</f>
        <v>as:GENC:6:ed3:BM-03</v>
      </c>
    </row>
    <row r="453" spans="1:7" x14ac:dyDescent="0.2">
      <c r="A453" s="85"/>
      <c r="B453" s="25" t="s">
        <v>12088</v>
      </c>
      <c r="C453" s="25" t="s">
        <v>12087</v>
      </c>
      <c r="D453" s="25" t="s">
        <v>1970</v>
      </c>
      <c r="E453" s="26" t="b">
        <v>1</v>
      </c>
      <c r="F453" s="27" t="str">
        <f>HYPERLINK("http://nsgreg.nga.mil/genc/view?v=211392&amp;end_month=12&amp;end_day=31&amp;end_year=2014","Hamilton")</f>
        <v>Hamilton</v>
      </c>
      <c r="G453" s="28" t="str">
        <f>HYPERLINK("http://api.nsgreg.nga.mil/geo-division/GENC/6/ed3/BM-02","as:GENC:6:ed3:BM-02")</f>
        <v>as:GENC:6:ed3:BM-02</v>
      </c>
    </row>
    <row r="454" spans="1:7" x14ac:dyDescent="0.2">
      <c r="A454" s="85"/>
      <c r="B454" s="25" t="s">
        <v>12089</v>
      </c>
      <c r="C454" s="25" t="s">
        <v>12090</v>
      </c>
      <c r="D454" s="25" t="s">
        <v>1970</v>
      </c>
      <c r="E454" s="26" t="b">
        <v>1</v>
      </c>
      <c r="F454" s="27" t="str">
        <f>HYPERLINK("http://nsgreg.nga.mil/genc/view?v=211394&amp;end_month=12&amp;end_day=31&amp;end_year=2014","Paget")</f>
        <v>Paget</v>
      </c>
      <c r="G454" s="28" t="str">
        <f>HYPERLINK("http://api.nsgreg.nga.mil/geo-division/GENC/6/ed3/BM-04","as:GENC:6:ed3:BM-04")</f>
        <v>as:GENC:6:ed3:BM-04</v>
      </c>
    </row>
    <row r="455" spans="1:7" x14ac:dyDescent="0.2">
      <c r="A455" s="85"/>
      <c r="B455" s="25" t="s">
        <v>12091</v>
      </c>
      <c r="C455" s="25" t="s">
        <v>6939</v>
      </c>
      <c r="D455" s="25" t="s">
        <v>1970</v>
      </c>
      <c r="E455" s="26" t="b">
        <v>1</v>
      </c>
      <c r="F455" s="27" t="str">
        <f>HYPERLINK("http://nsgreg.nga.mil/genc/view?v=211395&amp;end_month=12&amp;end_day=31&amp;end_year=2014","Pembroke")</f>
        <v>Pembroke</v>
      </c>
      <c r="G455" s="28" t="str">
        <f>HYPERLINK("http://api.nsgreg.nga.mil/geo-division/GENC/6/ed3/BM-05","as:GENC:6:ed3:BM-05")</f>
        <v>as:GENC:6:ed3:BM-05</v>
      </c>
    </row>
    <row r="456" spans="1:7" x14ac:dyDescent="0.2">
      <c r="A456" s="85"/>
      <c r="B456" s="25" t="s">
        <v>12092</v>
      </c>
      <c r="C456" s="25" t="s">
        <v>2025</v>
      </c>
      <c r="D456" s="25" t="s">
        <v>2164</v>
      </c>
      <c r="E456" s="26" t="b">
        <v>1</v>
      </c>
      <c r="F456" s="27" t="str">
        <f>HYPERLINK("http://nsgreg.nga.mil/genc/view?v=211396&amp;end_month=12&amp;end_day=31&amp;end_year=2014","Saint George")</f>
        <v>Saint George</v>
      </c>
      <c r="G456" s="28" t="str">
        <f>HYPERLINK("http://api.nsgreg.nga.mil/geo-division/GENC/6/ed3/BM-06","as:GENC:6:ed3:BM-06")</f>
        <v>as:GENC:6:ed3:BM-06</v>
      </c>
    </row>
    <row r="457" spans="1:7" x14ac:dyDescent="0.2">
      <c r="A457" s="85"/>
      <c r="B457" s="25" t="s">
        <v>12093</v>
      </c>
      <c r="C457" s="25" t="s">
        <v>12094</v>
      </c>
      <c r="D457" s="25" t="s">
        <v>1970</v>
      </c>
      <c r="E457" s="26" t="b">
        <v>1</v>
      </c>
      <c r="F457" s="27" t="str">
        <f>HYPERLINK("http://nsgreg.nga.mil/genc/view?v=211397&amp;end_month=12&amp;end_day=31&amp;end_year=2014","Saint George’s")</f>
        <v>Saint George’s</v>
      </c>
      <c r="G457" s="28" t="str">
        <f>HYPERLINK("http://api.nsgreg.nga.mil/geo-division/GENC/6/ed3/BM-07","as:GENC:6:ed3:BM-07")</f>
        <v>as:GENC:6:ed3:BM-07</v>
      </c>
    </row>
    <row r="458" spans="1:7" x14ac:dyDescent="0.2">
      <c r="A458" s="85"/>
      <c r="B458" s="25" t="s">
        <v>12095</v>
      </c>
      <c r="C458" s="25" t="s">
        <v>12096</v>
      </c>
      <c r="D458" s="25" t="s">
        <v>1970</v>
      </c>
      <c r="E458" s="26" t="b">
        <v>1</v>
      </c>
      <c r="F458" s="27" t="str">
        <f>HYPERLINK("http://nsgreg.nga.mil/genc/view?v=211398&amp;end_month=12&amp;end_day=31&amp;end_year=2014","Sandys")</f>
        <v>Sandys</v>
      </c>
      <c r="G458" s="28" t="str">
        <f>HYPERLINK("http://api.nsgreg.nga.mil/geo-division/GENC/6/ed3/BM-08","as:GENC:6:ed3:BM-08")</f>
        <v>as:GENC:6:ed3:BM-08</v>
      </c>
    </row>
    <row r="459" spans="1:7" x14ac:dyDescent="0.2">
      <c r="A459" s="85"/>
      <c r="B459" s="25" t="s">
        <v>12097</v>
      </c>
      <c r="C459" s="25" t="s">
        <v>12098</v>
      </c>
      <c r="D459" s="25" t="s">
        <v>1970</v>
      </c>
      <c r="E459" s="26" t="b">
        <v>1</v>
      </c>
      <c r="F459" s="27" t="str">
        <f>HYPERLINK("http://nsgreg.nga.mil/genc/view?v=211399&amp;end_month=12&amp;end_day=31&amp;end_year=2014","Smith’s")</f>
        <v>Smith’s</v>
      </c>
      <c r="G459" s="28" t="str">
        <f>HYPERLINK("http://api.nsgreg.nga.mil/geo-division/GENC/6/ed3/BM-09","as:GENC:6:ed3:BM-09")</f>
        <v>as:GENC:6:ed3:BM-09</v>
      </c>
    </row>
    <row r="460" spans="1:7" x14ac:dyDescent="0.2">
      <c r="A460" s="85"/>
      <c r="B460" s="25" t="s">
        <v>12099</v>
      </c>
      <c r="C460" s="25" t="s">
        <v>11455</v>
      </c>
      <c r="D460" s="25" t="s">
        <v>1970</v>
      </c>
      <c r="E460" s="26" t="b">
        <v>1</v>
      </c>
      <c r="F460" s="27" t="str">
        <f>HYPERLINK("http://nsgreg.nga.mil/genc/view?v=211400&amp;end_month=12&amp;end_day=31&amp;end_year=2014","Southampton")</f>
        <v>Southampton</v>
      </c>
      <c r="G460" s="28" t="str">
        <f>HYPERLINK("http://api.nsgreg.nga.mil/geo-division/GENC/6/ed3/BM-10","as:GENC:6:ed3:BM-10")</f>
        <v>as:GENC:6:ed3:BM-10</v>
      </c>
    </row>
    <row r="461" spans="1:7" x14ac:dyDescent="0.2">
      <c r="A461" s="86"/>
      <c r="B461" s="29" t="s">
        <v>12100</v>
      </c>
      <c r="C461" s="29" t="s">
        <v>12101</v>
      </c>
      <c r="D461" s="29" t="s">
        <v>1970</v>
      </c>
      <c r="E461" s="30" t="b">
        <v>1</v>
      </c>
      <c r="F461" s="31" t="str">
        <f>HYPERLINK("http://nsgreg.nga.mil/genc/view?v=211401&amp;end_month=12&amp;end_day=31&amp;end_year=2014","Warwick")</f>
        <v>Warwick</v>
      </c>
      <c r="G461" s="32" t="str">
        <f>HYPERLINK("http://api.nsgreg.nga.mil/geo-division/GENC/6/ed3/BM-11","as:GENC:6:ed3:BM-11")</f>
        <v>as:GENC:6:ed3:BM-11</v>
      </c>
    </row>
    <row r="462" spans="1:7" x14ac:dyDescent="0.2">
      <c r="A462" s="84" t="str">
        <f>HYPERLINK("[#]Codes_for_GE_Names!A32:I32","BHUTAN")</f>
        <v>BHUTAN</v>
      </c>
      <c r="B462" s="33" t="s">
        <v>2613</v>
      </c>
      <c r="C462" s="33" t="s">
        <v>2614</v>
      </c>
      <c r="D462" s="33" t="s">
        <v>1790</v>
      </c>
      <c r="E462" s="34" t="b">
        <v>1</v>
      </c>
      <c r="F462" s="35" t="str">
        <f>HYPERLINK("http://nsgreg.nga.mil/genc/view?v=118371&amp;gencs=T&amp;end_month=12&amp;end_day=31&amp;end_year=2014","Bumthang")</f>
        <v>Bumthang</v>
      </c>
      <c r="G462" s="36" t="str">
        <f>HYPERLINK("http://api.nsgreg.nga.mil/geo-division/GENC/6/ed3/BT-33","as:GENC:6:ed3:BT-33")</f>
        <v>as:GENC:6:ed3:BT-33</v>
      </c>
    </row>
    <row r="463" spans="1:7" x14ac:dyDescent="0.2">
      <c r="A463" s="85"/>
      <c r="B463" s="25" t="s">
        <v>2615</v>
      </c>
      <c r="C463" s="25" t="s">
        <v>2616</v>
      </c>
      <c r="D463" s="25" t="s">
        <v>1790</v>
      </c>
      <c r="E463" s="26" t="b">
        <v>1</v>
      </c>
      <c r="F463" s="27" t="str">
        <f>HYPERLINK("http://nsgreg.nga.mil/genc/view?v=118361&amp;gencs=T&amp;end_month=12&amp;end_day=31&amp;end_year=2014","Chhukha")</f>
        <v>Chhukha</v>
      </c>
      <c r="G463" s="28" t="str">
        <f>HYPERLINK("http://api.nsgreg.nga.mil/geo-division/GENC/6/ed3/BT-12","as:GENC:6:ed3:BT-12")</f>
        <v>as:GENC:6:ed3:BT-12</v>
      </c>
    </row>
    <row r="464" spans="1:7" x14ac:dyDescent="0.2">
      <c r="A464" s="85"/>
      <c r="B464" s="25" t="s">
        <v>2617</v>
      </c>
      <c r="C464" s="25" t="s">
        <v>2618</v>
      </c>
      <c r="D464" s="25" t="s">
        <v>1790</v>
      </c>
      <c r="E464" s="26" t="b">
        <v>1</v>
      </c>
      <c r="F464" s="27" t="str">
        <f>HYPERLINK("http://nsgreg.nga.mil/genc/view?v=118366&amp;gencs=T&amp;end_month=12&amp;end_day=31&amp;end_year=2014","Dagana")</f>
        <v>Dagana</v>
      </c>
      <c r="G464" s="28" t="str">
        <f>HYPERLINK("http://api.nsgreg.nga.mil/geo-division/GENC/6/ed3/BT-22","as:GENC:6:ed3:BT-22")</f>
        <v>as:GENC:6:ed3:BT-22</v>
      </c>
    </row>
    <row r="465" spans="1:7" x14ac:dyDescent="0.2">
      <c r="A465" s="85"/>
      <c r="B465" s="25" t="s">
        <v>2619</v>
      </c>
      <c r="C465" s="25" t="s">
        <v>2620</v>
      </c>
      <c r="D465" s="25" t="s">
        <v>1790</v>
      </c>
      <c r="E465" s="26" t="b">
        <v>1</v>
      </c>
      <c r="F465" s="27" t="str">
        <f>HYPERLINK("http://nsgreg.nga.mil/genc/view?v=118378&amp;gencs=T&amp;end_month=12&amp;end_day=31&amp;end_year=2014","Gasa")</f>
        <v>Gasa</v>
      </c>
      <c r="G465" s="28" t="str">
        <f>HYPERLINK("http://api.nsgreg.nga.mil/geo-division/GENC/6/ed3/BT-GA","as:GENC:6:ed3:BT-GA")</f>
        <v>as:GENC:6:ed3:BT-GA</v>
      </c>
    </row>
    <row r="466" spans="1:7" x14ac:dyDescent="0.2">
      <c r="A466" s="85"/>
      <c r="B466" s="25" t="s">
        <v>2621</v>
      </c>
      <c r="C466" s="25" t="s">
        <v>12102</v>
      </c>
      <c r="D466" s="25" t="s">
        <v>1790</v>
      </c>
      <c r="E466" s="26" t="b">
        <v>1</v>
      </c>
      <c r="F466" s="27" t="str">
        <f>HYPERLINK("http://nsgreg.nga.mil/genc/view?v=211409&amp;end_month=12&amp;end_day=31&amp;end_year=2014","Haa")</f>
        <v>Haa</v>
      </c>
      <c r="G466" s="28" t="str">
        <f>HYPERLINK("http://api.nsgreg.nga.mil/geo-division/GENC/6/ed3/BT-13","as:GENC:6:ed3:BT-13")</f>
        <v>as:GENC:6:ed3:BT-13</v>
      </c>
    </row>
    <row r="467" spans="1:7" x14ac:dyDescent="0.2">
      <c r="A467" s="85"/>
      <c r="B467" s="25" t="s">
        <v>2623</v>
      </c>
      <c r="C467" s="25" t="s">
        <v>2624</v>
      </c>
      <c r="D467" s="25" t="s">
        <v>1790</v>
      </c>
      <c r="E467" s="26" t="b">
        <v>1</v>
      </c>
      <c r="F467" s="27" t="str">
        <f>HYPERLINK("http://nsgreg.nga.mil/genc/view?v=118376&amp;gencs=T&amp;end_month=12&amp;end_day=31&amp;end_year=2014","Lhuentse")</f>
        <v>Lhuentse</v>
      </c>
      <c r="G467" s="28" t="str">
        <f>HYPERLINK("http://api.nsgreg.nga.mil/geo-division/GENC/6/ed3/BT-44","as:GENC:6:ed3:BT-44")</f>
        <v>as:GENC:6:ed3:BT-44</v>
      </c>
    </row>
    <row r="468" spans="1:7" x14ac:dyDescent="0.2">
      <c r="A468" s="85"/>
      <c r="B468" s="25" t="s">
        <v>2625</v>
      </c>
      <c r="C468" s="25" t="s">
        <v>12103</v>
      </c>
      <c r="D468" s="25" t="s">
        <v>1790</v>
      </c>
      <c r="E468" s="26" t="b">
        <v>1</v>
      </c>
      <c r="F468" s="27" t="str">
        <f>HYPERLINK("http://nsgreg.nga.mil/genc/view?v=211410&amp;end_month=12&amp;end_day=31&amp;end_year=2014","Mongar")</f>
        <v>Mongar</v>
      </c>
      <c r="G468" s="28" t="str">
        <f>HYPERLINK("http://api.nsgreg.nga.mil/geo-division/GENC/6/ed3/BT-42","as:GENC:6:ed3:BT-42")</f>
        <v>as:GENC:6:ed3:BT-42</v>
      </c>
    </row>
    <row r="469" spans="1:7" x14ac:dyDescent="0.2">
      <c r="A469" s="85"/>
      <c r="B469" s="25" t="s">
        <v>2627</v>
      </c>
      <c r="C469" s="25" t="s">
        <v>2628</v>
      </c>
      <c r="D469" s="25" t="s">
        <v>1790</v>
      </c>
      <c r="E469" s="26" t="b">
        <v>1</v>
      </c>
      <c r="F469" s="27" t="str">
        <f>HYPERLINK("http://nsgreg.nga.mil/genc/view?v=118360&amp;gencs=T&amp;end_month=12&amp;end_day=31&amp;end_year=2014","Paro")</f>
        <v>Paro</v>
      </c>
      <c r="G469" s="28" t="str">
        <f>HYPERLINK("http://api.nsgreg.nga.mil/geo-division/GENC/6/ed3/BT-11","as:GENC:6:ed3:BT-11")</f>
        <v>as:GENC:6:ed3:BT-11</v>
      </c>
    </row>
    <row r="470" spans="1:7" x14ac:dyDescent="0.2">
      <c r="A470" s="85"/>
      <c r="B470" s="25" t="s">
        <v>2629</v>
      </c>
      <c r="C470" s="25" t="s">
        <v>2630</v>
      </c>
      <c r="D470" s="25" t="s">
        <v>1790</v>
      </c>
      <c r="E470" s="26" t="b">
        <v>1</v>
      </c>
      <c r="F470" s="27" t="str">
        <f>HYPERLINK("http://nsgreg.nga.mil/genc/view?v=118375&amp;gencs=T&amp;end_month=12&amp;end_day=31&amp;end_year=2014","Pemagatshel")</f>
        <v>Pemagatshel</v>
      </c>
      <c r="G470" s="28" t="str">
        <f>HYPERLINK("http://api.nsgreg.nga.mil/geo-division/GENC/6/ed3/BT-43","as:GENC:6:ed3:BT-43")</f>
        <v>as:GENC:6:ed3:BT-43</v>
      </c>
    </row>
    <row r="471" spans="1:7" x14ac:dyDescent="0.2">
      <c r="A471" s="85"/>
      <c r="B471" s="25" t="s">
        <v>2631</v>
      </c>
      <c r="C471" s="25" t="s">
        <v>2632</v>
      </c>
      <c r="D471" s="25" t="s">
        <v>1790</v>
      </c>
      <c r="E471" s="26" t="b">
        <v>1</v>
      </c>
      <c r="F471" s="27" t="str">
        <f>HYPERLINK("http://nsgreg.nga.mil/genc/view?v=118367&amp;gencs=T&amp;end_month=12&amp;end_day=31&amp;end_year=2014","Punakha")</f>
        <v>Punakha</v>
      </c>
      <c r="G471" s="28" t="str">
        <f>HYPERLINK("http://api.nsgreg.nga.mil/geo-division/GENC/6/ed3/BT-23","as:GENC:6:ed3:BT-23")</f>
        <v>as:GENC:6:ed3:BT-23</v>
      </c>
    </row>
    <row r="472" spans="1:7" x14ac:dyDescent="0.2">
      <c r="A472" s="85"/>
      <c r="B472" s="25" t="s">
        <v>2633</v>
      </c>
      <c r="C472" s="25" t="s">
        <v>12104</v>
      </c>
      <c r="D472" s="25" t="s">
        <v>1790</v>
      </c>
      <c r="E472" s="26" t="b">
        <v>1</v>
      </c>
      <c r="F472" s="27" t="str">
        <f>HYPERLINK("http://nsgreg.nga.mil/genc/view?v=211411&amp;end_month=12&amp;end_day=31&amp;end_year=2014","Samdrup Jongkhar")</f>
        <v>Samdrup Jongkhar</v>
      </c>
      <c r="G472" s="28" t="str">
        <f>HYPERLINK("http://api.nsgreg.nga.mil/geo-division/GENC/6/ed3/BT-45","as:GENC:6:ed3:BT-45")</f>
        <v>as:GENC:6:ed3:BT-45</v>
      </c>
    </row>
    <row r="473" spans="1:7" x14ac:dyDescent="0.2">
      <c r="A473" s="85"/>
      <c r="B473" s="25" t="s">
        <v>2635</v>
      </c>
      <c r="C473" s="25" t="s">
        <v>2636</v>
      </c>
      <c r="D473" s="25" t="s">
        <v>1790</v>
      </c>
      <c r="E473" s="26" t="b">
        <v>1</v>
      </c>
      <c r="F473" s="27" t="str">
        <f>HYPERLINK("http://nsgreg.nga.mil/genc/view?v=118363&amp;gencs=T&amp;end_month=12&amp;end_day=31&amp;end_year=2014","Samtse")</f>
        <v>Samtse</v>
      </c>
      <c r="G473" s="28" t="str">
        <f>HYPERLINK("http://api.nsgreg.nga.mil/geo-division/GENC/6/ed3/BT-14","as:GENC:6:ed3:BT-14")</f>
        <v>as:GENC:6:ed3:BT-14</v>
      </c>
    </row>
    <row r="474" spans="1:7" x14ac:dyDescent="0.2">
      <c r="A474" s="85"/>
      <c r="B474" s="25" t="s">
        <v>2637</v>
      </c>
      <c r="C474" s="25" t="s">
        <v>2638</v>
      </c>
      <c r="D474" s="25" t="s">
        <v>1790</v>
      </c>
      <c r="E474" s="26" t="b">
        <v>1</v>
      </c>
      <c r="F474" s="27" t="str">
        <f>HYPERLINK("http://nsgreg.nga.mil/genc/view?v=118369&amp;gencs=T&amp;end_month=12&amp;end_day=31&amp;end_year=2014","Sarpang")</f>
        <v>Sarpang</v>
      </c>
      <c r="G474" s="28" t="str">
        <f>HYPERLINK("http://api.nsgreg.nga.mil/geo-division/GENC/6/ed3/BT-31","as:GENC:6:ed3:BT-31")</f>
        <v>as:GENC:6:ed3:BT-31</v>
      </c>
    </row>
    <row r="475" spans="1:7" x14ac:dyDescent="0.2">
      <c r="A475" s="85"/>
      <c r="B475" s="25" t="s">
        <v>2639</v>
      </c>
      <c r="C475" s="25" t="s">
        <v>2640</v>
      </c>
      <c r="D475" s="25" t="s">
        <v>1790</v>
      </c>
      <c r="E475" s="26" t="b">
        <v>1</v>
      </c>
      <c r="F475" s="27" t="str">
        <f>HYPERLINK("http://nsgreg.nga.mil/genc/view?v=118364&amp;gencs=T&amp;end_month=12&amp;end_day=31&amp;end_year=2014","Thimphu")</f>
        <v>Thimphu</v>
      </c>
      <c r="G475" s="28" t="str">
        <f>HYPERLINK("http://api.nsgreg.nga.mil/geo-division/GENC/6/ed3/BT-15","as:GENC:6:ed3:BT-15")</f>
        <v>as:GENC:6:ed3:BT-15</v>
      </c>
    </row>
    <row r="476" spans="1:7" x14ac:dyDescent="0.2">
      <c r="A476" s="85"/>
      <c r="B476" s="25" t="s">
        <v>2643</v>
      </c>
      <c r="C476" s="25" t="s">
        <v>2644</v>
      </c>
      <c r="D476" s="25" t="s">
        <v>1790</v>
      </c>
      <c r="E476" s="26" t="b">
        <v>1</v>
      </c>
      <c r="F476" s="27" t="str">
        <f>HYPERLINK("http://nsgreg.nga.mil/genc/view?v=118373&amp;gencs=T&amp;end_month=12&amp;end_day=31&amp;end_year=2014","Trashigang")</f>
        <v>Trashigang</v>
      </c>
      <c r="G476" s="28" t="str">
        <f>HYPERLINK("http://api.nsgreg.nga.mil/geo-division/GENC/6/ed3/BT-41","as:GENC:6:ed3:BT-41")</f>
        <v>as:GENC:6:ed3:BT-41</v>
      </c>
    </row>
    <row r="477" spans="1:7" x14ac:dyDescent="0.2">
      <c r="A477" s="85"/>
      <c r="B477" s="25" t="s">
        <v>2641</v>
      </c>
      <c r="C477" s="25" t="s">
        <v>2642</v>
      </c>
      <c r="D477" s="25" t="s">
        <v>1790</v>
      </c>
      <c r="E477" s="26" t="b">
        <v>1</v>
      </c>
      <c r="F477" s="27" t="str">
        <f>HYPERLINK("http://nsgreg.nga.mil/genc/view?v=118379&amp;gencs=T&amp;end_month=12&amp;end_day=31&amp;end_year=2014","Trashi Yangtse")</f>
        <v>Trashi Yangtse</v>
      </c>
      <c r="G477" s="28" t="str">
        <f>HYPERLINK("http://api.nsgreg.nga.mil/geo-division/GENC/6/ed3/BT-TY","as:GENC:6:ed3:BT-TY")</f>
        <v>as:GENC:6:ed3:BT-TY</v>
      </c>
    </row>
    <row r="478" spans="1:7" x14ac:dyDescent="0.2">
      <c r="A478" s="85"/>
      <c r="B478" s="25" t="s">
        <v>2645</v>
      </c>
      <c r="C478" s="25" t="s">
        <v>2646</v>
      </c>
      <c r="D478" s="25" t="s">
        <v>1790</v>
      </c>
      <c r="E478" s="26" t="b">
        <v>1</v>
      </c>
      <c r="F478" s="27" t="str">
        <f>HYPERLINK("http://nsgreg.nga.mil/genc/view?v=118370&amp;gencs=T&amp;end_month=12&amp;end_day=31&amp;end_year=2014","Trongsa")</f>
        <v>Trongsa</v>
      </c>
      <c r="G478" s="28" t="str">
        <f>HYPERLINK("http://api.nsgreg.nga.mil/geo-division/GENC/6/ed3/BT-32","as:GENC:6:ed3:BT-32")</f>
        <v>as:GENC:6:ed3:BT-32</v>
      </c>
    </row>
    <row r="479" spans="1:7" x14ac:dyDescent="0.2">
      <c r="A479" s="85"/>
      <c r="B479" s="25" t="s">
        <v>2647</v>
      </c>
      <c r="C479" s="25" t="s">
        <v>2648</v>
      </c>
      <c r="D479" s="25" t="s">
        <v>1790</v>
      </c>
      <c r="E479" s="26" t="b">
        <v>1</v>
      </c>
      <c r="F479" s="27" t="str">
        <f>HYPERLINK("http://nsgreg.nga.mil/genc/view?v=118365&amp;gencs=T&amp;end_month=12&amp;end_day=31&amp;end_year=2014","Tsirang")</f>
        <v>Tsirang</v>
      </c>
      <c r="G479" s="28" t="str">
        <f>HYPERLINK("http://api.nsgreg.nga.mil/geo-division/GENC/6/ed3/BT-21","as:GENC:6:ed3:BT-21")</f>
        <v>as:GENC:6:ed3:BT-21</v>
      </c>
    </row>
    <row r="480" spans="1:7" x14ac:dyDescent="0.2">
      <c r="A480" s="85"/>
      <c r="B480" s="25" t="s">
        <v>2649</v>
      </c>
      <c r="C480" s="25" t="s">
        <v>2650</v>
      </c>
      <c r="D480" s="25" t="s">
        <v>1790</v>
      </c>
      <c r="E480" s="26" t="b">
        <v>1</v>
      </c>
      <c r="F480" s="27" t="str">
        <f>HYPERLINK("http://nsgreg.nga.mil/genc/view?v=118368&amp;gencs=T&amp;end_month=12&amp;end_day=31&amp;end_year=2014","Wangdue Phodrang")</f>
        <v>Wangdue Phodrang</v>
      </c>
      <c r="G480" s="28" t="str">
        <f>HYPERLINK("http://api.nsgreg.nga.mil/geo-division/GENC/6/ed3/BT-24","as:GENC:6:ed3:BT-24")</f>
        <v>as:GENC:6:ed3:BT-24</v>
      </c>
    </row>
    <row r="481" spans="1:7" x14ac:dyDescent="0.2">
      <c r="A481" s="86"/>
      <c r="B481" s="29" t="s">
        <v>2651</v>
      </c>
      <c r="C481" s="29" t="s">
        <v>2652</v>
      </c>
      <c r="D481" s="29" t="s">
        <v>1790</v>
      </c>
      <c r="E481" s="30" t="b">
        <v>1</v>
      </c>
      <c r="F481" s="31" t="str">
        <f>HYPERLINK("http://nsgreg.nga.mil/genc/view?v=118372&amp;gencs=T&amp;end_month=12&amp;end_day=31&amp;end_year=2014","Zhemgang")</f>
        <v>Zhemgang</v>
      </c>
      <c r="G481" s="32" t="str">
        <f>HYPERLINK("http://api.nsgreg.nga.mil/geo-division/GENC/6/ed3/BT-34","as:GENC:6:ed3:BT-34")</f>
        <v>as:GENC:6:ed3:BT-34</v>
      </c>
    </row>
    <row r="482" spans="1:7" x14ac:dyDescent="0.2">
      <c r="A482" s="84" t="str">
        <f>HYPERLINK("[#]Codes_for_GE_Names!A33:I33","BOLIVIA")</f>
        <v>BOLIVIA</v>
      </c>
      <c r="B482" s="33" t="s">
        <v>2654</v>
      </c>
      <c r="C482" s="33" t="s">
        <v>2655</v>
      </c>
      <c r="D482" s="33" t="s">
        <v>2590</v>
      </c>
      <c r="E482" s="34" t="b">
        <v>1</v>
      </c>
      <c r="F482" s="35" t="str">
        <f>HYPERLINK("http://nsgreg.nga.mil/genc/view?v=118292&amp;gencs=T&amp;end_month=12&amp;end_day=31&amp;end_year=2014","Chuquisaca")</f>
        <v>Chuquisaca</v>
      </c>
      <c r="G482" s="36" t="str">
        <f>HYPERLINK("http://api.nsgreg.nga.mil/geo-division/GENC/6/ed3/BO-H","as:GENC:6:ed3:BO-H")</f>
        <v>as:GENC:6:ed3:BO-H</v>
      </c>
    </row>
    <row r="483" spans="1:7" x14ac:dyDescent="0.2">
      <c r="A483" s="85"/>
      <c r="B483" s="25" t="s">
        <v>2656</v>
      </c>
      <c r="C483" s="25" t="s">
        <v>2657</v>
      </c>
      <c r="D483" s="25" t="s">
        <v>2590</v>
      </c>
      <c r="E483" s="26" t="b">
        <v>1</v>
      </c>
      <c r="F483" s="27" t="str">
        <f>HYPERLINK("http://nsgreg.nga.mil/genc/view?v=118291&amp;gencs=T&amp;end_month=12&amp;end_day=31&amp;end_year=2014","Cochabamba")</f>
        <v>Cochabamba</v>
      </c>
      <c r="G483" s="28" t="str">
        <f>HYPERLINK("http://api.nsgreg.nga.mil/geo-division/GENC/6/ed3/BO-C","as:GENC:6:ed3:BO-C")</f>
        <v>as:GENC:6:ed3:BO-C</v>
      </c>
    </row>
    <row r="484" spans="1:7" x14ac:dyDescent="0.2">
      <c r="A484" s="85"/>
      <c r="B484" s="25" t="s">
        <v>2658</v>
      </c>
      <c r="C484" s="25" t="s">
        <v>2659</v>
      </c>
      <c r="D484" s="25" t="s">
        <v>2590</v>
      </c>
      <c r="E484" s="26" t="b">
        <v>1</v>
      </c>
      <c r="F484" s="27" t="str">
        <f>HYPERLINK("http://nsgreg.nga.mil/genc/view?v=118290&amp;gencs=T&amp;end_month=12&amp;end_day=31&amp;end_year=2014","El Beni")</f>
        <v>El Beni</v>
      </c>
      <c r="G484" s="28" t="str">
        <f>HYPERLINK("http://api.nsgreg.nga.mil/geo-division/GENC/6/ed3/BO-B","as:GENC:6:ed3:BO-B")</f>
        <v>as:GENC:6:ed3:BO-B</v>
      </c>
    </row>
    <row r="485" spans="1:7" x14ac:dyDescent="0.2">
      <c r="A485" s="85"/>
      <c r="B485" s="25" t="s">
        <v>2660</v>
      </c>
      <c r="C485" s="25" t="s">
        <v>2661</v>
      </c>
      <c r="D485" s="25" t="s">
        <v>2590</v>
      </c>
      <c r="E485" s="26" t="b">
        <v>1</v>
      </c>
      <c r="F485" s="27" t="str">
        <f>HYPERLINK("http://nsgreg.nga.mil/genc/view?v=118293&amp;gencs=T&amp;end_month=12&amp;end_day=31&amp;end_year=2014","La Paz")</f>
        <v>La Paz</v>
      </c>
      <c r="G485" s="28" t="str">
        <f>HYPERLINK("http://api.nsgreg.nga.mil/geo-division/GENC/6/ed3/BO-L","as:GENC:6:ed3:BO-L")</f>
        <v>as:GENC:6:ed3:BO-L</v>
      </c>
    </row>
    <row r="486" spans="1:7" x14ac:dyDescent="0.2">
      <c r="A486" s="85"/>
      <c r="B486" s="25" t="s">
        <v>2662</v>
      </c>
      <c r="C486" s="25" t="s">
        <v>2663</v>
      </c>
      <c r="D486" s="25" t="s">
        <v>2590</v>
      </c>
      <c r="E486" s="26" t="b">
        <v>1</v>
      </c>
      <c r="F486" s="27" t="str">
        <f>HYPERLINK("http://nsgreg.nga.mil/genc/view?v=118295&amp;gencs=T&amp;end_month=12&amp;end_day=31&amp;end_year=2014","Oruro")</f>
        <v>Oruro</v>
      </c>
      <c r="G486" s="28" t="str">
        <f>HYPERLINK("http://api.nsgreg.nga.mil/geo-division/GENC/6/ed3/BO-O","as:GENC:6:ed3:BO-O")</f>
        <v>as:GENC:6:ed3:BO-O</v>
      </c>
    </row>
    <row r="487" spans="1:7" x14ac:dyDescent="0.2">
      <c r="A487" s="85"/>
      <c r="B487" s="25" t="s">
        <v>2664</v>
      </c>
      <c r="C487" s="25" t="s">
        <v>2665</v>
      </c>
      <c r="D487" s="25" t="s">
        <v>2590</v>
      </c>
      <c r="E487" s="26" t="b">
        <v>1</v>
      </c>
      <c r="F487" s="27" t="str">
        <f>HYPERLINK("http://nsgreg.nga.mil/genc/view?v=118294&amp;gencs=T&amp;end_month=12&amp;end_day=31&amp;end_year=2014","Pando")</f>
        <v>Pando</v>
      </c>
      <c r="G487" s="28" t="str">
        <f>HYPERLINK("http://api.nsgreg.nga.mil/geo-division/GENC/6/ed3/BO-N","as:GENC:6:ed3:BO-N")</f>
        <v>as:GENC:6:ed3:BO-N</v>
      </c>
    </row>
    <row r="488" spans="1:7" x14ac:dyDescent="0.2">
      <c r="A488" s="85"/>
      <c r="B488" s="25" t="s">
        <v>2666</v>
      </c>
      <c r="C488" s="25" t="s">
        <v>2667</v>
      </c>
      <c r="D488" s="25" t="s">
        <v>2590</v>
      </c>
      <c r="E488" s="26" t="b">
        <v>1</v>
      </c>
      <c r="F488" s="27" t="str">
        <f>HYPERLINK("http://nsgreg.nga.mil/genc/view?v=118296&amp;gencs=T&amp;end_month=12&amp;end_day=31&amp;end_year=2014","Potosí")</f>
        <v>Potosí</v>
      </c>
      <c r="G488" s="28" t="str">
        <f>HYPERLINK("http://api.nsgreg.nga.mil/geo-division/GENC/6/ed3/BO-P","as:GENC:6:ed3:BO-P")</f>
        <v>as:GENC:6:ed3:BO-P</v>
      </c>
    </row>
    <row r="489" spans="1:7" x14ac:dyDescent="0.2">
      <c r="A489" s="85"/>
      <c r="B489" s="25" t="s">
        <v>2668</v>
      </c>
      <c r="C489" s="25" t="s">
        <v>2076</v>
      </c>
      <c r="D489" s="25" t="s">
        <v>2590</v>
      </c>
      <c r="E489" s="26" t="b">
        <v>1</v>
      </c>
      <c r="F489" s="27" t="str">
        <f>HYPERLINK("http://nsgreg.nga.mil/genc/view?v=118297&amp;gencs=T&amp;end_month=12&amp;end_day=31&amp;end_year=2014","Santa Cruz")</f>
        <v>Santa Cruz</v>
      </c>
      <c r="G489" s="28" t="str">
        <f>HYPERLINK("http://api.nsgreg.nga.mil/geo-division/GENC/6/ed3/BO-S","as:GENC:6:ed3:BO-S")</f>
        <v>as:GENC:6:ed3:BO-S</v>
      </c>
    </row>
    <row r="490" spans="1:7" x14ac:dyDescent="0.2">
      <c r="A490" s="86"/>
      <c r="B490" s="29" t="s">
        <v>2669</v>
      </c>
      <c r="C490" s="29" t="s">
        <v>2670</v>
      </c>
      <c r="D490" s="29" t="s">
        <v>2590</v>
      </c>
      <c r="E490" s="30" t="b">
        <v>1</v>
      </c>
      <c r="F490" s="31" t="str">
        <f>HYPERLINK("http://nsgreg.nga.mil/genc/view?v=118298&amp;gencs=T&amp;end_month=12&amp;end_day=31&amp;end_year=2014","Tarija")</f>
        <v>Tarija</v>
      </c>
      <c r="G490" s="32" t="str">
        <f>HYPERLINK("http://api.nsgreg.nga.mil/geo-division/GENC/6/ed3/BO-T","as:GENC:6:ed3:BO-T")</f>
        <v>as:GENC:6:ed3:BO-T</v>
      </c>
    </row>
    <row r="491" spans="1:7" x14ac:dyDescent="0.2">
      <c r="A491" s="84" t="str">
        <f>HYPERLINK("[#]Codes_for_GE_Names!A34:I34","BONAIRE, SINT EUSTATIUS, AND SABA")</f>
        <v>BONAIRE, SINT EUSTATIUS, AND SABA</v>
      </c>
      <c r="B491" s="33" t="s">
        <v>2671</v>
      </c>
      <c r="C491" s="33" t="s">
        <v>2672</v>
      </c>
      <c r="D491" s="41" t="s">
        <v>2673</v>
      </c>
      <c r="E491" s="42" t="b">
        <v>0</v>
      </c>
      <c r="F491" s="35" t="str">
        <f>HYPERLINK("http://nsgreg.nga.mil/genc/view?v=211406&amp;end_month=12&amp;end_day=31&amp;end_year=2014","Bonaire")</f>
        <v>Bonaire</v>
      </c>
      <c r="G491" s="36" t="str">
        <f>HYPERLINK("http://api.nsgreg.nga.mil/geo-division/GENC/6/ed3/BQ-BO","as:GENC:6:ed3:BQ-BO")</f>
        <v>as:GENC:6:ed3:BQ-BO</v>
      </c>
    </row>
    <row r="492" spans="1:7" x14ac:dyDescent="0.2">
      <c r="A492" s="85"/>
      <c r="B492" s="25" t="s">
        <v>2675</v>
      </c>
      <c r="C492" s="25" t="s">
        <v>2676</v>
      </c>
      <c r="D492" s="37" t="s">
        <v>2673</v>
      </c>
      <c r="E492" s="38" t="b">
        <v>0</v>
      </c>
      <c r="F492" s="27" t="str">
        <f>HYPERLINK("http://nsgreg.nga.mil/genc/view?v=211407&amp;end_month=12&amp;end_day=31&amp;end_year=2014","Saba")</f>
        <v>Saba</v>
      </c>
      <c r="G492" s="28" t="str">
        <f>HYPERLINK("http://api.nsgreg.nga.mil/geo-division/GENC/6/ed3/BQ-SA","as:GENC:6:ed3:BQ-SA")</f>
        <v>as:GENC:6:ed3:BQ-SA</v>
      </c>
    </row>
    <row r="493" spans="1:7" x14ac:dyDescent="0.2">
      <c r="A493" s="86"/>
      <c r="B493" s="29" t="s">
        <v>2677</v>
      </c>
      <c r="C493" s="29" t="s">
        <v>2678</v>
      </c>
      <c r="D493" s="39" t="s">
        <v>2673</v>
      </c>
      <c r="E493" s="40" t="b">
        <v>0</v>
      </c>
      <c r="F493" s="31" t="str">
        <f>HYPERLINK("http://nsgreg.nga.mil/genc/view?v=211408&amp;end_month=12&amp;end_day=31&amp;end_year=2014","Sint Eustatius")</f>
        <v>Sint Eustatius</v>
      </c>
      <c r="G493" s="32" t="str">
        <f>HYPERLINK("http://api.nsgreg.nga.mil/geo-division/GENC/6/ed3/BQ-SE","as:GENC:6:ed3:BQ-SE")</f>
        <v>as:GENC:6:ed3:BQ-SE</v>
      </c>
    </row>
    <row r="494" spans="1:7" x14ac:dyDescent="0.2">
      <c r="A494" s="84" t="str">
        <f>HYPERLINK("[#]Codes_for_GE_Names!A35:I35","BOSNIA AND HERZEGOVINA")</f>
        <v>BOSNIA AND HERZEGOVINA</v>
      </c>
      <c r="B494" s="33" t="s">
        <v>2679</v>
      </c>
      <c r="C494" s="33" t="s">
        <v>12105</v>
      </c>
      <c r="D494" s="41" t="s">
        <v>2681</v>
      </c>
      <c r="E494" s="42" t="b">
        <v>0</v>
      </c>
      <c r="F494" s="35" t="str">
        <f>HYPERLINK("http://nsgreg.nga.mil/genc/view?v=211282&amp;end_month=12&amp;end_day=31&amp;end_year=2014","Bosansko-Podrinjski Kanton")</f>
        <v>Bosansko-Podrinjski Kanton</v>
      </c>
      <c r="G494" s="36" t="str">
        <f>HYPERLINK("http://api.nsgreg.nga.mil/geo-division/GENC/6/ed3/BA-05","as:GENC:6:ed3:BA-05")</f>
        <v>as:GENC:6:ed3:BA-05</v>
      </c>
    </row>
    <row r="495" spans="1:7" x14ac:dyDescent="0.2">
      <c r="A495" s="85"/>
      <c r="B495" s="25" t="s">
        <v>2686</v>
      </c>
      <c r="C495" s="25" t="s">
        <v>12106</v>
      </c>
      <c r="D495" s="25" t="s">
        <v>12107</v>
      </c>
      <c r="E495" s="26" t="b">
        <v>1</v>
      </c>
      <c r="F495" s="27" t="str">
        <f>HYPERLINK("http://nsgreg.nga.mil/genc/view?v=211288&amp;end_month=12&amp;end_day=31&amp;end_year=2014","Bosnia and Herzegovina, Federation of")</f>
        <v>Bosnia and Herzegovina, Federation of</v>
      </c>
      <c r="G495" s="28" t="str">
        <f>HYPERLINK("http://api.nsgreg.nga.mil/geo-division/GENC/6/ed3/BA-BIH","as:GENC:6:ed3:BA-BIH")</f>
        <v>as:GENC:6:ed3:BA-BIH</v>
      </c>
    </row>
    <row r="496" spans="1:7" x14ac:dyDescent="0.2">
      <c r="A496" s="85"/>
      <c r="B496" s="25" t="s">
        <v>2683</v>
      </c>
      <c r="C496" s="25" t="s">
        <v>12108</v>
      </c>
      <c r="D496" s="25" t="s">
        <v>1790</v>
      </c>
      <c r="E496" s="26" t="b">
        <v>1</v>
      </c>
      <c r="F496" s="27" t="str">
        <f>HYPERLINK("http://nsgreg.nga.mil/genc/view?v=211289&amp;end_month=12&amp;end_day=31&amp;end_year=2014","Brcko District")</f>
        <v>Brcko District</v>
      </c>
      <c r="G496" s="28" t="str">
        <f>HYPERLINK("http://api.nsgreg.nga.mil/geo-division/GENC/6/ed3/BA-BRC","as:GENC:6:ed3:BA-BRC")</f>
        <v>as:GENC:6:ed3:BA-BRC</v>
      </c>
    </row>
    <row r="497" spans="1:7" x14ac:dyDescent="0.2">
      <c r="A497" s="85"/>
      <c r="B497" s="25" t="s">
        <v>2694</v>
      </c>
      <c r="C497" s="25" t="s">
        <v>12109</v>
      </c>
      <c r="D497" s="37" t="s">
        <v>2681</v>
      </c>
      <c r="E497" s="38" t="b">
        <v>0</v>
      </c>
      <c r="F497" s="27" t="str">
        <f>HYPERLINK("http://nsgreg.nga.mil/genc/view?v=211287&amp;end_month=12&amp;end_day=31&amp;end_year=2014","Hercegovačko-Bosanski Kanton")</f>
        <v>Hercegovačko-Bosanski Kanton</v>
      </c>
      <c r="G497" s="28" t="str">
        <f>HYPERLINK("http://api.nsgreg.nga.mil/geo-division/GENC/6/ed3/BA-10","as:GENC:6:ed3:BA-10")</f>
        <v>as:GENC:6:ed3:BA-10</v>
      </c>
    </row>
    <row r="498" spans="1:7" x14ac:dyDescent="0.2">
      <c r="A498" s="85"/>
      <c r="B498" s="25" t="s">
        <v>2689</v>
      </c>
      <c r="C498" s="25" t="s">
        <v>12110</v>
      </c>
      <c r="D498" s="37" t="s">
        <v>2681</v>
      </c>
      <c r="E498" s="38" t="b">
        <v>0</v>
      </c>
      <c r="F498" s="27" t="str">
        <f>HYPERLINK("http://nsgreg.nga.mil/genc/view?v=211284&amp;end_month=12&amp;end_day=31&amp;end_year=2014","Hercegovačko-Neretvanski Kanton")</f>
        <v>Hercegovačko-Neretvanski Kanton</v>
      </c>
      <c r="G498" s="28" t="str">
        <f>HYPERLINK("http://api.nsgreg.nga.mil/geo-division/GENC/6/ed3/BA-07","as:GENC:6:ed3:BA-07")</f>
        <v>as:GENC:6:ed3:BA-07</v>
      </c>
    </row>
    <row r="499" spans="1:7" x14ac:dyDescent="0.2">
      <c r="A499" s="85"/>
      <c r="B499" s="25" t="s">
        <v>2697</v>
      </c>
      <c r="C499" s="25" t="s">
        <v>12111</v>
      </c>
      <c r="D499" s="37" t="s">
        <v>2681</v>
      </c>
      <c r="E499" s="38" t="b">
        <v>0</v>
      </c>
      <c r="F499" s="27" t="str">
        <f>HYPERLINK("http://nsgreg.nga.mil/genc/view?v=211279&amp;end_month=12&amp;end_day=31&amp;end_year=2014","Posavski Kanton")</f>
        <v>Posavski Kanton</v>
      </c>
      <c r="G499" s="28" t="str">
        <f>HYPERLINK("http://api.nsgreg.nga.mil/geo-division/GENC/6/ed3/BA-02","as:GENC:6:ed3:BA-02")</f>
        <v>as:GENC:6:ed3:BA-02</v>
      </c>
    </row>
    <row r="500" spans="1:7" x14ac:dyDescent="0.2">
      <c r="A500" s="85"/>
      <c r="B500" s="25" t="s">
        <v>2692</v>
      </c>
      <c r="C500" s="25" t="s">
        <v>12112</v>
      </c>
      <c r="D500" s="37" t="s">
        <v>2681</v>
      </c>
      <c r="E500" s="38" t="b">
        <v>0</v>
      </c>
      <c r="F500" s="27" t="str">
        <f>HYPERLINK("http://nsgreg.nga.mil/genc/view?v=211286&amp;end_month=12&amp;end_day=31&amp;end_year=2014","Sarajevo, Kanton")</f>
        <v>Sarajevo, Kanton</v>
      </c>
      <c r="G500" s="28" t="str">
        <f>HYPERLINK("http://api.nsgreg.nga.mil/geo-division/GENC/6/ed3/BA-09","as:GENC:6:ed3:BA-09")</f>
        <v>as:GENC:6:ed3:BA-09</v>
      </c>
    </row>
    <row r="501" spans="1:7" x14ac:dyDescent="0.2">
      <c r="A501" s="85"/>
      <c r="B501" s="25" t="s">
        <v>2703</v>
      </c>
      <c r="C501" s="25" t="s">
        <v>12113</v>
      </c>
      <c r="D501" s="37" t="s">
        <v>2681</v>
      </c>
      <c r="E501" s="38" t="b">
        <v>0</v>
      </c>
      <c r="F501" s="27" t="str">
        <f>HYPERLINK("http://nsgreg.nga.mil/genc/view?v=211283&amp;end_month=12&amp;end_day=31&amp;end_year=2014","Srednjobosanski Kanton")</f>
        <v>Srednjobosanski Kanton</v>
      </c>
      <c r="G501" s="28" t="str">
        <f>HYPERLINK("http://api.nsgreg.nga.mil/geo-division/GENC/6/ed3/BA-06","as:GENC:6:ed3:BA-06")</f>
        <v>as:GENC:6:ed3:BA-06</v>
      </c>
    </row>
    <row r="502" spans="1:7" x14ac:dyDescent="0.2">
      <c r="A502" s="85"/>
      <c r="B502" s="25" t="s">
        <v>2700</v>
      </c>
      <c r="C502" s="25" t="s">
        <v>12114</v>
      </c>
      <c r="D502" s="25" t="s">
        <v>8683</v>
      </c>
      <c r="E502" s="26" t="b">
        <v>1</v>
      </c>
      <c r="F502" s="27" t="str">
        <f>HYPERLINK("http://nsgreg.nga.mil/genc/view?v=211290&amp;end_month=12&amp;end_day=31&amp;end_year=2014","Srpska, Republika")</f>
        <v>Srpska, Republika</v>
      </c>
      <c r="G502" s="28" t="str">
        <f>HYPERLINK("http://api.nsgreg.nga.mil/geo-division/GENC/6/ed3/BA-SRP","as:GENC:6:ed3:BA-SRP")</f>
        <v>as:GENC:6:ed3:BA-SRP</v>
      </c>
    </row>
    <row r="503" spans="1:7" x14ac:dyDescent="0.2">
      <c r="A503" s="85"/>
      <c r="B503" s="25" t="s">
        <v>2706</v>
      </c>
      <c r="C503" s="25" t="s">
        <v>12115</v>
      </c>
      <c r="D503" s="37" t="s">
        <v>2681</v>
      </c>
      <c r="E503" s="38" t="b">
        <v>0</v>
      </c>
      <c r="F503" s="27" t="str">
        <f>HYPERLINK("http://nsgreg.nga.mil/genc/view?v=211280&amp;end_month=12&amp;end_day=31&amp;end_year=2014","Tuzlanski Kanton")</f>
        <v>Tuzlanski Kanton</v>
      </c>
      <c r="G503" s="28" t="str">
        <f>HYPERLINK("http://api.nsgreg.nga.mil/geo-division/GENC/6/ed3/BA-03","as:GENC:6:ed3:BA-03")</f>
        <v>as:GENC:6:ed3:BA-03</v>
      </c>
    </row>
    <row r="504" spans="1:7" x14ac:dyDescent="0.2">
      <c r="A504" s="85"/>
      <c r="B504" s="25" t="s">
        <v>2709</v>
      </c>
      <c r="C504" s="25" t="s">
        <v>12116</v>
      </c>
      <c r="D504" s="37" t="s">
        <v>2681</v>
      </c>
      <c r="E504" s="38" t="b">
        <v>0</v>
      </c>
      <c r="F504" s="27" t="str">
        <f>HYPERLINK("http://nsgreg.nga.mil/genc/view?v=211278&amp;end_month=12&amp;end_day=31&amp;end_year=2014","Unsko-Sanski Kanton")</f>
        <v>Unsko-Sanski Kanton</v>
      </c>
      <c r="G504" s="28" t="str">
        <f>HYPERLINK("http://api.nsgreg.nga.mil/geo-division/GENC/6/ed3/BA-01","as:GENC:6:ed3:BA-01")</f>
        <v>as:GENC:6:ed3:BA-01</v>
      </c>
    </row>
    <row r="505" spans="1:7" x14ac:dyDescent="0.2">
      <c r="A505" s="85"/>
      <c r="B505" s="25" t="s">
        <v>2712</v>
      </c>
      <c r="C505" s="25" t="s">
        <v>12117</v>
      </c>
      <c r="D505" s="37" t="s">
        <v>2681</v>
      </c>
      <c r="E505" s="38" t="b">
        <v>0</v>
      </c>
      <c r="F505" s="27" t="str">
        <f>HYPERLINK("http://nsgreg.nga.mil/genc/view?v=211285&amp;end_month=12&amp;end_day=31&amp;end_year=2014","Zapadno-Hercegovački Kanton")</f>
        <v>Zapadno-Hercegovački Kanton</v>
      </c>
      <c r="G505" s="28" t="str">
        <f>HYPERLINK("http://api.nsgreg.nga.mil/geo-division/GENC/6/ed3/BA-08","as:GENC:6:ed3:BA-08")</f>
        <v>as:GENC:6:ed3:BA-08</v>
      </c>
    </row>
    <row r="506" spans="1:7" x14ac:dyDescent="0.2">
      <c r="A506" s="86"/>
      <c r="B506" s="29" t="s">
        <v>2715</v>
      </c>
      <c r="C506" s="29" t="s">
        <v>12118</v>
      </c>
      <c r="D506" s="39" t="s">
        <v>2681</v>
      </c>
      <c r="E506" s="40" t="b">
        <v>0</v>
      </c>
      <c r="F506" s="31" t="str">
        <f>HYPERLINK("http://nsgreg.nga.mil/genc/view?v=211281&amp;end_month=12&amp;end_day=31&amp;end_year=2014","Zeničko-Dobojski Kanton")</f>
        <v>Zeničko-Dobojski Kanton</v>
      </c>
      <c r="G506" s="32" t="str">
        <f>HYPERLINK("http://api.nsgreg.nga.mil/geo-division/GENC/6/ed3/BA-04","as:GENC:6:ed3:BA-04")</f>
        <v>as:GENC:6:ed3:BA-04</v>
      </c>
    </row>
    <row r="507" spans="1:7" x14ac:dyDescent="0.2">
      <c r="A507" s="84" t="str">
        <f>HYPERLINK("[#]Codes_for_GE_Names!A36:I36","BOTSWANA")</f>
        <v>BOTSWANA</v>
      </c>
      <c r="B507" s="33" t="s">
        <v>2719</v>
      </c>
      <c r="C507" s="33" t="s">
        <v>2720</v>
      </c>
      <c r="D507" s="33" t="s">
        <v>1790</v>
      </c>
      <c r="E507" s="34" t="b">
        <v>1</v>
      </c>
      <c r="F507" s="35" t="str">
        <f>HYPERLINK("http://nsgreg.nga.mil/genc/view?v=118380&amp;gencs=T&amp;end_month=12&amp;end_day=31&amp;end_year=2014","Central")</f>
        <v>Central</v>
      </c>
      <c r="G507" s="36" t="str">
        <f>HYPERLINK("http://api.nsgreg.nga.mil/geo-division/GENC/6/ed3/BW-CE","as:GENC:6:ed3:BW-CE")</f>
        <v>as:GENC:6:ed3:BW-CE</v>
      </c>
    </row>
    <row r="508" spans="1:7" x14ac:dyDescent="0.2">
      <c r="A508" s="85"/>
      <c r="B508" s="25" t="s">
        <v>12119</v>
      </c>
      <c r="C508" s="25" t="s">
        <v>12120</v>
      </c>
      <c r="D508" s="25" t="s">
        <v>1790</v>
      </c>
      <c r="E508" s="26" t="b">
        <v>1</v>
      </c>
      <c r="F508" s="27" t="str">
        <f>HYPERLINK("http://nsgreg.nga.mil/genc/view?v=118381&amp;gencs=T&amp;end_month=12&amp;end_day=31&amp;end_year=2014","Chobe")</f>
        <v>Chobe</v>
      </c>
      <c r="G508" s="28" t="str">
        <f>HYPERLINK("http://api.nsgreg.nga.mil/geo-division/GENC/6/ed3/BW-CH","as:GENC:6:ed3:BW-CH")</f>
        <v>as:GENC:6:ed3:BW-CH</v>
      </c>
    </row>
    <row r="509" spans="1:7" x14ac:dyDescent="0.2">
      <c r="A509" s="85"/>
      <c r="B509" s="25" t="s">
        <v>12121</v>
      </c>
      <c r="C509" s="25" t="s">
        <v>12122</v>
      </c>
      <c r="D509" s="25" t="s">
        <v>2046</v>
      </c>
      <c r="E509" s="26" t="b">
        <v>1</v>
      </c>
      <c r="F509" s="27" t="str">
        <f>HYPERLINK("http://nsgreg.nga.mil/genc/view?v=118382&amp;gencs=T&amp;end_month=12&amp;end_day=31&amp;end_year=2014","Francistown")</f>
        <v>Francistown</v>
      </c>
      <c r="G509" s="28" t="str">
        <f>HYPERLINK("http://api.nsgreg.nga.mil/geo-division/GENC/6/ed3/BW-FR","as:GENC:6:ed3:BW-FR")</f>
        <v>as:GENC:6:ed3:BW-FR</v>
      </c>
    </row>
    <row r="510" spans="1:7" x14ac:dyDescent="0.2">
      <c r="A510" s="85"/>
      <c r="B510" s="25" t="s">
        <v>12123</v>
      </c>
      <c r="C510" s="25" t="s">
        <v>12124</v>
      </c>
      <c r="D510" s="25" t="s">
        <v>2046</v>
      </c>
      <c r="E510" s="26" t="b">
        <v>1</v>
      </c>
      <c r="F510" s="27" t="str">
        <f>HYPERLINK("http://nsgreg.nga.mil/genc/view?v=118383&amp;gencs=T&amp;end_month=12&amp;end_day=31&amp;end_year=2014","Gaborone")</f>
        <v>Gaborone</v>
      </c>
      <c r="G510" s="28" t="str">
        <f>HYPERLINK("http://api.nsgreg.nga.mil/geo-division/GENC/6/ed3/BW-GA","as:GENC:6:ed3:BW-GA")</f>
        <v>as:GENC:6:ed3:BW-GA</v>
      </c>
    </row>
    <row r="511" spans="1:7" x14ac:dyDescent="0.2">
      <c r="A511" s="85"/>
      <c r="B511" s="25" t="s">
        <v>2721</v>
      </c>
      <c r="C511" s="25" t="s">
        <v>2722</v>
      </c>
      <c r="D511" s="25" t="s">
        <v>1790</v>
      </c>
      <c r="E511" s="26" t="b">
        <v>1</v>
      </c>
      <c r="F511" s="27" t="str">
        <f>HYPERLINK("http://nsgreg.nga.mil/genc/view?v=118384&amp;gencs=T&amp;end_month=12&amp;end_day=31&amp;end_year=2014","Ghanzi")</f>
        <v>Ghanzi</v>
      </c>
      <c r="G511" s="28" t="str">
        <f>HYPERLINK("http://api.nsgreg.nga.mil/geo-division/GENC/6/ed3/BW-GH","as:GENC:6:ed3:BW-GH")</f>
        <v>as:GENC:6:ed3:BW-GH</v>
      </c>
    </row>
    <row r="512" spans="1:7" x14ac:dyDescent="0.2">
      <c r="A512" s="85"/>
      <c r="B512" s="25" t="s">
        <v>12125</v>
      </c>
      <c r="C512" s="25" t="s">
        <v>12126</v>
      </c>
      <c r="D512" s="25" t="s">
        <v>12127</v>
      </c>
      <c r="E512" s="26" t="b">
        <v>1</v>
      </c>
      <c r="F512" s="27" t="str">
        <f>HYPERLINK("http://nsgreg.nga.mil/genc/view?v=118385&amp;gencs=T&amp;end_month=12&amp;end_day=31&amp;end_year=2014","Jwaneng")</f>
        <v>Jwaneng</v>
      </c>
      <c r="G512" s="28" t="str">
        <f>HYPERLINK("http://api.nsgreg.nga.mil/geo-division/GENC/6/ed3/BW-JW","as:GENC:6:ed3:BW-JW")</f>
        <v>as:GENC:6:ed3:BW-JW</v>
      </c>
    </row>
    <row r="513" spans="1:7" x14ac:dyDescent="0.2">
      <c r="A513" s="85"/>
      <c r="B513" s="25" t="s">
        <v>2723</v>
      </c>
      <c r="C513" s="25" t="s">
        <v>2724</v>
      </c>
      <c r="D513" s="25" t="s">
        <v>1790</v>
      </c>
      <c r="E513" s="26" t="b">
        <v>1</v>
      </c>
      <c r="F513" s="27" t="str">
        <f>HYPERLINK("http://nsgreg.nga.mil/genc/view?v=118386&amp;gencs=T&amp;end_month=12&amp;end_day=31&amp;end_year=2014","Kgalagadi")</f>
        <v>Kgalagadi</v>
      </c>
      <c r="G513" s="28" t="str">
        <f>HYPERLINK("http://api.nsgreg.nga.mil/geo-division/GENC/6/ed3/BW-KG","as:GENC:6:ed3:BW-KG")</f>
        <v>as:GENC:6:ed3:BW-KG</v>
      </c>
    </row>
    <row r="514" spans="1:7" x14ac:dyDescent="0.2">
      <c r="A514" s="85"/>
      <c r="B514" s="25" t="s">
        <v>2725</v>
      </c>
      <c r="C514" s="25" t="s">
        <v>2726</v>
      </c>
      <c r="D514" s="25" t="s">
        <v>1790</v>
      </c>
      <c r="E514" s="26" t="b">
        <v>1</v>
      </c>
      <c r="F514" s="27" t="str">
        <f>HYPERLINK("http://nsgreg.nga.mil/genc/view?v=118387&amp;gencs=T&amp;end_month=12&amp;end_day=31&amp;end_year=2014","Kgatleng")</f>
        <v>Kgatleng</v>
      </c>
      <c r="G514" s="28" t="str">
        <f>HYPERLINK("http://api.nsgreg.nga.mil/geo-division/GENC/6/ed3/BW-KL","as:GENC:6:ed3:BW-KL")</f>
        <v>as:GENC:6:ed3:BW-KL</v>
      </c>
    </row>
    <row r="515" spans="1:7" x14ac:dyDescent="0.2">
      <c r="A515" s="85"/>
      <c r="B515" s="25" t="s">
        <v>2727</v>
      </c>
      <c r="C515" s="25" t="s">
        <v>2728</v>
      </c>
      <c r="D515" s="25" t="s">
        <v>1790</v>
      </c>
      <c r="E515" s="26" t="b">
        <v>1</v>
      </c>
      <c r="F515" s="27" t="str">
        <f>HYPERLINK("http://nsgreg.nga.mil/genc/view?v=118388&amp;gencs=T&amp;end_month=12&amp;end_day=31&amp;end_year=2014","Kweneng")</f>
        <v>Kweneng</v>
      </c>
      <c r="G515" s="28" t="str">
        <f>HYPERLINK("http://api.nsgreg.nga.mil/geo-division/GENC/6/ed3/BW-KW","as:GENC:6:ed3:BW-KW")</f>
        <v>as:GENC:6:ed3:BW-KW</v>
      </c>
    </row>
    <row r="516" spans="1:7" x14ac:dyDescent="0.2">
      <c r="A516" s="85"/>
      <c r="B516" s="25" t="s">
        <v>12128</v>
      </c>
      <c r="C516" s="25" t="s">
        <v>12129</v>
      </c>
      <c r="D516" s="25" t="s">
        <v>12127</v>
      </c>
      <c r="E516" s="26" t="b">
        <v>1</v>
      </c>
      <c r="F516" s="27" t="str">
        <f>HYPERLINK("http://nsgreg.nga.mil/genc/view?v=118389&amp;gencs=T&amp;end_month=12&amp;end_day=31&amp;end_year=2014","Lobatse")</f>
        <v>Lobatse</v>
      </c>
      <c r="G516" s="28" t="str">
        <f>HYPERLINK("http://api.nsgreg.nga.mil/geo-division/GENC/6/ed3/BW-LO","as:GENC:6:ed3:BW-LO")</f>
        <v>as:GENC:6:ed3:BW-LO</v>
      </c>
    </row>
    <row r="517" spans="1:7" x14ac:dyDescent="0.2">
      <c r="A517" s="85"/>
      <c r="B517" s="25" t="s">
        <v>2729</v>
      </c>
      <c r="C517" s="25" t="s">
        <v>9182</v>
      </c>
      <c r="D517" s="25" t="s">
        <v>1790</v>
      </c>
      <c r="E517" s="26" t="b">
        <v>1</v>
      </c>
      <c r="F517" s="27" t="str">
        <f>HYPERLINK("http://nsgreg.nga.mil/genc/view?v=118390&amp;gencs=T&amp;end_month=12&amp;end_day=31&amp;end_year=2014","North East")</f>
        <v>North East</v>
      </c>
      <c r="G517" s="28" t="str">
        <f>HYPERLINK("http://api.nsgreg.nga.mil/geo-division/GENC/6/ed3/BW-NE","as:GENC:6:ed3:BW-NE")</f>
        <v>as:GENC:6:ed3:BW-NE</v>
      </c>
    </row>
    <row r="518" spans="1:7" x14ac:dyDescent="0.2">
      <c r="A518" s="85"/>
      <c r="B518" s="25" t="s">
        <v>2731</v>
      </c>
      <c r="C518" s="25" t="s">
        <v>9184</v>
      </c>
      <c r="D518" s="25" t="s">
        <v>1790</v>
      </c>
      <c r="E518" s="26" t="b">
        <v>1</v>
      </c>
      <c r="F518" s="27" t="str">
        <f>HYPERLINK("http://nsgreg.nga.mil/genc/view?v=118391&amp;gencs=T&amp;end_month=12&amp;end_day=31&amp;end_year=2014","North West")</f>
        <v>North West</v>
      </c>
      <c r="G518" s="28" t="str">
        <f>HYPERLINK("http://api.nsgreg.nga.mil/geo-division/GENC/6/ed3/BW-NW","as:GENC:6:ed3:BW-NW")</f>
        <v>as:GENC:6:ed3:BW-NW</v>
      </c>
    </row>
    <row r="519" spans="1:7" x14ac:dyDescent="0.2">
      <c r="A519" s="85"/>
      <c r="B519" s="25" t="s">
        <v>12130</v>
      </c>
      <c r="C519" s="25" t="s">
        <v>12131</v>
      </c>
      <c r="D519" s="25" t="s">
        <v>12127</v>
      </c>
      <c r="E519" s="26" t="b">
        <v>1</v>
      </c>
      <c r="F519" s="27" t="str">
        <f>HYPERLINK("http://nsgreg.nga.mil/genc/view?v=118394&amp;gencs=T&amp;end_month=12&amp;end_day=31&amp;end_year=2014","Selibe Phikwe")</f>
        <v>Selibe Phikwe</v>
      </c>
      <c r="G519" s="28" t="str">
        <f>HYPERLINK("http://api.nsgreg.nga.mil/geo-division/GENC/6/ed3/BW-SP","as:GENC:6:ed3:BW-SP")</f>
        <v>as:GENC:6:ed3:BW-SP</v>
      </c>
    </row>
    <row r="520" spans="1:7" x14ac:dyDescent="0.2">
      <c r="A520" s="85"/>
      <c r="B520" s="25" t="s">
        <v>2733</v>
      </c>
      <c r="C520" s="25" t="s">
        <v>9186</v>
      </c>
      <c r="D520" s="25" t="s">
        <v>1790</v>
      </c>
      <c r="E520" s="26" t="b">
        <v>1</v>
      </c>
      <c r="F520" s="27" t="str">
        <f>HYPERLINK("http://nsgreg.nga.mil/genc/view?v=118392&amp;gencs=T&amp;end_month=12&amp;end_day=31&amp;end_year=2014","South East")</f>
        <v>South East</v>
      </c>
      <c r="G520" s="28" t="str">
        <f>HYPERLINK("http://api.nsgreg.nga.mil/geo-division/GENC/6/ed3/BW-SE","as:GENC:6:ed3:BW-SE")</f>
        <v>as:GENC:6:ed3:BW-SE</v>
      </c>
    </row>
    <row r="521" spans="1:7" x14ac:dyDescent="0.2">
      <c r="A521" s="85"/>
      <c r="B521" s="25" t="s">
        <v>2735</v>
      </c>
      <c r="C521" s="25" t="s">
        <v>2736</v>
      </c>
      <c r="D521" s="25" t="s">
        <v>1790</v>
      </c>
      <c r="E521" s="26" t="b">
        <v>1</v>
      </c>
      <c r="F521" s="27" t="str">
        <f>HYPERLINK("http://nsgreg.nga.mil/genc/view?v=118393&amp;gencs=T&amp;end_month=12&amp;end_day=31&amp;end_year=2014","Southern")</f>
        <v>Southern</v>
      </c>
      <c r="G521" s="28" t="str">
        <f>HYPERLINK("http://api.nsgreg.nga.mil/geo-division/GENC/6/ed3/BW-SO","as:GENC:6:ed3:BW-SO")</f>
        <v>as:GENC:6:ed3:BW-SO</v>
      </c>
    </row>
    <row r="522" spans="1:7" x14ac:dyDescent="0.2">
      <c r="A522" s="86"/>
      <c r="B522" s="29" t="s">
        <v>12132</v>
      </c>
      <c r="C522" s="29" t="s">
        <v>12133</v>
      </c>
      <c r="D522" s="29" t="s">
        <v>12127</v>
      </c>
      <c r="E522" s="30" t="b">
        <v>1</v>
      </c>
      <c r="F522" s="31" t="str">
        <f>HYPERLINK("http://nsgreg.nga.mil/genc/view?v=118395&amp;gencs=T&amp;end_month=12&amp;end_day=31&amp;end_year=2014","Sowa Town")</f>
        <v>Sowa Town</v>
      </c>
      <c r="G522" s="32" t="str">
        <f>HYPERLINK("http://api.nsgreg.nga.mil/geo-division/GENC/6/ed3/BW-ST","as:GENC:6:ed3:BW-ST")</f>
        <v>as:GENC:6:ed3:BW-ST</v>
      </c>
    </row>
    <row r="523" spans="1:7" x14ac:dyDescent="0.2">
      <c r="A523" s="84" t="str">
        <f>HYPERLINK("[#]Codes_for_GE_Names!A38:I38","BRAZIL")</f>
        <v>BRAZIL</v>
      </c>
      <c r="B523" s="33" t="s">
        <v>2737</v>
      </c>
      <c r="C523" s="33" t="s">
        <v>2738</v>
      </c>
      <c r="D523" s="33" t="s">
        <v>2113</v>
      </c>
      <c r="E523" s="34" t="b">
        <v>1</v>
      </c>
      <c r="F523" s="35" t="str">
        <f>HYPERLINK("http://nsgreg.nga.mil/genc/view?v=118302&amp;gencs=T&amp;end_month=12&amp;end_day=31&amp;end_year=2014","Acre")</f>
        <v>Acre</v>
      </c>
      <c r="G523" s="36" t="str">
        <f>HYPERLINK("http://api.nsgreg.nga.mil/geo-division/GENC/6/ed3/BR-AC","as:GENC:6:ed3:BR-AC")</f>
        <v>as:GENC:6:ed3:BR-AC</v>
      </c>
    </row>
    <row r="524" spans="1:7" x14ac:dyDescent="0.2">
      <c r="A524" s="85"/>
      <c r="B524" s="25" t="s">
        <v>2739</v>
      </c>
      <c r="C524" s="25" t="s">
        <v>2740</v>
      </c>
      <c r="D524" s="25" t="s">
        <v>2113</v>
      </c>
      <c r="E524" s="26" t="b">
        <v>1</v>
      </c>
      <c r="F524" s="27" t="str">
        <f>HYPERLINK("http://nsgreg.nga.mil/genc/view?v=118303&amp;gencs=T&amp;end_month=12&amp;end_day=31&amp;end_year=2014","Alagoas")</f>
        <v>Alagoas</v>
      </c>
      <c r="G524" s="28" t="str">
        <f>HYPERLINK("http://api.nsgreg.nga.mil/geo-division/GENC/6/ed3/BR-AL","as:GENC:6:ed3:BR-AL")</f>
        <v>as:GENC:6:ed3:BR-AL</v>
      </c>
    </row>
    <row r="525" spans="1:7" x14ac:dyDescent="0.2">
      <c r="A525" s="85"/>
      <c r="B525" s="25" t="s">
        <v>2741</v>
      </c>
      <c r="C525" s="25" t="s">
        <v>2742</v>
      </c>
      <c r="D525" s="25" t="s">
        <v>2113</v>
      </c>
      <c r="E525" s="26" t="b">
        <v>1</v>
      </c>
      <c r="F525" s="27" t="str">
        <f>HYPERLINK("http://nsgreg.nga.mil/genc/view?v=118305&amp;gencs=T&amp;end_month=12&amp;end_day=31&amp;end_year=2014","Amapá")</f>
        <v>Amapá</v>
      </c>
      <c r="G525" s="28" t="str">
        <f>HYPERLINK("http://api.nsgreg.nga.mil/geo-division/GENC/6/ed3/BR-AP","as:GENC:6:ed3:BR-AP")</f>
        <v>as:GENC:6:ed3:BR-AP</v>
      </c>
    </row>
    <row r="526" spans="1:7" x14ac:dyDescent="0.2">
      <c r="A526" s="85"/>
      <c r="B526" s="25" t="s">
        <v>2743</v>
      </c>
      <c r="C526" s="25" t="s">
        <v>2744</v>
      </c>
      <c r="D526" s="25" t="s">
        <v>2113</v>
      </c>
      <c r="E526" s="26" t="b">
        <v>1</v>
      </c>
      <c r="F526" s="27" t="str">
        <f>HYPERLINK("http://nsgreg.nga.mil/genc/view?v=118304&amp;gencs=T&amp;end_month=12&amp;end_day=31&amp;end_year=2014","Amazonas")</f>
        <v>Amazonas</v>
      </c>
      <c r="G526" s="28" t="str">
        <f>HYPERLINK("http://api.nsgreg.nga.mil/geo-division/GENC/6/ed3/BR-AM","as:GENC:6:ed3:BR-AM")</f>
        <v>as:GENC:6:ed3:BR-AM</v>
      </c>
    </row>
    <row r="527" spans="1:7" x14ac:dyDescent="0.2">
      <c r="A527" s="85"/>
      <c r="B527" s="25" t="s">
        <v>2745</v>
      </c>
      <c r="C527" s="25" t="s">
        <v>2746</v>
      </c>
      <c r="D527" s="25" t="s">
        <v>2113</v>
      </c>
      <c r="E527" s="26" t="b">
        <v>1</v>
      </c>
      <c r="F527" s="27" t="str">
        <f>HYPERLINK("http://nsgreg.nga.mil/genc/view?v=118306&amp;gencs=T&amp;end_month=12&amp;end_day=31&amp;end_year=2014","Bahia")</f>
        <v>Bahia</v>
      </c>
      <c r="G527" s="28" t="str">
        <f>HYPERLINK("http://api.nsgreg.nga.mil/geo-division/GENC/6/ed3/BR-BA","as:GENC:6:ed3:BR-BA")</f>
        <v>as:GENC:6:ed3:BR-BA</v>
      </c>
    </row>
    <row r="528" spans="1:7" x14ac:dyDescent="0.2">
      <c r="A528" s="85"/>
      <c r="B528" s="25" t="s">
        <v>2747</v>
      </c>
      <c r="C528" s="25" t="s">
        <v>2748</v>
      </c>
      <c r="D528" s="25" t="s">
        <v>2113</v>
      </c>
      <c r="E528" s="26" t="b">
        <v>1</v>
      </c>
      <c r="F528" s="27" t="str">
        <f>HYPERLINK("http://nsgreg.nga.mil/genc/view?v=118307&amp;gencs=T&amp;end_month=12&amp;end_day=31&amp;end_year=2014","Ceará")</f>
        <v>Ceará</v>
      </c>
      <c r="G528" s="28" t="str">
        <f>HYPERLINK("http://api.nsgreg.nga.mil/geo-division/GENC/6/ed3/BR-CE","as:GENC:6:ed3:BR-CE")</f>
        <v>as:GENC:6:ed3:BR-CE</v>
      </c>
    </row>
    <row r="529" spans="1:7" x14ac:dyDescent="0.2">
      <c r="A529" s="85"/>
      <c r="B529" s="25" t="s">
        <v>2749</v>
      </c>
      <c r="C529" s="25" t="s">
        <v>2750</v>
      </c>
      <c r="D529" s="25" t="s">
        <v>2751</v>
      </c>
      <c r="E529" s="26" t="b">
        <v>1</v>
      </c>
      <c r="F529" s="27" t="str">
        <f>HYPERLINK("http://nsgreg.nga.mil/genc/view?v=118308&amp;gencs=T&amp;end_month=12&amp;end_day=31&amp;end_year=2014","Distrito Federal")</f>
        <v>Distrito Federal</v>
      </c>
      <c r="G529" s="28" t="str">
        <f>HYPERLINK("http://api.nsgreg.nga.mil/geo-division/GENC/6/ed3/BR-DF","as:GENC:6:ed3:BR-DF")</f>
        <v>as:GENC:6:ed3:BR-DF</v>
      </c>
    </row>
    <row r="530" spans="1:7" x14ac:dyDescent="0.2">
      <c r="A530" s="85"/>
      <c r="B530" s="25" t="s">
        <v>2752</v>
      </c>
      <c r="C530" s="25" t="s">
        <v>2753</v>
      </c>
      <c r="D530" s="25" t="s">
        <v>2113</v>
      </c>
      <c r="E530" s="26" t="b">
        <v>1</v>
      </c>
      <c r="F530" s="27" t="str">
        <f>HYPERLINK("http://nsgreg.nga.mil/genc/view?v=118309&amp;gencs=T&amp;end_month=12&amp;end_day=31&amp;end_year=2014","Espírito Santo")</f>
        <v>Espírito Santo</v>
      </c>
      <c r="G530" s="28" t="str">
        <f>HYPERLINK("http://api.nsgreg.nga.mil/geo-division/GENC/6/ed3/BR-ES","as:GENC:6:ed3:BR-ES")</f>
        <v>as:GENC:6:ed3:BR-ES</v>
      </c>
    </row>
    <row r="531" spans="1:7" x14ac:dyDescent="0.2">
      <c r="A531" s="85"/>
      <c r="B531" s="25" t="s">
        <v>2754</v>
      </c>
      <c r="C531" s="25" t="s">
        <v>2755</v>
      </c>
      <c r="D531" s="25" t="s">
        <v>2113</v>
      </c>
      <c r="E531" s="26" t="b">
        <v>1</v>
      </c>
      <c r="F531" s="27" t="str">
        <f>HYPERLINK("http://nsgreg.nga.mil/genc/view?v=118310&amp;gencs=T&amp;end_month=12&amp;end_day=31&amp;end_year=2014","Goiás")</f>
        <v>Goiás</v>
      </c>
      <c r="G531" s="28" t="str">
        <f>HYPERLINK("http://api.nsgreg.nga.mil/geo-division/GENC/6/ed3/BR-GO","as:GENC:6:ed3:BR-GO")</f>
        <v>as:GENC:6:ed3:BR-GO</v>
      </c>
    </row>
    <row r="532" spans="1:7" x14ac:dyDescent="0.2">
      <c r="A532" s="85"/>
      <c r="B532" s="25" t="s">
        <v>2756</v>
      </c>
      <c r="C532" s="25" t="s">
        <v>2757</v>
      </c>
      <c r="D532" s="25" t="s">
        <v>2113</v>
      </c>
      <c r="E532" s="26" t="b">
        <v>1</v>
      </c>
      <c r="F532" s="27" t="str">
        <f>HYPERLINK("http://nsgreg.nga.mil/genc/view?v=118311&amp;gencs=T&amp;end_month=12&amp;end_day=31&amp;end_year=2014","Maranhão")</f>
        <v>Maranhão</v>
      </c>
      <c r="G532" s="28" t="str">
        <f>HYPERLINK("http://api.nsgreg.nga.mil/geo-division/GENC/6/ed3/BR-MA","as:GENC:6:ed3:BR-MA")</f>
        <v>as:GENC:6:ed3:BR-MA</v>
      </c>
    </row>
    <row r="533" spans="1:7" x14ac:dyDescent="0.2">
      <c r="A533" s="85"/>
      <c r="B533" s="25" t="s">
        <v>2758</v>
      </c>
      <c r="C533" s="25" t="s">
        <v>2759</v>
      </c>
      <c r="D533" s="25" t="s">
        <v>2113</v>
      </c>
      <c r="E533" s="26" t="b">
        <v>1</v>
      </c>
      <c r="F533" s="27" t="str">
        <f>HYPERLINK("http://nsgreg.nga.mil/genc/view?v=118314&amp;gencs=T&amp;end_month=12&amp;end_day=31&amp;end_year=2014","Mato Grosso")</f>
        <v>Mato Grosso</v>
      </c>
      <c r="G533" s="28" t="str">
        <f>HYPERLINK("http://api.nsgreg.nga.mil/geo-division/GENC/6/ed3/BR-MT","as:GENC:6:ed3:BR-MT")</f>
        <v>as:GENC:6:ed3:BR-MT</v>
      </c>
    </row>
    <row r="534" spans="1:7" x14ac:dyDescent="0.2">
      <c r="A534" s="85"/>
      <c r="B534" s="25" t="s">
        <v>2760</v>
      </c>
      <c r="C534" s="25" t="s">
        <v>2761</v>
      </c>
      <c r="D534" s="25" t="s">
        <v>2113</v>
      </c>
      <c r="E534" s="26" t="b">
        <v>1</v>
      </c>
      <c r="F534" s="27" t="str">
        <f>HYPERLINK("http://nsgreg.nga.mil/genc/view?v=118313&amp;gencs=T&amp;end_month=12&amp;end_day=31&amp;end_year=2014","Mato Grosso do Sul")</f>
        <v>Mato Grosso do Sul</v>
      </c>
      <c r="G534" s="28" t="str">
        <f>HYPERLINK("http://api.nsgreg.nga.mil/geo-division/GENC/6/ed3/BR-MS","as:GENC:6:ed3:BR-MS")</f>
        <v>as:GENC:6:ed3:BR-MS</v>
      </c>
    </row>
    <row r="535" spans="1:7" x14ac:dyDescent="0.2">
      <c r="A535" s="85"/>
      <c r="B535" s="25" t="s">
        <v>2762</v>
      </c>
      <c r="C535" s="25" t="s">
        <v>2763</v>
      </c>
      <c r="D535" s="25" t="s">
        <v>2113</v>
      </c>
      <c r="E535" s="26" t="b">
        <v>1</v>
      </c>
      <c r="F535" s="27" t="str">
        <f>HYPERLINK("http://nsgreg.nga.mil/genc/view?v=118312&amp;gencs=T&amp;end_month=12&amp;end_day=31&amp;end_year=2014","Minas Gerais")</f>
        <v>Minas Gerais</v>
      </c>
      <c r="G535" s="28" t="str">
        <f>HYPERLINK("http://api.nsgreg.nga.mil/geo-division/GENC/6/ed3/BR-MG","as:GENC:6:ed3:BR-MG")</f>
        <v>as:GENC:6:ed3:BR-MG</v>
      </c>
    </row>
    <row r="536" spans="1:7" x14ac:dyDescent="0.2">
      <c r="A536" s="85"/>
      <c r="B536" s="25" t="s">
        <v>2768</v>
      </c>
      <c r="C536" s="25" t="s">
        <v>2769</v>
      </c>
      <c r="D536" s="25" t="s">
        <v>2113</v>
      </c>
      <c r="E536" s="26" t="b">
        <v>1</v>
      </c>
      <c r="F536" s="27" t="str">
        <f>HYPERLINK("http://nsgreg.nga.mil/genc/view?v=118315&amp;gencs=T&amp;end_month=12&amp;end_day=31&amp;end_year=2014","Pará")</f>
        <v>Pará</v>
      </c>
      <c r="G536" s="28" t="str">
        <f>HYPERLINK("http://api.nsgreg.nga.mil/geo-division/GENC/6/ed3/BR-PA","as:GENC:6:ed3:BR-PA")</f>
        <v>as:GENC:6:ed3:BR-PA</v>
      </c>
    </row>
    <row r="537" spans="1:7" x14ac:dyDescent="0.2">
      <c r="A537" s="85"/>
      <c r="B537" s="25" t="s">
        <v>2766</v>
      </c>
      <c r="C537" s="25" t="s">
        <v>2767</v>
      </c>
      <c r="D537" s="25" t="s">
        <v>2113</v>
      </c>
      <c r="E537" s="26" t="b">
        <v>1</v>
      </c>
      <c r="F537" s="27" t="str">
        <f>HYPERLINK("http://nsgreg.nga.mil/genc/view?v=118316&amp;gencs=T&amp;end_month=12&amp;end_day=31&amp;end_year=2014","Paraíba")</f>
        <v>Paraíba</v>
      </c>
      <c r="G537" s="28" t="str">
        <f>HYPERLINK("http://api.nsgreg.nga.mil/geo-division/GENC/6/ed3/BR-PB","as:GENC:6:ed3:BR-PB")</f>
        <v>as:GENC:6:ed3:BR-PB</v>
      </c>
    </row>
    <row r="538" spans="1:7" x14ac:dyDescent="0.2">
      <c r="A538" s="85"/>
      <c r="B538" s="25" t="s">
        <v>2764</v>
      </c>
      <c r="C538" s="25" t="s">
        <v>2765</v>
      </c>
      <c r="D538" s="25" t="s">
        <v>2113</v>
      </c>
      <c r="E538" s="26" t="b">
        <v>1</v>
      </c>
      <c r="F538" s="27" t="str">
        <f>HYPERLINK("http://nsgreg.nga.mil/genc/view?v=118319&amp;gencs=T&amp;end_month=12&amp;end_day=31&amp;end_year=2014","Paraná")</f>
        <v>Paraná</v>
      </c>
      <c r="G538" s="28" t="str">
        <f>HYPERLINK("http://api.nsgreg.nga.mil/geo-division/GENC/6/ed3/BR-PR","as:GENC:6:ed3:BR-PR")</f>
        <v>as:GENC:6:ed3:BR-PR</v>
      </c>
    </row>
    <row r="539" spans="1:7" x14ac:dyDescent="0.2">
      <c r="A539" s="85"/>
      <c r="B539" s="25" t="s">
        <v>2770</v>
      </c>
      <c r="C539" s="25" t="s">
        <v>2771</v>
      </c>
      <c r="D539" s="25" t="s">
        <v>2113</v>
      </c>
      <c r="E539" s="26" t="b">
        <v>1</v>
      </c>
      <c r="F539" s="27" t="str">
        <f>HYPERLINK("http://nsgreg.nga.mil/genc/view?v=118317&amp;gencs=T&amp;end_month=12&amp;end_day=31&amp;end_year=2014","Pernambuco")</f>
        <v>Pernambuco</v>
      </c>
      <c r="G539" s="28" t="str">
        <f>HYPERLINK("http://api.nsgreg.nga.mil/geo-division/GENC/6/ed3/BR-PE","as:GENC:6:ed3:BR-PE")</f>
        <v>as:GENC:6:ed3:BR-PE</v>
      </c>
    </row>
    <row r="540" spans="1:7" x14ac:dyDescent="0.2">
      <c r="A540" s="85"/>
      <c r="B540" s="25" t="s">
        <v>2772</v>
      </c>
      <c r="C540" s="25" t="s">
        <v>2773</v>
      </c>
      <c r="D540" s="25" t="s">
        <v>2113</v>
      </c>
      <c r="E540" s="26" t="b">
        <v>1</v>
      </c>
      <c r="F540" s="27" t="str">
        <f>HYPERLINK("http://nsgreg.nga.mil/genc/view?v=118318&amp;gencs=T&amp;end_month=12&amp;end_day=31&amp;end_year=2014","Piauí")</f>
        <v>Piauí</v>
      </c>
      <c r="G540" s="28" t="str">
        <f>HYPERLINK("http://api.nsgreg.nga.mil/geo-division/GENC/6/ed3/BR-PI","as:GENC:6:ed3:BR-PI")</f>
        <v>as:GENC:6:ed3:BR-PI</v>
      </c>
    </row>
    <row r="541" spans="1:7" x14ac:dyDescent="0.2">
      <c r="A541" s="85"/>
      <c r="B541" s="25" t="s">
        <v>2778</v>
      </c>
      <c r="C541" s="25" t="s">
        <v>2779</v>
      </c>
      <c r="D541" s="25" t="s">
        <v>2113</v>
      </c>
      <c r="E541" s="26" t="b">
        <v>1</v>
      </c>
      <c r="F541" s="27" t="str">
        <f>HYPERLINK("http://nsgreg.nga.mil/genc/view?v=118320&amp;gencs=T&amp;end_month=12&amp;end_day=31&amp;end_year=2014","Rio de Janeiro")</f>
        <v>Rio de Janeiro</v>
      </c>
      <c r="G541" s="28" t="str">
        <f>HYPERLINK("http://api.nsgreg.nga.mil/geo-division/GENC/6/ed3/BR-RJ","as:GENC:6:ed3:BR-RJ")</f>
        <v>as:GENC:6:ed3:BR-RJ</v>
      </c>
    </row>
    <row r="542" spans="1:7" x14ac:dyDescent="0.2">
      <c r="A542" s="85"/>
      <c r="B542" s="25" t="s">
        <v>2774</v>
      </c>
      <c r="C542" s="25" t="s">
        <v>2775</v>
      </c>
      <c r="D542" s="25" t="s">
        <v>2113</v>
      </c>
      <c r="E542" s="26" t="b">
        <v>1</v>
      </c>
      <c r="F542" s="27" t="str">
        <f>HYPERLINK("http://nsgreg.nga.mil/genc/view?v=118321&amp;gencs=T&amp;end_month=12&amp;end_day=31&amp;end_year=2014","Rio Grande do Norte")</f>
        <v>Rio Grande do Norte</v>
      </c>
      <c r="G542" s="28" t="str">
        <f>HYPERLINK("http://api.nsgreg.nga.mil/geo-division/GENC/6/ed3/BR-RN","as:GENC:6:ed3:BR-RN")</f>
        <v>as:GENC:6:ed3:BR-RN</v>
      </c>
    </row>
    <row r="543" spans="1:7" x14ac:dyDescent="0.2">
      <c r="A543" s="85"/>
      <c r="B543" s="25" t="s">
        <v>2776</v>
      </c>
      <c r="C543" s="25" t="s">
        <v>2777</v>
      </c>
      <c r="D543" s="25" t="s">
        <v>2113</v>
      </c>
      <c r="E543" s="26" t="b">
        <v>1</v>
      </c>
      <c r="F543" s="27" t="str">
        <f>HYPERLINK("http://nsgreg.nga.mil/genc/view?v=118324&amp;gencs=T&amp;end_month=12&amp;end_day=31&amp;end_year=2014","Rio Grande do Sul")</f>
        <v>Rio Grande do Sul</v>
      </c>
      <c r="G543" s="28" t="str">
        <f>HYPERLINK("http://api.nsgreg.nga.mil/geo-division/GENC/6/ed3/BR-RS","as:GENC:6:ed3:BR-RS")</f>
        <v>as:GENC:6:ed3:BR-RS</v>
      </c>
    </row>
    <row r="544" spans="1:7" x14ac:dyDescent="0.2">
      <c r="A544" s="85"/>
      <c r="B544" s="25" t="s">
        <v>2780</v>
      </c>
      <c r="C544" s="25" t="s">
        <v>2781</v>
      </c>
      <c r="D544" s="25" t="s">
        <v>2113</v>
      </c>
      <c r="E544" s="26" t="b">
        <v>1</v>
      </c>
      <c r="F544" s="27" t="str">
        <f>HYPERLINK("http://nsgreg.nga.mil/genc/view?v=118322&amp;gencs=T&amp;end_month=12&amp;end_day=31&amp;end_year=2014","Rondônia")</f>
        <v>Rondônia</v>
      </c>
      <c r="G544" s="28" t="str">
        <f>HYPERLINK("http://api.nsgreg.nga.mil/geo-division/GENC/6/ed3/BR-RO","as:GENC:6:ed3:BR-RO")</f>
        <v>as:GENC:6:ed3:BR-RO</v>
      </c>
    </row>
    <row r="545" spans="1:7" x14ac:dyDescent="0.2">
      <c r="A545" s="85"/>
      <c r="B545" s="25" t="s">
        <v>2782</v>
      </c>
      <c r="C545" s="25" t="s">
        <v>2783</v>
      </c>
      <c r="D545" s="25" t="s">
        <v>2113</v>
      </c>
      <c r="E545" s="26" t="b">
        <v>1</v>
      </c>
      <c r="F545" s="27" t="str">
        <f>HYPERLINK("http://nsgreg.nga.mil/genc/view?v=118323&amp;gencs=T&amp;end_month=12&amp;end_day=31&amp;end_year=2014","Roraima")</f>
        <v>Roraima</v>
      </c>
      <c r="G545" s="28" t="str">
        <f>HYPERLINK("http://api.nsgreg.nga.mil/geo-division/GENC/6/ed3/BR-RR","as:GENC:6:ed3:BR-RR")</f>
        <v>as:GENC:6:ed3:BR-RR</v>
      </c>
    </row>
    <row r="546" spans="1:7" x14ac:dyDescent="0.2">
      <c r="A546" s="85"/>
      <c r="B546" s="25" t="s">
        <v>2784</v>
      </c>
      <c r="C546" s="25" t="s">
        <v>2785</v>
      </c>
      <c r="D546" s="25" t="s">
        <v>2113</v>
      </c>
      <c r="E546" s="26" t="b">
        <v>1</v>
      </c>
      <c r="F546" s="27" t="str">
        <f>HYPERLINK("http://nsgreg.nga.mil/genc/view?v=118325&amp;gencs=T&amp;end_month=12&amp;end_day=31&amp;end_year=2014","Santa Catarina")</f>
        <v>Santa Catarina</v>
      </c>
      <c r="G546" s="28" t="str">
        <f>HYPERLINK("http://api.nsgreg.nga.mil/geo-division/GENC/6/ed3/BR-SC","as:GENC:6:ed3:BR-SC")</f>
        <v>as:GENC:6:ed3:BR-SC</v>
      </c>
    </row>
    <row r="547" spans="1:7" x14ac:dyDescent="0.2">
      <c r="A547" s="85"/>
      <c r="B547" s="25" t="s">
        <v>2788</v>
      </c>
      <c r="C547" s="25" t="s">
        <v>2789</v>
      </c>
      <c r="D547" s="25" t="s">
        <v>2113</v>
      </c>
      <c r="E547" s="26" t="b">
        <v>1</v>
      </c>
      <c r="F547" s="27" t="str">
        <f>HYPERLINK("http://nsgreg.nga.mil/genc/view?v=118327&amp;gencs=T&amp;end_month=12&amp;end_day=31&amp;end_year=2014","São Paulo")</f>
        <v>São Paulo</v>
      </c>
      <c r="G547" s="28" t="str">
        <f>HYPERLINK("http://api.nsgreg.nga.mil/geo-division/GENC/6/ed3/BR-SP","as:GENC:6:ed3:BR-SP")</f>
        <v>as:GENC:6:ed3:BR-SP</v>
      </c>
    </row>
    <row r="548" spans="1:7" x14ac:dyDescent="0.2">
      <c r="A548" s="85"/>
      <c r="B548" s="25" t="s">
        <v>2786</v>
      </c>
      <c r="C548" s="25" t="s">
        <v>2787</v>
      </c>
      <c r="D548" s="25" t="s">
        <v>2113</v>
      </c>
      <c r="E548" s="26" t="b">
        <v>1</v>
      </c>
      <c r="F548" s="27" t="str">
        <f>HYPERLINK("http://nsgreg.nga.mil/genc/view?v=118326&amp;gencs=T&amp;end_month=12&amp;end_day=31&amp;end_year=2014","Sergipe")</f>
        <v>Sergipe</v>
      </c>
      <c r="G548" s="28" t="str">
        <f>HYPERLINK("http://api.nsgreg.nga.mil/geo-division/GENC/6/ed3/BR-SE","as:GENC:6:ed3:BR-SE")</f>
        <v>as:GENC:6:ed3:BR-SE</v>
      </c>
    </row>
    <row r="549" spans="1:7" x14ac:dyDescent="0.2">
      <c r="A549" s="86"/>
      <c r="B549" s="29" t="s">
        <v>2790</v>
      </c>
      <c r="C549" s="29" t="s">
        <v>2791</v>
      </c>
      <c r="D549" s="29" t="s">
        <v>2113</v>
      </c>
      <c r="E549" s="30" t="b">
        <v>1</v>
      </c>
      <c r="F549" s="31" t="str">
        <f>HYPERLINK("http://nsgreg.nga.mil/genc/view?v=118328&amp;gencs=T&amp;end_month=12&amp;end_day=31&amp;end_year=2014","Tocantins")</f>
        <v>Tocantins</v>
      </c>
      <c r="G549" s="32" t="str">
        <f>HYPERLINK("http://api.nsgreg.nga.mil/geo-division/GENC/6/ed3/BR-TO","as:GENC:6:ed3:BR-TO")</f>
        <v>as:GENC:6:ed3:BR-TO</v>
      </c>
    </row>
    <row r="550" spans="1:7" x14ac:dyDescent="0.2">
      <c r="A550" s="84" t="str">
        <f>HYPERLINK("[#]Codes_for_GE_Names!A40:I40","BRUNEI")</f>
        <v>BRUNEI</v>
      </c>
      <c r="B550" s="33" t="s">
        <v>2792</v>
      </c>
      <c r="C550" s="33" t="s">
        <v>2793</v>
      </c>
      <c r="D550" s="33" t="s">
        <v>1790</v>
      </c>
      <c r="E550" s="34" t="b">
        <v>1</v>
      </c>
      <c r="F550" s="35" t="str">
        <f>HYPERLINK("http://nsgreg.nga.mil/genc/view?v=211402&amp;end_month=12&amp;end_day=31&amp;end_year=2014","Belait")</f>
        <v>Belait</v>
      </c>
      <c r="G550" s="36" t="str">
        <f>HYPERLINK("http://api.nsgreg.nga.mil/geo-division/GENC/6/ed3/BN-BE","as:GENC:6:ed3:BN-BE")</f>
        <v>as:GENC:6:ed3:BN-BE</v>
      </c>
    </row>
    <row r="551" spans="1:7" x14ac:dyDescent="0.2">
      <c r="A551" s="85"/>
      <c r="B551" s="25" t="s">
        <v>2794</v>
      </c>
      <c r="C551" s="25" t="s">
        <v>12134</v>
      </c>
      <c r="D551" s="25" t="s">
        <v>1790</v>
      </c>
      <c r="E551" s="26" t="b">
        <v>1</v>
      </c>
      <c r="F551" s="27" t="str">
        <f>HYPERLINK("http://nsgreg.nga.mil/genc/view?v=211403&amp;end_month=12&amp;end_day=31&amp;end_year=2014","Brunei and Muara")</f>
        <v>Brunei and Muara</v>
      </c>
      <c r="G551" s="28" t="str">
        <f>HYPERLINK("http://api.nsgreg.nga.mil/geo-division/GENC/6/ed3/BN-BM","as:GENC:6:ed3:BN-BM")</f>
        <v>as:GENC:6:ed3:BN-BM</v>
      </c>
    </row>
    <row r="552" spans="1:7" x14ac:dyDescent="0.2">
      <c r="A552" s="85"/>
      <c r="B552" s="25" t="s">
        <v>2796</v>
      </c>
      <c r="C552" s="25" t="s">
        <v>2797</v>
      </c>
      <c r="D552" s="25" t="s">
        <v>1790</v>
      </c>
      <c r="E552" s="26" t="b">
        <v>1</v>
      </c>
      <c r="F552" s="27" t="str">
        <f>HYPERLINK("http://nsgreg.nga.mil/genc/view?v=211404&amp;end_month=12&amp;end_day=31&amp;end_year=2014","Temburong")</f>
        <v>Temburong</v>
      </c>
      <c r="G552" s="28" t="str">
        <f>HYPERLINK("http://api.nsgreg.nga.mil/geo-division/GENC/6/ed3/BN-TE","as:GENC:6:ed3:BN-TE")</f>
        <v>as:GENC:6:ed3:BN-TE</v>
      </c>
    </row>
    <row r="553" spans="1:7" x14ac:dyDescent="0.2">
      <c r="A553" s="86"/>
      <c r="B553" s="29" t="s">
        <v>2798</v>
      </c>
      <c r="C553" s="29" t="s">
        <v>2799</v>
      </c>
      <c r="D553" s="29" t="s">
        <v>1790</v>
      </c>
      <c r="E553" s="30" t="b">
        <v>1</v>
      </c>
      <c r="F553" s="31" t="str">
        <f>HYPERLINK("http://nsgreg.nga.mil/genc/view?v=211405&amp;end_month=12&amp;end_day=31&amp;end_year=2014","Tutong")</f>
        <v>Tutong</v>
      </c>
      <c r="G553" s="32" t="str">
        <f>HYPERLINK("http://api.nsgreg.nga.mil/geo-division/GENC/6/ed3/BN-TU","as:GENC:6:ed3:BN-TU")</f>
        <v>as:GENC:6:ed3:BN-TU</v>
      </c>
    </row>
    <row r="554" spans="1:7" x14ac:dyDescent="0.2">
      <c r="A554" s="84" t="str">
        <f>HYPERLINK("[#]Codes_for_GE_Names!A41:I41","BULGARIA")</f>
        <v>BULGARIA</v>
      </c>
      <c r="B554" s="33" t="s">
        <v>2800</v>
      </c>
      <c r="C554" s="33" t="s">
        <v>2801</v>
      </c>
      <c r="D554" s="33" t="s">
        <v>1719</v>
      </c>
      <c r="E554" s="34" t="b">
        <v>1</v>
      </c>
      <c r="F554" s="35" t="str">
        <f>HYPERLINK("http://nsgreg.nga.mil/genc/view?v=211343&amp;end_month=12&amp;end_day=31&amp;end_year=2014","Blagoevgrad")</f>
        <v>Blagoevgrad</v>
      </c>
      <c r="G554" s="36" t="str">
        <f>HYPERLINK("http://api.nsgreg.nga.mil/geo-division/GENC/6/ed3/BG-01","as:GENC:6:ed3:BG-01")</f>
        <v>as:GENC:6:ed3:BG-01</v>
      </c>
    </row>
    <row r="555" spans="1:7" x14ac:dyDescent="0.2">
      <c r="A555" s="85"/>
      <c r="B555" s="25" t="s">
        <v>2802</v>
      </c>
      <c r="C555" s="25" t="s">
        <v>2803</v>
      </c>
      <c r="D555" s="25" t="s">
        <v>1719</v>
      </c>
      <c r="E555" s="26" t="b">
        <v>1</v>
      </c>
      <c r="F555" s="27" t="str">
        <f>HYPERLINK("http://nsgreg.nga.mil/genc/view?v=211344&amp;end_month=12&amp;end_day=31&amp;end_year=2014","Burgas")</f>
        <v>Burgas</v>
      </c>
      <c r="G555" s="28" t="str">
        <f>HYPERLINK("http://api.nsgreg.nga.mil/geo-division/GENC/6/ed3/BG-02","as:GENC:6:ed3:BG-02")</f>
        <v>as:GENC:6:ed3:BG-02</v>
      </c>
    </row>
    <row r="556" spans="1:7" x14ac:dyDescent="0.2">
      <c r="A556" s="85"/>
      <c r="B556" s="25" t="s">
        <v>2804</v>
      </c>
      <c r="C556" s="25" t="s">
        <v>2805</v>
      </c>
      <c r="D556" s="25" t="s">
        <v>1719</v>
      </c>
      <c r="E556" s="26" t="b">
        <v>1</v>
      </c>
      <c r="F556" s="27" t="str">
        <f>HYPERLINK("http://nsgreg.nga.mil/genc/view?v=211350&amp;end_month=12&amp;end_day=31&amp;end_year=2014","Dobrich")</f>
        <v>Dobrich</v>
      </c>
      <c r="G556" s="28" t="str">
        <f>HYPERLINK("http://api.nsgreg.nga.mil/geo-division/GENC/6/ed3/BG-08","as:GENC:6:ed3:BG-08")</f>
        <v>as:GENC:6:ed3:BG-08</v>
      </c>
    </row>
    <row r="557" spans="1:7" x14ac:dyDescent="0.2">
      <c r="A557" s="85"/>
      <c r="B557" s="25" t="s">
        <v>2806</v>
      </c>
      <c r="C557" s="25" t="s">
        <v>2807</v>
      </c>
      <c r="D557" s="25" t="s">
        <v>1719</v>
      </c>
      <c r="E557" s="26" t="b">
        <v>1</v>
      </c>
      <c r="F557" s="27" t="str">
        <f>HYPERLINK("http://nsgreg.nga.mil/genc/view?v=211349&amp;end_month=12&amp;end_day=31&amp;end_year=2014","Gabrovo")</f>
        <v>Gabrovo</v>
      </c>
      <c r="G557" s="28" t="str">
        <f>HYPERLINK("http://api.nsgreg.nga.mil/geo-division/GENC/6/ed3/BG-07","as:GENC:6:ed3:BG-07")</f>
        <v>as:GENC:6:ed3:BG-07</v>
      </c>
    </row>
    <row r="558" spans="1:7" x14ac:dyDescent="0.2">
      <c r="A558" s="85"/>
      <c r="B558" s="25" t="s">
        <v>2808</v>
      </c>
      <c r="C558" s="25" t="s">
        <v>12135</v>
      </c>
      <c r="D558" s="25" t="s">
        <v>1719</v>
      </c>
      <c r="E558" s="26" t="b">
        <v>1</v>
      </c>
      <c r="F558" s="27" t="str">
        <f>HYPERLINK("http://nsgreg.nga.mil/genc/view?v=211368&amp;end_month=12&amp;end_day=31&amp;end_year=2014","Khaskovo")</f>
        <v>Khaskovo</v>
      </c>
      <c r="G558" s="28" t="str">
        <f>HYPERLINK("http://api.nsgreg.nga.mil/geo-division/GENC/6/ed3/BG-26","as:GENC:6:ed3:BG-26")</f>
        <v>as:GENC:6:ed3:BG-26</v>
      </c>
    </row>
    <row r="559" spans="1:7" x14ac:dyDescent="0.2">
      <c r="A559" s="85"/>
      <c r="B559" s="25" t="s">
        <v>2810</v>
      </c>
      <c r="C559" s="25" t="s">
        <v>12136</v>
      </c>
      <c r="D559" s="25" t="s">
        <v>1719</v>
      </c>
      <c r="E559" s="26" t="b">
        <v>1</v>
      </c>
      <c r="F559" s="27" t="str">
        <f>HYPERLINK("http://nsgreg.nga.mil/genc/view?v=211351&amp;end_month=12&amp;end_day=31&amp;end_year=2014","Kŭrdzhali")</f>
        <v>Kŭrdzhali</v>
      </c>
      <c r="G559" s="28" t="str">
        <f>HYPERLINK("http://api.nsgreg.nga.mil/geo-division/GENC/6/ed3/BG-09","as:GENC:6:ed3:BG-09")</f>
        <v>as:GENC:6:ed3:BG-09</v>
      </c>
    </row>
    <row r="560" spans="1:7" x14ac:dyDescent="0.2">
      <c r="A560" s="85"/>
      <c r="B560" s="25" t="s">
        <v>2812</v>
      </c>
      <c r="C560" s="25" t="s">
        <v>2813</v>
      </c>
      <c r="D560" s="25" t="s">
        <v>1719</v>
      </c>
      <c r="E560" s="26" t="b">
        <v>1</v>
      </c>
      <c r="F560" s="27" t="str">
        <f>HYPERLINK("http://nsgreg.nga.mil/genc/view?v=211352&amp;end_month=12&amp;end_day=31&amp;end_year=2014","Kyustendil")</f>
        <v>Kyustendil</v>
      </c>
      <c r="G560" s="28" t="str">
        <f>HYPERLINK("http://api.nsgreg.nga.mil/geo-division/GENC/6/ed3/BG-10","as:GENC:6:ed3:BG-10")</f>
        <v>as:GENC:6:ed3:BG-10</v>
      </c>
    </row>
    <row r="561" spans="1:7" x14ac:dyDescent="0.2">
      <c r="A561" s="85"/>
      <c r="B561" s="25" t="s">
        <v>2814</v>
      </c>
      <c r="C561" s="25" t="s">
        <v>2815</v>
      </c>
      <c r="D561" s="25" t="s">
        <v>1719</v>
      </c>
      <c r="E561" s="26" t="b">
        <v>1</v>
      </c>
      <c r="F561" s="27" t="str">
        <f>HYPERLINK("http://nsgreg.nga.mil/genc/view?v=211353&amp;end_month=12&amp;end_day=31&amp;end_year=2014","Lovech")</f>
        <v>Lovech</v>
      </c>
      <c r="G561" s="28" t="str">
        <f>HYPERLINK("http://api.nsgreg.nga.mil/geo-division/GENC/6/ed3/BG-11","as:GENC:6:ed3:BG-11")</f>
        <v>as:GENC:6:ed3:BG-11</v>
      </c>
    </row>
    <row r="562" spans="1:7" x14ac:dyDescent="0.2">
      <c r="A562" s="85"/>
      <c r="B562" s="25" t="s">
        <v>2816</v>
      </c>
      <c r="C562" s="25" t="s">
        <v>2817</v>
      </c>
      <c r="D562" s="25" t="s">
        <v>1719</v>
      </c>
      <c r="E562" s="26" t="b">
        <v>1</v>
      </c>
      <c r="F562" s="27" t="str">
        <f>HYPERLINK("http://nsgreg.nga.mil/genc/view?v=211354&amp;end_month=12&amp;end_day=31&amp;end_year=2014","Montana")</f>
        <v>Montana</v>
      </c>
      <c r="G562" s="28" t="str">
        <f>HYPERLINK("http://api.nsgreg.nga.mil/geo-division/GENC/6/ed3/BG-12","as:GENC:6:ed3:BG-12")</f>
        <v>as:GENC:6:ed3:BG-12</v>
      </c>
    </row>
    <row r="563" spans="1:7" x14ac:dyDescent="0.2">
      <c r="A563" s="85"/>
      <c r="B563" s="25" t="s">
        <v>2818</v>
      </c>
      <c r="C563" s="25" t="s">
        <v>2819</v>
      </c>
      <c r="D563" s="25" t="s">
        <v>1719</v>
      </c>
      <c r="E563" s="26" t="b">
        <v>1</v>
      </c>
      <c r="F563" s="27" t="str">
        <f>HYPERLINK("http://nsgreg.nga.mil/genc/view?v=211355&amp;end_month=12&amp;end_day=31&amp;end_year=2014","Pazardzhik")</f>
        <v>Pazardzhik</v>
      </c>
      <c r="G563" s="28" t="str">
        <f>HYPERLINK("http://api.nsgreg.nga.mil/geo-division/GENC/6/ed3/BG-13","as:GENC:6:ed3:BG-13")</f>
        <v>as:GENC:6:ed3:BG-13</v>
      </c>
    </row>
    <row r="564" spans="1:7" x14ac:dyDescent="0.2">
      <c r="A564" s="85"/>
      <c r="B564" s="25" t="s">
        <v>2820</v>
      </c>
      <c r="C564" s="25" t="s">
        <v>2821</v>
      </c>
      <c r="D564" s="25" t="s">
        <v>1719</v>
      </c>
      <c r="E564" s="26" t="b">
        <v>1</v>
      </c>
      <c r="F564" s="27" t="str">
        <f>HYPERLINK("http://nsgreg.nga.mil/genc/view?v=211356&amp;end_month=12&amp;end_day=31&amp;end_year=2014","Pernik")</f>
        <v>Pernik</v>
      </c>
      <c r="G564" s="28" t="str">
        <f>HYPERLINK("http://api.nsgreg.nga.mil/geo-division/GENC/6/ed3/BG-14","as:GENC:6:ed3:BG-14")</f>
        <v>as:GENC:6:ed3:BG-14</v>
      </c>
    </row>
    <row r="565" spans="1:7" x14ac:dyDescent="0.2">
      <c r="A565" s="85"/>
      <c r="B565" s="25" t="s">
        <v>2822</v>
      </c>
      <c r="C565" s="25" t="s">
        <v>2823</v>
      </c>
      <c r="D565" s="25" t="s">
        <v>1719</v>
      </c>
      <c r="E565" s="26" t="b">
        <v>1</v>
      </c>
      <c r="F565" s="27" t="str">
        <f>HYPERLINK("http://nsgreg.nga.mil/genc/view?v=211357&amp;end_month=12&amp;end_day=31&amp;end_year=2014","Pleven")</f>
        <v>Pleven</v>
      </c>
      <c r="G565" s="28" t="str">
        <f>HYPERLINK("http://api.nsgreg.nga.mil/geo-division/GENC/6/ed3/BG-15","as:GENC:6:ed3:BG-15")</f>
        <v>as:GENC:6:ed3:BG-15</v>
      </c>
    </row>
    <row r="566" spans="1:7" x14ac:dyDescent="0.2">
      <c r="A566" s="85"/>
      <c r="B566" s="25" t="s">
        <v>2824</v>
      </c>
      <c r="C566" s="25" t="s">
        <v>2825</v>
      </c>
      <c r="D566" s="25" t="s">
        <v>1719</v>
      </c>
      <c r="E566" s="26" t="b">
        <v>1</v>
      </c>
      <c r="F566" s="27" t="str">
        <f>HYPERLINK("http://nsgreg.nga.mil/genc/view?v=211358&amp;end_month=12&amp;end_day=31&amp;end_year=2014","Plovdiv")</f>
        <v>Plovdiv</v>
      </c>
      <c r="G566" s="28" t="str">
        <f>HYPERLINK("http://api.nsgreg.nga.mil/geo-division/GENC/6/ed3/BG-16","as:GENC:6:ed3:BG-16")</f>
        <v>as:GENC:6:ed3:BG-16</v>
      </c>
    </row>
    <row r="567" spans="1:7" x14ac:dyDescent="0.2">
      <c r="A567" s="85"/>
      <c r="B567" s="25" t="s">
        <v>2826</v>
      </c>
      <c r="C567" s="25" t="s">
        <v>2827</v>
      </c>
      <c r="D567" s="25" t="s">
        <v>1719</v>
      </c>
      <c r="E567" s="26" t="b">
        <v>1</v>
      </c>
      <c r="F567" s="27" t="str">
        <f>HYPERLINK("http://nsgreg.nga.mil/genc/view?v=211359&amp;end_month=12&amp;end_day=31&amp;end_year=2014","Razgrad")</f>
        <v>Razgrad</v>
      </c>
      <c r="G567" s="28" t="str">
        <f>HYPERLINK("http://api.nsgreg.nga.mil/geo-division/GENC/6/ed3/BG-17","as:GENC:6:ed3:BG-17")</f>
        <v>as:GENC:6:ed3:BG-17</v>
      </c>
    </row>
    <row r="568" spans="1:7" x14ac:dyDescent="0.2">
      <c r="A568" s="85"/>
      <c r="B568" s="25" t="s">
        <v>2828</v>
      </c>
      <c r="C568" s="25" t="s">
        <v>2829</v>
      </c>
      <c r="D568" s="25" t="s">
        <v>1719</v>
      </c>
      <c r="E568" s="26" t="b">
        <v>1</v>
      </c>
      <c r="F568" s="27" t="str">
        <f>HYPERLINK("http://nsgreg.nga.mil/genc/view?v=211360&amp;end_month=12&amp;end_day=31&amp;end_year=2014","Ruse")</f>
        <v>Ruse</v>
      </c>
      <c r="G568" s="28" t="str">
        <f>HYPERLINK("http://api.nsgreg.nga.mil/geo-division/GENC/6/ed3/BG-18","as:GENC:6:ed3:BG-18")</f>
        <v>as:GENC:6:ed3:BG-18</v>
      </c>
    </row>
    <row r="569" spans="1:7" x14ac:dyDescent="0.2">
      <c r="A569" s="85"/>
      <c r="B569" s="25" t="s">
        <v>2830</v>
      </c>
      <c r="C569" s="25" t="s">
        <v>2831</v>
      </c>
      <c r="D569" s="25" t="s">
        <v>1719</v>
      </c>
      <c r="E569" s="26" t="b">
        <v>1</v>
      </c>
      <c r="F569" s="27" t="str">
        <f>HYPERLINK("http://nsgreg.nga.mil/genc/view?v=211369&amp;end_month=12&amp;end_day=31&amp;end_year=2014","Shumen")</f>
        <v>Shumen</v>
      </c>
      <c r="G569" s="28" t="str">
        <f>HYPERLINK("http://api.nsgreg.nga.mil/geo-division/GENC/6/ed3/BG-27","as:GENC:6:ed3:BG-27")</f>
        <v>as:GENC:6:ed3:BG-27</v>
      </c>
    </row>
    <row r="570" spans="1:7" x14ac:dyDescent="0.2">
      <c r="A570" s="85"/>
      <c r="B570" s="25" t="s">
        <v>2832</v>
      </c>
      <c r="C570" s="25" t="s">
        <v>2833</v>
      </c>
      <c r="D570" s="25" t="s">
        <v>1719</v>
      </c>
      <c r="E570" s="26" t="b">
        <v>1</v>
      </c>
      <c r="F570" s="27" t="str">
        <f>HYPERLINK("http://nsgreg.nga.mil/genc/view?v=211361&amp;end_month=12&amp;end_day=31&amp;end_year=2014","Silistra")</f>
        <v>Silistra</v>
      </c>
      <c r="G570" s="28" t="str">
        <f>HYPERLINK("http://api.nsgreg.nga.mil/geo-division/GENC/6/ed3/BG-19","as:GENC:6:ed3:BG-19")</f>
        <v>as:GENC:6:ed3:BG-19</v>
      </c>
    </row>
    <row r="571" spans="1:7" x14ac:dyDescent="0.2">
      <c r="A571" s="85"/>
      <c r="B571" s="25" t="s">
        <v>2834</v>
      </c>
      <c r="C571" s="25" t="s">
        <v>2835</v>
      </c>
      <c r="D571" s="25" t="s">
        <v>1719</v>
      </c>
      <c r="E571" s="26" t="b">
        <v>1</v>
      </c>
      <c r="F571" s="27" t="str">
        <f>HYPERLINK("http://nsgreg.nga.mil/genc/view?v=211362&amp;end_month=12&amp;end_day=31&amp;end_year=2014","Sliven")</f>
        <v>Sliven</v>
      </c>
      <c r="G571" s="28" t="str">
        <f>HYPERLINK("http://api.nsgreg.nga.mil/geo-division/GENC/6/ed3/BG-20","as:GENC:6:ed3:BG-20")</f>
        <v>as:GENC:6:ed3:BG-20</v>
      </c>
    </row>
    <row r="572" spans="1:7" x14ac:dyDescent="0.2">
      <c r="A572" s="85"/>
      <c r="B572" s="25" t="s">
        <v>2836</v>
      </c>
      <c r="C572" s="25" t="s">
        <v>2837</v>
      </c>
      <c r="D572" s="25" t="s">
        <v>1719</v>
      </c>
      <c r="E572" s="26" t="b">
        <v>1</v>
      </c>
      <c r="F572" s="27" t="str">
        <f>HYPERLINK("http://nsgreg.nga.mil/genc/view?v=211363&amp;end_month=12&amp;end_day=31&amp;end_year=2014","Smolyan")</f>
        <v>Smolyan</v>
      </c>
      <c r="G572" s="28" t="str">
        <f>HYPERLINK("http://api.nsgreg.nga.mil/geo-division/GENC/6/ed3/BG-21","as:GENC:6:ed3:BG-21")</f>
        <v>as:GENC:6:ed3:BG-21</v>
      </c>
    </row>
    <row r="573" spans="1:7" x14ac:dyDescent="0.2">
      <c r="A573" s="85"/>
      <c r="B573" s="25" t="s">
        <v>2838</v>
      </c>
      <c r="C573" s="25" t="s">
        <v>12137</v>
      </c>
      <c r="D573" s="25" t="s">
        <v>1719</v>
      </c>
      <c r="E573" s="26" t="b">
        <v>1</v>
      </c>
      <c r="F573" s="27" t="str">
        <f>HYPERLINK("http://nsgreg.nga.mil/genc/view?v=211365&amp;end_month=12&amp;end_day=31&amp;end_year=2014","Sofiya")</f>
        <v>Sofiya</v>
      </c>
      <c r="G573" s="28" t="str">
        <f>HYPERLINK("http://api.nsgreg.nga.mil/geo-division/GENC/6/ed3/BG-23","as:GENC:6:ed3:BG-23")</f>
        <v>as:GENC:6:ed3:BG-23</v>
      </c>
    </row>
    <row r="574" spans="1:7" x14ac:dyDescent="0.2">
      <c r="A574" s="85"/>
      <c r="B574" s="25" t="s">
        <v>2840</v>
      </c>
      <c r="C574" s="25" t="s">
        <v>12138</v>
      </c>
      <c r="D574" s="25" t="s">
        <v>1719</v>
      </c>
      <c r="E574" s="26" t="b">
        <v>1</v>
      </c>
      <c r="F574" s="27" t="str">
        <f>HYPERLINK("http://nsgreg.nga.mil/genc/view?v=211364&amp;end_month=12&amp;end_day=31&amp;end_year=2014","Sofiya-Grad")</f>
        <v>Sofiya-Grad</v>
      </c>
      <c r="G574" s="28" t="str">
        <f>HYPERLINK("http://api.nsgreg.nga.mil/geo-division/GENC/6/ed3/BG-22","as:GENC:6:ed3:BG-22")</f>
        <v>as:GENC:6:ed3:BG-22</v>
      </c>
    </row>
    <row r="575" spans="1:7" x14ac:dyDescent="0.2">
      <c r="A575" s="85"/>
      <c r="B575" s="25" t="s">
        <v>2842</v>
      </c>
      <c r="C575" s="25" t="s">
        <v>2843</v>
      </c>
      <c r="D575" s="25" t="s">
        <v>1719</v>
      </c>
      <c r="E575" s="26" t="b">
        <v>1</v>
      </c>
      <c r="F575" s="27" t="str">
        <f>HYPERLINK("http://nsgreg.nga.mil/genc/view?v=211366&amp;end_month=12&amp;end_day=31&amp;end_year=2014","Stara Zagora")</f>
        <v>Stara Zagora</v>
      </c>
      <c r="G575" s="28" t="str">
        <f>HYPERLINK("http://api.nsgreg.nga.mil/geo-division/GENC/6/ed3/BG-24","as:GENC:6:ed3:BG-24")</f>
        <v>as:GENC:6:ed3:BG-24</v>
      </c>
    </row>
    <row r="576" spans="1:7" x14ac:dyDescent="0.2">
      <c r="A576" s="85"/>
      <c r="B576" s="25" t="s">
        <v>2844</v>
      </c>
      <c r="C576" s="25" t="s">
        <v>12139</v>
      </c>
      <c r="D576" s="25" t="s">
        <v>1719</v>
      </c>
      <c r="E576" s="26" t="b">
        <v>1</v>
      </c>
      <c r="F576" s="27" t="str">
        <f>HYPERLINK("http://nsgreg.nga.mil/genc/view?v=211367&amp;end_month=12&amp;end_day=31&amp;end_year=2014","Tŭrgovishte")</f>
        <v>Tŭrgovishte</v>
      </c>
      <c r="G576" s="28" t="str">
        <f>HYPERLINK("http://api.nsgreg.nga.mil/geo-division/GENC/6/ed3/BG-25","as:GENC:6:ed3:BG-25")</f>
        <v>as:GENC:6:ed3:BG-25</v>
      </c>
    </row>
    <row r="577" spans="1:7" x14ac:dyDescent="0.2">
      <c r="A577" s="85"/>
      <c r="B577" s="25" t="s">
        <v>2846</v>
      </c>
      <c r="C577" s="25" t="s">
        <v>2847</v>
      </c>
      <c r="D577" s="25" t="s">
        <v>1719</v>
      </c>
      <c r="E577" s="26" t="b">
        <v>1</v>
      </c>
      <c r="F577" s="27" t="str">
        <f>HYPERLINK("http://nsgreg.nga.mil/genc/view?v=211345&amp;end_month=12&amp;end_day=31&amp;end_year=2014","Varna")</f>
        <v>Varna</v>
      </c>
      <c r="G577" s="28" t="str">
        <f>HYPERLINK("http://api.nsgreg.nga.mil/geo-division/GENC/6/ed3/BG-03","as:GENC:6:ed3:BG-03")</f>
        <v>as:GENC:6:ed3:BG-03</v>
      </c>
    </row>
    <row r="578" spans="1:7" x14ac:dyDescent="0.2">
      <c r="A578" s="85"/>
      <c r="B578" s="25" t="s">
        <v>2848</v>
      </c>
      <c r="C578" s="25" t="s">
        <v>12140</v>
      </c>
      <c r="D578" s="25" t="s">
        <v>1719</v>
      </c>
      <c r="E578" s="26" t="b">
        <v>1</v>
      </c>
      <c r="F578" s="27" t="str">
        <f>HYPERLINK("http://nsgreg.nga.mil/genc/view?v=211346&amp;end_month=12&amp;end_day=31&amp;end_year=2014","Veliko Tŭrnovo")</f>
        <v>Veliko Tŭrnovo</v>
      </c>
      <c r="G578" s="28" t="str">
        <f>HYPERLINK("http://api.nsgreg.nga.mil/geo-division/GENC/6/ed3/BG-04","as:GENC:6:ed3:BG-04")</f>
        <v>as:GENC:6:ed3:BG-04</v>
      </c>
    </row>
    <row r="579" spans="1:7" x14ac:dyDescent="0.2">
      <c r="A579" s="85"/>
      <c r="B579" s="25" t="s">
        <v>2850</v>
      </c>
      <c r="C579" s="25" t="s">
        <v>2851</v>
      </c>
      <c r="D579" s="25" t="s">
        <v>1719</v>
      </c>
      <c r="E579" s="26" t="b">
        <v>1</v>
      </c>
      <c r="F579" s="27" t="str">
        <f>HYPERLINK("http://nsgreg.nga.mil/genc/view?v=211347&amp;end_month=12&amp;end_day=31&amp;end_year=2014","Vidin")</f>
        <v>Vidin</v>
      </c>
      <c r="G579" s="28" t="str">
        <f>HYPERLINK("http://api.nsgreg.nga.mil/geo-division/GENC/6/ed3/BG-05","as:GENC:6:ed3:BG-05")</f>
        <v>as:GENC:6:ed3:BG-05</v>
      </c>
    </row>
    <row r="580" spans="1:7" x14ac:dyDescent="0.2">
      <c r="A580" s="85"/>
      <c r="B580" s="25" t="s">
        <v>2852</v>
      </c>
      <c r="C580" s="25" t="s">
        <v>2853</v>
      </c>
      <c r="D580" s="25" t="s">
        <v>1719</v>
      </c>
      <c r="E580" s="26" t="b">
        <v>1</v>
      </c>
      <c r="F580" s="27" t="str">
        <f>HYPERLINK("http://nsgreg.nga.mil/genc/view?v=211348&amp;end_month=12&amp;end_day=31&amp;end_year=2014","Vratsa")</f>
        <v>Vratsa</v>
      </c>
      <c r="G580" s="28" t="str">
        <f>HYPERLINK("http://api.nsgreg.nga.mil/geo-division/GENC/6/ed3/BG-06","as:GENC:6:ed3:BG-06")</f>
        <v>as:GENC:6:ed3:BG-06</v>
      </c>
    </row>
    <row r="581" spans="1:7" x14ac:dyDescent="0.2">
      <c r="A581" s="86"/>
      <c r="B581" s="29" t="s">
        <v>2854</v>
      </c>
      <c r="C581" s="29" t="s">
        <v>2855</v>
      </c>
      <c r="D581" s="29" t="s">
        <v>1719</v>
      </c>
      <c r="E581" s="30" t="b">
        <v>1</v>
      </c>
      <c r="F581" s="31" t="str">
        <f>HYPERLINK("http://nsgreg.nga.mil/genc/view?v=211370&amp;end_month=12&amp;end_day=31&amp;end_year=2014","Yambol")</f>
        <v>Yambol</v>
      </c>
      <c r="G581" s="32" t="str">
        <f>HYPERLINK("http://api.nsgreg.nga.mil/geo-division/GENC/6/ed3/BG-28","as:GENC:6:ed3:BG-28")</f>
        <v>as:GENC:6:ed3:BG-28</v>
      </c>
    </row>
    <row r="582" spans="1:7" x14ac:dyDescent="0.2">
      <c r="A582" s="84" t="str">
        <f>HYPERLINK("[#]Codes_for_GE_Names!A42:I42","BURKINA FASO")</f>
        <v>BURKINA FASO</v>
      </c>
      <c r="B582" s="33" t="s">
        <v>2856</v>
      </c>
      <c r="C582" s="33" t="s">
        <v>2857</v>
      </c>
      <c r="D582" s="41" t="s">
        <v>1719</v>
      </c>
      <c r="E582" s="42" t="b">
        <v>0</v>
      </c>
      <c r="F582" s="35" t="str">
        <f>HYPERLINK("http://nsgreg.nga.mil/genc/view?v=118179&amp;gencs=T&amp;end_month=12&amp;end_day=31&amp;end_year=2014","Balé")</f>
        <v>Balé</v>
      </c>
      <c r="G582" s="36" t="str">
        <f>HYPERLINK("http://api.nsgreg.nga.mil/geo-division/GENC/6/ed3/BF-BAL","as:GENC:6:ed3:BF-BAL")</f>
        <v>as:GENC:6:ed3:BF-BAL</v>
      </c>
    </row>
    <row r="583" spans="1:7" x14ac:dyDescent="0.2">
      <c r="A583" s="85"/>
      <c r="B583" s="25" t="s">
        <v>2858</v>
      </c>
      <c r="C583" s="25" t="s">
        <v>2859</v>
      </c>
      <c r="D583" s="37" t="s">
        <v>1719</v>
      </c>
      <c r="E583" s="38" t="b">
        <v>0</v>
      </c>
      <c r="F583" s="27" t="str">
        <f>HYPERLINK("http://nsgreg.nga.mil/genc/view?v=118180&amp;gencs=T&amp;end_month=12&amp;end_day=31&amp;end_year=2014","Bam")</f>
        <v>Bam</v>
      </c>
      <c r="G583" s="28" t="str">
        <f>HYPERLINK("http://api.nsgreg.nga.mil/geo-division/GENC/6/ed3/BF-BAM","as:GENC:6:ed3:BF-BAM")</f>
        <v>as:GENC:6:ed3:BF-BAM</v>
      </c>
    </row>
    <row r="584" spans="1:7" x14ac:dyDescent="0.2">
      <c r="A584" s="85"/>
      <c r="B584" s="25" t="s">
        <v>2860</v>
      </c>
      <c r="C584" s="25" t="s">
        <v>2861</v>
      </c>
      <c r="D584" s="37" t="s">
        <v>1719</v>
      </c>
      <c r="E584" s="38" t="b">
        <v>0</v>
      </c>
      <c r="F584" s="27" t="str">
        <f>HYPERLINK("http://nsgreg.nga.mil/genc/view?v=118181&amp;gencs=T&amp;end_month=12&amp;end_day=31&amp;end_year=2014","Banwa")</f>
        <v>Banwa</v>
      </c>
      <c r="G584" s="28" t="str">
        <f>HYPERLINK("http://api.nsgreg.nga.mil/geo-division/GENC/6/ed3/BF-BAN","as:GENC:6:ed3:BF-BAN")</f>
        <v>as:GENC:6:ed3:BF-BAN</v>
      </c>
    </row>
    <row r="585" spans="1:7" x14ac:dyDescent="0.2">
      <c r="A585" s="85"/>
      <c r="B585" s="25" t="s">
        <v>2862</v>
      </c>
      <c r="C585" s="25" t="s">
        <v>2863</v>
      </c>
      <c r="D585" s="37" t="s">
        <v>1719</v>
      </c>
      <c r="E585" s="38" t="b">
        <v>0</v>
      </c>
      <c r="F585" s="27" t="str">
        <f>HYPERLINK("http://nsgreg.nga.mil/genc/view?v=118182&amp;gencs=T&amp;end_month=12&amp;end_day=31&amp;end_year=2014","Bazèga")</f>
        <v>Bazèga</v>
      </c>
      <c r="G585" s="28" t="str">
        <f>HYPERLINK("http://api.nsgreg.nga.mil/geo-division/GENC/6/ed3/BF-BAZ","as:GENC:6:ed3:BF-BAZ")</f>
        <v>as:GENC:6:ed3:BF-BAZ</v>
      </c>
    </row>
    <row r="586" spans="1:7" x14ac:dyDescent="0.2">
      <c r="A586" s="85"/>
      <c r="B586" s="25" t="s">
        <v>2864</v>
      </c>
      <c r="C586" s="25" t="s">
        <v>2865</v>
      </c>
      <c r="D586" s="25" t="s">
        <v>2087</v>
      </c>
      <c r="E586" s="26" t="b">
        <v>1</v>
      </c>
      <c r="F586" s="27" t="str">
        <f>HYPERLINK("http://nsgreg.nga.mil/genc/view?v=118166&amp;gencs=T&amp;end_month=12&amp;end_day=31&amp;end_year=2014","Boucle du Mouhoun")</f>
        <v>Boucle du Mouhoun</v>
      </c>
      <c r="G586" s="28" t="str">
        <f>HYPERLINK("http://api.nsgreg.nga.mil/geo-division/GENC/6/ed3/BF-01","as:GENC:6:ed3:BF-01")</f>
        <v>as:GENC:6:ed3:BF-01</v>
      </c>
    </row>
    <row r="587" spans="1:7" x14ac:dyDescent="0.2">
      <c r="A587" s="85"/>
      <c r="B587" s="25" t="s">
        <v>2866</v>
      </c>
      <c r="C587" s="25" t="s">
        <v>2867</v>
      </c>
      <c r="D587" s="37" t="s">
        <v>1719</v>
      </c>
      <c r="E587" s="38" t="b">
        <v>0</v>
      </c>
      <c r="F587" s="27" t="str">
        <f>HYPERLINK("http://nsgreg.nga.mil/genc/view?v=118183&amp;gencs=T&amp;end_month=12&amp;end_day=31&amp;end_year=2014","Bougouriba")</f>
        <v>Bougouriba</v>
      </c>
      <c r="G587" s="28" t="str">
        <f>HYPERLINK("http://api.nsgreg.nga.mil/geo-division/GENC/6/ed3/BF-BGR","as:GENC:6:ed3:BF-BGR")</f>
        <v>as:GENC:6:ed3:BF-BGR</v>
      </c>
    </row>
    <row r="588" spans="1:7" x14ac:dyDescent="0.2">
      <c r="A588" s="85"/>
      <c r="B588" s="25" t="s">
        <v>2868</v>
      </c>
      <c r="C588" s="25" t="s">
        <v>2869</v>
      </c>
      <c r="D588" s="37" t="s">
        <v>1719</v>
      </c>
      <c r="E588" s="38" t="b">
        <v>0</v>
      </c>
      <c r="F588" s="27" t="str">
        <f>HYPERLINK("http://nsgreg.nga.mil/genc/view?v=118184&amp;gencs=T&amp;end_month=12&amp;end_day=31&amp;end_year=2014","Boulgou")</f>
        <v>Boulgou</v>
      </c>
      <c r="G588" s="28" t="str">
        <f>HYPERLINK("http://api.nsgreg.nga.mil/geo-division/GENC/6/ed3/BF-BLG","as:GENC:6:ed3:BF-BLG")</f>
        <v>as:GENC:6:ed3:BF-BLG</v>
      </c>
    </row>
    <row r="589" spans="1:7" x14ac:dyDescent="0.2">
      <c r="A589" s="85"/>
      <c r="B589" s="25" t="s">
        <v>2870</v>
      </c>
      <c r="C589" s="25" t="s">
        <v>2871</v>
      </c>
      <c r="D589" s="37" t="s">
        <v>1719</v>
      </c>
      <c r="E589" s="38" t="b">
        <v>0</v>
      </c>
      <c r="F589" s="27" t="str">
        <f>HYPERLINK("http://nsgreg.nga.mil/genc/view?v=118185&amp;gencs=T&amp;end_month=12&amp;end_day=31&amp;end_year=2014","Boulkiemdé")</f>
        <v>Boulkiemdé</v>
      </c>
      <c r="G589" s="28" t="str">
        <f>HYPERLINK("http://api.nsgreg.nga.mil/geo-division/GENC/6/ed3/BF-BLK","as:GENC:6:ed3:BF-BLK")</f>
        <v>as:GENC:6:ed3:BF-BLK</v>
      </c>
    </row>
    <row r="590" spans="1:7" x14ac:dyDescent="0.2">
      <c r="A590" s="85"/>
      <c r="B590" s="25" t="s">
        <v>2872</v>
      </c>
      <c r="C590" s="25" t="s">
        <v>2873</v>
      </c>
      <c r="D590" s="25" t="s">
        <v>2087</v>
      </c>
      <c r="E590" s="26" t="b">
        <v>1</v>
      </c>
      <c r="F590" s="27" t="str">
        <f>HYPERLINK("http://nsgreg.nga.mil/genc/view?v=118167&amp;gencs=T&amp;end_month=12&amp;end_day=31&amp;end_year=2014","Cascades")</f>
        <v>Cascades</v>
      </c>
      <c r="G590" s="28" t="str">
        <f>HYPERLINK("http://api.nsgreg.nga.mil/geo-division/GENC/6/ed3/BF-02","as:GENC:6:ed3:BF-02")</f>
        <v>as:GENC:6:ed3:BF-02</v>
      </c>
    </row>
    <row r="591" spans="1:7" x14ac:dyDescent="0.2">
      <c r="A591" s="85"/>
      <c r="B591" s="25" t="s">
        <v>2874</v>
      </c>
      <c r="C591" s="25" t="s">
        <v>2875</v>
      </c>
      <c r="D591" s="25" t="s">
        <v>2087</v>
      </c>
      <c r="E591" s="26" t="b">
        <v>1</v>
      </c>
      <c r="F591" s="27" t="str">
        <f>HYPERLINK("http://nsgreg.nga.mil/genc/view?v=118168&amp;gencs=T&amp;end_month=12&amp;end_day=31&amp;end_year=2014","Centre")</f>
        <v>Centre</v>
      </c>
      <c r="G591" s="28" t="str">
        <f>HYPERLINK("http://api.nsgreg.nga.mil/geo-division/GENC/6/ed3/BF-03","as:GENC:6:ed3:BF-03")</f>
        <v>as:GENC:6:ed3:BF-03</v>
      </c>
    </row>
    <row r="592" spans="1:7" x14ac:dyDescent="0.2">
      <c r="A592" s="85"/>
      <c r="B592" s="25" t="s">
        <v>2876</v>
      </c>
      <c r="C592" s="25" t="s">
        <v>2877</v>
      </c>
      <c r="D592" s="25" t="s">
        <v>2087</v>
      </c>
      <c r="E592" s="26" t="b">
        <v>1</v>
      </c>
      <c r="F592" s="27" t="str">
        <f>HYPERLINK("http://nsgreg.nga.mil/genc/view?v=118169&amp;gencs=T&amp;end_month=12&amp;end_day=31&amp;end_year=2014","Centre-Est")</f>
        <v>Centre-Est</v>
      </c>
      <c r="G592" s="28" t="str">
        <f>HYPERLINK("http://api.nsgreg.nga.mil/geo-division/GENC/6/ed3/BF-04","as:GENC:6:ed3:BF-04")</f>
        <v>as:GENC:6:ed3:BF-04</v>
      </c>
    </row>
    <row r="593" spans="1:7" x14ac:dyDescent="0.2">
      <c r="A593" s="85"/>
      <c r="B593" s="25" t="s">
        <v>2878</v>
      </c>
      <c r="C593" s="25" t="s">
        <v>2879</v>
      </c>
      <c r="D593" s="25" t="s">
        <v>2087</v>
      </c>
      <c r="E593" s="26" t="b">
        <v>1</v>
      </c>
      <c r="F593" s="27" t="str">
        <f>HYPERLINK("http://nsgreg.nga.mil/genc/view?v=118170&amp;gencs=T&amp;end_month=12&amp;end_day=31&amp;end_year=2014","Centre-Nord")</f>
        <v>Centre-Nord</v>
      </c>
      <c r="G593" s="28" t="str">
        <f>HYPERLINK("http://api.nsgreg.nga.mil/geo-division/GENC/6/ed3/BF-05","as:GENC:6:ed3:BF-05")</f>
        <v>as:GENC:6:ed3:BF-05</v>
      </c>
    </row>
    <row r="594" spans="1:7" x14ac:dyDescent="0.2">
      <c r="A594" s="85"/>
      <c r="B594" s="25" t="s">
        <v>2880</v>
      </c>
      <c r="C594" s="25" t="s">
        <v>2881</v>
      </c>
      <c r="D594" s="25" t="s">
        <v>2087</v>
      </c>
      <c r="E594" s="26" t="b">
        <v>1</v>
      </c>
      <c r="F594" s="27" t="str">
        <f>HYPERLINK("http://nsgreg.nga.mil/genc/view?v=118171&amp;gencs=T&amp;end_month=12&amp;end_day=31&amp;end_year=2014","Centre-Ouest")</f>
        <v>Centre-Ouest</v>
      </c>
      <c r="G594" s="28" t="str">
        <f>HYPERLINK("http://api.nsgreg.nga.mil/geo-division/GENC/6/ed3/BF-06","as:GENC:6:ed3:BF-06")</f>
        <v>as:GENC:6:ed3:BF-06</v>
      </c>
    </row>
    <row r="595" spans="1:7" x14ac:dyDescent="0.2">
      <c r="A595" s="85"/>
      <c r="B595" s="25" t="s">
        <v>2882</v>
      </c>
      <c r="C595" s="25" t="s">
        <v>2883</v>
      </c>
      <c r="D595" s="25" t="s">
        <v>2087</v>
      </c>
      <c r="E595" s="26" t="b">
        <v>1</v>
      </c>
      <c r="F595" s="27" t="str">
        <f>HYPERLINK("http://nsgreg.nga.mil/genc/view?v=118172&amp;gencs=T&amp;end_month=12&amp;end_day=31&amp;end_year=2014","Centre-Sud")</f>
        <v>Centre-Sud</v>
      </c>
      <c r="G595" s="28" t="str">
        <f>HYPERLINK("http://api.nsgreg.nga.mil/geo-division/GENC/6/ed3/BF-07","as:GENC:6:ed3:BF-07")</f>
        <v>as:GENC:6:ed3:BF-07</v>
      </c>
    </row>
    <row r="596" spans="1:7" x14ac:dyDescent="0.2">
      <c r="A596" s="85"/>
      <c r="B596" s="25" t="s">
        <v>2884</v>
      </c>
      <c r="C596" s="25" t="s">
        <v>2885</v>
      </c>
      <c r="D596" s="37" t="s">
        <v>1719</v>
      </c>
      <c r="E596" s="38" t="b">
        <v>0</v>
      </c>
      <c r="F596" s="27" t="str">
        <f>HYPERLINK("http://nsgreg.nga.mil/genc/view?v=118186&amp;gencs=T&amp;end_month=12&amp;end_day=31&amp;end_year=2014","Comoé")</f>
        <v>Comoé</v>
      </c>
      <c r="G596" s="28" t="str">
        <f>HYPERLINK("http://api.nsgreg.nga.mil/geo-division/GENC/6/ed3/BF-COM","as:GENC:6:ed3:BF-COM")</f>
        <v>as:GENC:6:ed3:BF-COM</v>
      </c>
    </row>
    <row r="597" spans="1:7" x14ac:dyDescent="0.2">
      <c r="A597" s="85"/>
      <c r="B597" s="25" t="s">
        <v>2886</v>
      </c>
      <c r="C597" s="25" t="s">
        <v>2887</v>
      </c>
      <c r="D597" s="25" t="s">
        <v>2087</v>
      </c>
      <c r="E597" s="26" t="b">
        <v>1</v>
      </c>
      <c r="F597" s="27" t="str">
        <f>HYPERLINK("http://nsgreg.nga.mil/genc/view?v=118173&amp;gencs=T&amp;end_month=12&amp;end_day=31&amp;end_year=2014","Est")</f>
        <v>Est</v>
      </c>
      <c r="G597" s="28" t="str">
        <f>HYPERLINK("http://api.nsgreg.nga.mil/geo-division/GENC/6/ed3/BF-08","as:GENC:6:ed3:BF-08")</f>
        <v>as:GENC:6:ed3:BF-08</v>
      </c>
    </row>
    <row r="598" spans="1:7" x14ac:dyDescent="0.2">
      <c r="A598" s="85"/>
      <c r="B598" s="25" t="s">
        <v>2888</v>
      </c>
      <c r="C598" s="25" t="s">
        <v>2889</v>
      </c>
      <c r="D598" s="37" t="s">
        <v>1719</v>
      </c>
      <c r="E598" s="38" t="b">
        <v>0</v>
      </c>
      <c r="F598" s="27" t="str">
        <f>HYPERLINK("http://nsgreg.nga.mil/genc/view?v=118187&amp;gencs=T&amp;end_month=12&amp;end_day=31&amp;end_year=2014","Ganzourgou")</f>
        <v>Ganzourgou</v>
      </c>
      <c r="G598" s="28" t="str">
        <f>HYPERLINK("http://api.nsgreg.nga.mil/geo-division/GENC/6/ed3/BF-GAN","as:GENC:6:ed3:BF-GAN")</f>
        <v>as:GENC:6:ed3:BF-GAN</v>
      </c>
    </row>
    <row r="599" spans="1:7" x14ac:dyDescent="0.2">
      <c r="A599" s="85"/>
      <c r="B599" s="25" t="s">
        <v>2890</v>
      </c>
      <c r="C599" s="25" t="s">
        <v>2891</v>
      </c>
      <c r="D599" s="37" t="s">
        <v>1719</v>
      </c>
      <c r="E599" s="38" t="b">
        <v>0</v>
      </c>
      <c r="F599" s="27" t="str">
        <f>HYPERLINK("http://nsgreg.nga.mil/genc/view?v=118188&amp;gencs=T&amp;end_month=12&amp;end_day=31&amp;end_year=2014","Gnagna")</f>
        <v>Gnagna</v>
      </c>
      <c r="G599" s="28" t="str">
        <f>HYPERLINK("http://api.nsgreg.nga.mil/geo-division/GENC/6/ed3/BF-GNA","as:GENC:6:ed3:BF-GNA")</f>
        <v>as:GENC:6:ed3:BF-GNA</v>
      </c>
    </row>
    <row r="600" spans="1:7" x14ac:dyDescent="0.2">
      <c r="A600" s="85"/>
      <c r="B600" s="25" t="s">
        <v>2892</v>
      </c>
      <c r="C600" s="25" t="s">
        <v>2893</v>
      </c>
      <c r="D600" s="37" t="s">
        <v>1719</v>
      </c>
      <c r="E600" s="38" t="b">
        <v>0</v>
      </c>
      <c r="F600" s="27" t="str">
        <f>HYPERLINK("http://nsgreg.nga.mil/genc/view?v=118189&amp;gencs=T&amp;end_month=12&amp;end_day=31&amp;end_year=2014","Gourma")</f>
        <v>Gourma</v>
      </c>
      <c r="G600" s="28" t="str">
        <f>HYPERLINK("http://api.nsgreg.nga.mil/geo-division/GENC/6/ed3/BF-GOU","as:GENC:6:ed3:BF-GOU")</f>
        <v>as:GENC:6:ed3:BF-GOU</v>
      </c>
    </row>
    <row r="601" spans="1:7" x14ac:dyDescent="0.2">
      <c r="A601" s="85"/>
      <c r="B601" s="25" t="s">
        <v>2894</v>
      </c>
      <c r="C601" s="25" t="s">
        <v>2895</v>
      </c>
      <c r="D601" s="25" t="s">
        <v>2087</v>
      </c>
      <c r="E601" s="26" t="b">
        <v>1</v>
      </c>
      <c r="F601" s="27" t="str">
        <f>HYPERLINK("http://nsgreg.nga.mil/genc/view?v=118174&amp;gencs=T&amp;end_month=12&amp;end_day=31&amp;end_year=2014","Hauts-Bassins")</f>
        <v>Hauts-Bassins</v>
      </c>
      <c r="G601" s="28" t="str">
        <f>HYPERLINK("http://api.nsgreg.nga.mil/geo-division/GENC/6/ed3/BF-09","as:GENC:6:ed3:BF-09")</f>
        <v>as:GENC:6:ed3:BF-09</v>
      </c>
    </row>
    <row r="602" spans="1:7" x14ac:dyDescent="0.2">
      <c r="A602" s="85"/>
      <c r="B602" s="25" t="s">
        <v>2896</v>
      </c>
      <c r="C602" s="25" t="s">
        <v>2897</v>
      </c>
      <c r="D602" s="37" t="s">
        <v>1719</v>
      </c>
      <c r="E602" s="38" t="b">
        <v>0</v>
      </c>
      <c r="F602" s="27" t="str">
        <f>HYPERLINK("http://nsgreg.nga.mil/genc/view?v=118190&amp;gencs=T&amp;end_month=12&amp;end_day=31&amp;end_year=2014","Houet")</f>
        <v>Houet</v>
      </c>
      <c r="G602" s="28" t="str">
        <f>HYPERLINK("http://api.nsgreg.nga.mil/geo-division/GENC/6/ed3/BF-HOU","as:GENC:6:ed3:BF-HOU")</f>
        <v>as:GENC:6:ed3:BF-HOU</v>
      </c>
    </row>
    <row r="603" spans="1:7" x14ac:dyDescent="0.2">
      <c r="A603" s="85"/>
      <c r="B603" s="25" t="s">
        <v>2898</v>
      </c>
      <c r="C603" s="25" t="s">
        <v>2899</v>
      </c>
      <c r="D603" s="37" t="s">
        <v>1719</v>
      </c>
      <c r="E603" s="38" t="b">
        <v>0</v>
      </c>
      <c r="F603" s="27" t="str">
        <f>HYPERLINK("http://nsgreg.nga.mil/genc/view?v=118191&amp;gencs=T&amp;end_month=12&amp;end_day=31&amp;end_year=2014","Ioba")</f>
        <v>Ioba</v>
      </c>
      <c r="G603" s="28" t="str">
        <f>HYPERLINK("http://api.nsgreg.nga.mil/geo-division/GENC/6/ed3/BF-IOB","as:GENC:6:ed3:BF-IOB")</f>
        <v>as:GENC:6:ed3:BF-IOB</v>
      </c>
    </row>
    <row r="604" spans="1:7" x14ac:dyDescent="0.2">
      <c r="A604" s="85"/>
      <c r="B604" s="25" t="s">
        <v>2900</v>
      </c>
      <c r="C604" s="25" t="s">
        <v>2901</v>
      </c>
      <c r="D604" s="37" t="s">
        <v>1719</v>
      </c>
      <c r="E604" s="38" t="b">
        <v>0</v>
      </c>
      <c r="F604" s="27" t="str">
        <f>HYPERLINK("http://nsgreg.nga.mil/genc/view?v=118192&amp;gencs=T&amp;end_month=12&amp;end_day=31&amp;end_year=2014","Kadiogo")</f>
        <v>Kadiogo</v>
      </c>
      <c r="G604" s="28" t="str">
        <f>HYPERLINK("http://api.nsgreg.nga.mil/geo-division/GENC/6/ed3/BF-KAD","as:GENC:6:ed3:BF-KAD")</f>
        <v>as:GENC:6:ed3:BF-KAD</v>
      </c>
    </row>
    <row r="605" spans="1:7" x14ac:dyDescent="0.2">
      <c r="A605" s="85"/>
      <c r="B605" s="25" t="s">
        <v>2914</v>
      </c>
      <c r="C605" s="25" t="s">
        <v>2915</v>
      </c>
      <c r="D605" s="37" t="s">
        <v>1719</v>
      </c>
      <c r="E605" s="38" t="b">
        <v>0</v>
      </c>
      <c r="F605" s="27" t="str">
        <f>HYPERLINK("http://nsgreg.nga.mil/genc/view?v=118193&amp;gencs=T&amp;end_month=12&amp;end_day=31&amp;end_year=2014","Kénédougou")</f>
        <v>Kénédougou</v>
      </c>
      <c r="G605" s="28" t="str">
        <f>HYPERLINK("http://api.nsgreg.nga.mil/geo-division/GENC/6/ed3/BF-KEN","as:GENC:6:ed3:BF-KEN")</f>
        <v>as:GENC:6:ed3:BF-KEN</v>
      </c>
    </row>
    <row r="606" spans="1:7" x14ac:dyDescent="0.2">
      <c r="A606" s="85"/>
      <c r="B606" s="25" t="s">
        <v>2902</v>
      </c>
      <c r="C606" s="25" t="s">
        <v>2903</v>
      </c>
      <c r="D606" s="37" t="s">
        <v>1719</v>
      </c>
      <c r="E606" s="38" t="b">
        <v>0</v>
      </c>
      <c r="F606" s="27" t="str">
        <f>HYPERLINK("http://nsgreg.nga.mil/genc/view?v=118194&amp;gencs=T&amp;end_month=12&amp;end_day=31&amp;end_year=2014","Komondjari")</f>
        <v>Komondjari</v>
      </c>
      <c r="G606" s="28" t="str">
        <f>HYPERLINK("http://api.nsgreg.nga.mil/geo-division/GENC/6/ed3/BF-KMD","as:GENC:6:ed3:BF-KMD")</f>
        <v>as:GENC:6:ed3:BF-KMD</v>
      </c>
    </row>
    <row r="607" spans="1:7" x14ac:dyDescent="0.2">
      <c r="A607" s="85"/>
      <c r="B607" s="25" t="s">
        <v>2904</v>
      </c>
      <c r="C607" s="25" t="s">
        <v>2905</v>
      </c>
      <c r="D607" s="37" t="s">
        <v>1719</v>
      </c>
      <c r="E607" s="38" t="b">
        <v>0</v>
      </c>
      <c r="F607" s="27" t="str">
        <f>HYPERLINK("http://nsgreg.nga.mil/genc/view?v=118195&amp;gencs=T&amp;end_month=12&amp;end_day=31&amp;end_year=2014","Kompienga")</f>
        <v>Kompienga</v>
      </c>
      <c r="G607" s="28" t="str">
        <f>HYPERLINK("http://api.nsgreg.nga.mil/geo-division/GENC/6/ed3/BF-KMP","as:GENC:6:ed3:BF-KMP")</f>
        <v>as:GENC:6:ed3:BF-KMP</v>
      </c>
    </row>
    <row r="608" spans="1:7" x14ac:dyDescent="0.2">
      <c r="A608" s="85"/>
      <c r="B608" s="25" t="s">
        <v>2906</v>
      </c>
      <c r="C608" s="25" t="s">
        <v>2907</v>
      </c>
      <c r="D608" s="37" t="s">
        <v>1719</v>
      </c>
      <c r="E608" s="38" t="b">
        <v>0</v>
      </c>
      <c r="F608" s="27" t="str">
        <f>HYPERLINK("http://nsgreg.nga.mil/genc/view?v=118197&amp;gencs=T&amp;end_month=12&amp;end_day=31&amp;end_year=2014","Kossi")</f>
        <v>Kossi</v>
      </c>
      <c r="G608" s="28" t="str">
        <f>HYPERLINK("http://api.nsgreg.nga.mil/geo-division/GENC/6/ed3/BF-KOS","as:GENC:6:ed3:BF-KOS")</f>
        <v>as:GENC:6:ed3:BF-KOS</v>
      </c>
    </row>
    <row r="609" spans="1:7" x14ac:dyDescent="0.2">
      <c r="A609" s="85"/>
      <c r="B609" s="25" t="s">
        <v>2908</v>
      </c>
      <c r="C609" s="25" t="s">
        <v>2909</v>
      </c>
      <c r="D609" s="37" t="s">
        <v>1719</v>
      </c>
      <c r="E609" s="38" t="b">
        <v>0</v>
      </c>
      <c r="F609" s="27" t="str">
        <f>HYPERLINK("http://nsgreg.nga.mil/genc/view?v=118196&amp;gencs=T&amp;end_month=12&amp;end_day=31&amp;end_year=2014","Koulpélogo")</f>
        <v>Koulpélogo</v>
      </c>
      <c r="G609" s="28" t="str">
        <f>HYPERLINK("http://api.nsgreg.nga.mil/geo-division/GENC/6/ed3/BF-KOP","as:GENC:6:ed3:BF-KOP")</f>
        <v>as:GENC:6:ed3:BF-KOP</v>
      </c>
    </row>
    <row r="610" spans="1:7" x14ac:dyDescent="0.2">
      <c r="A610" s="85"/>
      <c r="B610" s="25" t="s">
        <v>2910</v>
      </c>
      <c r="C610" s="25" t="s">
        <v>2911</v>
      </c>
      <c r="D610" s="37" t="s">
        <v>1719</v>
      </c>
      <c r="E610" s="38" t="b">
        <v>0</v>
      </c>
      <c r="F610" s="27" t="str">
        <f>HYPERLINK("http://nsgreg.nga.mil/genc/view?v=118198&amp;gencs=T&amp;end_month=12&amp;end_day=31&amp;end_year=2014","Kouritenga")</f>
        <v>Kouritenga</v>
      </c>
      <c r="G610" s="28" t="str">
        <f>HYPERLINK("http://api.nsgreg.nga.mil/geo-division/GENC/6/ed3/BF-KOT","as:GENC:6:ed3:BF-KOT")</f>
        <v>as:GENC:6:ed3:BF-KOT</v>
      </c>
    </row>
    <row r="611" spans="1:7" x14ac:dyDescent="0.2">
      <c r="A611" s="85"/>
      <c r="B611" s="25" t="s">
        <v>2912</v>
      </c>
      <c r="C611" s="25" t="s">
        <v>2913</v>
      </c>
      <c r="D611" s="37" t="s">
        <v>1719</v>
      </c>
      <c r="E611" s="38" t="b">
        <v>0</v>
      </c>
      <c r="F611" s="27" t="str">
        <f>HYPERLINK("http://nsgreg.nga.mil/genc/view?v=118199&amp;gencs=T&amp;end_month=12&amp;end_day=31&amp;end_year=2014","Kourwéogo")</f>
        <v>Kourwéogo</v>
      </c>
      <c r="G611" s="28" t="str">
        <f>HYPERLINK("http://api.nsgreg.nga.mil/geo-division/GENC/6/ed3/BF-KOW","as:GENC:6:ed3:BF-KOW")</f>
        <v>as:GENC:6:ed3:BF-KOW</v>
      </c>
    </row>
    <row r="612" spans="1:7" x14ac:dyDescent="0.2">
      <c r="A612" s="85"/>
      <c r="B612" s="25" t="s">
        <v>2918</v>
      </c>
      <c r="C612" s="25" t="s">
        <v>2919</v>
      </c>
      <c r="D612" s="37" t="s">
        <v>1719</v>
      </c>
      <c r="E612" s="38" t="b">
        <v>0</v>
      </c>
      <c r="F612" s="27" t="str">
        <f>HYPERLINK("http://nsgreg.nga.mil/genc/view?v=118200&amp;gencs=T&amp;end_month=12&amp;end_day=31&amp;end_year=2014","Léraba")</f>
        <v>Léraba</v>
      </c>
      <c r="G612" s="28" t="str">
        <f>HYPERLINK("http://api.nsgreg.nga.mil/geo-division/GENC/6/ed3/BF-LER","as:GENC:6:ed3:BF-LER")</f>
        <v>as:GENC:6:ed3:BF-LER</v>
      </c>
    </row>
    <row r="613" spans="1:7" x14ac:dyDescent="0.2">
      <c r="A613" s="85"/>
      <c r="B613" s="25" t="s">
        <v>2916</v>
      </c>
      <c r="C613" s="25" t="s">
        <v>2917</v>
      </c>
      <c r="D613" s="37" t="s">
        <v>1719</v>
      </c>
      <c r="E613" s="38" t="b">
        <v>0</v>
      </c>
      <c r="F613" s="27" t="str">
        <f>HYPERLINK("http://nsgreg.nga.mil/genc/view?v=118201&amp;gencs=T&amp;end_month=12&amp;end_day=31&amp;end_year=2014","Loroum")</f>
        <v>Loroum</v>
      </c>
      <c r="G613" s="28" t="str">
        <f>HYPERLINK("http://api.nsgreg.nga.mil/geo-division/GENC/6/ed3/BF-LOR","as:GENC:6:ed3:BF-LOR")</f>
        <v>as:GENC:6:ed3:BF-LOR</v>
      </c>
    </row>
    <row r="614" spans="1:7" x14ac:dyDescent="0.2">
      <c r="A614" s="85"/>
      <c r="B614" s="25" t="s">
        <v>2920</v>
      </c>
      <c r="C614" s="25" t="s">
        <v>2921</v>
      </c>
      <c r="D614" s="37" t="s">
        <v>1719</v>
      </c>
      <c r="E614" s="38" t="b">
        <v>0</v>
      </c>
      <c r="F614" s="27" t="str">
        <f>HYPERLINK("http://nsgreg.nga.mil/genc/view?v=118202&amp;gencs=T&amp;end_month=12&amp;end_day=31&amp;end_year=2014","Mouhoun")</f>
        <v>Mouhoun</v>
      </c>
      <c r="G614" s="28" t="str">
        <f>HYPERLINK("http://api.nsgreg.nga.mil/geo-division/GENC/6/ed3/BF-MOU","as:GENC:6:ed3:BF-MOU")</f>
        <v>as:GENC:6:ed3:BF-MOU</v>
      </c>
    </row>
    <row r="615" spans="1:7" x14ac:dyDescent="0.2">
      <c r="A615" s="85"/>
      <c r="B615" s="25" t="s">
        <v>2922</v>
      </c>
      <c r="C615" s="25" t="s">
        <v>2923</v>
      </c>
      <c r="D615" s="37" t="s">
        <v>1719</v>
      </c>
      <c r="E615" s="38" t="b">
        <v>0</v>
      </c>
      <c r="F615" s="27" t="str">
        <f>HYPERLINK("http://nsgreg.nga.mil/genc/view?v=118204&amp;gencs=T&amp;end_month=12&amp;end_day=31&amp;end_year=2014","Nahouri")</f>
        <v>Nahouri</v>
      </c>
      <c r="G615" s="28" t="str">
        <f>HYPERLINK("http://api.nsgreg.nga.mil/geo-division/GENC/6/ed3/BF-NAO","as:GENC:6:ed3:BF-NAO")</f>
        <v>as:GENC:6:ed3:BF-NAO</v>
      </c>
    </row>
    <row r="616" spans="1:7" x14ac:dyDescent="0.2">
      <c r="A616" s="85"/>
      <c r="B616" s="25" t="s">
        <v>2924</v>
      </c>
      <c r="C616" s="25" t="s">
        <v>2925</v>
      </c>
      <c r="D616" s="37" t="s">
        <v>1719</v>
      </c>
      <c r="E616" s="38" t="b">
        <v>0</v>
      </c>
      <c r="F616" s="27" t="str">
        <f>HYPERLINK("http://nsgreg.nga.mil/genc/view?v=118203&amp;gencs=T&amp;end_month=12&amp;end_day=31&amp;end_year=2014","Namentenga")</f>
        <v>Namentenga</v>
      </c>
      <c r="G616" s="28" t="str">
        <f>HYPERLINK("http://api.nsgreg.nga.mil/geo-division/GENC/6/ed3/BF-NAM","as:GENC:6:ed3:BF-NAM")</f>
        <v>as:GENC:6:ed3:BF-NAM</v>
      </c>
    </row>
    <row r="617" spans="1:7" x14ac:dyDescent="0.2">
      <c r="A617" s="85"/>
      <c r="B617" s="25" t="s">
        <v>2926</v>
      </c>
      <c r="C617" s="25" t="s">
        <v>2927</v>
      </c>
      <c r="D617" s="37" t="s">
        <v>1719</v>
      </c>
      <c r="E617" s="38" t="b">
        <v>0</v>
      </c>
      <c r="F617" s="27" t="str">
        <f>HYPERLINK("http://nsgreg.nga.mil/genc/view?v=118205&amp;gencs=T&amp;end_month=12&amp;end_day=31&amp;end_year=2014","Nayala")</f>
        <v>Nayala</v>
      </c>
      <c r="G617" s="28" t="str">
        <f>HYPERLINK("http://api.nsgreg.nga.mil/geo-division/GENC/6/ed3/BF-NAY","as:GENC:6:ed3:BF-NAY")</f>
        <v>as:GENC:6:ed3:BF-NAY</v>
      </c>
    </row>
    <row r="618" spans="1:7" x14ac:dyDescent="0.2">
      <c r="A618" s="85"/>
      <c r="B618" s="25" t="s">
        <v>2928</v>
      </c>
      <c r="C618" s="25" t="s">
        <v>2929</v>
      </c>
      <c r="D618" s="25" t="s">
        <v>2087</v>
      </c>
      <c r="E618" s="26" t="b">
        <v>1</v>
      </c>
      <c r="F618" s="27" t="str">
        <f>HYPERLINK("http://nsgreg.nga.mil/genc/view?v=118175&amp;gencs=T&amp;end_month=12&amp;end_day=31&amp;end_year=2014","Nord")</f>
        <v>Nord</v>
      </c>
      <c r="G618" s="28" t="str">
        <f>HYPERLINK("http://api.nsgreg.nga.mil/geo-division/GENC/6/ed3/BF-10","as:GENC:6:ed3:BF-10")</f>
        <v>as:GENC:6:ed3:BF-10</v>
      </c>
    </row>
    <row r="619" spans="1:7" x14ac:dyDescent="0.2">
      <c r="A619" s="85"/>
      <c r="B619" s="25" t="s">
        <v>2930</v>
      </c>
      <c r="C619" s="25" t="s">
        <v>2931</v>
      </c>
      <c r="D619" s="37" t="s">
        <v>1719</v>
      </c>
      <c r="E619" s="38" t="b">
        <v>0</v>
      </c>
      <c r="F619" s="27" t="str">
        <f>HYPERLINK("http://nsgreg.nga.mil/genc/view?v=118206&amp;gencs=T&amp;end_month=12&amp;end_day=31&amp;end_year=2014","Noumbiel")</f>
        <v>Noumbiel</v>
      </c>
      <c r="G619" s="28" t="str">
        <f>HYPERLINK("http://api.nsgreg.nga.mil/geo-division/GENC/6/ed3/BF-NOU","as:GENC:6:ed3:BF-NOU")</f>
        <v>as:GENC:6:ed3:BF-NOU</v>
      </c>
    </row>
    <row r="620" spans="1:7" x14ac:dyDescent="0.2">
      <c r="A620" s="85"/>
      <c r="B620" s="25" t="s">
        <v>2932</v>
      </c>
      <c r="C620" s="25" t="s">
        <v>2933</v>
      </c>
      <c r="D620" s="37" t="s">
        <v>1719</v>
      </c>
      <c r="E620" s="38" t="b">
        <v>0</v>
      </c>
      <c r="F620" s="27" t="str">
        <f>HYPERLINK("http://nsgreg.nga.mil/genc/view?v=118207&amp;gencs=T&amp;end_month=12&amp;end_day=31&amp;end_year=2014","Oubritenga")</f>
        <v>Oubritenga</v>
      </c>
      <c r="G620" s="28" t="str">
        <f>HYPERLINK("http://api.nsgreg.nga.mil/geo-division/GENC/6/ed3/BF-OUB","as:GENC:6:ed3:BF-OUB")</f>
        <v>as:GENC:6:ed3:BF-OUB</v>
      </c>
    </row>
    <row r="621" spans="1:7" x14ac:dyDescent="0.2">
      <c r="A621" s="85"/>
      <c r="B621" s="25" t="s">
        <v>2934</v>
      </c>
      <c r="C621" s="25" t="s">
        <v>2935</v>
      </c>
      <c r="D621" s="37" t="s">
        <v>1719</v>
      </c>
      <c r="E621" s="38" t="b">
        <v>0</v>
      </c>
      <c r="F621" s="27" t="str">
        <f>HYPERLINK("http://nsgreg.nga.mil/genc/view?v=118208&amp;gencs=T&amp;end_month=12&amp;end_day=31&amp;end_year=2014","Oudalan")</f>
        <v>Oudalan</v>
      </c>
      <c r="G621" s="28" t="str">
        <f>HYPERLINK("http://api.nsgreg.nga.mil/geo-division/GENC/6/ed3/BF-OUD","as:GENC:6:ed3:BF-OUD")</f>
        <v>as:GENC:6:ed3:BF-OUD</v>
      </c>
    </row>
    <row r="622" spans="1:7" x14ac:dyDescent="0.2">
      <c r="A622" s="85"/>
      <c r="B622" s="25" t="s">
        <v>2936</v>
      </c>
      <c r="C622" s="25" t="s">
        <v>2937</v>
      </c>
      <c r="D622" s="37" t="s">
        <v>1719</v>
      </c>
      <c r="E622" s="38" t="b">
        <v>0</v>
      </c>
      <c r="F622" s="27" t="str">
        <f>HYPERLINK("http://nsgreg.nga.mil/genc/view?v=118209&amp;gencs=T&amp;end_month=12&amp;end_day=31&amp;end_year=2014","Passoré")</f>
        <v>Passoré</v>
      </c>
      <c r="G622" s="28" t="str">
        <f>HYPERLINK("http://api.nsgreg.nga.mil/geo-division/GENC/6/ed3/BF-PAS","as:GENC:6:ed3:BF-PAS")</f>
        <v>as:GENC:6:ed3:BF-PAS</v>
      </c>
    </row>
    <row r="623" spans="1:7" x14ac:dyDescent="0.2">
      <c r="A623" s="85"/>
      <c r="B623" s="25" t="s">
        <v>2938</v>
      </c>
      <c r="C623" s="25" t="s">
        <v>2939</v>
      </c>
      <c r="D623" s="25" t="s">
        <v>2087</v>
      </c>
      <c r="E623" s="26" t="b">
        <v>1</v>
      </c>
      <c r="F623" s="27" t="str">
        <f>HYPERLINK("http://nsgreg.nga.mil/genc/view?v=118176&amp;gencs=T&amp;end_month=12&amp;end_day=31&amp;end_year=2014","Plateau-Central")</f>
        <v>Plateau-Central</v>
      </c>
      <c r="G623" s="28" t="str">
        <f>HYPERLINK("http://api.nsgreg.nga.mil/geo-division/GENC/6/ed3/BF-11","as:GENC:6:ed3:BF-11")</f>
        <v>as:GENC:6:ed3:BF-11</v>
      </c>
    </row>
    <row r="624" spans="1:7" x14ac:dyDescent="0.2">
      <c r="A624" s="85"/>
      <c r="B624" s="25" t="s">
        <v>2940</v>
      </c>
      <c r="C624" s="25" t="s">
        <v>2941</v>
      </c>
      <c r="D624" s="37" t="s">
        <v>1719</v>
      </c>
      <c r="E624" s="38" t="b">
        <v>0</v>
      </c>
      <c r="F624" s="27" t="str">
        <f>HYPERLINK("http://nsgreg.nga.mil/genc/view?v=118210&amp;gencs=T&amp;end_month=12&amp;end_day=31&amp;end_year=2014","Poni")</f>
        <v>Poni</v>
      </c>
      <c r="G624" s="28" t="str">
        <f>HYPERLINK("http://api.nsgreg.nga.mil/geo-division/GENC/6/ed3/BF-PON","as:GENC:6:ed3:BF-PON")</f>
        <v>as:GENC:6:ed3:BF-PON</v>
      </c>
    </row>
    <row r="625" spans="1:7" x14ac:dyDescent="0.2">
      <c r="A625" s="85"/>
      <c r="B625" s="25" t="s">
        <v>2942</v>
      </c>
      <c r="C625" s="25" t="s">
        <v>2943</v>
      </c>
      <c r="D625" s="25" t="s">
        <v>2087</v>
      </c>
      <c r="E625" s="26" t="b">
        <v>1</v>
      </c>
      <c r="F625" s="27" t="str">
        <f>HYPERLINK("http://nsgreg.nga.mil/genc/view?v=118177&amp;gencs=T&amp;end_month=12&amp;end_day=31&amp;end_year=2014","Sahel")</f>
        <v>Sahel</v>
      </c>
      <c r="G625" s="28" t="str">
        <f>HYPERLINK("http://api.nsgreg.nga.mil/geo-division/GENC/6/ed3/BF-12","as:GENC:6:ed3:BF-12")</f>
        <v>as:GENC:6:ed3:BF-12</v>
      </c>
    </row>
    <row r="626" spans="1:7" x14ac:dyDescent="0.2">
      <c r="A626" s="85"/>
      <c r="B626" s="25" t="s">
        <v>2944</v>
      </c>
      <c r="C626" s="25" t="s">
        <v>2945</v>
      </c>
      <c r="D626" s="37" t="s">
        <v>1719</v>
      </c>
      <c r="E626" s="38" t="b">
        <v>0</v>
      </c>
      <c r="F626" s="27" t="str">
        <f>HYPERLINK("http://nsgreg.nga.mil/genc/view?v=118214&amp;gencs=T&amp;end_month=12&amp;end_day=31&amp;end_year=2014","Sanguié")</f>
        <v>Sanguié</v>
      </c>
      <c r="G626" s="28" t="str">
        <f>HYPERLINK("http://api.nsgreg.nga.mil/geo-division/GENC/6/ed3/BF-SNG","as:GENC:6:ed3:BF-SNG")</f>
        <v>as:GENC:6:ed3:BF-SNG</v>
      </c>
    </row>
    <row r="627" spans="1:7" x14ac:dyDescent="0.2">
      <c r="A627" s="85"/>
      <c r="B627" s="25" t="s">
        <v>2946</v>
      </c>
      <c r="C627" s="25" t="s">
        <v>2947</v>
      </c>
      <c r="D627" s="37" t="s">
        <v>1719</v>
      </c>
      <c r="E627" s="38" t="b">
        <v>0</v>
      </c>
      <c r="F627" s="27" t="str">
        <f>HYPERLINK("http://nsgreg.nga.mil/genc/view?v=118213&amp;gencs=T&amp;end_month=12&amp;end_day=31&amp;end_year=2014","Sanmatenga")</f>
        <v>Sanmatenga</v>
      </c>
      <c r="G627" s="28" t="str">
        <f>HYPERLINK("http://api.nsgreg.nga.mil/geo-division/GENC/6/ed3/BF-SMT","as:GENC:6:ed3:BF-SMT")</f>
        <v>as:GENC:6:ed3:BF-SMT</v>
      </c>
    </row>
    <row r="628" spans="1:7" x14ac:dyDescent="0.2">
      <c r="A628" s="85"/>
      <c r="B628" s="25" t="s">
        <v>2956</v>
      </c>
      <c r="C628" s="25" t="s">
        <v>2957</v>
      </c>
      <c r="D628" s="37" t="s">
        <v>1719</v>
      </c>
      <c r="E628" s="38" t="b">
        <v>0</v>
      </c>
      <c r="F628" s="27" t="str">
        <f>HYPERLINK("http://nsgreg.nga.mil/genc/view?v=118211&amp;gencs=T&amp;end_month=12&amp;end_day=31&amp;end_year=2014","Séno")</f>
        <v>Séno</v>
      </c>
      <c r="G628" s="28" t="str">
        <f>HYPERLINK("http://api.nsgreg.nga.mil/geo-division/GENC/6/ed3/BF-SEN","as:GENC:6:ed3:BF-SEN")</f>
        <v>as:GENC:6:ed3:BF-SEN</v>
      </c>
    </row>
    <row r="629" spans="1:7" x14ac:dyDescent="0.2">
      <c r="A629" s="85"/>
      <c r="B629" s="25" t="s">
        <v>2948</v>
      </c>
      <c r="C629" s="25" t="s">
        <v>2949</v>
      </c>
      <c r="D629" s="37" t="s">
        <v>1719</v>
      </c>
      <c r="E629" s="38" t="b">
        <v>0</v>
      </c>
      <c r="F629" s="27" t="str">
        <f>HYPERLINK("http://nsgreg.nga.mil/genc/view?v=118212&amp;gencs=T&amp;end_month=12&amp;end_day=31&amp;end_year=2014","Sissili")</f>
        <v>Sissili</v>
      </c>
      <c r="G629" s="28" t="str">
        <f>HYPERLINK("http://api.nsgreg.nga.mil/geo-division/GENC/6/ed3/BF-SIS","as:GENC:6:ed3:BF-SIS")</f>
        <v>as:GENC:6:ed3:BF-SIS</v>
      </c>
    </row>
    <row r="630" spans="1:7" x14ac:dyDescent="0.2">
      <c r="A630" s="85"/>
      <c r="B630" s="25" t="s">
        <v>2950</v>
      </c>
      <c r="C630" s="25" t="s">
        <v>2951</v>
      </c>
      <c r="D630" s="37" t="s">
        <v>1719</v>
      </c>
      <c r="E630" s="38" t="b">
        <v>0</v>
      </c>
      <c r="F630" s="27" t="str">
        <f>HYPERLINK("http://nsgreg.nga.mil/genc/view?v=118215&amp;gencs=T&amp;end_month=12&amp;end_day=31&amp;end_year=2014","Soum")</f>
        <v>Soum</v>
      </c>
      <c r="G630" s="28" t="str">
        <f>HYPERLINK("http://api.nsgreg.nga.mil/geo-division/GENC/6/ed3/BF-SOM","as:GENC:6:ed3:BF-SOM")</f>
        <v>as:GENC:6:ed3:BF-SOM</v>
      </c>
    </row>
    <row r="631" spans="1:7" x14ac:dyDescent="0.2">
      <c r="A631" s="85"/>
      <c r="B631" s="25" t="s">
        <v>2952</v>
      </c>
      <c r="C631" s="25" t="s">
        <v>2953</v>
      </c>
      <c r="D631" s="37" t="s">
        <v>1719</v>
      </c>
      <c r="E631" s="38" t="b">
        <v>0</v>
      </c>
      <c r="F631" s="27" t="str">
        <f>HYPERLINK("http://nsgreg.nga.mil/genc/view?v=118216&amp;gencs=T&amp;end_month=12&amp;end_day=31&amp;end_year=2014","Sourou")</f>
        <v>Sourou</v>
      </c>
      <c r="G631" s="28" t="str">
        <f>HYPERLINK("http://api.nsgreg.nga.mil/geo-division/GENC/6/ed3/BF-SOR","as:GENC:6:ed3:BF-SOR")</f>
        <v>as:GENC:6:ed3:BF-SOR</v>
      </c>
    </row>
    <row r="632" spans="1:7" x14ac:dyDescent="0.2">
      <c r="A632" s="85"/>
      <c r="B632" s="25" t="s">
        <v>2954</v>
      </c>
      <c r="C632" s="25" t="s">
        <v>2955</v>
      </c>
      <c r="D632" s="25" t="s">
        <v>2087</v>
      </c>
      <c r="E632" s="26" t="b">
        <v>1</v>
      </c>
      <c r="F632" s="27" t="str">
        <f>HYPERLINK("http://nsgreg.nga.mil/genc/view?v=118178&amp;gencs=T&amp;end_month=12&amp;end_day=31&amp;end_year=2014","Sud-Ouest")</f>
        <v>Sud-Ouest</v>
      </c>
      <c r="G632" s="28" t="str">
        <f>HYPERLINK("http://api.nsgreg.nga.mil/geo-division/GENC/6/ed3/BF-13","as:GENC:6:ed3:BF-13")</f>
        <v>as:GENC:6:ed3:BF-13</v>
      </c>
    </row>
    <row r="633" spans="1:7" x14ac:dyDescent="0.2">
      <c r="A633" s="85"/>
      <c r="B633" s="25" t="s">
        <v>2958</v>
      </c>
      <c r="C633" s="25" t="s">
        <v>2959</v>
      </c>
      <c r="D633" s="37" t="s">
        <v>1719</v>
      </c>
      <c r="E633" s="38" t="b">
        <v>0</v>
      </c>
      <c r="F633" s="27" t="str">
        <f>HYPERLINK("http://nsgreg.nga.mil/genc/view?v=118217&amp;gencs=T&amp;end_month=12&amp;end_day=31&amp;end_year=2014","Tapoa")</f>
        <v>Tapoa</v>
      </c>
      <c r="G633" s="28" t="str">
        <f>HYPERLINK("http://api.nsgreg.nga.mil/geo-division/GENC/6/ed3/BF-TAP","as:GENC:6:ed3:BF-TAP")</f>
        <v>as:GENC:6:ed3:BF-TAP</v>
      </c>
    </row>
    <row r="634" spans="1:7" x14ac:dyDescent="0.2">
      <c r="A634" s="85"/>
      <c r="B634" s="25" t="s">
        <v>2960</v>
      </c>
      <c r="C634" s="25" t="s">
        <v>12141</v>
      </c>
      <c r="D634" s="37" t="s">
        <v>1719</v>
      </c>
      <c r="E634" s="38" t="b">
        <v>0</v>
      </c>
      <c r="F634" s="27" t="str">
        <f>HYPERLINK("http://nsgreg.nga.mil/genc/view?v=211342&amp;end_month=12&amp;end_day=31&amp;end_year=2014","Tuy")</f>
        <v>Tuy</v>
      </c>
      <c r="G634" s="28" t="str">
        <f>HYPERLINK("http://api.nsgreg.nga.mil/geo-division/GENC/6/ed3/BF-TUI","as:GENC:6:ed3:BF-TUI")</f>
        <v>as:GENC:6:ed3:BF-TUI</v>
      </c>
    </row>
    <row r="635" spans="1:7" x14ac:dyDescent="0.2">
      <c r="A635" s="85"/>
      <c r="B635" s="25" t="s">
        <v>2962</v>
      </c>
      <c r="C635" s="25" t="s">
        <v>2963</v>
      </c>
      <c r="D635" s="37" t="s">
        <v>1719</v>
      </c>
      <c r="E635" s="38" t="b">
        <v>0</v>
      </c>
      <c r="F635" s="27" t="str">
        <f>HYPERLINK("http://nsgreg.nga.mil/genc/view?v=118219&amp;gencs=T&amp;end_month=12&amp;end_day=31&amp;end_year=2014","Yagha")</f>
        <v>Yagha</v>
      </c>
      <c r="G635" s="28" t="str">
        <f>HYPERLINK("http://api.nsgreg.nga.mil/geo-division/GENC/6/ed3/BF-YAG","as:GENC:6:ed3:BF-YAG")</f>
        <v>as:GENC:6:ed3:BF-YAG</v>
      </c>
    </row>
    <row r="636" spans="1:7" x14ac:dyDescent="0.2">
      <c r="A636" s="85"/>
      <c r="B636" s="25" t="s">
        <v>2964</v>
      </c>
      <c r="C636" s="25" t="s">
        <v>2965</v>
      </c>
      <c r="D636" s="37" t="s">
        <v>1719</v>
      </c>
      <c r="E636" s="38" t="b">
        <v>0</v>
      </c>
      <c r="F636" s="27" t="str">
        <f>HYPERLINK("http://nsgreg.nga.mil/genc/view?v=118220&amp;gencs=T&amp;end_month=12&amp;end_day=31&amp;end_year=2014","Yatenga")</f>
        <v>Yatenga</v>
      </c>
      <c r="G636" s="28" t="str">
        <f>HYPERLINK("http://api.nsgreg.nga.mil/geo-division/GENC/6/ed3/BF-YAT","as:GENC:6:ed3:BF-YAT")</f>
        <v>as:GENC:6:ed3:BF-YAT</v>
      </c>
    </row>
    <row r="637" spans="1:7" x14ac:dyDescent="0.2">
      <c r="A637" s="85"/>
      <c r="B637" s="25" t="s">
        <v>2966</v>
      </c>
      <c r="C637" s="25" t="s">
        <v>2967</v>
      </c>
      <c r="D637" s="37" t="s">
        <v>1719</v>
      </c>
      <c r="E637" s="38" t="b">
        <v>0</v>
      </c>
      <c r="F637" s="27" t="str">
        <f>HYPERLINK("http://nsgreg.nga.mil/genc/view?v=118221&amp;gencs=T&amp;end_month=12&amp;end_day=31&amp;end_year=2014","Ziro")</f>
        <v>Ziro</v>
      </c>
      <c r="G637" s="28" t="str">
        <f>HYPERLINK("http://api.nsgreg.nga.mil/geo-division/GENC/6/ed3/BF-ZIR","as:GENC:6:ed3:BF-ZIR")</f>
        <v>as:GENC:6:ed3:BF-ZIR</v>
      </c>
    </row>
    <row r="638" spans="1:7" x14ac:dyDescent="0.2">
      <c r="A638" s="85"/>
      <c r="B638" s="25" t="s">
        <v>2968</v>
      </c>
      <c r="C638" s="25" t="s">
        <v>2969</v>
      </c>
      <c r="D638" s="37" t="s">
        <v>1719</v>
      </c>
      <c r="E638" s="38" t="b">
        <v>0</v>
      </c>
      <c r="F638" s="27" t="str">
        <f>HYPERLINK("http://nsgreg.nga.mil/genc/view?v=118222&amp;gencs=T&amp;end_month=12&amp;end_day=31&amp;end_year=2014","Zondoma")</f>
        <v>Zondoma</v>
      </c>
      <c r="G638" s="28" t="str">
        <f>HYPERLINK("http://api.nsgreg.nga.mil/geo-division/GENC/6/ed3/BF-ZON","as:GENC:6:ed3:BF-ZON")</f>
        <v>as:GENC:6:ed3:BF-ZON</v>
      </c>
    </row>
    <row r="639" spans="1:7" x14ac:dyDescent="0.2">
      <c r="A639" s="86"/>
      <c r="B639" s="29" t="s">
        <v>2970</v>
      </c>
      <c r="C639" s="29" t="s">
        <v>2971</v>
      </c>
      <c r="D639" s="39" t="s">
        <v>1719</v>
      </c>
      <c r="E639" s="40" t="b">
        <v>0</v>
      </c>
      <c r="F639" s="31" t="str">
        <f>HYPERLINK("http://nsgreg.nga.mil/genc/view?v=118223&amp;gencs=T&amp;end_month=12&amp;end_day=31&amp;end_year=2014","Zoundwéogo")</f>
        <v>Zoundwéogo</v>
      </c>
      <c r="G639" s="32" t="str">
        <f>HYPERLINK("http://api.nsgreg.nga.mil/geo-division/GENC/6/ed3/BF-ZOU","as:GENC:6:ed3:BF-ZOU")</f>
        <v>as:GENC:6:ed3:BF-ZOU</v>
      </c>
    </row>
    <row r="640" spans="1:7" x14ac:dyDescent="0.2">
      <c r="A640" s="84" t="str">
        <f>HYPERLINK("[#]Codes_for_GE_Names!A43:I43","BURMA")</f>
        <v>BURMA</v>
      </c>
      <c r="B640" s="33" t="s">
        <v>7562</v>
      </c>
      <c r="C640" s="33" t="s">
        <v>12142</v>
      </c>
      <c r="D640" s="33" t="s">
        <v>2087</v>
      </c>
      <c r="E640" s="34" t="b">
        <v>1</v>
      </c>
      <c r="F640" s="35" t="str">
        <f>HYPERLINK("http://nsgreg.nga.mil/genc/view?v=212603&amp;end_month=12&amp;end_day=31&amp;end_year=2014","Ayeyawady")</f>
        <v>Ayeyawady</v>
      </c>
      <c r="G640" s="36" t="str">
        <f>HYPERLINK("http://api.nsgreg.nga.mil/geo-division/GENC/6/ed3/MM-07","as:GENC:6:ed3:MM-07")</f>
        <v>as:GENC:6:ed3:MM-07</v>
      </c>
    </row>
    <row r="641" spans="1:7" x14ac:dyDescent="0.2">
      <c r="A641" s="85"/>
      <c r="B641" s="25" t="s">
        <v>7564</v>
      </c>
      <c r="C641" s="25" t="s">
        <v>7565</v>
      </c>
      <c r="D641" s="25" t="s">
        <v>2087</v>
      </c>
      <c r="E641" s="26" t="b">
        <v>1</v>
      </c>
      <c r="F641" s="27" t="str">
        <f>HYPERLINK("http://nsgreg.nga.mil/genc/view?v=212598&amp;end_month=12&amp;end_day=31&amp;end_year=2014","Bago")</f>
        <v>Bago</v>
      </c>
      <c r="G641" s="28" t="str">
        <f>HYPERLINK("http://api.nsgreg.nga.mil/geo-division/GENC/6/ed3/MM-02","as:GENC:6:ed3:MM-02")</f>
        <v>as:GENC:6:ed3:MM-02</v>
      </c>
    </row>
    <row r="642" spans="1:7" x14ac:dyDescent="0.2">
      <c r="A642" s="85"/>
      <c r="B642" s="25" t="s">
        <v>7566</v>
      </c>
      <c r="C642" s="25" t="s">
        <v>12143</v>
      </c>
      <c r="D642" s="25" t="s">
        <v>2113</v>
      </c>
      <c r="E642" s="26" t="b">
        <v>1</v>
      </c>
      <c r="F642" s="27" t="str">
        <f>HYPERLINK("http://nsgreg.nga.mil/genc/view?v=212607&amp;end_month=12&amp;end_day=31&amp;end_year=2014","Chin State")</f>
        <v>Chin State</v>
      </c>
      <c r="G642" s="28" t="str">
        <f>HYPERLINK("http://api.nsgreg.nga.mil/geo-division/GENC/6/ed3/MM-14","as:GENC:6:ed3:MM-14")</f>
        <v>as:GENC:6:ed3:MM-14</v>
      </c>
    </row>
    <row r="643" spans="1:7" x14ac:dyDescent="0.2">
      <c r="A643" s="85"/>
      <c r="B643" s="25" t="s">
        <v>7568</v>
      </c>
      <c r="C643" s="25" t="s">
        <v>12144</v>
      </c>
      <c r="D643" s="25" t="s">
        <v>2113</v>
      </c>
      <c r="E643" s="26" t="b">
        <v>1</v>
      </c>
      <c r="F643" s="27" t="str">
        <f>HYPERLINK("http://nsgreg.nga.mil/genc/view?v=212604&amp;end_month=12&amp;end_day=31&amp;end_year=2014","Kachin State")</f>
        <v>Kachin State</v>
      </c>
      <c r="G643" s="28" t="str">
        <f>HYPERLINK("http://api.nsgreg.nga.mil/geo-division/GENC/6/ed3/MM-11","as:GENC:6:ed3:MM-11")</f>
        <v>as:GENC:6:ed3:MM-11</v>
      </c>
    </row>
    <row r="644" spans="1:7" x14ac:dyDescent="0.2">
      <c r="A644" s="85"/>
      <c r="B644" s="25" t="s">
        <v>7570</v>
      </c>
      <c r="C644" s="25" t="s">
        <v>12145</v>
      </c>
      <c r="D644" s="25" t="s">
        <v>2113</v>
      </c>
      <c r="E644" s="26" t="b">
        <v>1</v>
      </c>
      <c r="F644" s="27" t="str">
        <f>HYPERLINK("http://nsgreg.nga.mil/genc/view?v=212605&amp;end_month=12&amp;end_day=31&amp;end_year=2014","Kayah State")</f>
        <v>Kayah State</v>
      </c>
      <c r="G644" s="28" t="str">
        <f>HYPERLINK("http://api.nsgreg.nga.mil/geo-division/GENC/6/ed3/MM-12","as:GENC:6:ed3:MM-12")</f>
        <v>as:GENC:6:ed3:MM-12</v>
      </c>
    </row>
    <row r="645" spans="1:7" x14ac:dyDescent="0.2">
      <c r="A645" s="85"/>
      <c r="B645" s="25" t="s">
        <v>7572</v>
      </c>
      <c r="C645" s="25" t="s">
        <v>12146</v>
      </c>
      <c r="D645" s="25" t="s">
        <v>2113</v>
      </c>
      <c r="E645" s="26" t="b">
        <v>1</v>
      </c>
      <c r="F645" s="27" t="str">
        <f>HYPERLINK("http://nsgreg.nga.mil/genc/view?v=212606&amp;end_month=12&amp;end_day=31&amp;end_year=2014","Kayin State")</f>
        <v>Kayin State</v>
      </c>
      <c r="G645" s="28" t="str">
        <f>HYPERLINK("http://api.nsgreg.nga.mil/geo-division/GENC/6/ed3/MM-13","as:GENC:6:ed3:MM-13")</f>
        <v>as:GENC:6:ed3:MM-13</v>
      </c>
    </row>
    <row r="646" spans="1:7" x14ac:dyDescent="0.2">
      <c r="A646" s="85"/>
      <c r="B646" s="25" t="s">
        <v>7574</v>
      </c>
      <c r="C646" s="25" t="s">
        <v>7575</v>
      </c>
      <c r="D646" s="25" t="s">
        <v>2087</v>
      </c>
      <c r="E646" s="26" t="b">
        <v>1</v>
      </c>
      <c r="F646" s="27" t="str">
        <f>HYPERLINK("http://nsgreg.nga.mil/genc/view?v=212599&amp;end_month=12&amp;end_day=31&amp;end_year=2014","Magway")</f>
        <v>Magway</v>
      </c>
      <c r="G646" s="28" t="str">
        <f>HYPERLINK("http://api.nsgreg.nga.mil/geo-division/GENC/6/ed3/MM-03","as:GENC:6:ed3:MM-03")</f>
        <v>as:GENC:6:ed3:MM-03</v>
      </c>
    </row>
    <row r="647" spans="1:7" x14ac:dyDescent="0.2">
      <c r="A647" s="85"/>
      <c r="B647" s="25" t="s">
        <v>7576</v>
      </c>
      <c r="C647" s="25" t="s">
        <v>7577</v>
      </c>
      <c r="D647" s="25" t="s">
        <v>2087</v>
      </c>
      <c r="E647" s="26" t="b">
        <v>1</v>
      </c>
      <c r="F647" s="27" t="str">
        <f>HYPERLINK("http://nsgreg.nga.mil/genc/view?v=212600&amp;end_month=12&amp;end_day=31&amp;end_year=2014","Mandalay")</f>
        <v>Mandalay</v>
      </c>
      <c r="G647" s="28" t="str">
        <f>HYPERLINK("http://api.nsgreg.nga.mil/geo-division/GENC/6/ed3/MM-04","as:GENC:6:ed3:MM-04")</f>
        <v>as:GENC:6:ed3:MM-04</v>
      </c>
    </row>
    <row r="648" spans="1:7" x14ac:dyDescent="0.2">
      <c r="A648" s="85"/>
      <c r="B648" s="25" t="s">
        <v>7578</v>
      </c>
      <c r="C648" s="25" t="s">
        <v>12147</v>
      </c>
      <c r="D648" s="25" t="s">
        <v>2113</v>
      </c>
      <c r="E648" s="26" t="b">
        <v>1</v>
      </c>
      <c r="F648" s="27" t="str">
        <f>HYPERLINK("http://nsgreg.nga.mil/genc/view?v=212608&amp;end_month=12&amp;end_day=31&amp;end_year=2014","Mon State")</f>
        <v>Mon State</v>
      </c>
      <c r="G648" s="28" t="str">
        <f>HYPERLINK("http://api.nsgreg.nga.mil/geo-division/GENC/6/ed3/MM-15","as:GENC:6:ed3:MM-15")</f>
        <v>as:GENC:6:ed3:MM-15</v>
      </c>
    </row>
    <row r="649" spans="1:7" x14ac:dyDescent="0.2">
      <c r="A649" s="85"/>
      <c r="B649" s="25" t="s">
        <v>12148</v>
      </c>
      <c r="C649" s="25" t="s">
        <v>12149</v>
      </c>
      <c r="D649" s="25" t="s">
        <v>12150</v>
      </c>
      <c r="E649" s="26" t="b">
        <v>1</v>
      </c>
      <c r="F649" s="27" t="str">
        <f>HYPERLINK("http://nsgreg.nga.mil/genc/view?v=212611&amp;end_month=12&amp;end_day=31&amp;end_year=2014","Nay Pyi Taw")</f>
        <v>Nay Pyi Taw</v>
      </c>
      <c r="G649" s="28" t="str">
        <f>HYPERLINK("http://api.nsgreg.nga.mil/geo-division/GENC/6/ed3/MM-18","as:GENC:6:ed3:MM-18")</f>
        <v>as:GENC:6:ed3:MM-18</v>
      </c>
    </row>
    <row r="650" spans="1:7" x14ac:dyDescent="0.2">
      <c r="A650" s="85"/>
      <c r="B650" s="25" t="s">
        <v>7580</v>
      </c>
      <c r="C650" s="25" t="s">
        <v>12151</v>
      </c>
      <c r="D650" s="25" t="s">
        <v>2113</v>
      </c>
      <c r="E650" s="26" t="b">
        <v>1</v>
      </c>
      <c r="F650" s="27" t="str">
        <f>HYPERLINK("http://nsgreg.nga.mil/genc/view?v=212609&amp;end_month=12&amp;end_day=31&amp;end_year=2014","Rakhine State")</f>
        <v>Rakhine State</v>
      </c>
      <c r="G650" s="28" t="str">
        <f>HYPERLINK("http://api.nsgreg.nga.mil/geo-division/GENC/6/ed3/MM-16","as:GENC:6:ed3:MM-16")</f>
        <v>as:GENC:6:ed3:MM-16</v>
      </c>
    </row>
    <row r="651" spans="1:7" x14ac:dyDescent="0.2">
      <c r="A651" s="85"/>
      <c r="B651" s="25" t="s">
        <v>7582</v>
      </c>
      <c r="C651" s="25" t="s">
        <v>7583</v>
      </c>
      <c r="D651" s="25" t="s">
        <v>2087</v>
      </c>
      <c r="E651" s="26" t="b">
        <v>1</v>
      </c>
      <c r="F651" s="27" t="str">
        <f>HYPERLINK("http://nsgreg.nga.mil/genc/view?v=212597&amp;end_month=12&amp;end_day=31&amp;end_year=2014","Sagaing")</f>
        <v>Sagaing</v>
      </c>
      <c r="G651" s="28" t="str">
        <f>HYPERLINK("http://api.nsgreg.nga.mil/geo-division/GENC/6/ed3/MM-01","as:GENC:6:ed3:MM-01")</f>
        <v>as:GENC:6:ed3:MM-01</v>
      </c>
    </row>
    <row r="652" spans="1:7" x14ac:dyDescent="0.2">
      <c r="A652" s="85"/>
      <c r="B652" s="25" t="s">
        <v>7584</v>
      </c>
      <c r="C652" s="25" t="s">
        <v>12152</v>
      </c>
      <c r="D652" s="25" t="s">
        <v>2113</v>
      </c>
      <c r="E652" s="26" t="b">
        <v>1</v>
      </c>
      <c r="F652" s="27" t="str">
        <f>HYPERLINK("http://nsgreg.nga.mil/genc/view?v=212610&amp;end_month=12&amp;end_day=31&amp;end_year=2014","Shan State")</f>
        <v>Shan State</v>
      </c>
      <c r="G652" s="28" t="str">
        <f>HYPERLINK("http://api.nsgreg.nga.mil/geo-division/GENC/6/ed3/MM-17","as:GENC:6:ed3:MM-17")</f>
        <v>as:GENC:6:ed3:MM-17</v>
      </c>
    </row>
    <row r="653" spans="1:7" x14ac:dyDescent="0.2">
      <c r="A653" s="85"/>
      <c r="B653" s="25" t="s">
        <v>7586</v>
      </c>
      <c r="C653" s="25" t="s">
        <v>12153</v>
      </c>
      <c r="D653" s="25" t="s">
        <v>2087</v>
      </c>
      <c r="E653" s="26" t="b">
        <v>1</v>
      </c>
      <c r="F653" s="27" t="str">
        <f>HYPERLINK("http://nsgreg.nga.mil/genc/view?v=212601&amp;end_month=12&amp;end_day=31&amp;end_year=2014","Taninthayi")</f>
        <v>Taninthayi</v>
      </c>
      <c r="G653" s="28" t="str">
        <f>HYPERLINK("http://api.nsgreg.nga.mil/geo-division/GENC/6/ed3/MM-05","as:GENC:6:ed3:MM-05")</f>
        <v>as:GENC:6:ed3:MM-05</v>
      </c>
    </row>
    <row r="654" spans="1:7" x14ac:dyDescent="0.2">
      <c r="A654" s="86"/>
      <c r="B654" s="29" t="s">
        <v>7588</v>
      </c>
      <c r="C654" s="29" t="s">
        <v>7589</v>
      </c>
      <c r="D654" s="29" t="s">
        <v>2087</v>
      </c>
      <c r="E654" s="30" t="b">
        <v>1</v>
      </c>
      <c r="F654" s="31" t="str">
        <f>HYPERLINK("http://nsgreg.nga.mil/genc/view?v=212602&amp;end_month=12&amp;end_day=31&amp;end_year=2014","Yangon")</f>
        <v>Yangon</v>
      </c>
      <c r="G654" s="32" t="str">
        <f>HYPERLINK("http://api.nsgreg.nga.mil/geo-division/GENC/6/ed3/MM-06","as:GENC:6:ed3:MM-06")</f>
        <v>as:GENC:6:ed3:MM-06</v>
      </c>
    </row>
    <row r="655" spans="1:7" x14ac:dyDescent="0.2">
      <c r="A655" s="84" t="str">
        <f>HYPERLINK("[#]Codes_for_GE_Names!A44:I44","BURUNDI")</f>
        <v>BURUNDI</v>
      </c>
      <c r="B655" s="33" t="s">
        <v>2972</v>
      </c>
      <c r="C655" s="33" t="s">
        <v>2973</v>
      </c>
      <c r="D655" s="33" t="s">
        <v>1719</v>
      </c>
      <c r="E655" s="34" t="b">
        <v>1</v>
      </c>
      <c r="F655" s="35" t="str">
        <f>HYPERLINK("http://nsgreg.nga.mil/genc/view?v=211372&amp;end_month=12&amp;end_day=31&amp;end_year=2014","Bubanza")</f>
        <v>Bubanza</v>
      </c>
      <c r="G655" s="36" t="str">
        <f>HYPERLINK("http://api.nsgreg.nga.mil/geo-division/GENC/6/ed3/BI-BB","as:GENC:6:ed3:BI-BB")</f>
        <v>as:GENC:6:ed3:BI-BB</v>
      </c>
    </row>
    <row r="656" spans="1:7" x14ac:dyDescent="0.2">
      <c r="A656" s="85"/>
      <c r="B656" s="25" t="s">
        <v>2974</v>
      </c>
      <c r="C656" s="25" t="s">
        <v>2975</v>
      </c>
      <c r="D656" s="25" t="s">
        <v>1719</v>
      </c>
      <c r="E656" s="26" t="b">
        <v>1</v>
      </c>
      <c r="F656" s="27" t="str">
        <f>HYPERLINK("http://nsgreg.nga.mil/genc/view?v=211374&amp;end_month=12&amp;end_day=31&amp;end_year=2014","Bujumbura Mairie")</f>
        <v>Bujumbura Mairie</v>
      </c>
      <c r="G656" s="28" t="str">
        <f>HYPERLINK("http://api.nsgreg.nga.mil/geo-division/GENC/6/ed3/BI-BM","as:GENC:6:ed3:BI-BM")</f>
        <v>as:GENC:6:ed3:BI-BM</v>
      </c>
    </row>
    <row r="657" spans="1:7" x14ac:dyDescent="0.2">
      <c r="A657" s="85"/>
      <c r="B657" s="25" t="s">
        <v>2976</v>
      </c>
      <c r="C657" s="25" t="s">
        <v>2977</v>
      </c>
      <c r="D657" s="25" t="s">
        <v>1719</v>
      </c>
      <c r="E657" s="26" t="b">
        <v>1</v>
      </c>
      <c r="F657" s="27" t="str">
        <f>HYPERLINK("http://nsgreg.nga.mil/genc/view?v=211373&amp;end_month=12&amp;end_day=31&amp;end_year=2014","Bujumbura Rural")</f>
        <v>Bujumbura Rural</v>
      </c>
      <c r="G657" s="28" t="str">
        <f>HYPERLINK("http://api.nsgreg.nga.mil/geo-division/GENC/6/ed3/BI-BL","as:GENC:6:ed3:BI-BL")</f>
        <v>as:GENC:6:ed3:BI-BL</v>
      </c>
    </row>
    <row r="658" spans="1:7" x14ac:dyDescent="0.2">
      <c r="A658" s="85"/>
      <c r="B658" s="25" t="s">
        <v>2978</v>
      </c>
      <c r="C658" s="25" t="s">
        <v>2979</v>
      </c>
      <c r="D658" s="25" t="s">
        <v>1719</v>
      </c>
      <c r="E658" s="26" t="b">
        <v>1</v>
      </c>
      <c r="F658" s="27" t="str">
        <f>HYPERLINK("http://nsgreg.nga.mil/genc/view?v=211375&amp;end_month=12&amp;end_day=31&amp;end_year=2014","Bururi")</f>
        <v>Bururi</v>
      </c>
      <c r="G658" s="28" t="str">
        <f>HYPERLINK("http://api.nsgreg.nga.mil/geo-division/GENC/6/ed3/BI-BR","as:GENC:6:ed3:BI-BR")</f>
        <v>as:GENC:6:ed3:BI-BR</v>
      </c>
    </row>
    <row r="659" spans="1:7" x14ac:dyDescent="0.2">
      <c r="A659" s="85"/>
      <c r="B659" s="25" t="s">
        <v>2980</v>
      </c>
      <c r="C659" s="25" t="s">
        <v>2981</v>
      </c>
      <c r="D659" s="25" t="s">
        <v>1719</v>
      </c>
      <c r="E659" s="26" t="b">
        <v>1</v>
      </c>
      <c r="F659" s="27" t="str">
        <f>HYPERLINK("http://nsgreg.nga.mil/genc/view?v=211376&amp;end_month=12&amp;end_day=31&amp;end_year=2014","Cankuzo")</f>
        <v>Cankuzo</v>
      </c>
      <c r="G659" s="28" t="str">
        <f>HYPERLINK("http://api.nsgreg.nga.mil/geo-division/GENC/6/ed3/BI-CA","as:GENC:6:ed3:BI-CA")</f>
        <v>as:GENC:6:ed3:BI-CA</v>
      </c>
    </row>
    <row r="660" spans="1:7" x14ac:dyDescent="0.2">
      <c r="A660" s="85"/>
      <c r="B660" s="25" t="s">
        <v>2982</v>
      </c>
      <c r="C660" s="25" t="s">
        <v>2983</v>
      </c>
      <c r="D660" s="25" t="s">
        <v>1719</v>
      </c>
      <c r="E660" s="26" t="b">
        <v>1</v>
      </c>
      <c r="F660" s="27" t="str">
        <f>HYPERLINK("http://nsgreg.nga.mil/genc/view?v=211377&amp;end_month=12&amp;end_day=31&amp;end_year=2014","Cibitoke")</f>
        <v>Cibitoke</v>
      </c>
      <c r="G660" s="28" t="str">
        <f>HYPERLINK("http://api.nsgreg.nga.mil/geo-division/GENC/6/ed3/BI-CI","as:GENC:6:ed3:BI-CI")</f>
        <v>as:GENC:6:ed3:BI-CI</v>
      </c>
    </row>
    <row r="661" spans="1:7" x14ac:dyDescent="0.2">
      <c r="A661" s="85"/>
      <c r="B661" s="25" t="s">
        <v>2984</v>
      </c>
      <c r="C661" s="25" t="s">
        <v>2985</v>
      </c>
      <c r="D661" s="25" t="s">
        <v>1719</v>
      </c>
      <c r="E661" s="26" t="b">
        <v>1</v>
      </c>
      <c r="F661" s="27" t="str">
        <f>HYPERLINK("http://nsgreg.nga.mil/genc/view?v=211378&amp;end_month=12&amp;end_day=31&amp;end_year=2014","Gitega")</f>
        <v>Gitega</v>
      </c>
      <c r="G661" s="28" t="str">
        <f>HYPERLINK("http://api.nsgreg.nga.mil/geo-division/GENC/6/ed3/BI-GI","as:GENC:6:ed3:BI-GI")</f>
        <v>as:GENC:6:ed3:BI-GI</v>
      </c>
    </row>
    <row r="662" spans="1:7" x14ac:dyDescent="0.2">
      <c r="A662" s="85"/>
      <c r="B662" s="25" t="s">
        <v>2986</v>
      </c>
      <c r="C662" s="25" t="s">
        <v>2987</v>
      </c>
      <c r="D662" s="25" t="s">
        <v>1719</v>
      </c>
      <c r="E662" s="26" t="b">
        <v>1</v>
      </c>
      <c r="F662" s="27" t="str">
        <f>HYPERLINK("http://nsgreg.nga.mil/genc/view?v=211380&amp;end_month=12&amp;end_day=31&amp;end_year=2014","Karuzi")</f>
        <v>Karuzi</v>
      </c>
      <c r="G662" s="28" t="str">
        <f>HYPERLINK("http://api.nsgreg.nga.mil/geo-division/GENC/6/ed3/BI-KR","as:GENC:6:ed3:BI-KR")</f>
        <v>as:GENC:6:ed3:BI-KR</v>
      </c>
    </row>
    <row r="663" spans="1:7" x14ac:dyDescent="0.2">
      <c r="A663" s="85"/>
      <c r="B663" s="25" t="s">
        <v>2988</v>
      </c>
      <c r="C663" s="25" t="s">
        <v>2989</v>
      </c>
      <c r="D663" s="25" t="s">
        <v>1719</v>
      </c>
      <c r="E663" s="26" t="b">
        <v>1</v>
      </c>
      <c r="F663" s="27" t="str">
        <f>HYPERLINK("http://nsgreg.nga.mil/genc/view?v=211381&amp;end_month=12&amp;end_day=31&amp;end_year=2014","Kayanza")</f>
        <v>Kayanza</v>
      </c>
      <c r="G663" s="28" t="str">
        <f>HYPERLINK("http://api.nsgreg.nga.mil/geo-division/GENC/6/ed3/BI-KY","as:GENC:6:ed3:BI-KY")</f>
        <v>as:GENC:6:ed3:BI-KY</v>
      </c>
    </row>
    <row r="664" spans="1:7" x14ac:dyDescent="0.2">
      <c r="A664" s="85"/>
      <c r="B664" s="25" t="s">
        <v>2990</v>
      </c>
      <c r="C664" s="25" t="s">
        <v>2991</v>
      </c>
      <c r="D664" s="25" t="s">
        <v>1719</v>
      </c>
      <c r="E664" s="26" t="b">
        <v>1</v>
      </c>
      <c r="F664" s="27" t="str">
        <f>HYPERLINK("http://nsgreg.nga.mil/genc/view?v=211379&amp;end_month=12&amp;end_day=31&amp;end_year=2014","Kirundo")</f>
        <v>Kirundo</v>
      </c>
      <c r="G664" s="28" t="str">
        <f>HYPERLINK("http://api.nsgreg.nga.mil/geo-division/GENC/6/ed3/BI-KI","as:GENC:6:ed3:BI-KI")</f>
        <v>as:GENC:6:ed3:BI-KI</v>
      </c>
    </row>
    <row r="665" spans="1:7" x14ac:dyDescent="0.2">
      <c r="A665" s="85"/>
      <c r="B665" s="25" t="s">
        <v>2992</v>
      </c>
      <c r="C665" s="25" t="s">
        <v>2993</v>
      </c>
      <c r="D665" s="25" t="s">
        <v>1719</v>
      </c>
      <c r="E665" s="26" t="b">
        <v>1</v>
      </c>
      <c r="F665" s="27" t="str">
        <f>HYPERLINK("http://nsgreg.nga.mil/genc/view?v=211382&amp;end_month=12&amp;end_day=31&amp;end_year=2014","Makamba")</f>
        <v>Makamba</v>
      </c>
      <c r="G665" s="28" t="str">
        <f>HYPERLINK("http://api.nsgreg.nga.mil/geo-division/GENC/6/ed3/BI-MA","as:GENC:6:ed3:BI-MA")</f>
        <v>as:GENC:6:ed3:BI-MA</v>
      </c>
    </row>
    <row r="666" spans="1:7" x14ac:dyDescent="0.2">
      <c r="A666" s="85"/>
      <c r="B666" s="25" t="s">
        <v>2994</v>
      </c>
      <c r="C666" s="25" t="s">
        <v>2995</v>
      </c>
      <c r="D666" s="25" t="s">
        <v>1719</v>
      </c>
      <c r="E666" s="26" t="b">
        <v>1</v>
      </c>
      <c r="F666" s="27" t="str">
        <f>HYPERLINK("http://nsgreg.nga.mil/genc/view?v=211383&amp;end_month=12&amp;end_day=31&amp;end_year=2014","Muramvya")</f>
        <v>Muramvya</v>
      </c>
      <c r="G666" s="28" t="str">
        <f>HYPERLINK("http://api.nsgreg.nga.mil/geo-division/GENC/6/ed3/BI-MU","as:GENC:6:ed3:BI-MU")</f>
        <v>as:GENC:6:ed3:BI-MU</v>
      </c>
    </row>
    <row r="667" spans="1:7" x14ac:dyDescent="0.2">
      <c r="A667" s="85"/>
      <c r="B667" s="25" t="s">
        <v>2996</v>
      </c>
      <c r="C667" s="25" t="s">
        <v>2997</v>
      </c>
      <c r="D667" s="25" t="s">
        <v>1719</v>
      </c>
      <c r="E667" s="26" t="b">
        <v>1</v>
      </c>
      <c r="F667" s="27" t="str">
        <f>HYPERLINK("http://nsgreg.nga.mil/genc/view?v=211385&amp;end_month=12&amp;end_day=31&amp;end_year=2014","Muyinga")</f>
        <v>Muyinga</v>
      </c>
      <c r="G667" s="28" t="str">
        <f>HYPERLINK("http://api.nsgreg.nga.mil/geo-division/GENC/6/ed3/BI-MY","as:GENC:6:ed3:BI-MY")</f>
        <v>as:GENC:6:ed3:BI-MY</v>
      </c>
    </row>
    <row r="668" spans="1:7" x14ac:dyDescent="0.2">
      <c r="A668" s="85"/>
      <c r="B668" s="25" t="s">
        <v>2998</v>
      </c>
      <c r="C668" s="25" t="s">
        <v>2999</v>
      </c>
      <c r="D668" s="25" t="s">
        <v>1719</v>
      </c>
      <c r="E668" s="26" t="b">
        <v>1</v>
      </c>
      <c r="F668" s="27" t="str">
        <f>HYPERLINK("http://nsgreg.nga.mil/genc/view?v=211384&amp;end_month=12&amp;end_day=31&amp;end_year=2014","Mwaro")</f>
        <v>Mwaro</v>
      </c>
      <c r="G668" s="28" t="str">
        <f>HYPERLINK("http://api.nsgreg.nga.mil/geo-division/GENC/6/ed3/BI-MW","as:GENC:6:ed3:BI-MW")</f>
        <v>as:GENC:6:ed3:BI-MW</v>
      </c>
    </row>
    <row r="669" spans="1:7" x14ac:dyDescent="0.2">
      <c r="A669" s="85"/>
      <c r="B669" s="25" t="s">
        <v>3000</v>
      </c>
      <c r="C669" s="25" t="s">
        <v>3001</v>
      </c>
      <c r="D669" s="25" t="s">
        <v>1719</v>
      </c>
      <c r="E669" s="26" t="b">
        <v>1</v>
      </c>
      <c r="F669" s="27" t="str">
        <f>HYPERLINK("http://nsgreg.nga.mil/genc/view?v=211386&amp;end_month=12&amp;end_day=31&amp;end_year=2014","Ngozi")</f>
        <v>Ngozi</v>
      </c>
      <c r="G669" s="28" t="str">
        <f>HYPERLINK("http://api.nsgreg.nga.mil/geo-division/GENC/6/ed3/BI-NG","as:GENC:6:ed3:BI-NG")</f>
        <v>as:GENC:6:ed3:BI-NG</v>
      </c>
    </row>
    <row r="670" spans="1:7" x14ac:dyDescent="0.2">
      <c r="A670" s="85"/>
      <c r="B670" s="25" t="s">
        <v>3002</v>
      </c>
      <c r="C670" s="25" t="s">
        <v>3003</v>
      </c>
      <c r="D670" s="25" t="s">
        <v>1719</v>
      </c>
      <c r="E670" s="26" t="b">
        <v>1</v>
      </c>
      <c r="F670" s="27" t="str">
        <f>HYPERLINK("http://nsgreg.nga.mil/genc/view?v=211387&amp;end_month=12&amp;end_day=31&amp;end_year=2014","Rutana")</f>
        <v>Rutana</v>
      </c>
      <c r="G670" s="28" t="str">
        <f>HYPERLINK("http://api.nsgreg.nga.mil/geo-division/GENC/6/ed3/BI-RT","as:GENC:6:ed3:BI-RT")</f>
        <v>as:GENC:6:ed3:BI-RT</v>
      </c>
    </row>
    <row r="671" spans="1:7" x14ac:dyDescent="0.2">
      <c r="A671" s="86"/>
      <c r="B671" s="29" t="s">
        <v>3004</v>
      </c>
      <c r="C671" s="29" t="s">
        <v>3005</v>
      </c>
      <c r="D671" s="29" t="s">
        <v>1719</v>
      </c>
      <c r="E671" s="30" t="b">
        <v>1</v>
      </c>
      <c r="F671" s="31" t="str">
        <f>HYPERLINK("http://nsgreg.nga.mil/genc/view?v=211388&amp;end_month=12&amp;end_day=31&amp;end_year=2014","Ruyigi")</f>
        <v>Ruyigi</v>
      </c>
      <c r="G671" s="32" t="str">
        <f>HYPERLINK("http://api.nsgreg.nga.mil/geo-division/GENC/6/ed3/BI-RY","as:GENC:6:ed3:BI-RY")</f>
        <v>as:GENC:6:ed3:BI-RY</v>
      </c>
    </row>
    <row r="672" spans="1:7" x14ac:dyDescent="0.2">
      <c r="A672" s="84" t="str">
        <f>HYPERLINK("[#]Codes_for_GE_Names!A45:I45","CABO VERDE")</f>
        <v>CABO VERDE</v>
      </c>
      <c r="B672" s="33" t="s">
        <v>3111</v>
      </c>
      <c r="C672" s="33" t="s">
        <v>3112</v>
      </c>
      <c r="D672" s="33" t="s">
        <v>2164</v>
      </c>
      <c r="E672" s="34" t="b">
        <v>1</v>
      </c>
      <c r="F672" s="35" t="str">
        <f>HYPERLINK("http://nsgreg.nga.mil/genc/view?v=118624&amp;gencs=T&amp;end_month=12&amp;end_day=31&amp;end_year=2014","Boa Vista")</f>
        <v>Boa Vista</v>
      </c>
      <c r="G672" s="36" t="str">
        <f>HYPERLINK("http://api.nsgreg.nga.mil/geo-division/GENC/6/ed3/CV-BV","as:GENC:6:ed3:CV-BV")</f>
        <v>as:GENC:6:ed3:CV-BV</v>
      </c>
    </row>
    <row r="673" spans="1:7" x14ac:dyDescent="0.2">
      <c r="A673" s="85"/>
      <c r="B673" s="25" t="s">
        <v>3113</v>
      </c>
      <c r="C673" s="25" t="s">
        <v>3114</v>
      </c>
      <c r="D673" s="25" t="s">
        <v>2164</v>
      </c>
      <c r="E673" s="26" t="b">
        <v>1</v>
      </c>
      <c r="F673" s="27" t="str">
        <f>HYPERLINK("http://nsgreg.nga.mil/genc/view?v=118623&amp;gencs=T&amp;end_month=12&amp;end_day=31&amp;end_year=2014","Brava")</f>
        <v>Brava</v>
      </c>
      <c r="G673" s="28" t="str">
        <f>HYPERLINK("http://api.nsgreg.nga.mil/geo-division/GENC/6/ed3/CV-BR","as:GENC:6:ed3:CV-BR")</f>
        <v>as:GENC:6:ed3:CV-BR</v>
      </c>
    </row>
    <row r="674" spans="1:7" x14ac:dyDescent="0.2">
      <c r="A674" s="85"/>
      <c r="B674" s="25" t="s">
        <v>3115</v>
      </c>
      <c r="C674" s="25" t="s">
        <v>3116</v>
      </c>
      <c r="D674" s="37" t="s">
        <v>3117</v>
      </c>
      <c r="E674" s="38" t="b">
        <v>0</v>
      </c>
      <c r="F674" s="27" t="str">
        <f>HYPERLINK("http://nsgreg.nga.mil/genc/view?v=118622&amp;gencs=T&amp;end_month=12&amp;end_day=31&amp;end_year=2014","Ilhas de Barlavento")</f>
        <v>Ilhas de Barlavento</v>
      </c>
      <c r="G674" s="28" t="str">
        <f>HYPERLINK("http://api.nsgreg.nga.mil/geo-division/GENC/6/ed3/CV-B","as:GENC:6:ed3:CV-B")</f>
        <v>as:GENC:6:ed3:CV-B</v>
      </c>
    </row>
    <row r="675" spans="1:7" x14ac:dyDescent="0.2">
      <c r="A675" s="85"/>
      <c r="B675" s="25" t="s">
        <v>3118</v>
      </c>
      <c r="C675" s="25" t="s">
        <v>3119</v>
      </c>
      <c r="D675" s="37" t="s">
        <v>3117</v>
      </c>
      <c r="E675" s="38" t="b">
        <v>0</v>
      </c>
      <c r="F675" s="27" t="str">
        <f>HYPERLINK("http://nsgreg.nga.mil/genc/view?v=118636&amp;gencs=T&amp;end_month=12&amp;end_day=31&amp;end_year=2014","Ilhas de Sotavento")</f>
        <v>Ilhas de Sotavento</v>
      </c>
      <c r="G675" s="28" t="str">
        <f>HYPERLINK("http://api.nsgreg.nga.mil/geo-division/GENC/6/ed3/CV-S","as:GENC:6:ed3:CV-S")</f>
        <v>as:GENC:6:ed3:CV-S</v>
      </c>
    </row>
    <row r="676" spans="1:7" x14ac:dyDescent="0.2">
      <c r="A676" s="85"/>
      <c r="B676" s="25" t="s">
        <v>3120</v>
      </c>
      <c r="C676" s="25" t="s">
        <v>3121</v>
      </c>
      <c r="D676" s="25" t="s">
        <v>2164</v>
      </c>
      <c r="E676" s="26" t="b">
        <v>1</v>
      </c>
      <c r="F676" s="27" t="str">
        <f>HYPERLINK("http://nsgreg.nga.mil/genc/view?v=118628&amp;gencs=T&amp;end_month=12&amp;end_day=31&amp;end_year=2014","Maio")</f>
        <v>Maio</v>
      </c>
      <c r="G676" s="28" t="str">
        <f>HYPERLINK("http://api.nsgreg.nga.mil/geo-division/GENC/6/ed3/CV-MA","as:GENC:6:ed3:CV-MA")</f>
        <v>as:GENC:6:ed3:CV-MA</v>
      </c>
    </row>
    <row r="677" spans="1:7" x14ac:dyDescent="0.2">
      <c r="A677" s="85"/>
      <c r="B677" s="25" t="s">
        <v>3122</v>
      </c>
      <c r="C677" s="25" t="s">
        <v>3123</v>
      </c>
      <c r="D677" s="25" t="s">
        <v>2164</v>
      </c>
      <c r="E677" s="26" t="b">
        <v>1</v>
      </c>
      <c r="F677" s="27" t="str">
        <f>HYPERLINK("http://nsgreg.nga.mil/genc/view?v=118629&amp;gencs=T&amp;end_month=12&amp;end_day=31&amp;end_year=2014","Mosteiros")</f>
        <v>Mosteiros</v>
      </c>
      <c r="G677" s="28" t="str">
        <f>HYPERLINK("http://api.nsgreg.nga.mil/geo-division/GENC/6/ed3/CV-MO","as:GENC:6:ed3:CV-MO")</f>
        <v>as:GENC:6:ed3:CV-MO</v>
      </c>
    </row>
    <row r="678" spans="1:7" x14ac:dyDescent="0.2">
      <c r="A678" s="85"/>
      <c r="B678" s="25" t="s">
        <v>3124</v>
      </c>
      <c r="C678" s="25" t="s">
        <v>3125</v>
      </c>
      <c r="D678" s="25" t="s">
        <v>2164</v>
      </c>
      <c r="E678" s="26" t="b">
        <v>1</v>
      </c>
      <c r="F678" s="27" t="str">
        <f>HYPERLINK("http://nsgreg.nga.mil/genc/view?v=118630&amp;gencs=T&amp;end_month=12&amp;end_day=31&amp;end_year=2014","Paul")</f>
        <v>Paul</v>
      </c>
      <c r="G678" s="28" t="str">
        <f>HYPERLINK("http://api.nsgreg.nga.mil/geo-division/GENC/6/ed3/CV-PA","as:GENC:6:ed3:CV-PA")</f>
        <v>as:GENC:6:ed3:CV-PA</v>
      </c>
    </row>
    <row r="679" spans="1:7" x14ac:dyDescent="0.2">
      <c r="A679" s="85"/>
      <c r="B679" s="25" t="s">
        <v>3126</v>
      </c>
      <c r="C679" s="25" t="s">
        <v>3127</v>
      </c>
      <c r="D679" s="25" t="s">
        <v>2164</v>
      </c>
      <c r="E679" s="26" t="b">
        <v>1</v>
      </c>
      <c r="F679" s="27" t="str">
        <f>HYPERLINK("http://nsgreg.nga.mil/genc/view?v=118631&amp;gencs=T&amp;end_month=12&amp;end_day=31&amp;end_year=2014","Porto Novo")</f>
        <v>Porto Novo</v>
      </c>
      <c r="G679" s="28" t="str">
        <f>HYPERLINK("http://api.nsgreg.nga.mil/geo-division/GENC/6/ed3/CV-PN","as:GENC:6:ed3:CV-PN")</f>
        <v>as:GENC:6:ed3:CV-PN</v>
      </c>
    </row>
    <row r="680" spans="1:7" x14ac:dyDescent="0.2">
      <c r="A680" s="85"/>
      <c r="B680" s="25" t="s">
        <v>3128</v>
      </c>
      <c r="C680" s="25" t="s">
        <v>3129</v>
      </c>
      <c r="D680" s="25" t="s">
        <v>2164</v>
      </c>
      <c r="E680" s="26" t="b">
        <v>1</v>
      </c>
      <c r="F680" s="27" t="str">
        <f>HYPERLINK("http://nsgreg.nga.mil/genc/view?v=118632&amp;gencs=T&amp;end_month=12&amp;end_day=31&amp;end_year=2014","Praia")</f>
        <v>Praia</v>
      </c>
      <c r="G680" s="28" t="str">
        <f>HYPERLINK("http://api.nsgreg.nga.mil/geo-division/GENC/6/ed3/CV-PR","as:GENC:6:ed3:CV-PR")</f>
        <v>as:GENC:6:ed3:CV-PR</v>
      </c>
    </row>
    <row r="681" spans="1:7" x14ac:dyDescent="0.2">
      <c r="A681" s="85"/>
      <c r="B681" s="25" t="s">
        <v>3130</v>
      </c>
      <c r="C681" s="25" t="s">
        <v>3131</v>
      </c>
      <c r="D681" s="25" t="s">
        <v>2164</v>
      </c>
      <c r="E681" s="26" t="b">
        <v>1</v>
      </c>
      <c r="F681" s="27" t="str">
        <f>HYPERLINK("http://nsgreg.nga.mil/genc/view?v=118633&amp;gencs=T&amp;end_month=12&amp;end_day=31&amp;end_year=2014","Ribeira Brava")</f>
        <v>Ribeira Brava</v>
      </c>
      <c r="G681" s="28" t="str">
        <f>HYPERLINK("http://api.nsgreg.nga.mil/geo-division/GENC/6/ed3/CV-RB","as:GENC:6:ed3:CV-RB")</f>
        <v>as:GENC:6:ed3:CV-RB</v>
      </c>
    </row>
    <row r="682" spans="1:7" x14ac:dyDescent="0.2">
      <c r="A682" s="85"/>
      <c r="B682" s="25" t="s">
        <v>3132</v>
      </c>
      <c r="C682" s="25" t="s">
        <v>3133</v>
      </c>
      <c r="D682" s="25" t="s">
        <v>2164</v>
      </c>
      <c r="E682" s="26" t="b">
        <v>1</v>
      </c>
      <c r="F682" s="27" t="str">
        <f>HYPERLINK("http://nsgreg.nga.mil/genc/view?v=118634&amp;gencs=T&amp;end_month=12&amp;end_day=31&amp;end_year=2014","Ribeira Grande")</f>
        <v>Ribeira Grande</v>
      </c>
      <c r="G682" s="28" t="str">
        <f>HYPERLINK("http://api.nsgreg.nga.mil/geo-division/GENC/6/ed3/CV-RG","as:GENC:6:ed3:CV-RG")</f>
        <v>as:GENC:6:ed3:CV-RG</v>
      </c>
    </row>
    <row r="683" spans="1:7" x14ac:dyDescent="0.2">
      <c r="A683" s="85"/>
      <c r="B683" s="25" t="s">
        <v>3134</v>
      </c>
      <c r="C683" s="25" t="s">
        <v>3135</v>
      </c>
      <c r="D683" s="25" t="s">
        <v>2164</v>
      </c>
      <c r="E683" s="26" t="b">
        <v>1</v>
      </c>
      <c r="F683" s="27" t="str">
        <f>HYPERLINK("http://nsgreg.nga.mil/genc/view?v=118635&amp;gencs=T&amp;end_month=12&amp;end_day=31&amp;end_year=2014","Ribeira Grande de Santiago")</f>
        <v>Ribeira Grande de Santiago</v>
      </c>
      <c r="G683" s="28" t="str">
        <f>HYPERLINK("http://api.nsgreg.nga.mil/geo-division/GENC/6/ed3/CV-RS","as:GENC:6:ed3:CV-RS")</f>
        <v>as:GENC:6:ed3:CV-RS</v>
      </c>
    </row>
    <row r="684" spans="1:7" x14ac:dyDescent="0.2">
      <c r="A684" s="85"/>
      <c r="B684" s="25" t="s">
        <v>3136</v>
      </c>
      <c r="C684" s="25" t="s">
        <v>3137</v>
      </c>
      <c r="D684" s="25" t="s">
        <v>2164</v>
      </c>
      <c r="E684" s="26" t="b">
        <v>1</v>
      </c>
      <c r="F684" s="27" t="str">
        <f>HYPERLINK("http://nsgreg.nga.mil/genc/view?v=118639&amp;gencs=T&amp;end_month=12&amp;end_day=31&amp;end_year=2014","Sal")</f>
        <v>Sal</v>
      </c>
      <c r="G684" s="28" t="str">
        <f>HYPERLINK("http://api.nsgreg.nga.mil/geo-division/GENC/6/ed3/CV-SL","as:GENC:6:ed3:CV-SL")</f>
        <v>as:GENC:6:ed3:CV-SL</v>
      </c>
    </row>
    <row r="685" spans="1:7" x14ac:dyDescent="0.2">
      <c r="A685" s="85"/>
      <c r="B685" s="25" t="s">
        <v>3138</v>
      </c>
      <c r="C685" s="25" t="s">
        <v>2785</v>
      </c>
      <c r="D685" s="25" t="s">
        <v>2164</v>
      </c>
      <c r="E685" s="26" t="b">
        <v>1</v>
      </c>
      <c r="F685" s="27" t="str">
        <f>HYPERLINK("http://nsgreg.nga.mil/genc/view?v=118625&amp;gencs=T&amp;end_month=12&amp;end_day=31&amp;end_year=2014","Santa Catarina")</f>
        <v>Santa Catarina</v>
      </c>
      <c r="G685" s="28" t="str">
        <f>HYPERLINK("http://api.nsgreg.nga.mil/geo-division/GENC/6/ed3/CV-CA","as:GENC:6:ed3:CV-CA")</f>
        <v>as:GENC:6:ed3:CV-CA</v>
      </c>
    </row>
    <row r="686" spans="1:7" x14ac:dyDescent="0.2">
      <c r="A686" s="85"/>
      <c r="B686" s="25" t="s">
        <v>3139</v>
      </c>
      <c r="C686" s="25" t="s">
        <v>3140</v>
      </c>
      <c r="D686" s="25" t="s">
        <v>2164</v>
      </c>
      <c r="E686" s="26" t="b">
        <v>1</v>
      </c>
      <c r="F686" s="27" t="str">
        <f>HYPERLINK("http://nsgreg.nga.mil/genc/view?v=118626&amp;gencs=T&amp;end_month=12&amp;end_day=31&amp;end_year=2014","Santa Catarina do Fogo")</f>
        <v>Santa Catarina do Fogo</v>
      </c>
      <c r="G686" s="28" t="str">
        <f>HYPERLINK("http://api.nsgreg.nga.mil/geo-division/GENC/6/ed3/CV-CF","as:GENC:6:ed3:CV-CF")</f>
        <v>as:GENC:6:ed3:CV-CF</v>
      </c>
    </row>
    <row r="687" spans="1:7" x14ac:dyDescent="0.2">
      <c r="A687" s="85"/>
      <c r="B687" s="25" t="s">
        <v>3141</v>
      </c>
      <c r="C687" s="25" t="s">
        <v>2076</v>
      </c>
      <c r="D687" s="25" t="s">
        <v>2164</v>
      </c>
      <c r="E687" s="26" t="b">
        <v>1</v>
      </c>
      <c r="F687" s="27" t="str">
        <f>HYPERLINK("http://nsgreg.nga.mil/genc/view?v=118627&amp;gencs=T&amp;end_month=12&amp;end_day=31&amp;end_year=2014","Santa Cruz")</f>
        <v>Santa Cruz</v>
      </c>
      <c r="G687" s="28" t="str">
        <f>HYPERLINK("http://api.nsgreg.nga.mil/geo-division/GENC/6/ed3/CV-CR","as:GENC:6:ed3:CV-CR")</f>
        <v>as:GENC:6:ed3:CV-CR</v>
      </c>
    </row>
    <row r="688" spans="1:7" x14ac:dyDescent="0.2">
      <c r="A688" s="85"/>
      <c r="B688" s="25" t="s">
        <v>3142</v>
      </c>
      <c r="C688" s="25" t="s">
        <v>3143</v>
      </c>
      <c r="D688" s="25" t="s">
        <v>2164</v>
      </c>
      <c r="E688" s="26" t="b">
        <v>1</v>
      </c>
      <c r="F688" s="27" t="str">
        <f>HYPERLINK("http://nsgreg.nga.mil/genc/view?v=118637&amp;gencs=T&amp;end_month=12&amp;end_day=31&amp;end_year=2014","São Domingos")</f>
        <v>São Domingos</v>
      </c>
      <c r="G688" s="28" t="str">
        <f>HYPERLINK("http://api.nsgreg.nga.mil/geo-division/GENC/6/ed3/CV-SD","as:GENC:6:ed3:CV-SD")</f>
        <v>as:GENC:6:ed3:CV-SD</v>
      </c>
    </row>
    <row r="689" spans="1:7" x14ac:dyDescent="0.2">
      <c r="A689" s="85"/>
      <c r="B689" s="25" t="s">
        <v>3144</v>
      </c>
      <c r="C689" s="25" t="s">
        <v>3145</v>
      </c>
      <c r="D689" s="25" t="s">
        <v>2164</v>
      </c>
      <c r="E689" s="26" t="b">
        <v>1</v>
      </c>
      <c r="F689" s="27" t="str">
        <f>HYPERLINK("http://nsgreg.nga.mil/genc/view?v=118638&amp;gencs=T&amp;end_month=12&amp;end_day=31&amp;end_year=2014","São Filipe")</f>
        <v>São Filipe</v>
      </c>
      <c r="G689" s="28" t="str">
        <f>HYPERLINK("http://api.nsgreg.nga.mil/geo-division/GENC/6/ed3/CV-SF","as:GENC:6:ed3:CV-SF")</f>
        <v>as:GENC:6:ed3:CV-SF</v>
      </c>
    </row>
    <row r="690" spans="1:7" x14ac:dyDescent="0.2">
      <c r="A690" s="85"/>
      <c r="B690" s="25" t="s">
        <v>12154</v>
      </c>
      <c r="C690" s="25" t="s">
        <v>12155</v>
      </c>
      <c r="D690" s="25" t="s">
        <v>2164</v>
      </c>
      <c r="E690" s="26" t="b">
        <v>1</v>
      </c>
      <c r="F690" s="27" t="str">
        <f>HYPERLINK("http://nsgreg.nga.mil/genc/view?v=118641&amp;gencs=T&amp;end_month=12&amp;end_day=31&amp;end_year=2014","São Lourenço dos Órgãos")</f>
        <v>São Lourenço dos Órgãos</v>
      </c>
      <c r="G690" s="28" t="str">
        <f>HYPERLINK("http://api.nsgreg.nga.mil/geo-division/GENC/6/ed3/CV-SO","as:GENC:6:ed3:CV-SO")</f>
        <v>as:GENC:6:ed3:CV-SO</v>
      </c>
    </row>
    <row r="691" spans="1:7" x14ac:dyDescent="0.2">
      <c r="A691" s="85"/>
      <c r="B691" s="25" t="s">
        <v>3146</v>
      </c>
      <c r="C691" s="25" t="s">
        <v>3147</v>
      </c>
      <c r="D691" s="25" t="s">
        <v>2164</v>
      </c>
      <c r="E691" s="26" t="b">
        <v>1</v>
      </c>
      <c r="F691" s="27" t="str">
        <f>HYPERLINK("http://nsgreg.nga.mil/genc/view?v=118640&amp;gencs=T&amp;end_month=12&amp;end_day=31&amp;end_year=2014","São Miguel")</f>
        <v>São Miguel</v>
      </c>
      <c r="G691" s="28" t="str">
        <f>HYPERLINK("http://api.nsgreg.nga.mil/geo-division/GENC/6/ed3/CV-SM","as:GENC:6:ed3:CV-SM")</f>
        <v>as:GENC:6:ed3:CV-SM</v>
      </c>
    </row>
    <row r="692" spans="1:7" x14ac:dyDescent="0.2">
      <c r="A692" s="85"/>
      <c r="B692" s="25" t="s">
        <v>3148</v>
      </c>
      <c r="C692" s="25" t="s">
        <v>3149</v>
      </c>
      <c r="D692" s="25" t="s">
        <v>2164</v>
      </c>
      <c r="E692" s="26" t="b">
        <v>1</v>
      </c>
      <c r="F692" s="27" t="str">
        <f>HYPERLINK("http://nsgreg.nga.mil/genc/view?v=118642&amp;gencs=T&amp;end_month=12&amp;end_day=31&amp;end_year=2014","São Salvador do Mundo")</f>
        <v>São Salvador do Mundo</v>
      </c>
      <c r="G692" s="28" t="str">
        <f>HYPERLINK("http://api.nsgreg.nga.mil/geo-division/GENC/6/ed3/CV-SS","as:GENC:6:ed3:CV-SS")</f>
        <v>as:GENC:6:ed3:CV-SS</v>
      </c>
    </row>
    <row r="693" spans="1:7" x14ac:dyDescent="0.2">
      <c r="A693" s="85"/>
      <c r="B693" s="25" t="s">
        <v>3150</v>
      </c>
      <c r="C693" s="25" t="s">
        <v>3151</v>
      </c>
      <c r="D693" s="25" t="s">
        <v>2164</v>
      </c>
      <c r="E693" s="26" t="b">
        <v>1</v>
      </c>
      <c r="F693" s="27" t="str">
        <f>HYPERLINK("http://nsgreg.nga.mil/genc/view?v=118643&amp;gencs=T&amp;end_month=12&amp;end_day=31&amp;end_year=2014","São Vicente")</f>
        <v>São Vicente</v>
      </c>
      <c r="G693" s="28" t="str">
        <f>HYPERLINK("http://api.nsgreg.nga.mil/geo-division/GENC/6/ed3/CV-SV","as:GENC:6:ed3:CV-SV")</f>
        <v>as:GENC:6:ed3:CV-SV</v>
      </c>
    </row>
    <row r="694" spans="1:7" x14ac:dyDescent="0.2">
      <c r="A694" s="85"/>
      <c r="B694" s="25" t="s">
        <v>3152</v>
      </c>
      <c r="C694" s="25" t="s">
        <v>3153</v>
      </c>
      <c r="D694" s="25" t="s">
        <v>2164</v>
      </c>
      <c r="E694" s="26" t="b">
        <v>1</v>
      </c>
      <c r="F694" s="27" t="str">
        <f>HYPERLINK("http://nsgreg.nga.mil/genc/view?v=118644&amp;gencs=T&amp;end_month=12&amp;end_day=31&amp;end_year=2014","Tarrafal")</f>
        <v>Tarrafal</v>
      </c>
      <c r="G694" s="28" t="str">
        <f>HYPERLINK("http://api.nsgreg.nga.mil/geo-division/GENC/6/ed3/CV-TA","as:GENC:6:ed3:CV-TA")</f>
        <v>as:GENC:6:ed3:CV-TA</v>
      </c>
    </row>
    <row r="695" spans="1:7" x14ac:dyDescent="0.2">
      <c r="A695" s="86"/>
      <c r="B695" s="29" t="s">
        <v>3154</v>
      </c>
      <c r="C695" s="29" t="s">
        <v>3155</v>
      </c>
      <c r="D695" s="29" t="s">
        <v>2164</v>
      </c>
      <c r="E695" s="30" t="b">
        <v>1</v>
      </c>
      <c r="F695" s="31" t="str">
        <f>HYPERLINK("http://nsgreg.nga.mil/genc/view?v=118645&amp;gencs=T&amp;end_month=12&amp;end_day=31&amp;end_year=2014","Tarrafal de São Nicolau")</f>
        <v>Tarrafal de São Nicolau</v>
      </c>
      <c r="G695" s="32" t="str">
        <f>HYPERLINK("http://api.nsgreg.nga.mil/geo-division/GENC/6/ed3/CV-TS","as:GENC:6:ed3:CV-TS")</f>
        <v>as:GENC:6:ed3:CV-TS</v>
      </c>
    </row>
    <row r="696" spans="1:7" x14ac:dyDescent="0.2">
      <c r="A696" s="84" t="str">
        <f>HYPERLINK("[#]Codes_for_GE_Names!A46:I46","CAMBODIA")</f>
        <v>CAMBODIA</v>
      </c>
      <c r="B696" s="33" t="s">
        <v>3008</v>
      </c>
      <c r="C696" s="33" t="s">
        <v>12156</v>
      </c>
      <c r="D696" s="33" t="s">
        <v>1719</v>
      </c>
      <c r="E696" s="34" t="b">
        <v>1</v>
      </c>
      <c r="F696" s="35" t="str">
        <f>HYPERLINK("http://nsgreg.nga.mil/genc/view?v=212116&amp;end_month=12&amp;end_day=31&amp;end_year=2014","Banteay Meanchey")</f>
        <v>Banteay Meanchey</v>
      </c>
      <c r="G696" s="36" t="str">
        <f>HYPERLINK("http://api.nsgreg.nga.mil/geo-division/GENC/6/ed3/KH-1","as:GENC:6:ed3:KH-1")</f>
        <v>as:GENC:6:ed3:KH-1</v>
      </c>
    </row>
    <row r="697" spans="1:7" x14ac:dyDescent="0.2">
      <c r="A697" s="85"/>
      <c r="B697" s="25" t="s">
        <v>3006</v>
      </c>
      <c r="C697" s="25" t="s">
        <v>12157</v>
      </c>
      <c r="D697" s="25" t="s">
        <v>1719</v>
      </c>
      <c r="E697" s="26" t="b">
        <v>1</v>
      </c>
      <c r="F697" s="27" t="str">
        <f>HYPERLINK("http://nsgreg.nga.mil/genc/view?v=212127&amp;end_month=12&amp;end_day=31&amp;end_year=2014","Battambang")</f>
        <v>Battambang</v>
      </c>
      <c r="G697" s="28" t="str">
        <f>HYPERLINK("http://api.nsgreg.nga.mil/geo-division/GENC/6/ed3/KH-2","as:GENC:6:ed3:KH-2")</f>
        <v>as:GENC:6:ed3:KH-2</v>
      </c>
    </row>
    <row r="698" spans="1:7" x14ac:dyDescent="0.2">
      <c r="A698" s="85"/>
      <c r="B698" s="25" t="s">
        <v>3010</v>
      </c>
      <c r="C698" s="25" t="s">
        <v>12158</v>
      </c>
      <c r="D698" s="25" t="s">
        <v>1719</v>
      </c>
      <c r="E698" s="26" t="b">
        <v>1</v>
      </c>
      <c r="F698" s="27" t="str">
        <f>HYPERLINK("http://nsgreg.nga.mil/genc/view?v=212134&amp;end_month=12&amp;end_day=31&amp;end_year=2014","Kampong Cham")</f>
        <v>Kampong Cham</v>
      </c>
      <c r="G698" s="28" t="str">
        <f>HYPERLINK("http://api.nsgreg.nga.mil/geo-division/GENC/6/ed3/KH-3","as:GENC:6:ed3:KH-3")</f>
        <v>as:GENC:6:ed3:KH-3</v>
      </c>
    </row>
    <row r="699" spans="1:7" x14ac:dyDescent="0.2">
      <c r="A699" s="85"/>
      <c r="B699" s="25" t="s">
        <v>3012</v>
      </c>
      <c r="C699" s="25" t="s">
        <v>3013</v>
      </c>
      <c r="D699" s="25" t="s">
        <v>1719</v>
      </c>
      <c r="E699" s="26" t="b">
        <v>1</v>
      </c>
      <c r="F699" s="27" t="str">
        <f>HYPERLINK("http://nsgreg.nga.mil/genc/view?v=212135&amp;end_month=12&amp;end_day=31&amp;end_year=2014","Kampong Chhnang")</f>
        <v>Kampong Chhnang</v>
      </c>
      <c r="G699" s="28" t="str">
        <f>HYPERLINK("http://api.nsgreg.nga.mil/geo-division/GENC/6/ed3/KH-4","as:GENC:6:ed3:KH-4")</f>
        <v>as:GENC:6:ed3:KH-4</v>
      </c>
    </row>
    <row r="700" spans="1:7" x14ac:dyDescent="0.2">
      <c r="A700" s="85"/>
      <c r="B700" s="25" t="s">
        <v>3014</v>
      </c>
      <c r="C700" s="25" t="s">
        <v>12159</v>
      </c>
      <c r="D700" s="25" t="s">
        <v>1719</v>
      </c>
      <c r="E700" s="26" t="b">
        <v>1</v>
      </c>
      <c r="F700" s="27" t="str">
        <f>HYPERLINK("http://nsgreg.nga.mil/genc/view?v=212136&amp;end_month=12&amp;end_day=31&amp;end_year=2014","Kampong Speu")</f>
        <v>Kampong Speu</v>
      </c>
      <c r="G700" s="28" t="str">
        <f>HYPERLINK("http://api.nsgreg.nga.mil/geo-division/GENC/6/ed3/KH-5","as:GENC:6:ed3:KH-5")</f>
        <v>as:GENC:6:ed3:KH-5</v>
      </c>
    </row>
    <row r="701" spans="1:7" x14ac:dyDescent="0.2">
      <c r="A701" s="85"/>
      <c r="B701" s="25" t="s">
        <v>3016</v>
      </c>
      <c r="C701" s="25" t="s">
        <v>12160</v>
      </c>
      <c r="D701" s="25" t="s">
        <v>1719</v>
      </c>
      <c r="E701" s="26" t="b">
        <v>1</v>
      </c>
      <c r="F701" s="27" t="str">
        <f>HYPERLINK("http://nsgreg.nga.mil/genc/view?v=212137&amp;end_month=12&amp;end_day=31&amp;end_year=2014","Kampong Thom")</f>
        <v>Kampong Thom</v>
      </c>
      <c r="G701" s="28" t="str">
        <f>HYPERLINK("http://api.nsgreg.nga.mil/geo-division/GENC/6/ed3/KH-6","as:GENC:6:ed3:KH-6")</f>
        <v>as:GENC:6:ed3:KH-6</v>
      </c>
    </row>
    <row r="702" spans="1:7" x14ac:dyDescent="0.2">
      <c r="A702" s="85"/>
      <c r="B702" s="25" t="s">
        <v>3018</v>
      </c>
      <c r="C702" s="25" t="s">
        <v>3019</v>
      </c>
      <c r="D702" s="25" t="s">
        <v>1719</v>
      </c>
      <c r="E702" s="26" t="b">
        <v>1</v>
      </c>
      <c r="F702" s="27" t="str">
        <f>HYPERLINK("http://nsgreg.nga.mil/genc/view?v=212138&amp;end_month=12&amp;end_day=31&amp;end_year=2014","Kampot")</f>
        <v>Kampot</v>
      </c>
      <c r="G702" s="28" t="str">
        <f>HYPERLINK("http://api.nsgreg.nga.mil/geo-division/GENC/6/ed3/KH-7","as:GENC:6:ed3:KH-7")</f>
        <v>as:GENC:6:ed3:KH-7</v>
      </c>
    </row>
    <row r="703" spans="1:7" x14ac:dyDescent="0.2">
      <c r="A703" s="85"/>
      <c r="B703" s="25" t="s">
        <v>3020</v>
      </c>
      <c r="C703" s="25" t="s">
        <v>12161</v>
      </c>
      <c r="D703" s="25" t="s">
        <v>1719</v>
      </c>
      <c r="E703" s="26" t="b">
        <v>1</v>
      </c>
      <c r="F703" s="27" t="str">
        <f>HYPERLINK("http://nsgreg.nga.mil/genc/view?v=212139&amp;end_month=12&amp;end_day=31&amp;end_year=2014","Kandal")</f>
        <v>Kandal</v>
      </c>
      <c r="G703" s="28" t="str">
        <f>HYPERLINK("http://api.nsgreg.nga.mil/geo-division/GENC/6/ed3/KH-8","as:GENC:6:ed3:KH-8")</f>
        <v>as:GENC:6:ed3:KH-8</v>
      </c>
    </row>
    <row r="704" spans="1:7" x14ac:dyDescent="0.2">
      <c r="A704" s="85"/>
      <c r="B704" s="25" t="s">
        <v>3026</v>
      </c>
      <c r="C704" s="25" t="s">
        <v>12162</v>
      </c>
      <c r="D704" s="25" t="s">
        <v>1719</v>
      </c>
      <c r="E704" s="26" t="b">
        <v>1</v>
      </c>
      <c r="F704" s="27" t="str">
        <f>HYPERLINK("http://nsgreg.nga.mil/genc/view?v=212131&amp;end_month=12&amp;end_day=31&amp;end_year=2014","Kep")</f>
        <v>Kep</v>
      </c>
      <c r="G704" s="28" t="str">
        <f>HYPERLINK("http://api.nsgreg.nga.mil/geo-division/GENC/6/ed3/KH-23","as:GENC:6:ed3:KH-23")</f>
        <v>as:GENC:6:ed3:KH-23</v>
      </c>
    </row>
    <row r="705" spans="1:7" x14ac:dyDescent="0.2">
      <c r="A705" s="85"/>
      <c r="B705" s="25" t="s">
        <v>3022</v>
      </c>
      <c r="C705" s="25" t="s">
        <v>12163</v>
      </c>
      <c r="D705" s="25" t="s">
        <v>1719</v>
      </c>
      <c r="E705" s="26" t="b">
        <v>1</v>
      </c>
      <c r="F705" s="27" t="str">
        <f>HYPERLINK("http://nsgreg.nga.mil/genc/view?v=212140&amp;end_month=12&amp;end_day=31&amp;end_year=2014","Koh Kong")</f>
        <v>Koh Kong</v>
      </c>
      <c r="G705" s="28" t="str">
        <f>HYPERLINK("http://api.nsgreg.nga.mil/geo-division/GENC/6/ed3/KH-9","as:GENC:6:ed3:KH-9")</f>
        <v>as:GENC:6:ed3:KH-9</v>
      </c>
    </row>
    <row r="706" spans="1:7" x14ac:dyDescent="0.2">
      <c r="A706" s="85"/>
      <c r="B706" s="25" t="s">
        <v>3024</v>
      </c>
      <c r="C706" s="25" t="s">
        <v>12164</v>
      </c>
      <c r="D706" s="25" t="s">
        <v>1719</v>
      </c>
      <c r="E706" s="26" t="b">
        <v>1</v>
      </c>
      <c r="F706" s="27" t="str">
        <f>HYPERLINK("http://nsgreg.nga.mil/genc/view?v=212117&amp;end_month=12&amp;end_day=31&amp;end_year=2014","Kratie")</f>
        <v>Kratie</v>
      </c>
      <c r="G706" s="28" t="str">
        <f>HYPERLINK("http://api.nsgreg.nga.mil/geo-division/GENC/6/ed3/KH-10","as:GENC:6:ed3:KH-10")</f>
        <v>as:GENC:6:ed3:KH-10</v>
      </c>
    </row>
    <row r="707" spans="1:7" x14ac:dyDescent="0.2">
      <c r="A707" s="85"/>
      <c r="B707" s="25" t="s">
        <v>3033</v>
      </c>
      <c r="C707" s="25" t="s">
        <v>12165</v>
      </c>
      <c r="D707" s="25" t="s">
        <v>1719</v>
      </c>
      <c r="E707" s="26" t="b">
        <v>1</v>
      </c>
      <c r="F707" s="27" t="str">
        <f>HYPERLINK("http://nsgreg.nga.mil/genc/view?v=212118&amp;end_month=12&amp;end_day=31&amp;end_year=2014","Mondolkiri")</f>
        <v>Mondolkiri</v>
      </c>
      <c r="G707" s="28" t="str">
        <f>HYPERLINK("http://api.nsgreg.nga.mil/geo-division/GENC/6/ed3/KH-11","as:GENC:6:ed3:KH-11")</f>
        <v>as:GENC:6:ed3:KH-11</v>
      </c>
    </row>
    <row r="708" spans="1:7" x14ac:dyDescent="0.2">
      <c r="A708" s="85"/>
      <c r="B708" s="25" t="s">
        <v>3035</v>
      </c>
      <c r="C708" s="25" t="s">
        <v>12166</v>
      </c>
      <c r="D708" s="25" t="s">
        <v>1719</v>
      </c>
      <c r="E708" s="26" t="b">
        <v>1</v>
      </c>
      <c r="F708" s="27" t="str">
        <f>HYPERLINK("http://nsgreg.nga.mil/genc/view?v=212130&amp;end_month=12&amp;end_day=31&amp;end_year=2014","Oddar Meanchey")</f>
        <v>Oddar Meanchey</v>
      </c>
      <c r="G708" s="28" t="str">
        <f>HYPERLINK("http://api.nsgreg.nga.mil/geo-division/GENC/6/ed3/KH-22","as:GENC:6:ed3:KH-22")</f>
        <v>as:GENC:6:ed3:KH-22</v>
      </c>
    </row>
    <row r="709" spans="1:7" x14ac:dyDescent="0.2">
      <c r="A709" s="85"/>
      <c r="B709" s="25" t="s">
        <v>3029</v>
      </c>
      <c r="C709" s="25" t="s">
        <v>12167</v>
      </c>
      <c r="D709" s="25" t="s">
        <v>1719</v>
      </c>
      <c r="E709" s="26" t="b">
        <v>1</v>
      </c>
      <c r="F709" s="27" t="str">
        <f>HYPERLINK("http://nsgreg.nga.mil/genc/view?v=212132&amp;end_month=12&amp;end_day=31&amp;end_year=2014","Pailin")</f>
        <v>Pailin</v>
      </c>
      <c r="G709" s="28" t="str">
        <f>HYPERLINK("http://api.nsgreg.nga.mil/geo-division/GENC/6/ed3/KH-24","as:GENC:6:ed3:KH-24")</f>
        <v>as:GENC:6:ed3:KH-24</v>
      </c>
    </row>
    <row r="710" spans="1:7" x14ac:dyDescent="0.2">
      <c r="A710" s="85"/>
      <c r="B710" s="25" t="s">
        <v>3037</v>
      </c>
      <c r="C710" s="25" t="s">
        <v>3038</v>
      </c>
      <c r="D710" s="25" t="s">
        <v>2164</v>
      </c>
      <c r="E710" s="26" t="b">
        <v>1</v>
      </c>
      <c r="F710" s="27" t="str">
        <f>HYPERLINK("http://nsgreg.nga.mil/genc/view?v=212119&amp;end_month=12&amp;end_day=31&amp;end_year=2014","Phnom Penh")</f>
        <v>Phnom Penh</v>
      </c>
      <c r="G710" s="28" t="str">
        <f>HYPERLINK("http://api.nsgreg.nga.mil/geo-division/GENC/6/ed3/KH-12","as:GENC:6:ed3:KH-12")</f>
        <v>as:GENC:6:ed3:KH-12</v>
      </c>
    </row>
    <row r="711" spans="1:7" x14ac:dyDescent="0.2">
      <c r="A711" s="85"/>
      <c r="B711" s="25" t="s">
        <v>3041</v>
      </c>
      <c r="C711" s="25" t="s">
        <v>3042</v>
      </c>
      <c r="D711" s="25" t="s">
        <v>1719</v>
      </c>
      <c r="E711" s="26" t="b">
        <v>1</v>
      </c>
      <c r="F711" s="27" t="str">
        <f>HYPERLINK("http://nsgreg.nga.mil/genc/view?v=212120&amp;end_month=12&amp;end_day=31&amp;end_year=2014","Preah Vihear")</f>
        <v>Preah Vihear</v>
      </c>
      <c r="G711" s="28" t="str">
        <f>HYPERLINK("http://api.nsgreg.nga.mil/geo-division/GENC/6/ed3/KH-13","as:GENC:6:ed3:KH-13")</f>
        <v>as:GENC:6:ed3:KH-13</v>
      </c>
    </row>
    <row r="712" spans="1:7" x14ac:dyDescent="0.2">
      <c r="A712" s="85"/>
      <c r="B712" s="25" t="s">
        <v>3043</v>
      </c>
      <c r="C712" s="25" t="s">
        <v>12168</v>
      </c>
      <c r="D712" s="25" t="s">
        <v>1719</v>
      </c>
      <c r="E712" s="26" t="b">
        <v>1</v>
      </c>
      <c r="F712" s="27" t="str">
        <f>HYPERLINK("http://nsgreg.nga.mil/genc/view?v=212121&amp;end_month=12&amp;end_day=31&amp;end_year=2014","Prey Veng")</f>
        <v>Prey Veng</v>
      </c>
      <c r="G712" s="28" t="str">
        <f>HYPERLINK("http://api.nsgreg.nga.mil/geo-division/GENC/6/ed3/KH-14","as:GENC:6:ed3:KH-14")</f>
        <v>as:GENC:6:ed3:KH-14</v>
      </c>
    </row>
    <row r="713" spans="1:7" x14ac:dyDescent="0.2">
      <c r="A713" s="85"/>
      <c r="B713" s="25" t="s">
        <v>3039</v>
      </c>
      <c r="C713" s="25" t="s">
        <v>12169</v>
      </c>
      <c r="D713" s="25" t="s">
        <v>1719</v>
      </c>
      <c r="E713" s="26" t="b">
        <v>1</v>
      </c>
      <c r="F713" s="27" t="str">
        <f>HYPERLINK("http://nsgreg.nga.mil/genc/view?v=212122&amp;end_month=12&amp;end_day=31&amp;end_year=2014","Pursat")</f>
        <v>Pursat</v>
      </c>
      <c r="G713" s="28" t="str">
        <f>HYPERLINK("http://api.nsgreg.nga.mil/geo-division/GENC/6/ed3/KH-15","as:GENC:6:ed3:KH-15")</f>
        <v>as:GENC:6:ed3:KH-15</v>
      </c>
    </row>
    <row r="714" spans="1:7" x14ac:dyDescent="0.2">
      <c r="A714" s="85"/>
      <c r="B714" s="25" t="s">
        <v>3045</v>
      </c>
      <c r="C714" s="25" t="s">
        <v>12170</v>
      </c>
      <c r="D714" s="25" t="s">
        <v>1719</v>
      </c>
      <c r="E714" s="26" t="b">
        <v>1</v>
      </c>
      <c r="F714" s="27" t="str">
        <f>HYPERLINK("http://nsgreg.nga.mil/genc/view?v=212123&amp;end_month=12&amp;end_day=31&amp;end_year=2014","Ratanakiri")</f>
        <v>Ratanakiri</v>
      </c>
      <c r="G714" s="28" t="str">
        <f>HYPERLINK("http://api.nsgreg.nga.mil/geo-division/GENC/6/ed3/KH-16","as:GENC:6:ed3:KH-16")</f>
        <v>as:GENC:6:ed3:KH-16</v>
      </c>
    </row>
    <row r="715" spans="1:7" x14ac:dyDescent="0.2">
      <c r="A715" s="85"/>
      <c r="B715" s="25" t="s">
        <v>3047</v>
      </c>
      <c r="C715" s="25" t="s">
        <v>12171</v>
      </c>
      <c r="D715" s="25" t="s">
        <v>1719</v>
      </c>
      <c r="E715" s="26" t="b">
        <v>1</v>
      </c>
      <c r="F715" s="27" t="str">
        <f>HYPERLINK("http://nsgreg.nga.mil/genc/view?v=212124&amp;end_month=12&amp;end_day=31&amp;end_year=2014","Siem Reap")</f>
        <v>Siem Reap</v>
      </c>
      <c r="G715" s="28" t="str">
        <f>HYPERLINK("http://api.nsgreg.nga.mil/geo-division/GENC/6/ed3/KH-17","as:GENC:6:ed3:KH-17")</f>
        <v>as:GENC:6:ed3:KH-17</v>
      </c>
    </row>
    <row r="716" spans="1:7" x14ac:dyDescent="0.2">
      <c r="A716" s="85"/>
      <c r="B716" s="25" t="s">
        <v>3031</v>
      </c>
      <c r="C716" s="25" t="s">
        <v>12172</v>
      </c>
      <c r="D716" s="25" t="s">
        <v>1719</v>
      </c>
      <c r="E716" s="26" t="b">
        <v>1</v>
      </c>
      <c r="F716" s="27" t="str">
        <f>HYPERLINK("http://nsgreg.nga.mil/genc/view?v=212125&amp;end_month=12&amp;end_day=31&amp;end_year=2014","Sihanoukville")</f>
        <v>Sihanoukville</v>
      </c>
      <c r="G716" s="28" t="str">
        <f>HYPERLINK("http://api.nsgreg.nga.mil/geo-division/GENC/6/ed3/KH-18","as:GENC:6:ed3:KH-18")</f>
        <v>as:GENC:6:ed3:KH-18</v>
      </c>
    </row>
    <row r="717" spans="1:7" x14ac:dyDescent="0.2">
      <c r="A717" s="85"/>
      <c r="B717" s="25" t="s">
        <v>3049</v>
      </c>
      <c r="C717" s="25" t="s">
        <v>12173</v>
      </c>
      <c r="D717" s="25" t="s">
        <v>1719</v>
      </c>
      <c r="E717" s="26" t="b">
        <v>1</v>
      </c>
      <c r="F717" s="27" t="str">
        <f>HYPERLINK("http://nsgreg.nga.mil/genc/view?v=212126&amp;end_month=12&amp;end_day=31&amp;end_year=2014","Stung Treng")</f>
        <v>Stung Treng</v>
      </c>
      <c r="G717" s="28" t="str">
        <f>HYPERLINK("http://api.nsgreg.nga.mil/geo-division/GENC/6/ed3/KH-19","as:GENC:6:ed3:KH-19")</f>
        <v>as:GENC:6:ed3:KH-19</v>
      </c>
    </row>
    <row r="718" spans="1:7" x14ac:dyDescent="0.2">
      <c r="A718" s="85"/>
      <c r="B718" s="25" t="s">
        <v>3051</v>
      </c>
      <c r="C718" s="25" t="s">
        <v>12174</v>
      </c>
      <c r="D718" s="25" t="s">
        <v>1719</v>
      </c>
      <c r="E718" s="26" t="b">
        <v>1</v>
      </c>
      <c r="F718" s="27" t="str">
        <f>HYPERLINK("http://nsgreg.nga.mil/genc/view?v=212128&amp;end_month=12&amp;end_day=31&amp;end_year=2014","Svay Rieng")</f>
        <v>Svay Rieng</v>
      </c>
      <c r="G718" s="28" t="str">
        <f>HYPERLINK("http://api.nsgreg.nga.mil/geo-division/GENC/6/ed3/KH-20","as:GENC:6:ed3:KH-20")</f>
        <v>as:GENC:6:ed3:KH-20</v>
      </c>
    </row>
    <row r="719" spans="1:7" x14ac:dyDescent="0.2">
      <c r="A719" s="85"/>
      <c r="B719" s="25" t="s">
        <v>3053</v>
      </c>
      <c r="C719" s="25" t="s">
        <v>12175</v>
      </c>
      <c r="D719" s="25" t="s">
        <v>1719</v>
      </c>
      <c r="E719" s="26" t="b">
        <v>1</v>
      </c>
      <c r="F719" s="27" t="str">
        <f>HYPERLINK("http://nsgreg.nga.mil/genc/view?v=212129&amp;end_month=12&amp;end_day=31&amp;end_year=2014","Takeo")</f>
        <v>Takeo</v>
      </c>
      <c r="G719" s="28" t="str">
        <f>HYPERLINK("http://api.nsgreg.nga.mil/geo-division/GENC/6/ed3/KH-21","as:GENC:6:ed3:KH-21")</f>
        <v>as:GENC:6:ed3:KH-21</v>
      </c>
    </row>
    <row r="720" spans="1:7" x14ac:dyDescent="0.2">
      <c r="A720" s="86"/>
      <c r="B720" s="29" t="s">
        <v>12176</v>
      </c>
      <c r="C720" s="29" t="s">
        <v>12177</v>
      </c>
      <c r="D720" s="29" t="s">
        <v>1719</v>
      </c>
      <c r="E720" s="30" t="b">
        <v>1</v>
      </c>
      <c r="F720" s="31" t="str">
        <f>HYPERLINK("http://nsgreg.nga.mil/genc/view?v=212133&amp;end_month=12&amp;end_day=31&amp;end_year=2014","Tbong Khmum")</f>
        <v>Tbong Khmum</v>
      </c>
      <c r="G720" s="32" t="str">
        <f>HYPERLINK("http://api.nsgreg.nga.mil/geo-division/GENC/6/ed3/KH-25","as:GENC:6:ed3:KH-25")</f>
        <v>as:GENC:6:ed3:KH-25</v>
      </c>
    </row>
    <row r="721" spans="1:7" x14ac:dyDescent="0.2">
      <c r="A721" s="84" t="str">
        <f>HYPERLINK("[#]Codes_for_GE_Names!A47:I47","CAMEROON")</f>
        <v>CAMEROON</v>
      </c>
      <c r="B721" s="33" t="s">
        <v>3055</v>
      </c>
      <c r="C721" s="33" t="s">
        <v>3056</v>
      </c>
      <c r="D721" s="33" t="s">
        <v>2087</v>
      </c>
      <c r="E721" s="34" t="b">
        <v>1</v>
      </c>
      <c r="F721" s="35" t="str">
        <f>HYPERLINK("http://nsgreg.nga.mil/genc/view?v=118521&amp;gencs=T&amp;end_month=12&amp;end_day=31&amp;end_year=2014","Adamaoua")</f>
        <v>Adamaoua</v>
      </c>
      <c r="G721" s="36" t="str">
        <f>HYPERLINK("http://api.nsgreg.nga.mil/geo-division/GENC/6/ed3/CM-AD","as:GENC:6:ed3:CM-AD")</f>
        <v>as:GENC:6:ed3:CM-AD</v>
      </c>
    </row>
    <row r="722" spans="1:7" x14ac:dyDescent="0.2">
      <c r="A722" s="85"/>
      <c r="B722" s="25" t="s">
        <v>3057</v>
      </c>
      <c r="C722" s="25" t="s">
        <v>2875</v>
      </c>
      <c r="D722" s="25" t="s">
        <v>2087</v>
      </c>
      <c r="E722" s="26" t="b">
        <v>1</v>
      </c>
      <c r="F722" s="27" t="str">
        <f>HYPERLINK("http://nsgreg.nga.mil/genc/view?v=118522&amp;gencs=T&amp;end_month=12&amp;end_day=31&amp;end_year=2014","Centre")</f>
        <v>Centre</v>
      </c>
      <c r="G722" s="28" t="str">
        <f>HYPERLINK("http://api.nsgreg.nga.mil/geo-division/GENC/6/ed3/CM-CE","as:GENC:6:ed3:CM-CE")</f>
        <v>as:GENC:6:ed3:CM-CE</v>
      </c>
    </row>
    <row r="723" spans="1:7" x14ac:dyDescent="0.2">
      <c r="A723" s="85"/>
      <c r="B723" s="25" t="s">
        <v>3058</v>
      </c>
      <c r="C723" s="25" t="s">
        <v>2887</v>
      </c>
      <c r="D723" s="25" t="s">
        <v>2087</v>
      </c>
      <c r="E723" s="26" t="b">
        <v>1</v>
      </c>
      <c r="F723" s="27" t="str">
        <f>HYPERLINK("http://nsgreg.nga.mil/genc/view?v=118524&amp;gencs=T&amp;end_month=12&amp;end_day=31&amp;end_year=2014","Est")</f>
        <v>Est</v>
      </c>
      <c r="G723" s="28" t="str">
        <f>HYPERLINK("http://api.nsgreg.nga.mil/geo-division/GENC/6/ed3/CM-ES","as:GENC:6:ed3:CM-ES")</f>
        <v>as:GENC:6:ed3:CM-ES</v>
      </c>
    </row>
    <row r="724" spans="1:7" x14ac:dyDescent="0.2">
      <c r="A724" s="85"/>
      <c r="B724" s="25" t="s">
        <v>3060</v>
      </c>
      <c r="C724" s="25" t="s">
        <v>3061</v>
      </c>
      <c r="D724" s="25" t="s">
        <v>2087</v>
      </c>
      <c r="E724" s="26" t="b">
        <v>1</v>
      </c>
      <c r="F724" s="27" t="str">
        <f>HYPERLINK("http://nsgreg.nga.mil/genc/view?v=118523&amp;gencs=T&amp;end_month=12&amp;end_day=31&amp;end_year=2014","Extrême-Nord")</f>
        <v>Extrême-Nord</v>
      </c>
      <c r="G724" s="28" t="str">
        <f>HYPERLINK("http://api.nsgreg.nga.mil/geo-division/GENC/6/ed3/CM-EN","as:GENC:6:ed3:CM-EN")</f>
        <v>as:GENC:6:ed3:CM-EN</v>
      </c>
    </row>
    <row r="725" spans="1:7" x14ac:dyDescent="0.2">
      <c r="A725" s="85"/>
      <c r="B725" s="25" t="s">
        <v>3063</v>
      </c>
      <c r="C725" s="25" t="s">
        <v>2604</v>
      </c>
      <c r="D725" s="25" t="s">
        <v>2087</v>
      </c>
      <c r="E725" s="26" t="b">
        <v>1</v>
      </c>
      <c r="F725" s="27" t="str">
        <f>HYPERLINK("http://nsgreg.nga.mil/genc/view?v=118525&amp;gencs=T&amp;end_month=12&amp;end_day=31&amp;end_year=2014","Littoral")</f>
        <v>Littoral</v>
      </c>
      <c r="G725" s="28" t="str">
        <f>HYPERLINK("http://api.nsgreg.nga.mil/geo-division/GENC/6/ed3/CM-LT","as:GENC:6:ed3:CM-LT")</f>
        <v>as:GENC:6:ed3:CM-LT</v>
      </c>
    </row>
    <row r="726" spans="1:7" x14ac:dyDescent="0.2">
      <c r="A726" s="85"/>
      <c r="B726" s="25" t="s">
        <v>3064</v>
      </c>
      <c r="C726" s="25" t="s">
        <v>2929</v>
      </c>
      <c r="D726" s="25" t="s">
        <v>2087</v>
      </c>
      <c r="E726" s="26" t="b">
        <v>1</v>
      </c>
      <c r="F726" s="27" t="str">
        <f>HYPERLINK("http://nsgreg.nga.mil/genc/view?v=118526&amp;gencs=T&amp;end_month=12&amp;end_day=31&amp;end_year=2014","Nord")</f>
        <v>Nord</v>
      </c>
      <c r="G726" s="28" t="str">
        <f>HYPERLINK("http://api.nsgreg.nga.mil/geo-division/GENC/6/ed3/CM-NO","as:GENC:6:ed3:CM-NO")</f>
        <v>as:GENC:6:ed3:CM-NO</v>
      </c>
    </row>
    <row r="727" spans="1:7" x14ac:dyDescent="0.2">
      <c r="A727" s="85"/>
      <c r="B727" s="25" t="s">
        <v>3065</v>
      </c>
      <c r="C727" s="25" t="s">
        <v>2732</v>
      </c>
      <c r="D727" s="25" t="s">
        <v>2087</v>
      </c>
      <c r="E727" s="26" t="b">
        <v>1</v>
      </c>
      <c r="F727" s="27" t="str">
        <f>HYPERLINK("http://nsgreg.nga.mil/genc/view?v=118527&amp;gencs=T&amp;end_month=12&amp;end_day=31&amp;end_year=2014","North-West")</f>
        <v>North-West</v>
      </c>
      <c r="G727" s="28" t="str">
        <f>HYPERLINK("http://api.nsgreg.nga.mil/geo-division/GENC/6/ed3/CM-NW","as:GENC:6:ed3:CM-NW")</f>
        <v>as:GENC:6:ed3:CM-NW</v>
      </c>
    </row>
    <row r="728" spans="1:7" x14ac:dyDescent="0.2">
      <c r="A728" s="85"/>
      <c r="B728" s="25" t="s">
        <v>3068</v>
      </c>
      <c r="C728" s="25" t="s">
        <v>3069</v>
      </c>
      <c r="D728" s="25" t="s">
        <v>2087</v>
      </c>
      <c r="E728" s="26" t="b">
        <v>1</v>
      </c>
      <c r="F728" s="27" t="str">
        <f>HYPERLINK("http://nsgreg.nga.mil/genc/view?v=118528&amp;gencs=T&amp;end_month=12&amp;end_day=31&amp;end_year=2014","Ouest")</f>
        <v>Ouest</v>
      </c>
      <c r="G728" s="28" t="str">
        <f>HYPERLINK("http://api.nsgreg.nga.mil/geo-division/GENC/6/ed3/CM-OU","as:GENC:6:ed3:CM-OU")</f>
        <v>as:GENC:6:ed3:CM-OU</v>
      </c>
    </row>
    <row r="729" spans="1:7" x14ac:dyDescent="0.2">
      <c r="A729" s="85"/>
      <c r="B729" s="25" t="s">
        <v>3072</v>
      </c>
      <c r="C729" s="25" t="s">
        <v>3073</v>
      </c>
      <c r="D729" s="25" t="s">
        <v>2087</v>
      </c>
      <c r="E729" s="26" t="b">
        <v>1</v>
      </c>
      <c r="F729" s="27" t="str">
        <f>HYPERLINK("http://nsgreg.nga.mil/genc/view?v=118530&amp;gencs=T&amp;end_month=12&amp;end_day=31&amp;end_year=2014","South-West")</f>
        <v>South-West</v>
      </c>
      <c r="G729" s="28" t="str">
        <f>HYPERLINK("http://api.nsgreg.nga.mil/geo-division/GENC/6/ed3/CM-SW","as:GENC:6:ed3:CM-SW")</f>
        <v>as:GENC:6:ed3:CM-SW</v>
      </c>
    </row>
    <row r="730" spans="1:7" x14ac:dyDescent="0.2">
      <c r="A730" s="86"/>
      <c r="B730" s="29" t="s">
        <v>3070</v>
      </c>
      <c r="C730" s="29" t="s">
        <v>3074</v>
      </c>
      <c r="D730" s="29" t="s">
        <v>2087</v>
      </c>
      <c r="E730" s="30" t="b">
        <v>1</v>
      </c>
      <c r="F730" s="31" t="str">
        <f>HYPERLINK("http://nsgreg.nga.mil/genc/view?v=118529&amp;gencs=T&amp;end_month=12&amp;end_day=31&amp;end_year=2014","Sud")</f>
        <v>Sud</v>
      </c>
      <c r="G730" s="32" t="str">
        <f>HYPERLINK("http://api.nsgreg.nga.mil/geo-division/GENC/6/ed3/CM-SU","as:GENC:6:ed3:CM-SU")</f>
        <v>as:GENC:6:ed3:CM-SU</v>
      </c>
    </row>
    <row r="731" spans="1:7" x14ac:dyDescent="0.2">
      <c r="A731" s="84" t="str">
        <f>HYPERLINK("[#]Codes_for_GE_Names!A48:I48","CANADA")</f>
        <v>CANADA</v>
      </c>
      <c r="B731" s="33" t="s">
        <v>3076</v>
      </c>
      <c r="C731" s="33" t="s">
        <v>3077</v>
      </c>
      <c r="D731" s="33" t="s">
        <v>1719</v>
      </c>
      <c r="E731" s="34" t="b">
        <v>1</v>
      </c>
      <c r="F731" s="35" t="str">
        <f>HYPERLINK("http://nsgreg.nga.mil/genc/view?v=118409&amp;gencs=T&amp;end_month=12&amp;end_day=31&amp;end_year=2014","Alberta")</f>
        <v>Alberta</v>
      </c>
      <c r="G731" s="36" t="str">
        <f>HYPERLINK("http://api.nsgreg.nga.mil/geo-division/GENC/6/ed3/CA-AB","as:GENC:6:ed3:CA-AB")</f>
        <v>as:GENC:6:ed3:CA-AB</v>
      </c>
    </row>
    <row r="732" spans="1:7" x14ac:dyDescent="0.2">
      <c r="A732" s="85"/>
      <c r="B732" s="25" t="s">
        <v>3078</v>
      </c>
      <c r="C732" s="25" t="s">
        <v>3079</v>
      </c>
      <c r="D732" s="25" t="s">
        <v>1719</v>
      </c>
      <c r="E732" s="26" t="b">
        <v>1</v>
      </c>
      <c r="F732" s="27" t="str">
        <f>HYPERLINK("http://nsgreg.nga.mil/genc/view?v=118410&amp;gencs=T&amp;end_month=12&amp;end_day=31&amp;end_year=2014","British Columbia")</f>
        <v>British Columbia</v>
      </c>
      <c r="G732" s="28" t="str">
        <f>HYPERLINK("http://api.nsgreg.nga.mil/geo-division/GENC/6/ed3/CA-BC","as:GENC:6:ed3:CA-BC")</f>
        <v>as:GENC:6:ed3:CA-BC</v>
      </c>
    </row>
    <row r="733" spans="1:7" x14ac:dyDescent="0.2">
      <c r="A733" s="85"/>
      <c r="B733" s="25" t="s">
        <v>3081</v>
      </c>
      <c r="C733" s="25" t="s">
        <v>3082</v>
      </c>
      <c r="D733" s="25" t="s">
        <v>1719</v>
      </c>
      <c r="E733" s="26" t="b">
        <v>1</v>
      </c>
      <c r="F733" s="27" t="str">
        <f>HYPERLINK("http://nsgreg.nga.mil/genc/view?v=118411&amp;gencs=T&amp;end_month=12&amp;end_day=31&amp;end_year=2014","Manitoba")</f>
        <v>Manitoba</v>
      </c>
      <c r="G733" s="28" t="str">
        <f>HYPERLINK("http://api.nsgreg.nga.mil/geo-division/GENC/6/ed3/CA-MB","as:GENC:6:ed3:CA-MB")</f>
        <v>as:GENC:6:ed3:CA-MB</v>
      </c>
    </row>
    <row r="734" spans="1:7" x14ac:dyDescent="0.2">
      <c r="A734" s="85"/>
      <c r="B734" s="25" t="s">
        <v>3083</v>
      </c>
      <c r="C734" s="25" t="s">
        <v>3084</v>
      </c>
      <c r="D734" s="25" t="s">
        <v>1719</v>
      </c>
      <c r="E734" s="26" t="b">
        <v>1</v>
      </c>
      <c r="F734" s="27" t="str">
        <f>HYPERLINK("http://nsgreg.nga.mil/genc/view?v=118412&amp;gencs=T&amp;end_month=12&amp;end_day=31&amp;end_year=2014","New Brunswick")</f>
        <v>New Brunswick</v>
      </c>
      <c r="G734" s="28" t="str">
        <f>HYPERLINK("http://api.nsgreg.nga.mil/geo-division/GENC/6/ed3/CA-NB","as:GENC:6:ed3:CA-NB")</f>
        <v>as:GENC:6:ed3:CA-NB</v>
      </c>
    </row>
    <row r="735" spans="1:7" x14ac:dyDescent="0.2">
      <c r="A735" s="85"/>
      <c r="B735" s="25" t="s">
        <v>3085</v>
      </c>
      <c r="C735" s="25" t="s">
        <v>3086</v>
      </c>
      <c r="D735" s="25" t="s">
        <v>1719</v>
      </c>
      <c r="E735" s="26" t="b">
        <v>1</v>
      </c>
      <c r="F735" s="27" t="str">
        <f>HYPERLINK("http://nsgreg.nga.mil/genc/view?v=118413&amp;gencs=T&amp;end_month=12&amp;end_day=31&amp;end_year=2014","Newfoundland and Labrador")</f>
        <v>Newfoundland and Labrador</v>
      </c>
      <c r="G735" s="28" t="str">
        <f>HYPERLINK("http://api.nsgreg.nga.mil/geo-division/GENC/6/ed3/CA-NL","as:GENC:6:ed3:CA-NL")</f>
        <v>as:GENC:6:ed3:CA-NL</v>
      </c>
    </row>
    <row r="736" spans="1:7" x14ac:dyDescent="0.2">
      <c r="A736" s="85"/>
      <c r="B736" s="25" t="s">
        <v>3087</v>
      </c>
      <c r="C736" s="25" t="s">
        <v>3088</v>
      </c>
      <c r="D736" s="25" t="s">
        <v>2110</v>
      </c>
      <c r="E736" s="26" t="b">
        <v>1</v>
      </c>
      <c r="F736" s="27" t="str">
        <f>HYPERLINK("http://nsgreg.nga.mil/genc/view?v=118415&amp;gencs=T&amp;end_month=12&amp;end_day=31&amp;end_year=2014","Northwest Territories")</f>
        <v>Northwest Territories</v>
      </c>
      <c r="G736" s="28" t="str">
        <f>HYPERLINK("http://api.nsgreg.nga.mil/geo-division/GENC/6/ed3/CA-NT","as:GENC:6:ed3:CA-NT")</f>
        <v>as:GENC:6:ed3:CA-NT</v>
      </c>
    </row>
    <row r="737" spans="1:7" x14ac:dyDescent="0.2">
      <c r="A737" s="85"/>
      <c r="B737" s="25" t="s">
        <v>3090</v>
      </c>
      <c r="C737" s="25" t="s">
        <v>3092</v>
      </c>
      <c r="D737" s="25" t="s">
        <v>1719</v>
      </c>
      <c r="E737" s="26" t="b">
        <v>1</v>
      </c>
      <c r="F737" s="27" t="str">
        <f>HYPERLINK("http://nsgreg.nga.mil/genc/view?v=118414&amp;gencs=T&amp;end_month=12&amp;end_day=31&amp;end_year=2014","Nova Scotia")</f>
        <v>Nova Scotia</v>
      </c>
      <c r="G737" s="28" t="str">
        <f>HYPERLINK("http://api.nsgreg.nga.mil/geo-division/GENC/6/ed3/CA-NS","as:GENC:6:ed3:CA-NS")</f>
        <v>as:GENC:6:ed3:CA-NS</v>
      </c>
    </row>
    <row r="738" spans="1:7" x14ac:dyDescent="0.2">
      <c r="A738" s="85"/>
      <c r="B738" s="25" t="s">
        <v>3093</v>
      </c>
      <c r="C738" s="25" t="s">
        <v>3094</v>
      </c>
      <c r="D738" s="25" t="s">
        <v>2110</v>
      </c>
      <c r="E738" s="26" t="b">
        <v>1</v>
      </c>
      <c r="F738" s="27" t="str">
        <f>HYPERLINK("http://nsgreg.nga.mil/genc/view?v=118416&amp;gencs=T&amp;end_month=12&amp;end_day=31&amp;end_year=2014","Nunavut")</f>
        <v>Nunavut</v>
      </c>
      <c r="G738" s="28" t="str">
        <f>HYPERLINK("http://api.nsgreg.nga.mil/geo-division/GENC/6/ed3/CA-NU","as:GENC:6:ed3:CA-NU")</f>
        <v>as:GENC:6:ed3:CA-NU</v>
      </c>
    </row>
    <row r="739" spans="1:7" x14ac:dyDescent="0.2">
      <c r="A739" s="85"/>
      <c r="B739" s="25" t="s">
        <v>3095</v>
      </c>
      <c r="C739" s="25" t="s">
        <v>3096</v>
      </c>
      <c r="D739" s="25" t="s">
        <v>1719</v>
      </c>
      <c r="E739" s="26" t="b">
        <v>1</v>
      </c>
      <c r="F739" s="27" t="str">
        <f>HYPERLINK("http://nsgreg.nga.mil/genc/view?v=118417&amp;gencs=T&amp;end_month=12&amp;end_day=31&amp;end_year=2014","Ontario")</f>
        <v>Ontario</v>
      </c>
      <c r="G739" s="28" t="str">
        <f>HYPERLINK("http://api.nsgreg.nga.mil/geo-division/GENC/6/ed3/CA-ON","as:GENC:6:ed3:CA-ON")</f>
        <v>as:GENC:6:ed3:CA-ON</v>
      </c>
    </row>
    <row r="740" spans="1:7" x14ac:dyDescent="0.2">
      <c r="A740" s="85"/>
      <c r="B740" s="25" t="s">
        <v>3097</v>
      </c>
      <c r="C740" s="25" t="s">
        <v>3098</v>
      </c>
      <c r="D740" s="25" t="s">
        <v>1719</v>
      </c>
      <c r="E740" s="26" t="b">
        <v>1</v>
      </c>
      <c r="F740" s="27" t="str">
        <f>HYPERLINK("http://nsgreg.nga.mil/genc/view?v=118418&amp;gencs=T&amp;end_month=12&amp;end_day=31&amp;end_year=2014","Prince Edward Island")</f>
        <v>Prince Edward Island</v>
      </c>
      <c r="G740" s="28" t="str">
        <f>HYPERLINK("http://api.nsgreg.nga.mil/geo-division/GENC/6/ed3/CA-PE","as:GENC:6:ed3:CA-PE")</f>
        <v>as:GENC:6:ed3:CA-PE</v>
      </c>
    </row>
    <row r="741" spans="1:7" x14ac:dyDescent="0.2">
      <c r="A741" s="85"/>
      <c r="B741" s="25" t="s">
        <v>3099</v>
      </c>
      <c r="C741" s="25" t="s">
        <v>3101</v>
      </c>
      <c r="D741" s="25" t="s">
        <v>1719</v>
      </c>
      <c r="E741" s="26" t="b">
        <v>1</v>
      </c>
      <c r="F741" s="27" t="str">
        <f>HYPERLINK("http://nsgreg.nga.mil/genc/view?v=118419&amp;gencs=T&amp;end_month=12&amp;end_day=31&amp;end_year=2014","Québec")</f>
        <v>Québec</v>
      </c>
      <c r="G741" s="28" t="str">
        <f>HYPERLINK("http://api.nsgreg.nga.mil/geo-division/GENC/6/ed3/CA-QC","as:GENC:6:ed3:CA-QC")</f>
        <v>as:GENC:6:ed3:CA-QC</v>
      </c>
    </row>
    <row r="742" spans="1:7" x14ac:dyDescent="0.2">
      <c r="A742" s="85"/>
      <c r="B742" s="25" t="s">
        <v>3102</v>
      </c>
      <c r="C742" s="25" t="s">
        <v>3103</v>
      </c>
      <c r="D742" s="25" t="s">
        <v>1719</v>
      </c>
      <c r="E742" s="26" t="b">
        <v>1</v>
      </c>
      <c r="F742" s="27" t="str">
        <f>HYPERLINK("http://nsgreg.nga.mil/genc/view?v=118420&amp;gencs=T&amp;end_month=12&amp;end_day=31&amp;end_year=2014","Saskatchewan")</f>
        <v>Saskatchewan</v>
      </c>
      <c r="G742" s="28" t="str">
        <f>HYPERLINK("http://api.nsgreg.nga.mil/geo-division/GENC/6/ed3/CA-SK","as:GENC:6:ed3:CA-SK")</f>
        <v>as:GENC:6:ed3:CA-SK</v>
      </c>
    </row>
    <row r="743" spans="1:7" x14ac:dyDescent="0.2">
      <c r="A743" s="86"/>
      <c r="B743" s="29" t="s">
        <v>3105</v>
      </c>
      <c r="C743" s="29" t="s">
        <v>12178</v>
      </c>
      <c r="D743" s="29" t="s">
        <v>2110</v>
      </c>
      <c r="E743" s="30" t="b">
        <v>1</v>
      </c>
      <c r="F743" s="31" t="str">
        <f>HYPERLINK("http://nsgreg.nga.mil/genc/view?v=118421&amp;gencs=T&amp;end_month=12&amp;end_day=31&amp;end_year=2014","Yukon")</f>
        <v>Yukon</v>
      </c>
      <c r="G743" s="32" t="str">
        <f>HYPERLINK("http://api.nsgreg.nga.mil/geo-division/GENC/6/ed3/CA-YT","as:GENC:6:ed3:CA-YT")</f>
        <v>as:GENC:6:ed3:CA-YT</v>
      </c>
    </row>
    <row r="744" spans="1:7" x14ac:dyDescent="0.2">
      <c r="A744" s="84" t="str">
        <f>HYPERLINK("[#]Codes_for_GE_Names!A50:I50","CENTRAL AFRICAN REPUBLIC")</f>
        <v>CENTRAL AFRICAN REPUBLIC</v>
      </c>
      <c r="B744" s="33" t="s">
        <v>3156</v>
      </c>
      <c r="C744" s="33" t="s">
        <v>3157</v>
      </c>
      <c r="D744" s="33" t="s">
        <v>3158</v>
      </c>
      <c r="E744" s="34" t="b">
        <v>1</v>
      </c>
      <c r="F744" s="35" t="str">
        <f>HYPERLINK("http://nsgreg.nga.mil/genc/view?v=211423&amp;end_month=12&amp;end_day=31&amp;end_year=2014","Bamingui-Bangoran")</f>
        <v>Bamingui-Bangoran</v>
      </c>
      <c r="G744" s="36" t="str">
        <f>HYPERLINK("http://api.nsgreg.nga.mil/geo-division/GENC/6/ed3/CF-BB","as:GENC:6:ed3:CF-BB")</f>
        <v>as:GENC:6:ed3:CF-BB</v>
      </c>
    </row>
    <row r="745" spans="1:7" x14ac:dyDescent="0.2">
      <c r="A745" s="85"/>
      <c r="B745" s="25" t="s">
        <v>3160</v>
      </c>
      <c r="C745" s="25" t="s">
        <v>3161</v>
      </c>
      <c r="D745" s="25" t="s">
        <v>3162</v>
      </c>
      <c r="E745" s="26" t="b">
        <v>1</v>
      </c>
      <c r="F745" s="27" t="str">
        <f>HYPERLINK("http://nsgreg.nga.mil/genc/view?v=211424&amp;end_month=12&amp;end_day=31&amp;end_year=2014","Bangui")</f>
        <v>Bangui</v>
      </c>
      <c r="G745" s="28" t="str">
        <f>HYPERLINK("http://api.nsgreg.nga.mil/geo-division/GENC/6/ed3/CF-BGF","as:GENC:6:ed3:CF-BGF")</f>
        <v>as:GENC:6:ed3:CF-BGF</v>
      </c>
    </row>
    <row r="746" spans="1:7" x14ac:dyDescent="0.2">
      <c r="A746" s="85"/>
      <c r="B746" s="25" t="s">
        <v>3164</v>
      </c>
      <c r="C746" s="25" t="s">
        <v>3165</v>
      </c>
      <c r="D746" s="25" t="s">
        <v>3158</v>
      </c>
      <c r="E746" s="26" t="b">
        <v>1</v>
      </c>
      <c r="F746" s="27" t="str">
        <f>HYPERLINK("http://nsgreg.nga.mil/genc/view?v=211425&amp;end_month=12&amp;end_day=31&amp;end_year=2014","Basse-Kotto")</f>
        <v>Basse-Kotto</v>
      </c>
      <c r="G746" s="28" t="str">
        <f>HYPERLINK("http://api.nsgreg.nga.mil/geo-division/GENC/6/ed3/CF-BK","as:GENC:6:ed3:CF-BK")</f>
        <v>as:GENC:6:ed3:CF-BK</v>
      </c>
    </row>
    <row r="747" spans="1:7" x14ac:dyDescent="0.2">
      <c r="A747" s="85"/>
      <c r="B747" s="25" t="s">
        <v>3173</v>
      </c>
      <c r="C747" s="25" t="s">
        <v>3174</v>
      </c>
      <c r="D747" s="25" t="s">
        <v>3158</v>
      </c>
      <c r="E747" s="26" t="b">
        <v>1</v>
      </c>
      <c r="F747" s="27" t="str">
        <f>HYPERLINK("http://nsgreg.nga.mil/genc/view?v=211426&amp;end_month=12&amp;end_day=31&amp;end_year=2014","Haute-Kotto")</f>
        <v>Haute-Kotto</v>
      </c>
      <c r="G747" s="28" t="str">
        <f>HYPERLINK("http://api.nsgreg.nga.mil/geo-division/GENC/6/ed3/CF-HK","as:GENC:6:ed3:CF-HK")</f>
        <v>as:GENC:6:ed3:CF-HK</v>
      </c>
    </row>
    <row r="748" spans="1:7" x14ac:dyDescent="0.2">
      <c r="A748" s="85"/>
      <c r="B748" s="25" t="s">
        <v>3171</v>
      </c>
      <c r="C748" s="25" t="s">
        <v>3172</v>
      </c>
      <c r="D748" s="25" t="s">
        <v>3158</v>
      </c>
      <c r="E748" s="26" t="b">
        <v>1</v>
      </c>
      <c r="F748" s="27" t="str">
        <f>HYPERLINK("http://nsgreg.nga.mil/genc/view?v=211427&amp;end_month=12&amp;end_day=31&amp;end_year=2014","Haut-Mbomou")</f>
        <v>Haut-Mbomou</v>
      </c>
      <c r="G748" s="28" t="str">
        <f>HYPERLINK("http://api.nsgreg.nga.mil/geo-division/GENC/6/ed3/CF-HM","as:GENC:6:ed3:CF-HM")</f>
        <v>as:GENC:6:ed3:CF-HM</v>
      </c>
    </row>
    <row r="749" spans="1:7" x14ac:dyDescent="0.2">
      <c r="A749" s="85"/>
      <c r="B749" s="25" t="s">
        <v>3177</v>
      </c>
      <c r="C749" s="25" t="s">
        <v>12179</v>
      </c>
      <c r="D749" s="25" t="s">
        <v>3158</v>
      </c>
      <c r="E749" s="26" t="b">
        <v>1</v>
      </c>
      <c r="F749" s="27" t="str">
        <f>HYPERLINK("http://nsgreg.nga.mil/genc/view?v=211430&amp;end_month=12&amp;end_day=31&amp;end_year=2014","Kémo")</f>
        <v>Kémo</v>
      </c>
      <c r="G749" s="28" t="str">
        <f>HYPERLINK("http://api.nsgreg.nga.mil/geo-division/GENC/6/ed3/CF-KG","as:GENC:6:ed3:CF-KG")</f>
        <v>as:GENC:6:ed3:CF-KG</v>
      </c>
    </row>
    <row r="750" spans="1:7" x14ac:dyDescent="0.2">
      <c r="A750" s="85"/>
      <c r="B750" s="25" t="s">
        <v>3180</v>
      </c>
      <c r="C750" s="25" t="s">
        <v>3181</v>
      </c>
      <c r="D750" s="25" t="s">
        <v>3158</v>
      </c>
      <c r="E750" s="26" t="b">
        <v>1</v>
      </c>
      <c r="F750" s="27" t="str">
        <f>HYPERLINK("http://nsgreg.nga.mil/genc/view?v=211431&amp;end_month=12&amp;end_day=31&amp;end_year=2014","Lobaye")</f>
        <v>Lobaye</v>
      </c>
      <c r="G750" s="28" t="str">
        <f>HYPERLINK("http://api.nsgreg.nga.mil/geo-division/GENC/6/ed3/CF-LB","as:GENC:6:ed3:CF-LB")</f>
        <v>as:GENC:6:ed3:CF-LB</v>
      </c>
    </row>
    <row r="751" spans="1:7" x14ac:dyDescent="0.2">
      <c r="A751" s="85"/>
      <c r="B751" s="25" t="s">
        <v>3175</v>
      </c>
      <c r="C751" s="25" t="s">
        <v>12180</v>
      </c>
      <c r="D751" s="25" t="s">
        <v>3158</v>
      </c>
      <c r="E751" s="26" t="b">
        <v>1</v>
      </c>
      <c r="F751" s="27" t="str">
        <f>HYPERLINK("http://nsgreg.nga.mil/genc/view?v=211428&amp;end_month=12&amp;end_day=31&amp;end_year=2014","Mambéré-Kadéï")</f>
        <v>Mambéré-Kadéï</v>
      </c>
      <c r="G751" s="28" t="str">
        <f>HYPERLINK("http://api.nsgreg.nga.mil/geo-division/GENC/6/ed3/CF-HS","as:GENC:6:ed3:CF-HS")</f>
        <v>as:GENC:6:ed3:CF-HS</v>
      </c>
    </row>
    <row r="752" spans="1:7" x14ac:dyDescent="0.2">
      <c r="A752" s="85"/>
      <c r="B752" s="25" t="s">
        <v>3183</v>
      </c>
      <c r="C752" s="25" t="s">
        <v>3184</v>
      </c>
      <c r="D752" s="25" t="s">
        <v>3158</v>
      </c>
      <c r="E752" s="26" t="b">
        <v>1</v>
      </c>
      <c r="F752" s="27" t="str">
        <f>HYPERLINK("http://nsgreg.nga.mil/genc/view?v=211432&amp;end_month=12&amp;end_day=31&amp;end_year=2014","Mbomou")</f>
        <v>Mbomou</v>
      </c>
      <c r="G752" s="28" t="str">
        <f>HYPERLINK("http://api.nsgreg.nga.mil/geo-division/GENC/6/ed3/CF-MB","as:GENC:6:ed3:CF-MB")</f>
        <v>as:GENC:6:ed3:CF-MB</v>
      </c>
    </row>
    <row r="753" spans="1:7" x14ac:dyDescent="0.2">
      <c r="A753" s="85"/>
      <c r="B753" s="25" t="s">
        <v>3167</v>
      </c>
      <c r="C753" s="25" t="s">
        <v>12181</v>
      </c>
      <c r="D753" s="25" t="s">
        <v>3169</v>
      </c>
      <c r="E753" s="26" t="b">
        <v>1</v>
      </c>
      <c r="F753" s="27" t="str">
        <f>HYPERLINK("http://nsgreg.nga.mil/genc/view?v=211429&amp;end_month=12&amp;end_day=31&amp;end_year=2014","Nana-Grébizi")</f>
        <v>Nana-Grébizi</v>
      </c>
      <c r="G753" s="28" t="str">
        <f>HYPERLINK("http://api.nsgreg.nga.mil/geo-division/GENC/6/ed3/CF-KB","as:GENC:6:ed3:CF-KB")</f>
        <v>as:GENC:6:ed3:CF-KB</v>
      </c>
    </row>
    <row r="754" spans="1:7" x14ac:dyDescent="0.2">
      <c r="A754" s="85"/>
      <c r="B754" s="25" t="s">
        <v>3186</v>
      </c>
      <c r="C754" s="25" t="s">
        <v>3187</v>
      </c>
      <c r="D754" s="25" t="s">
        <v>3158</v>
      </c>
      <c r="E754" s="26" t="b">
        <v>1</v>
      </c>
      <c r="F754" s="27" t="str">
        <f>HYPERLINK("http://nsgreg.nga.mil/genc/view?v=211434&amp;end_month=12&amp;end_day=31&amp;end_year=2014","Nana-Mambéré")</f>
        <v>Nana-Mambéré</v>
      </c>
      <c r="G754" s="28" t="str">
        <f>HYPERLINK("http://api.nsgreg.nga.mil/geo-division/GENC/6/ed3/CF-NM","as:GENC:6:ed3:CF-NM")</f>
        <v>as:GENC:6:ed3:CF-NM</v>
      </c>
    </row>
    <row r="755" spans="1:7" x14ac:dyDescent="0.2">
      <c r="A755" s="85"/>
      <c r="B755" s="25" t="s">
        <v>3189</v>
      </c>
      <c r="C755" s="25" t="s">
        <v>3190</v>
      </c>
      <c r="D755" s="25" t="s">
        <v>3158</v>
      </c>
      <c r="E755" s="26" t="b">
        <v>1</v>
      </c>
      <c r="F755" s="27" t="str">
        <f>HYPERLINK("http://nsgreg.nga.mil/genc/view?v=211433&amp;end_month=12&amp;end_day=31&amp;end_year=2014","Ombella-Mpoko")</f>
        <v>Ombella-Mpoko</v>
      </c>
      <c r="G755" s="28" t="str">
        <f>HYPERLINK("http://api.nsgreg.nga.mil/geo-division/GENC/6/ed3/CF-MP","as:GENC:6:ed3:CF-MP")</f>
        <v>as:GENC:6:ed3:CF-MP</v>
      </c>
    </row>
    <row r="756" spans="1:7" x14ac:dyDescent="0.2">
      <c r="A756" s="85"/>
      <c r="B756" s="25" t="s">
        <v>3191</v>
      </c>
      <c r="C756" s="25" t="s">
        <v>3192</v>
      </c>
      <c r="D756" s="25" t="s">
        <v>3158</v>
      </c>
      <c r="E756" s="26" t="b">
        <v>1</v>
      </c>
      <c r="F756" s="27" t="str">
        <f>HYPERLINK("http://nsgreg.nga.mil/genc/view?v=211437&amp;end_month=12&amp;end_day=31&amp;end_year=2014","Ouaka")</f>
        <v>Ouaka</v>
      </c>
      <c r="G756" s="28" t="str">
        <f>HYPERLINK("http://api.nsgreg.nga.mil/geo-division/GENC/6/ed3/CF-UK","as:GENC:6:ed3:CF-UK")</f>
        <v>as:GENC:6:ed3:CF-UK</v>
      </c>
    </row>
    <row r="757" spans="1:7" x14ac:dyDescent="0.2">
      <c r="A757" s="85"/>
      <c r="B757" s="25" t="s">
        <v>3193</v>
      </c>
      <c r="C757" s="25" t="s">
        <v>3194</v>
      </c>
      <c r="D757" s="25" t="s">
        <v>3158</v>
      </c>
      <c r="E757" s="26" t="b">
        <v>1</v>
      </c>
      <c r="F757" s="27" t="str">
        <f>HYPERLINK("http://nsgreg.nga.mil/genc/view?v=211422&amp;end_month=12&amp;end_day=31&amp;end_year=2014","Ouham")</f>
        <v>Ouham</v>
      </c>
      <c r="G757" s="28" t="str">
        <f>HYPERLINK("http://api.nsgreg.nga.mil/geo-division/GENC/6/ed3/CF-AC","as:GENC:6:ed3:CF-AC")</f>
        <v>as:GENC:6:ed3:CF-AC</v>
      </c>
    </row>
    <row r="758" spans="1:7" x14ac:dyDescent="0.2">
      <c r="A758" s="85"/>
      <c r="B758" s="25" t="s">
        <v>3195</v>
      </c>
      <c r="C758" s="25" t="s">
        <v>3196</v>
      </c>
      <c r="D758" s="25" t="s">
        <v>3158</v>
      </c>
      <c r="E758" s="26" t="b">
        <v>1</v>
      </c>
      <c r="F758" s="27" t="str">
        <f>HYPERLINK("http://nsgreg.nga.mil/genc/view?v=211435&amp;end_month=12&amp;end_day=31&amp;end_year=2014","Ouham-Pendé")</f>
        <v>Ouham-Pendé</v>
      </c>
      <c r="G758" s="28" t="str">
        <f>HYPERLINK("http://api.nsgreg.nga.mil/geo-division/GENC/6/ed3/CF-OP","as:GENC:6:ed3:CF-OP")</f>
        <v>as:GENC:6:ed3:CF-OP</v>
      </c>
    </row>
    <row r="759" spans="1:7" x14ac:dyDescent="0.2">
      <c r="A759" s="85"/>
      <c r="B759" s="25" t="s">
        <v>3197</v>
      </c>
      <c r="C759" s="25" t="s">
        <v>12182</v>
      </c>
      <c r="D759" s="25" t="s">
        <v>3169</v>
      </c>
      <c r="E759" s="26" t="b">
        <v>1</v>
      </c>
      <c r="F759" s="27" t="str">
        <f>HYPERLINK("http://nsgreg.nga.mil/genc/view?v=211436&amp;end_month=12&amp;end_day=31&amp;end_year=2014","Sangha-Mbaéré")</f>
        <v>Sangha-Mbaéré</v>
      </c>
      <c r="G759" s="28" t="str">
        <f>HYPERLINK("http://api.nsgreg.nga.mil/geo-division/GENC/6/ed3/CF-SE","as:GENC:6:ed3:CF-SE")</f>
        <v>as:GENC:6:ed3:CF-SE</v>
      </c>
    </row>
    <row r="760" spans="1:7" x14ac:dyDescent="0.2">
      <c r="A760" s="86"/>
      <c r="B760" s="29" t="s">
        <v>3203</v>
      </c>
      <c r="C760" s="29" t="s">
        <v>3204</v>
      </c>
      <c r="D760" s="29" t="s">
        <v>3158</v>
      </c>
      <c r="E760" s="30" t="b">
        <v>1</v>
      </c>
      <c r="F760" s="31" t="str">
        <f>HYPERLINK("http://nsgreg.nga.mil/genc/view?v=211438&amp;end_month=12&amp;end_day=31&amp;end_year=2014","Vakaga")</f>
        <v>Vakaga</v>
      </c>
      <c r="G760" s="32" t="str">
        <f>HYPERLINK("http://api.nsgreg.nga.mil/geo-division/GENC/6/ed3/CF-VK","as:GENC:6:ed3:CF-VK")</f>
        <v>as:GENC:6:ed3:CF-VK</v>
      </c>
    </row>
    <row r="761" spans="1:7" x14ac:dyDescent="0.2">
      <c r="A761" s="84" t="str">
        <f>HYPERLINK("[#]Codes_for_GE_Names!A51:I51","CHAD")</f>
        <v>CHAD</v>
      </c>
      <c r="B761" s="33" t="s">
        <v>3213</v>
      </c>
      <c r="C761" s="33" t="s">
        <v>12183</v>
      </c>
      <c r="D761" s="33" t="s">
        <v>2087</v>
      </c>
      <c r="E761" s="34" t="b">
        <v>1</v>
      </c>
      <c r="F761" s="35" t="str">
        <f>HYPERLINK("http://nsgreg.nga.mil/genc/view?v=213534&amp;end_month=12&amp;end_day=31&amp;end_year=2014","Barh el Gazel")</f>
        <v>Barh el Gazel</v>
      </c>
      <c r="G761" s="36" t="str">
        <f>HYPERLINK("http://api.nsgreg.nga.mil/geo-division/GENC/6/ed3/TD-BG","as:GENC:6:ed3:TD-BG")</f>
        <v>as:GENC:6:ed3:TD-BG</v>
      </c>
    </row>
    <row r="762" spans="1:7" x14ac:dyDescent="0.2">
      <c r="A762" s="85"/>
      <c r="B762" s="25" t="s">
        <v>3209</v>
      </c>
      <c r="C762" s="25" t="s">
        <v>3216</v>
      </c>
      <c r="D762" s="25" t="s">
        <v>2087</v>
      </c>
      <c r="E762" s="26" t="b">
        <v>1</v>
      </c>
      <c r="F762" s="27" t="str">
        <f>HYPERLINK("http://nsgreg.nga.mil/genc/view?v=213533&amp;end_month=12&amp;end_day=31&amp;end_year=2014","Batha")</f>
        <v>Batha</v>
      </c>
      <c r="G762" s="28" t="str">
        <f>HYPERLINK("http://api.nsgreg.nga.mil/geo-division/GENC/6/ed3/TD-BA","as:GENC:6:ed3:TD-BA")</f>
        <v>as:GENC:6:ed3:TD-BA</v>
      </c>
    </row>
    <row r="763" spans="1:7" x14ac:dyDescent="0.2">
      <c r="A763" s="85"/>
      <c r="B763" s="25" t="s">
        <v>3217</v>
      </c>
      <c r="C763" s="25" t="s">
        <v>3218</v>
      </c>
      <c r="D763" s="25" t="s">
        <v>2087</v>
      </c>
      <c r="E763" s="26" t="b">
        <v>1</v>
      </c>
      <c r="F763" s="27" t="str">
        <f>HYPERLINK("http://nsgreg.nga.mil/genc/view?v=213535&amp;end_month=12&amp;end_day=31&amp;end_year=2014","Borkou")</f>
        <v>Borkou</v>
      </c>
      <c r="G763" s="28" t="str">
        <f>HYPERLINK("http://api.nsgreg.nga.mil/geo-division/GENC/6/ed3/TD-BO","as:GENC:6:ed3:TD-BO")</f>
        <v>as:GENC:6:ed3:TD-BO</v>
      </c>
    </row>
    <row r="764" spans="1:7" x14ac:dyDescent="0.2">
      <c r="A764" s="85"/>
      <c r="B764" s="25" t="s">
        <v>3220</v>
      </c>
      <c r="C764" s="25" t="s">
        <v>3221</v>
      </c>
      <c r="D764" s="25" t="s">
        <v>2087</v>
      </c>
      <c r="E764" s="26" t="b">
        <v>1</v>
      </c>
      <c r="F764" s="27" t="str">
        <f>HYPERLINK("http://nsgreg.nga.mil/genc/view?v=213536&amp;end_month=12&amp;end_day=31&amp;end_year=2014","Chari-Baguirmi")</f>
        <v>Chari-Baguirmi</v>
      </c>
      <c r="G764" s="28" t="str">
        <f>HYPERLINK("http://api.nsgreg.nga.mil/geo-division/GENC/6/ed3/TD-CB","as:GENC:6:ed3:TD-CB")</f>
        <v>as:GENC:6:ed3:TD-CB</v>
      </c>
    </row>
    <row r="765" spans="1:7" x14ac:dyDescent="0.2">
      <c r="A765" s="85"/>
      <c r="B765" s="25" t="s">
        <v>12184</v>
      </c>
      <c r="C765" s="25" t="s">
        <v>12185</v>
      </c>
      <c r="D765" s="25" t="s">
        <v>2087</v>
      </c>
      <c r="E765" s="26" t="b">
        <v>1</v>
      </c>
      <c r="F765" s="27" t="str">
        <f>HYPERLINK("http://nsgreg.nga.mil/genc/view?v=213537&amp;end_month=12&amp;end_day=31&amp;end_year=2014","Ennedi-Est")</f>
        <v>Ennedi-Est</v>
      </c>
      <c r="G765" s="28" t="str">
        <f>HYPERLINK("http://api.nsgreg.nga.mil/geo-division/GENC/6/ed3/TD-EE","as:GENC:6:ed3:TD-EE")</f>
        <v>as:GENC:6:ed3:TD-EE</v>
      </c>
    </row>
    <row r="766" spans="1:7" x14ac:dyDescent="0.2">
      <c r="A766" s="85"/>
      <c r="B766" s="25" t="s">
        <v>12186</v>
      </c>
      <c r="C766" s="25" t="s">
        <v>12187</v>
      </c>
      <c r="D766" s="25" t="s">
        <v>2087</v>
      </c>
      <c r="E766" s="26" t="b">
        <v>1</v>
      </c>
      <c r="F766" s="27" t="str">
        <f>HYPERLINK("http://nsgreg.nga.mil/genc/view?v=213539&amp;end_month=12&amp;end_day=31&amp;end_year=2014","Ennedi-Ouest")</f>
        <v>Ennedi-Ouest</v>
      </c>
      <c r="G766" s="28" t="str">
        <f>HYPERLINK("http://api.nsgreg.nga.mil/geo-division/GENC/6/ed3/TD-EO","as:GENC:6:ed3:TD-EO")</f>
        <v>as:GENC:6:ed3:TD-EO</v>
      </c>
    </row>
    <row r="767" spans="1:7" x14ac:dyDescent="0.2">
      <c r="A767" s="85"/>
      <c r="B767" s="25" t="s">
        <v>3224</v>
      </c>
      <c r="C767" s="25" t="s">
        <v>3225</v>
      </c>
      <c r="D767" s="25" t="s">
        <v>2087</v>
      </c>
      <c r="E767" s="26" t="b">
        <v>1</v>
      </c>
      <c r="F767" s="27" t="str">
        <f>HYPERLINK("http://nsgreg.nga.mil/genc/view?v=213540&amp;end_month=12&amp;end_day=31&amp;end_year=2014","Guéra")</f>
        <v>Guéra</v>
      </c>
      <c r="G767" s="28" t="str">
        <f>HYPERLINK("http://api.nsgreg.nga.mil/geo-division/GENC/6/ed3/TD-GR","as:GENC:6:ed3:TD-GR")</f>
        <v>as:GENC:6:ed3:TD-GR</v>
      </c>
    </row>
    <row r="768" spans="1:7" x14ac:dyDescent="0.2">
      <c r="A768" s="85"/>
      <c r="B768" s="25" t="s">
        <v>3226</v>
      </c>
      <c r="C768" s="25" t="s">
        <v>12188</v>
      </c>
      <c r="D768" s="25" t="s">
        <v>2087</v>
      </c>
      <c r="E768" s="26" t="b">
        <v>1</v>
      </c>
      <c r="F768" s="27" t="str">
        <f>HYPERLINK("http://nsgreg.nga.mil/genc/view?v=213541&amp;end_month=12&amp;end_day=31&amp;end_year=2014","Hadjer-Lamis")</f>
        <v>Hadjer-Lamis</v>
      </c>
      <c r="G768" s="28" t="str">
        <f>HYPERLINK("http://api.nsgreg.nga.mil/geo-division/GENC/6/ed3/TD-HL","as:GENC:6:ed3:TD-HL")</f>
        <v>as:GENC:6:ed3:TD-HL</v>
      </c>
    </row>
    <row r="769" spans="1:7" x14ac:dyDescent="0.2">
      <c r="A769" s="85"/>
      <c r="B769" s="25" t="s">
        <v>3229</v>
      </c>
      <c r="C769" s="25" t="s">
        <v>3230</v>
      </c>
      <c r="D769" s="25" t="s">
        <v>2087</v>
      </c>
      <c r="E769" s="26" t="b">
        <v>1</v>
      </c>
      <c r="F769" s="27" t="str">
        <f>HYPERLINK("http://nsgreg.nga.mil/genc/view?v=213542&amp;end_month=12&amp;end_day=31&amp;end_year=2014","Kanem")</f>
        <v>Kanem</v>
      </c>
      <c r="G769" s="28" t="str">
        <f>HYPERLINK("http://api.nsgreg.nga.mil/geo-division/GENC/6/ed3/TD-KA","as:GENC:6:ed3:TD-KA")</f>
        <v>as:GENC:6:ed3:TD-KA</v>
      </c>
    </row>
    <row r="770" spans="1:7" x14ac:dyDescent="0.2">
      <c r="A770" s="85"/>
      <c r="B770" s="25" t="s">
        <v>3211</v>
      </c>
      <c r="C770" s="25" t="s">
        <v>3232</v>
      </c>
      <c r="D770" s="25" t="s">
        <v>2087</v>
      </c>
      <c r="E770" s="26" t="b">
        <v>1</v>
      </c>
      <c r="F770" s="27" t="str">
        <f>HYPERLINK("http://nsgreg.nga.mil/genc/view?v=213543&amp;end_month=12&amp;end_day=31&amp;end_year=2014","Lac")</f>
        <v>Lac</v>
      </c>
      <c r="G770" s="28" t="str">
        <f>HYPERLINK("http://api.nsgreg.nga.mil/geo-division/GENC/6/ed3/TD-LC","as:GENC:6:ed3:TD-LC")</f>
        <v>as:GENC:6:ed3:TD-LC</v>
      </c>
    </row>
    <row r="771" spans="1:7" x14ac:dyDescent="0.2">
      <c r="A771" s="85"/>
      <c r="B771" s="25" t="s">
        <v>3233</v>
      </c>
      <c r="C771" s="25" t="s">
        <v>12189</v>
      </c>
      <c r="D771" s="25" t="s">
        <v>2087</v>
      </c>
      <c r="E771" s="26" t="b">
        <v>1</v>
      </c>
      <c r="F771" s="27" t="str">
        <f>HYPERLINK("http://nsgreg.nga.mil/genc/view?v=213544&amp;end_month=12&amp;end_day=31&amp;end_year=2014","Logone Occidental")</f>
        <v>Logone Occidental</v>
      </c>
      <c r="G771" s="28" t="str">
        <f>HYPERLINK("http://api.nsgreg.nga.mil/geo-division/GENC/6/ed3/TD-LO","as:GENC:6:ed3:TD-LO")</f>
        <v>as:GENC:6:ed3:TD-LO</v>
      </c>
    </row>
    <row r="772" spans="1:7" x14ac:dyDescent="0.2">
      <c r="A772" s="85"/>
      <c r="B772" s="25" t="s">
        <v>3235</v>
      </c>
      <c r="C772" s="25" t="s">
        <v>12190</v>
      </c>
      <c r="D772" s="25" t="s">
        <v>2087</v>
      </c>
      <c r="E772" s="26" t="b">
        <v>1</v>
      </c>
      <c r="F772" s="27" t="str">
        <f>HYPERLINK("http://nsgreg.nga.mil/genc/view?v=213545&amp;end_month=12&amp;end_day=31&amp;end_year=2014","Logone Oriental")</f>
        <v>Logone Oriental</v>
      </c>
      <c r="G772" s="28" t="str">
        <f>HYPERLINK("http://api.nsgreg.nga.mil/geo-division/GENC/6/ed3/TD-LR","as:GENC:6:ed3:TD-LR")</f>
        <v>as:GENC:6:ed3:TD-LR</v>
      </c>
    </row>
    <row r="773" spans="1:7" x14ac:dyDescent="0.2">
      <c r="A773" s="85"/>
      <c r="B773" s="25" t="s">
        <v>3241</v>
      </c>
      <c r="C773" s="25" t="s">
        <v>3242</v>
      </c>
      <c r="D773" s="25" t="s">
        <v>2087</v>
      </c>
      <c r="E773" s="26" t="b">
        <v>1</v>
      </c>
      <c r="F773" s="27" t="str">
        <f>HYPERLINK("http://nsgreg.nga.mil/genc/view?v=213546&amp;end_month=12&amp;end_day=31&amp;end_year=2014","Mandoul")</f>
        <v>Mandoul</v>
      </c>
      <c r="G773" s="28" t="str">
        <f>HYPERLINK("http://api.nsgreg.nga.mil/geo-division/GENC/6/ed3/TD-MA","as:GENC:6:ed3:TD-MA")</f>
        <v>as:GENC:6:ed3:TD-MA</v>
      </c>
    </row>
    <row r="774" spans="1:7" x14ac:dyDescent="0.2">
      <c r="A774" s="85"/>
      <c r="B774" s="25" t="s">
        <v>3243</v>
      </c>
      <c r="C774" s="25" t="s">
        <v>12191</v>
      </c>
      <c r="D774" s="25" t="s">
        <v>2087</v>
      </c>
      <c r="E774" s="26" t="b">
        <v>1</v>
      </c>
      <c r="F774" s="27" t="str">
        <f>HYPERLINK("http://nsgreg.nga.mil/genc/view?v=213548&amp;end_month=12&amp;end_day=31&amp;end_year=2014","Mayo-Kébbi Est")</f>
        <v>Mayo-Kébbi Est</v>
      </c>
      <c r="G774" s="28" t="str">
        <f>HYPERLINK("http://api.nsgreg.nga.mil/geo-division/GENC/6/ed3/TD-ME","as:GENC:6:ed3:TD-ME")</f>
        <v>as:GENC:6:ed3:TD-ME</v>
      </c>
    </row>
    <row r="775" spans="1:7" x14ac:dyDescent="0.2">
      <c r="A775" s="85"/>
      <c r="B775" s="25" t="s">
        <v>3245</v>
      </c>
      <c r="C775" s="25" t="s">
        <v>12192</v>
      </c>
      <c r="D775" s="25" t="s">
        <v>2087</v>
      </c>
      <c r="E775" s="26" t="b">
        <v>1</v>
      </c>
      <c r="F775" s="27" t="str">
        <f>HYPERLINK("http://nsgreg.nga.mil/genc/view?v=213549&amp;end_month=12&amp;end_day=31&amp;end_year=2014","Mayo-Kébbi Ouest")</f>
        <v>Mayo-Kébbi Ouest</v>
      </c>
      <c r="G775" s="28" t="str">
        <f>HYPERLINK("http://api.nsgreg.nga.mil/geo-division/GENC/6/ed3/TD-MO","as:GENC:6:ed3:TD-MO")</f>
        <v>as:GENC:6:ed3:TD-MO</v>
      </c>
    </row>
    <row r="776" spans="1:7" x14ac:dyDescent="0.2">
      <c r="A776" s="85"/>
      <c r="B776" s="25" t="s">
        <v>3247</v>
      </c>
      <c r="C776" s="25" t="s">
        <v>3248</v>
      </c>
      <c r="D776" s="25" t="s">
        <v>2087</v>
      </c>
      <c r="E776" s="26" t="b">
        <v>1</v>
      </c>
      <c r="F776" s="27" t="str">
        <f>HYPERLINK("http://nsgreg.nga.mil/genc/view?v=213547&amp;end_month=12&amp;end_day=31&amp;end_year=2014","Moyen-Chari")</f>
        <v>Moyen-Chari</v>
      </c>
      <c r="G776" s="28" t="str">
        <f>HYPERLINK("http://api.nsgreg.nga.mil/geo-division/GENC/6/ed3/TD-MC","as:GENC:6:ed3:TD-MC")</f>
        <v>as:GENC:6:ed3:TD-MC</v>
      </c>
    </row>
    <row r="777" spans="1:7" x14ac:dyDescent="0.2">
      <c r="A777" s="85"/>
      <c r="B777" s="25" t="s">
        <v>3252</v>
      </c>
      <c r="C777" s="25" t="s">
        <v>3253</v>
      </c>
      <c r="D777" s="25" t="s">
        <v>2087</v>
      </c>
      <c r="E777" s="26" t="b">
        <v>1</v>
      </c>
      <c r="F777" s="27" t="str">
        <f>HYPERLINK("http://nsgreg.nga.mil/genc/view?v=213551&amp;end_month=12&amp;end_day=31&amp;end_year=2014","Ouaddaï")</f>
        <v>Ouaddaï</v>
      </c>
      <c r="G777" s="28" t="str">
        <f>HYPERLINK("http://api.nsgreg.nga.mil/geo-division/GENC/6/ed3/TD-OD","as:GENC:6:ed3:TD-OD")</f>
        <v>as:GENC:6:ed3:TD-OD</v>
      </c>
    </row>
    <row r="778" spans="1:7" x14ac:dyDescent="0.2">
      <c r="A778" s="85"/>
      <c r="B778" s="25" t="s">
        <v>3255</v>
      </c>
      <c r="C778" s="25" t="s">
        <v>3256</v>
      </c>
      <c r="D778" s="25" t="s">
        <v>2087</v>
      </c>
      <c r="E778" s="26" t="b">
        <v>1</v>
      </c>
      <c r="F778" s="27" t="str">
        <f>HYPERLINK("http://nsgreg.nga.mil/genc/view?v=213552&amp;end_month=12&amp;end_day=31&amp;end_year=2014","Salamat")</f>
        <v>Salamat</v>
      </c>
      <c r="G778" s="28" t="str">
        <f>HYPERLINK("http://api.nsgreg.nga.mil/geo-division/GENC/6/ed3/TD-SA","as:GENC:6:ed3:TD-SA")</f>
        <v>as:GENC:6:ed3:TD-SA</v>
      </c>
    </row>
    <row r="779" spans="1:7" x14ac:dyDescent="0.2">
      <c r="A779" s="85"/>
      <c r="B779" s="25" t="s">
        <v>3260</v>
      </c>
      <c r="C779" s="25" t="s">
        <v>3261</v>
      </c>
      <c r="D779" s="25" t="s">
        <v>2087</v>
      </c>
      <c r="E779" s="26" t="b">
        <v>1</v>
      </c>
      <c r="F779" s="27" t="str">
        <f>HYPERLINK("http://nsgreg.nga.mil/genc/view?v=213553&amp;end_month=12&amp;end_day=31&amp;end_year=2014","Sila")</f>
        <v>Sila</v>
      </c>
      <c r="G779" s="28" t="str">
        <f>HYPERLINK("http://api.nsgreg.nga.mil/geo-division/GENC/6/ed3/TD-SI","as:GENC:6:ed3:TD-SI")</f>
        <v>as:GENC:6:ed3:TD-SI</v>
      </c>
    </row>
    <row r="780" spans="1:7" x14ac:dyDescent="0.2">
      <c r="A780" s="85"/>
      <c r="B780" s="25" t="s">
        <v>3263</v>
      </c>
      <c r="C780" s="25" t="s">
        <v>3264</v>
      </c>
      <c r="D780" s="25" t="s">
        <v>2087</v>
      </c>
      <c r="E780" s="26" t="b">
        <v>1</v>
      </c>
      <c r="F780" s="27" t="str">
        <f>HYPERLINK("http://nsgreg.nga.mil/genc/view?v=213554&amp;end_month=12&amp;end_day=31&amp;end_year=2014","Tandjilé")</f>
        <v>Tandjilé</v>
      </c>
      <c r="G780" s="28" t="str">
        <f>HYPERLINK("http://api.nsgreg.nga.mil/geo-division/GENC/6/ed3/TD-TA","as:GENC:6:ed3:TD-TA")</f>
        <v>as:GENC:6:ed3:TD-TA</v>
      </c>
    </row>
    <row r="781" spans="1:7" x14ac:dyDescent="0.2">
      <c r="A781" s="85"/>
      <c r="B781" s="25" t="s">
        <v>3265</v>
      </c>
      <c r="C781" s="25" t="s">
        <v>3267</v>
      </c>
      <c r="D781" s="25" t="s">
        <v>2087</v>
      </c>
      <c r="E781" s="26" t="b">
        <v>1</v>
      </c>
      <c r="F781" s="27" t="str">
        <f>HYPERLINK("http://nsgreg.nga.mil/genc/view?v=213555&amp;end_month=12&amp;end_day=31&amp;end_year=2014","Tibesti")</f>
        <v>Tibesti</v>
      </c>
      <c r="G781" s="28" t="str">
        <f>HYPERLINK("http://api.nsgreg.nga.mil/geo-division/GENC/6/ed3/TD-TI","as:GENC:6:ed3:TD-TI")</f>
        <v>as:GENC:6:ed3:TD-TI</v>
      </c>
    </row>
    <row r="782" spans="1:7" x14ac:dyDescent="0.2">
      <c r="A782" s="85"/>
      <c r="B782" s="25" t="s">
        <v>3239</v>
      </c>
      <c r="C782" s="25" t="s">
        <v>12193</v>
      </c>
      <c r="D782" s="25" t="s">
        <v>2087</v>
      </c>
      <c r="E782" s="26" t="b">
        <v>1</v>
      </c>
      <c r="F782" s="27" t="str">
        <f>HYPERLINK("http://nsgreg.nga.mil/genc/view?v=213550&amp;end_month=12&amp;end_day=31&amp;end_year=2014","Ville de N’Djaména")</f>
        <v>Ville de N’Djaména</v>
      </c>
      <c r="G782" s="28" t="str">
        <f>HYPERLINK("http://api.nsgreg.nga.mil/geo-division/GENC/6/ed3/TD-ND","as:GENC:6:ed3:TD-ND")</f>
        <v>as:GENC:6:ed3:TD-ND</v>
      </c>
    </row>
    <row r="783" spans="1:7" x14ac:dyDescent="0.2">
      <c r="A783" s="86"/>
      <c r="B783" s="29" t="s">
        <v>3271</v>
      </c>
      <c r="C783" s="29" t="s">
        <v>3272</v>
      </c>
      <c r="D783" s="29" t="s">
        <v>2087</v>
      </c>
      <c r="E783" s="30" t="b">
        <v>1</v>
      </c>
      <c r="F783" s="31" t="str">
        <f>HYPERLINK("http://nsgreg.nga.mil/genc/view?v=213556&amp;end_month=12&amp;end_day=31&amp;end_year=2014","Wadi Fira")</f>
        <v>Wadi Fira</v>
      </c>
      <c r="G783" s="32" t="str">
        <f>HYPERLINK("http://api.nsgreg.nga.mil/geo-division/GENC/6/ed3/TD-WF","as:GENC:6:ed3:TD-WF")</f>
        <v>as:GENC:6:ed3:TD-WF</v>
      </c>
    </row>
    <row r="784" spans="1:7" x14ac:dyDescent="0.2">
      <c r="A784" s="84" t="str">
        <f>HYPERLINK("[#]Codes_for_GE_Names!A52:I52","CHILE")</f>
        <v>CHILE</v>
      </c>
      <c r="B784" s="33" t="s">
        <v>3277</v>
      </c>
      <c r="C784" s="33" t="s">
        <v>3278</v>
      </c>
      <c r="D784" s="33" t="s">
        <v>2087</v>
      </c>
      <c r="E784" s="34" t="b">
        <v>1</v>
      </c>
      <c r="F784" s="35" t="str">
        <f>HYPERLINK("http://nsgreg.nga.mil/genc/view?v=118507&amp;gencs=T&amp;end_month=12&amp;end_day=31&amp;end_year=2014","Antofagasta")</f>
        <v>Antofagasta</v>
      </c>
      <c r="G784" s="36" t="str">
        <f>HYPERLINK("http://api.nsgreg.nga.mil/geo-division/GENC/6/ed3/CL-AN","as:GENC:6:ed3:CL-AN")</f>
        <v>as:GENC:6:ed3:CL-AN</v>
      </c>
    </row>
    <row r="785" spans="1:7" x14ac:dyDescent="0.2">
      <c r="A785" s="85"/>
      <c r="B785" s="25" t="s">
        <v>3279</v>
      </c>
      <c r="C785" s="25" t="s">
        <v>3280</v>
      </c>
      <c r="D785" s="25" t="s">
        <v>2087</v>
      </c>
      <c r="E785" s="26" t="b">
        <v>1</v>
      </c>
      <c r="F785" s="27" t="str">
        <f>HYPERLINK("http://nsgreg.nga.mil/genc/view?v=118509&amp;gencs=T&amp;end_month=12&amp;end_day=31&amp;end_year=2014","Araucanía")</f>
        <v>Araucanía</v>
      </c>
      <c r="G785" s="28" t="str">
        <f>HYPERLINK("http://api.nsgreg.nga.mil/geo-division/GENC/6/ed3/CL-AR","as:GENC:6:ed3:CL-AR")</f>
        <v>as:GENC:6:ed3:CL-AR</v>
      </c>
    </row>
    <row r="786" spans="1:7" x14ac:dyDescent="0.2">
      <c r="A786" s="85"/>
      <c r="B786" s="25" t="s">
        <v>3281</v>
      </c>
      <c r="C786" s="25" t="s">
        <v>3282</v>
      </c>
      <c r="D786" s="25" t="s">
        <v>2087</v>
      </c>
      <c r="E786" s="26" t="b">
        <v>1</v>
      </c>
      <c r="F786" s="27" t="str">
        <f>HYPERLINK("http://nsgreg.nga.mil/genc/view?v=118508&amp;gencs=T&amp;end_month=12&amp;end_day=31&amp;end_year=2014","Arica y Parinacota")</f>
        <v>Arica y Parinacota</v>
      </c>
      <c r="G786" s="28" t="str">
        <f>HYPERLINK("http://api.nsgreg.nga.mil/geo-division/GENC/6/ed3/CL-AP","as:GENC:6:ed3:CL-AP")</f>
        <v>as:GENC:6:ed3:CL-AP</v>
      </c>
    </row>
    <row r="787" spans="1:7" x14ac:dyDescent="0.2">
      <c r="A787" s="85"/>
      <c r="B787" s="25" t="s">
        <v>3283</v>
      </c>
      <c r="C787" s="25" t="s">
        <v>3284</v>
      </c>
      <c r="D787" s="25" t="s">
        <v>2087</v>
      </c>
      <c r="E787" s="26" t="b">
        <v>1</v>
      </c>
      <c r="F787" s="27" t="str">
        <f>HYPERLINK("http://nsgreg.nga.mil/genc/view?v=118510&amp;gencs=T&amp;end_month=12&amp;end_day=31&amp;end_year=2014","Atacama")</f>
        <v>Atacama</v>
      </c>
      <c r="G787" s="28" t="str">
        <f>HYPERLINK("http://api.nsgreg.nga.mil/geo-division/GENC/6/ed3/CL-AT","as:GENC:6:ed3:CL-AT")</f>
        <v>as:GENC:6:ed3:CL-AT</v>
      </c>
    </row>
    <row r="788" spans="1:7" x14ac:dyDescent="0.2">
      <c r="A788" s="85"/>
      <c r="B788" s="25" t="s">
        <v>3275</v>
      </c>
      <c r="C788" s="25" t="s">
        <v>12194</v>
      </c>
      <c r="D788" s="25" t="s">
        <v>2087</v>
      </c>
      <c r="E788" s="26" t="b">
        <v>1</v>
      </c>
      <c r="F788" s="27" t="str">
        <f>HYPERLINK("http://nsgreg.nga.mil/genc/view?v=118506&amp;gencs=T&amp;end_month=12&amp;end_day=31&amp;end_year=2014","Aysén")</f>
        <v>Aysén</v>
      </c>
      <c r="G788" s="28" t="str">
        <f>HYPERLINK("http://api.nsgreg.nga.mil/geo-division/GENC/6/ed3/CL-AI","as:GENC:6:ed3:CL-AI")</f>
        <v>as:GENC:6:ed3:CL-AI</v>
      </c>
    </row>
    <row r="789" spans="1:7" x14ac:dyDescent="0.2">
      <c r="A789" s="85"/>
      <c r="B789" s="25" t="s">
        <v>3285</v>
      </c>
      <c r="C789" s="25" t="s">
        <v>12195</v>
      </c>
      <c r="D789" s="25" t="s">
        <v>2087</v>
      </c>
      <c r="E789" s="26" t="b">
        <v>1</v>
      </c>
      <c r="F789" s="27" t="str">
        <f>HYPERLINK("http://nsgreg.nga.mil/genc/view?v=118511&amp;gencs=T&amp;end_month=12&amp;end_day=31&amp;end_year=2014","Biobío")</f>
        <v>Biobío</v>
      </c>
      <c r="G789" s="28" t="str">
        <f>HYPERLINK("http://api.nsgreg.nga.mil/geo-division/GENC/6/ed3/CL-BI","as:GENC:6:ed3:CL-BI")</f>
        <v>as:GENC:6:ed3:CL-BI</v>
      </c>
    </row>
    <row r="790" spans="1:7" x14ac:dyDescent="0.2">
      <c r="A790" s="85"/>
      <c r="B790" s="25" t="s">
        <v>3287</v>
      </c>
      <c r="C790" s="25" t="s">
        <v>3288</v>
      </c>
      <c r="D790" s="25" t="s">
        <v>2087</v>
      </c>
      <c r="E790" s="26" t="b">
        <v>1</v>
      </c>
      <c r="F790" s="27" t="str">
        <f>HYPERLINK("http://nsgreg.nga.mil/genc/view?v=118512&amp;gencs=T&amp;end_month=12&amp;end_day=31&amp;end_year=2014","Coquimbo")</f>
        <v>Coquimbo</v>
      </c>
      <c r="G790" s="28" t="str">
        <f>HYPERLINK("http://api.nsgreg.nga.mil/geo-division/GENC/6/ed3/CL-CO","as:GENC:6:ed3:CL-CO")</f>
        <v>as:GENC:6:ed3:CL-CO</v>
      </c>
    </row>
    <row r="791" spans="1:7" x14ac:dyDescent="0.2">
      <c r="A791" s="85"/>
      <c r="B791" s="25" t="s">
        <v>3289</v>
      </c>
      <c r="C791" s="25" t="s">
        <v>12196</v>
      </c>
      <c r="D791" s="25" t="s">
        <v>2087</v>
      </c>
      <c r="E791" s="26" t="b">
        <v>1</v>
      </c>
      <c r="F791" s="27" t="str">
        <f>HYPERLINK("http://nsgreg.nga.mil/genc/view?v=211491&amp;end_month=12&amp;end_day=31&amp;end_year=2014","Libertador General Bernardo O’Higgins")</f>
        <v>Libertador General Bernardo O’Higgins</v>
      </c>
      <c r="G791" s="28" t="str">
        <f>HYPERLINK("http://api.nsgreg.nga.mil/geo-division/GENC/6/ed3/CL-LI","as:GENC:6:ed3:CL-LI")</f>
        <v>as:GENC:6:ed3:CL-LI</v>
      </c>
    </row>
    <row r="792" spans="1:7" x14ac:dyDescent="0.2">
      <c r="A792" s="85"/>
      <c r="B792" s="25" t="s">
        <v>3291</v>
      </c>
      <c r="C792" s="25" t="s">
        <v>3292</v>
      </c>
      <c r="D792" s="25" t="s">
        <v>2087</v>
      </c>
      <c r="E792" s="26" t="b">
        <v>1</v>
      </c>
      <c r="F792" s="27" t="str">
        <f>HYPERLINK("http://nsgreg.nga.mil/genc/view?v=118514&amp;gencs=T&amp;end_month=12&amp;end_day=31&amp;end_year=2014","Los Lagos")</f>
        <v>Los Lagos</v>
      </c>
      <c r="G792" s="28" t="str">
        <f>HYPERLINK("http://api.nsgreg.nga.mil/geo-division/GENC/6/ed3/CL-LL","as:GENC:6:ed3:CL-LL")</f>
        <v>as:GENC:6:ed3:CL-LL</v>
      </c>
    </row>
    <row r="793" spans="1:7" x14ac:dyDescent="0.2">
      <c r="A793" s="85"/>
      <c r="B793" s="25" t="s">
        <v>3293</v>
      </c>
      <c r="C793" s="25" t="s">
        <v>3294</v>
      </c>
      <c r="D793" s="25" t="s">
        <v>2087</v>
      </c>
      <c r="E793" s="26" t="b">
        <v>1</v>
      </c>
      <c r="F793" s="27" t="str">
        <f>HYPERLINK("http://nsgreg.nga.mil/genc/view?v=118515&amp;gencs=T&amp;end_month=12&amp;end_day=31&amp;end_year=2014","Los Ríos")</f>
        <v>Los Ríos</v>
      </c>
      <c r="G793" s="28" t="str">
        <f>HYPERLINK("http://api.nsgreg.nga.mil/geo-division/GENC/6/ed3/CL-LR","as:GENC:6:ed3:CL-LR")</f>
        <v>as:GENC:6:ed3:CL-LR</v>
      </c>
    </row>
    <row r="794" spans="1:7" x14ac:dyDescent="0.2">
      <c r="A794" s="85"/>
      <c r="B794" s="25" t="s">
        <v>3295</v>
      </c>
      <c r="C794" s="25" t="s">
        <v>12197</v>
      </c>
      <c r="D794" s="25" t="s">
        <v>2087</v>
      </c>
      <c r="E794" s="26" t="b">
        <v>1</v>
      </c>
      <c r="F794" s="27" t="str">
        <f>HYPERLINK("http://nsgreg.nga.mil/genc/view?v=211492&amp;end_month=12&amp;end_day=31&amp;end_year=2014","Magallanes y de la Antártica Chilena")</f>
        <v>Magallanes y de la Antártica Chilena</v>
      </c>
      <c r="G794" s="28" t="str">
        <f>HYPERLINK("http://api.nsgreg.nga.mil/geo-division/GENC/6/ed3/CL-MA","as:GENC:6:ed3:CL-MA")</f>
        <v>as:GENC:6:ed3:CL-MA</v>
      </c>
    </row>
    <row r="795" spans="1:7" x14ac:dyDescent="0.2">
      <c r="A795" s="85"/>
      <c r="B795" s="25" t="s">
        <v>3297</v>
      </c>
      <c r="C795" s="25" t="s">
        <v>3298</v>
      </c>
      <c r="D795" s="25" t="s">
        <v>2087</v>
      </c>
      <c r="E795" s="26" t="b">
        <v>1</v>
      </c>
      <c r="F795" s="27" t="str">
        <f>HYPERLINK("http://nsgreg.nga.mil/genc/view?v=118517&amp;gencs=T&amp;end_month=12&amp;end_day=31&amp;end_year=2014","Maule")</f>
        <v>Maule</v>
      </c>
      <c r="G795" s="28" t="str">
        <f>HYPERLINK("http://api.nsgreg.nga.mil/geo-division/GENC/6/ed3/CL-ML","as:GENC:6:ed3:CL-ML")</f>
        <v>as:GENC:6:ed3:CL-ML</v>
      </c>
    </row>
    <row r="796" spans="1:7" x14ac:dyDescent="0.2">
      <c r="A796" s="85"/>
      <c r="B796" s="25" t="s">
        <v>3299</v>
      </c>
      <c r="C796" s="25" t="s">
        <v>12198</v>
      </c>
      <c r="D796" s="25" t="s">
        <v>2087</v>
      </c>
      <c r="E796" s="26" t="b">
        <v>1</v>
      </c>
      <c r="F796" s="27" t="str">
        <f>HYPERLINK("http://nsgreg.nga.mil/genc/view?v=211493&amp;end_month=12&amp;end_day=31&amp;end_year=2014","Región Metropolitana")</f>
        <v>Región Metropolitana</v>
      </c>
      <c r="G796" s="28" t="str">
        <f>HYPERLINK("http://api.nsgreg.nga.mil/geo-division/GENC/6/ed3/CL-RM","as:GENC:6:ed3:CL-RM")</f>
        <v>as:GENC:6:ed3:CL-RM</v>
      </c>
    </row>
    <row r="797" spans="1:7" x14ac:dyDescent="0.2">
      <c r="A797" s="85"/>
      <c r="B797" s="25" t="s">
        <v>3301</v>
      </c>
      <c r="C797" s="25" t="s">
        <v>3302</v>
      </c>
      <c r="D797" s="25" t="s">
        <v>2087</v>
      </c>
      <c r="E797" s="26" t="b">
        <v>1</v>
      </c>
      <c r="F797" s="27" t="str">
        <f>HYPERLINK("http://nsgreg.nga.mil/genc/view?v=118519&amp;gencs=T&amp;end_month=12&amp;end_day=31&amp;end_year=2014","Tarapacá")</f>
        <v>Tarapacá</v>
      </c>
      <c r="G797" s="28" t="str">
        <f>HYPERLINK("http://api.nsgreg.nga.mil/geo-division/GENC/6/ed3/CL-TA","as:GENC:6:ed3:CL-TA")</f>
        <v>as:GENC:6:ed3:CL-TA</v>
      </c>
    </row>
    <row r="798" spans="1:7" x14ac:dyDescent="0.2">
      <c r="A798" s="86"/>
      <c r="B798" s="29" t="s">
        <v>3303</v>
      </c>
      <c r="C798" s="29" t="s">
        <v>3304</v>
      </c>
      <c r="D798" s="29" t="s">
        <v>2087</v>
      </c>
      <c r="E798" s="30" t="b">
        <v>1</v>
      </c>
      <c r="F798" s="31" t="str">
        <f>HYPERLINK("http://nsgreg.nga.mil/genc/view?v=118520&amp;gencs=T&amp;end_month=12&amp;end_day=31&amp;end_year=2014","Valparaíso")</f>
        <v>Valparaíso</v>
      </c>
      <c r="G798" s="32" t="str">
        <f>HYPERLINK("http://api.nsgreg.nga.mil/geo-division/GENC/6/ed3/CL-VS","as:GENC:6:ed3:CL-VS")</f>
        <v>as:GENC:6:ed3:CL-VS</v>
      </c>
    </row>
    <row r="799" spans="1:7" x14ac:dyDescent="0.2">
      <c r="A799" s="84" t="str">
        <f>HYPERLINK("[#]Codes_for_GE_Names!A53:I53","CHINA")</f>
        <v>CHINA</v>
      </c>
      <c r="B799" s="33" t="s">
        <v>3305</v>
      </c>
      <c r="C799" s="33" t="s">
        <v>3306</v>
      </c>
      <c r="D799" s="33" t="s">
        <v>1719</v>
      </c>
      <c r="E799" s="34" t="b">
        <v>1</v>
      </c>
      <c r="F799" s="35" t="str">
        <f>HYPERLINK("http://nsgreg.nga.mil/genc/view?v=118542&amp;gencs=T&amp;end_month=12&amp;end_day=31&amp;end_year=2014","Anhui")</f>
        <v>Anhui</v>
      </c>
      <c r="G799" s="36" t="str">
        <f>HYPERLINK("http://api.nsgreg.nga.mil/geo-division/GENC/6/ed3/CN-34","as:GENC:6:ed3:CN-34")</f>
        <v>as:GENC:6:ed3:CN-34</v>
      </c>
    </row>
    <row r="800" spans="1:7" x14ac:dyDescent="0.2">
      <c r="A800" s="85"/>
      <c r="B800" s="25" t="s">
        <v>3310</v>
      </c>
      <c r="C800" s="25" t="s">
        <v>3311</v>
      </c>
      <c r="D800" s="25" t="s">
        <v>2164</v>
      </c>
      <c r="E800" s="26" t="b">
        <v>1</v>
      </c>
      <c r="F800" s="27" t="str">
        <f>HYPERLINK("http://nsgreg.nga.mil/genc/view?v=118531&amp;gencs=T&amp;end_month=12&amp;end_day=31&amp;end_year=2014","Beijing")</f>
        <v>Beijing</v>
      </c>
      <c r="G800" s="28" t="str">
        <f>HYPERLINK("http://api.nsgreg.nga.mil/geo-division/GENC/6/ed3/CN-11","as:GENC:6:ed3:CN-11")</f>
        <v>as:GENC:6:ed3:CN-11</v>
      </c>
    </row>
    <row r="801" spans="1:7" x14ac:dyDescent="0.2">
      <c r="A801" s="85"/>
      <c r="B801" s="25" t="s">
        <v>3312</v>
      </c>
      <c r="C801" s="25" t="s">
        <v>3313</v>
      </c>
      <c r="D801" s="25" t="s">
        <v>2164</v>
      </c>
      <c r="E801" s="26" t="b">
        <v>1</v>
      </c>
      <c r="F801" s="27" t="str">
        <f>HYPERLINK("http://nsgreg.nga.mil/genc/view?v=118552&amp;gencs=T&amp;end_month=12&amp;end_day=31&amp;end_year=2014","Chongqing")</f>
        <v>Chongqing</v>
      </c>
      <c r="G801" s="28" t="str">
        <f>HYPERLINK("http://api.nsgreg.nga.mil/geo-division/GENC/6/ed3/CN-50","as:GENC:6:ed3:CN-50")</f>
        <v>as:GENC:6:ed3:CN-50</v>
      </c>
    </row>
    <row r="802" spans="1:7" x14ac:dyDescent="0.2">
      <c r="A802" s="85"/>
      <c r="B802" s="25" t="s">
        <v>3314</v>
      </c>
      <c r="C802" s="25" t="s">
        <v>3315</v>
      </c>
      <c r="D802" s="25" t="s">
        <v>1719</v>
      </c>
      <c r="E802" s="26" t="b">
        <v>1</v>
      </c>
      <c r="F802" s="27" t="str">
        <f>HYPERLINK("http://nsgreg.nga.mil/genc/view?v=118543&amp;gencs=T&amp;end_month=12&amp;end_day=31&amp;end_year=2014","Fujian")</f>
        <v>Fujian</v>
      </c>
      <c r="G802" s="28" t="str">
        <f>HYPERLINK("http://api.nsgreg.nga.mil/geo-division/GENC/6/ed3/CN-35","as:GENC:6:ed3:CN-35")</f>
        <v>as:GENC:6:ed3:CN-35</v>
      </c>
    </row>
    <row r="803" spans="1:7" x14ac:dyDescent="0.2">
      <c r="A803" s="85"/>
      <c r="B803" s="25" t="s">
        <v>3316</v>
      </c>
      <c r="C803" s="25" t="s">
        <v>3317</v>
      </c>
      <c r="D803" s="25" t="s">
        <v>1719</v>
      </c>
      <c r="E803" s="26" t="b">
        <v>1</v>
      </c>
      <c r="F803" s="27" t="str">
        <f>HYPERLINK("http://nsgreg.nga.mil/genc/view?v=118558&amp;gencs=T&amp;end_month=12&amp;end_day=31&amp;end_year=2014","Gansu")</f>
        <v>Gansu</v>
      </c>
      <c r="G803" s="28" t="str">
        <f>HYPERLINK("http://api.nsgreg.nga.mil/geo-division/GENC/6/ed3/CN-62","as:GENC:6:ed3:CN-62")</f>
        <v>as:GENC:6:ed3:CN-62</v>
      </c>
    </row>
    <row r="804" spans="1:7" x14ac:dyDescent="0.2">
      <c r="A804" s="85"/>
      <c r="B804" s="25" t="s">
        <v>3318</v>
      </c>
      <c r="C804" s="25" t="s">
        <v>3319</v>
      </c>
      <c r="D804" s="25" t="s">
        <v>1719</v>
      </c>
      <c r="E804" s="26" t="b">
        <v>1</v>
      </c>
      <c r="F804" s="27" t="str">
        <f>HYPERLINK("http://nsgreg.nga.mil/genc/view?v=118549&amp;gencs=T&amp;end_month=12&amp;end_day=31&amp;end_year=2014","Guangdong")</f>
        <v>Guangdong</v>
      </c>
      <c r="G804" s="28" t="str">
        <f>HYPERLINK("http://api.nsgreg.nga.mil/geo-division/GENC/6/ed3/CN-44","as:GENC:6:ed3:CN-44")</f>
        <v>as:GENC:6:ed3:CN-44</v>
      </c>
    </row>
    <row r="805" spans="1:7" x14ac:dyDescent="0.2">
      <c r="A805" s="85"/>
      <c r="B805" s="25" t="s">
        <v>3320</v>
      </c>
      <c r="C805" s="25" t="s">
        <v>3321</v>
      </c>
      <c r="D805" s="25" t="s">
        <v>3322</v>
      </c>
      <c r="E805" s="26" t="b">
        <v>1</v>
      </c>
      <c r="F805" s="27" t="str">
        <f>HYPERLINK("http://nsgreg.nga.mil/genc/view?v=118550&amp;gencs=T&amp;end_month=12&amp;end_day=31&amp;end_year=2014","Guangxi")</f>
        <v>Guangxi</v>
      </c>
      <c r="G805" s="28" t="str">
        <f>HYPERLINK("http://api.nsgreg.nga.mil/geo-division/GENC/6/ed3/CN-45","as:GENC:6:ed3:CN-45")</f>
        <v>as:GENC:6:ed3:CN-45</v>
      </c>
    </row>
    <row r="806" spans="1:7" x14ac:dyDescent="0.2">
      <c r="A806" s="85"/>
      <c r="B806" s="25" t="s">
        <v>3323</v>
      </c>
      <c r="C806" s="25" t="s">
        <v>3324</v>
      </c>
      <c r="D806" s="25" t="s">
        <v>1719</v>
      </c>
      <c r="E806" s="26" t="b">
        <v>1</v>
      </c>
      <c r="F806" s="27" t="str">
        <f>HYPERLINK("http://nsgreg.nga.mil/genc/view?v=118554&amp;gencs=T&amp;end_month=12&amp;end_day=31&amp;end_year=2014","Guizhou")</f>
        <v>Guizhou</v>
      </c>
      <c r="G806" s="28" t="str">
        <f>HYPERLINK("http://api.nsgreg.nga.mil/geo-division/GENC/6/ed3/CN-52","as:GENC:6:ed3:CN-52")</f>
        <v>as:GENC:6:ed3:CN-52</v>
      </c>
    </row>
    <row r="807" spans="1:7" x14ac:dyDescent="0.2">
      <c r="A807" s="85"/>
      <c r="B807" s="25" t="s">
        <v>3325</v>
      </c>
      <c r="C807" s="25" t="s">
        <v>3326</v>
      </c>
      <c r="D807" s="25" t="s">
        <v>1719</v>
      </c>
      <c r="E807" s="26" t="b">
        <v>1</v>
      </c>
      <c r="F807" s="27" t="str">
        <f>HYPERLINK("http://nsgreg.nga.mil/genc/view?v=118551&amp;gencs=T&amp;end_month=12&amp;end_day=31&amp;end_year=2014","Hainan")</f>
        <v>Hainan</v>
      </c>
      <c r="G807" s="28" t="str">
        <f>HYPERLINK("http://api.nsgreg.nga.mil/geo-division/GENC/6/ed3/CN-46","as:GENC:6:ed3:CN-46")</f>
        <v>as:GENC:6:ed3:CN-46</v>
      </c>
    </row>
    <row r="808" spans="1:7" x14ac:dyDescent="0.2">
      <c r="A808" s="85"/>
      <c r="B808" s="25" t="s">
        <v>3327</v>
      </c>
      <c r="C808" s="25" t="s">
        <v>3328</v>
      </c>
      <c r="D808" s="25" t="s">
        <v>1719</v>
      </c>
      <c r="E808" s="26" t="b">
        <v>1</v>
      </c>
      <c r="F808" s="27" t="str">
        <f>HYPERLINK("http://nsgreg.nga.mil/genc/view?v=118533&amp;gencs=T&amp;end_month=12&amp;end_day=31&amp;end_year=2014","Hebei")</f>
        <v>Hebei</v>
      </c>
      <c r="G808" s="28" t="str">
        <f>HYPERLINK("http://api.nsgreg.nga.mil/geo-division/GENC/6/ed3/CN-13","as:GENC:6:ed3:CN-13")</f>
        <v>as:GENC:6:ed3:CN-13</v>
      </c>
    </row>
    <row r="809" spans="1:7" x14ac:dyDescent="0.2">
      <c r="A809" s="85"/>
      <c r="B809" s="25" t="s">
        <v>3329</v>
      </c>
      <c r="C809" s="25" t="s">
        <v>3330</v>
      </c>
      <c r="D809" s="25" t="s">
        <v>1719</v>
      </c>
      <c r="E809" s="26" t="b">
        <v>1</v>
      </c>
      <c r="F809" s="27" t="str">
        <f>HYPERLINK("http://nsgreg.nga.mil/genc/view?v=118538&amp;gencs=T&amp;end_month=12&amp;end_day=31&amp;end_year=2014","Heilongjiang")</f>
        <v>Heilongjiang</v>
      </c>
      <c r="G809" s="28" t="str">
        <f>HYPERLINK("http://api.nsgreg.nga.mil/geo-division/GENC/6/ed3/CN-23","as:GENC:6:ed3:CN-23")</f>
        <v>as:GENC:6:ed3:CN-23</v>
      </c>
    </row>
    <row r="810" spans="1:7" x14ac:dyDescent="0.2">
      <c r="A810" s="85"/>
      <c r="B810" s="25" t="s">
        <v>3331</v>
      </c>
      <c r="C810" s="25" t="s">
        <v>3332</v>
      </c>
      <c r="D810" s="25" t="s">
        <v>1719</v>
      </c>
      <c r="E810" s="26" t="b">
        <v>1</v>
      </c>
      <c r="F810" s="27" t="str">
        <f>HYPERLINK("http://nsgreg.nga.mil/genc/view?v=118546&amp;gencs=T&amp;end_month=12&amp;end_day=31&amp;end_year=2014","Henan")</f>
        <v>Henan</v>
      </c>
      <c r="G810" s="28" t="str">
        <f>HYPERLINK("http://api.nsgreg.nga.mil/geo-division/GENC/6/ed3/CN-41","as:GENC:6:ed3:CN-41")</f>
        <v>as:GENC:6:ed3:CN-41</v>
      </c>
    </row>
    <row r="811" spans="1:7" x14ac:dyDescent="0.2">
      <c r="A811" s="85"/>
      <c r="B811" s="25" t="s">
        <v>3334</v>
      </c>
      <c r="C811" s="25" t="s">
        <v>3335</v>
      </c>
      <c r="D811" s="25" t="s">
        <v>1719</v>
      </c>
      <c r="E811" s="26" t="b">
        <v>1</v>
      </c>
      <c r="F811" s="27" t="str">
        <f>HYPERLINK("http://nsgreg.nga.mil/genc/view?v=118547&amp;gencs=T&amp;end_month=12&amp;end_day=31&amp;end_year=2014","Hubei")</f>
        <v>Hubei</v>
      </c>
      <c r="G811" s="28" t="str">
        <f>HYPERLINK("http://api.nsgreg.nga.mil/geo-division/GENC/6/ed3/CN-42","as:GENC:6:ed3:CN-42")</f>
        <v>as:GENC:6:ed3:CN-42</v>
      </c>
    </row>
    <row r="812" spans="1:7" x14ac:dyDescent="0.2">
      <c r="A812" s="85"/>
      <c r="B812" s="25" t="s">
        <v>3336</v>
      </c>
      <c r="C812" s="25" t="s">
        <v>3337</v>
      </c>
      <c r="D812" s="25" t="s">
        <v>1719</v>
      </c>
      <c r="E812" s="26" t="b">
        <v>1</v>
      </c>
      <c r="F812" s="27" t="str">
        <f>HYPERLINK("http://nsgreg.nga.mil/genc/view?v=118548&amp;gencs=T&amp;end_month=12&amp;end_day=31&amp;end_year=2014","Hunan")</f>
        <v>Hunan</v>
      </c>
      <c r="G812" s="28" t="str">
        <f>HYPERLINK("http://api.nsgreg.nga.mil/geo-division/GENC/6/ed3/CN-43","as:GENC:6:ed3:CN-43")</f>
        <v>as:GENC:6:ed3:CN-43</v>
      </c>
    </row>
    <row r="813" spans="1:7" x14ac:dyDescent="0.2">
      <c r="A813" s="85"/>
      <c r="B813" s="25" t="s">
        <v>3347</v>
      </c>
      <c r="C813" s="25" t="s">
        <v>12199</v>
      </c>
      <c r="D813" s="25" t="s">
        <v>3322</v>
      </c>
      <c r="E813" s="26" t="b">
        <v>1</v>
      </c>
      <c r="F813" s="27" t="str">
        <f>HYPERLINK("http://nsgreg.nga.mil/genc/view?v=211494&amp;end_month=12&amp;end_day=31&amp;end_year=2014","Inner Mongolia")</f>
        <v>Inner Mongolia</v>
      </c>
      <c r="G813" s="28" t="str">
        <f>HYPERLINK("http://api.nsgreg.nga.mil/geo-division/GENC/6/ed3/CN-15","as:GENC:6:ed3:CN-15")</f>
        <v>as:GENC:6:ed3:CN-15</v>
      </c>
    </row>
    <row r="814" spans="1:7" x14ac:dyDescent="0.2">
      <c r="A814" s="85"/>
      <c r="B814" s="25" t="s">
        <v>3338</v>
      </c>
      <c r="C814" s="25" t="s">
        <v>3339</v>
      </c>
      <c r="D814" s="25" t="s">
        <v>1719</v>
      </c>
      <c r="E814" s="26" t="b">
        <v>1</v>
      </c>
      <c r="F814" s="27" t="str">
        <f>HYPERLINK("http://nsgreg.nga.mil/genc/view?v=118540&amp;gencs=T&amp;end_month=12&amp;end_day=31&amp;end_year=2014","Jiangsu")</f>
        <v>Jiangsu</v>
      </c>
      <c r="G814" s="28" t="str">
        <f>HYPERLINK("http://api.nsgreg.nga.mil/geo-division/GENC/6/ed3/CN-32","as:GENC:6:ed3:CN-32")</f>
        <v>as:GENC:6:ed3:CN-32</v>
      </c>
    </row>
    <row r="815" spans="1:7" x14ac:dyDescent="0.2">
      <c r="A815" s="85"/>
      <c r="B815" s="25" t="s">
        <v>3340</v>
      </c>
      <c r="C815" s="25" t="s">
        <v>3341</v>
      </c>
      <c r="D815" s="25" t="s">
        <v>1719</v>
      </c>
      <c r="E815" s="26" t="b">
        <v>1</v>
      </c>
      <c r="F815" s="27" t="str">
        <f>HYPERLINK("http://nsgreg.nga.mil/genc/view?v=118544&amp;gencs=T&amp;end_month=12&amp;end_day=31&amp;end_year=2014","Jiangxi")</f>
        <v>Jiangxi</v>
      </c>
      <c r="G815" s="28" t="str">
        <f>HYPERLINK("http://api.nsgreg.nga.mil/geo-division/GENC/6/ed3/CN-36","as:GENC:6:ed3:CN-36")</f>
        <v>as:GENC:6:ed3:CN-36</v>
      </c>
    </row>
    <row r="816" spans="1:7" x14ac:dyDescent="0.2">
      <c r="A816" s="85"/>
      <c r="B816" s="25" t="s">
        <v>3342</v>
      </c>
      <c r="C816" s="25" t="s">
        <v>3343</v>
      </c>
      <c r="D816" s="25" t="s">
        <v>1719</v>
      </c>
      <c r="E816" s="26" t="b">
        <v>1</v>
      </c>
      <c r="F816" s="27" t="str">
        <f>HYPERLINK("http://nsgreg.nga.mil/genc/view?v=118537&amp;gencs=T&amp;end_month=12&amp;end_day=31&amp;end_year=2014","Jilin")</f>
        <v>Jilin</v>
      </c>
      <c r="G816" s="28" t="str">
        <f>HYPERLINK("http://api.nsgreg.nga.mil/geo-division/GENC/6/ed3/CN-22","as:GENC:6:ed3:CN-22")</f>
        <v>as:GENC:6:ed3:CN-22</v>
      </c>
    </row>
    <row r="817" spans="1:7" x14ac:dyDescent="0.2">
      <c r="A817" s="85"/>
      <c r="B817" s="25" t="s">
        <v>3344</v>
      </c>
      <c r="C817" s="25" t="s">
        <v>3345</v>
      </c>
      <c r="D817" s="25" t="s">
        <v>1719</v>
      </c>
      <c r="E817" s="26" t="b">
        <v>1</v>
      </c>
      <c r="F817" s="27" t="str">
        <f>HYPERLINK("http://nsgreg.nga.mil/genc/view?v=118536&amp;gencs=T&amp;end_month=12&amp;end_day=31&amp;end_year=2014","Liaoning")</f>
        <v>Liaoning</v>
      </c>
      <c r="G817" s="28" t="str">
        <f>HYPERLINK("http://api.nsgreg.nga.mil/geo-division/GENC/6/ed3/CN-21","as:GENC:6:ed3:CN-21")</f>
        <v>as:GENC:6:ed3:CN-21</v>
      </c>
    </row>
    <row r="818" spans="1:7" x14ac:dyDescent="0.2">
      <c r="A818" s="85"/>
      <c r="B818" s="25" t="s">
        <v>3349</v>
      </c>
      <c r="C818" s="25" t="s">
        <v>3350</v>
      </c>
      <c r="D818" s="25" t="s">
        <v>3322</v>
      </c>
      <c r="E818" s="26" t="b">
        <v>1</v>
      </c>
      <c r="F818" s="27" t="str">
        <f>HYPERLINK("http://nsgreg.nga.mil/genc/view?v=118560&amp;gencs=T&amp;end_month=12&amp;end_day=31&amp;end_year=2014","Ningxia")</f>
        <v>Ningxia</v>
      </c>
      <c r="G818" s="28" t="str">
        <f>HYPERLINK("http://api.nsgreg.nga.mil/geo-division/GENC/6/ed3/CN-64","as:GENC:6:ed3:CN-64")</f>
        <v>as:GENC:6:ed3:CN-64</v>
      </c>
    </row>
    <row r="819" spans="1:7" x14ac:dyDescent="0.2">
      <c r="A819" s="85"/>
      <c r="B819" s="25" t="s">
        <v>3351</v>
      </c>
      <c r="C819" s="25" t="s">
        <v>3352</v>
      </c>
      <c r="D819" s="25" t="s">
        <v>1719</v>
      </c>
      <c r="E819" s="26" t="b">
        <v>1</v>
      </c>
      <c r="F819" s="27" t="str">
        <f>HYPERLINK("http://nsgreg.nga.mil/genc/view?v=118559&amp;gencs=T&amp;end_month=12&amp;end_day=31&amp;end_year=2014","Qinghai")</f>
        <v>Qinghai</v>
      </c>
      <c r="G819" s="28" t="str">
        <f>HYPERLINK("http://api.nsgreg.nga.mil/geo-division/GENC/6/ed3/CN-63","as:GENC:6:ed3:CN-63")</f>
        <v>as:GENC:6:ed3:CN-63</v>
      </c>
    </row>
    <row r="820" spans="1:7" x14ac:dyDescent="0.2">
      <c r="A820" s="85"/>
      <c r="B820" s="25" t="s">
        <v>3353</v>
      </c>
      <c r="C820" s="25" t="s">
        <v>3354</v>
      </c>
      <c r="D820" s="25" t="s">
        <v>1719</v>
      </c>
      <c r="E820" s="26" t="b">
        <v>1</v>
      </c>
      <c r="F820" s="27" t="str">
        <f>HYPERLINK("http://nsgreg.nga.mil/genc/view?v=118557&amp;gencs=T&amp;end_month=12&amp;end_day=31&amp;end_year=2014","Shaanxi")</f>
        <v>Shaanxi</v>
      </c>
      <c r="G820" s="28" t="str">
        <f>HYPERLINK("http://api.nsgreg.nga.mil/geo-division/GENC/6/ed3/CN-61","as:GENC:6:ed3:CN-61")</f>
        <v>as:GENC:6:ed3:CN-61</v>
      </c>
    </row>
    <row r="821" spans="1:7" x14ac:dyDescent="0.2">
      <c r="A821" s="85"/>
      <c r="B821" s="25" t="s">
        <v>3355</v>
      </c>
      <c r="C821" s="25" t="s">
        <v>3356</v>
      </c>
      <c r="D821" s="25" t="s">
        <v>1719</v>
      </c>
      <c r="E821" s="26" t="b">
        <v>1</v>
      </c>
      <c r="F821" s="27" t="str">
        <f>HYPERLINK("http://nsgreg.nga.mil/genc/view?v=118545&amp;gencs=T&amp;end_month=12&amp;end_day=31&amp;end_year=2014","Shandong")</f>
        <v>Shandong</v>
      </c>
      <c r="G821" s="28" t="str">
        <f>HYPERLINK("http://api.nsgreg.nga.mil/geo-division/GENC/6/ed3/CN-37","as:GENC:6:ed3:CN-37")</f>
        <v>as:GENC:6:ed3:CN-37</v>
      </c>
    </row>
    <row r="822" spans="1:7" x14ac:dyDescent="0.2">
      <c r="A822" s="85"/>
      <c r="B822" s="25" t="s">
        <v>3357</v>
      </c>
      <c r="C822" s="25" t="s">
        <v>3358</v>
      </c>
      <c r="D822" s="25" t="s">
        <v>2164</v>
      </c>
      <c r="E822" s="26" t="b">
        <v>1</v>
      </c>
      <c r="F822" s="27" t="str">
        <f>HYPERLINK("http://nsgreg.nga.mil/genc/view?v=118539&amp;gencs=T&amp;end_month=12&amp;end_day=31&amp;end_year=2014","Shanghai")</f>
        <v>Shanghai</v>
      </c>
      <c r="G822" s="28" t="str">
        <f>HYPERLINK("http://api.nsgreg.nga.mil/geo-division/GENC/6/ed3/CN-31","as:GENC:6:ed3:CN-31")</f>
        <v>as:GENC:6:ed3:CN-31</v>
      </c>
    </row>
    <row r="823" spans="1:7" x14ac:dyDescent="0.2">
      <c r="A823" s="85"/>
      <c r="B823" s="25" t="s">
        <v>3359</v>
      </c>
      <c r="C823" s="25" t="s">
        <v>3360</v>
      </c>
      <c r="D823" s="25" t="s">
        <v>1719</v>
      </c>
      <c r="E823" s="26" t="b">
        <v>1</v>
      </c>
      <c r="F823" s="27" t="str">
        <f>HYPERLINK("http://nsgreg.nga.mil/genc/view?v=118534&amp;gencs=T&amp;end_month=12&amp;end_day=31&amp;end_year=2014","Shanxi")</f>
        <v>Shanxi</v>
      </c>
      <c r="G823" s="28" t="str">
        <f>HYPERLINK("http://api.nsgreg.nga.mil/geo-division/GENC/6/ed3/CN-14","as:GENC:6:ed3:CN-14")</f>
        <v>as:GENC:6:ed3:CN-14</v>
      </c>
    </row>
    <row r="824" spans="1:7" x14ac:dyDescent="0.2">
      <c r="A824" s="85"/>
      <c r="B824" s="25" t="s">
        <v>3361</v>
      </c>
      <c r="C824" s="25" t="s">
        <v>3362</v>
      </c>
      <c r="D824" s="25" t="s">
        <v>1719</v>
      </c>
      <c r="E824" s="26" t="b">
        <v>1</v>
      </c>
      <c r="F824" s="27" t="str">
        <f>HYPERLINK("http://nsgreg.nga.mil/genc/view?v=118553&amp;gencs=T&amp;end_month=12&amp;end_day=31&amp;end_year=2014","Sichuan")</f>
        <v>Sichuan</v>
      </c>
      <c r="G824" s="28" t="str">
        <f>HYPERLINK("http://api.nsgreg.nga.mil/geo-division/GENC/6/ed3/CN-51","as:GENC:6:ed3:CN-51")</f>
        <v>as:GENC:6:ed3:CN-51</v>
      </c>
    </row>
    <row r="825" spans="1:7" x14ac:dyDescent="0.2">
      <c r="A825" s="85"/>
      <c r="B825" s="25" t="s">
        <v>3365</v>
      </c>
      <c r="C825" s="25" t="s">
        <v>3366</v>
      </c>
      <c r="D825" s="25" t="s">
        <v>2164</v>
      </c>
      <c r="E825" s="26" t="b">
        <v>1</v>
      </c>
      <c r="F825" s="27" t="str">
        <f>HYPERLINK("http://nsgreg.nga.mil/genc/view?v=118532&amp;gencs=T&amp;end_month=12&amp;end_day=31&amp;end_year=2014","Tianjin")</f>
        <v>Tianjin</v>
      </c>
      <c r="G825" s="28" t="str">
        <f>HYPERLINK("http://api.nsgreg.nga.mil/geo-division/GENC/6/ed3/CN-12","as:GENC:6:ed3:CN-12")</f>
        <v>as:GENC:6:ed3:CN-12</v>
      </c>
    </row>
    <row r="826" spans="1:7" x14ac:dyDescent="0.2">
      <c r="A826" s="85"/>
      <c r="B826" s="25" t="s">
        <v>3370</v>
      </c>
      <c r="C826" s="25" t="s">
        <v>12200</v>
      </c>
      <c r="D826" s="25" t="s">
        <v>3322</v>
      </c>
      <c r="E826" s="26" t="b">
        <v>1</v>
      </c>
      <c r="F826" s="27" t="str">
        <f>HYPERLINK("http://nsgreg.nga.mil/genc/view?v=211495&amp;end_month=12&amp;end_day=31&amp;end_year=2014","Tibet")</f>
        <v>Tibet</v>
      </c>
      <c r="G826" s="28" t="str">
        <f>HYPERLINK("http://api.nsgreg.nga.mil/geo-division/GENC/6/ed3/CN-54","as:GENC:6:ed3:CN-54")</f>
        <v>as:GENC:6:ed3:CN-54</v>
      </c>
    </row>
    <row r="827" spans="1:7" x14ac:dyDescent="0.2">
      <c r="A827" s="85"/>
      <c r="B827" s="25" t="s">
        <v>3368</v>
      </c>
      <c r="C827" s="25" t="s">
        <v>3369</v>
      </c>
      <c r="D827" s="25" t="s">
        <v>3322</v>
      </c>
      <c r="E827" s="26" t="b">
        <v>1</v>
      </c>
      <c r="F827" s="27" t="str">
        <f>HYPERLINK("http://nsgreg.nga.mil/genc/view?v=118561&amp;gencs=T&amp;end_month=12&amp;end_day=31&amp;end_year=2014","Xinjiang")</f>
        <v>Xinjiang</v>
      </c>
      <c r="G827" s="28" t="str">
        <f>HYPERLINK("http://api.nsgreg.nga.mil/geo-division/GENC/6/ed3/CN-65","as:GENC:6:ed3:CN-65")</f>
        <v>as:GENC:6:ed3:CN-65</v>
      </c>
    </row>
    <row r="828" spans="1:7" x14ac:dyDescent="0.2">
      <c r="A828" s="85"/>
      <c r="B828" s="25" t="s">
        <v>3372</v>
      </c>
      <c r="C828" s="25" t="s">
        <v>3373</v>
      </c>
      <c r="D828" s="25" t="s">
        <v>1719</v>
      </c>
      <c r="E828" s="26" t="b">
        <v>1</v>
      </c>
      <c r="F828" s="27" t="str">
        <f>HYPERLINK("http://nsgreg.nga.mil/genc/view?v=118555&amp;gencs=T&amp;end_month=12&amp;end_day=31&amp;end_year=2014","Yunnan")</f>
        <v>Yunnan</v>
      </c>
      <c r="G828" s="28" t="str">
        <f>HYPERLINK("http://api.nsgreg.nga.mil/geo-division/GENC/6/ed3/CN-53","as:GENC:6:ed3:CN-53")</f>
        <v>as:GENC:6:ed3:CN-53</v>
      </c>
    </row>
    <row r="829" spans="1:7" x14ac:dyDescent="0.2">
      <c r="A829" s="86"/>
      <c r="B829" s="29" t="s">
        <v>3374</v>
      </c>
      <c r="C829" s="29" t="s">
        <v>3375</v>
      </c>
      <c r="D829" s="29" t="s">
        <v>1719</v>
      </c>
      <c r="E829" s="30" t="b">
        <v>1</v>
      </c>
      <c r="F829" s="31" t="str">
        <f>HYPERLINK("http://nsgreg.nga.mil/genc/view?v=118541&amp;gencs=T&amp;end_month=12&amp;end_day=31&amp;end_year=2014","Zhejiang")</f>
        <v>Zhejiang</v>
      </c>
      <c r="G829" s="32" t="str">
        <f>HYPERLINK("http://api.nsgreg.nga.mil/geo-division/GENC/6/ed3/CN-33","as:GENC:6:ed3:CN-33")</f>
        <v>as:GENC:6:ed3:CN-33</v>
      </c>
    </row>
    <row r="830" spans="1:7" x14ac:dyDescent="0.2">
      <c r="A830" s="84" t="str">
        <f>HYPERLINK("[#]Codes_for_GE_Names!A57:I57","COLOMBIA")</f>
        <v>COLOMBIA</v>
      </c>
      <c r="B830" s="33" t="s">
        <v>3376</v>
      </c>
      <c r="C830" s="33" t="s">
        <v>2744</v>
      </c>
      <c r="D830" s="33" t="s">
        <v>2590</v>
      </c>
      <c r="E830" s="34" t="b">
        <v>1</v>
      </c>
      <c r="F830" s="35" t="str">
        <f>HYPERLINK("http://nsgreg.nga.mil/genc/view?v=118565&amp;gencs=T&amp;end_month=12&amp;end_day=31&amp;end_year=2014","Amazonas")</f>
        <v>Amazonas</v>
      </c>
      <c r="G830" s="36" t="str">
        <f>HYPERLINK("http://api.nsgreg.nga.mil/geo-division/GENC/6/ed3/CO-AMA","as:GENC:6:ed3:CO-AMA")</f>
        <v>as:GENC:6:ed3:CO-AMA</v>
      </c>
    </row>
    <row r="831" spans="1:7" x14ac:dyDescent="0.2">
      <c r="A831" s="85"/>
      <c r="B831" s="25" t="s">
        <v>3377</v>
      </c>
      <c r="C831" s="25" t="s">
        <v>3378</v>
      </c>
      <c r="D831" s="25" t="s">
        <v>2590</v>
      </c>
      <c r="E831" s="26" t="b">
        <v>1</v>
      </c>
      <c r="F831" s="27" t="str">
        <f>HYPERLINK("http://nsgreg.nga.mil/genc/view?v=118566&amp;gencs=T&amp;end_month=12&amp;end_day=31&amp;end_year=2014","Antioquia")</f>
        <v>Antioquia</v>
      </c>
      <c r="G831" s="28" t="str">
        <f>HYPERLINK("http://api.nsgreg.nga.mil/geo-division/GENC/6/ed3/CO-ANT","as:GENC:6:ed3:CO-ANT")</f>
        <v>as:GENC:6:ed3:CO-ANT</v>
      </c>
    </row>
    <row r="832" spans="1:7" x14ac:dyDescent="0.2">
      <c r="A832" s="85"/>
      <c r="B832" s="25" t="s">
        <v>3379</v>
      </c>
      <c r="C832" s="25" t="s">
        <v>3380</v>
      </c>
      <c r="D832" s="25" t="s">
        <v>2590</v>
      </c>
      <c r="E832" s="26" t="b">
        <v>1</v>
      </c>
      <c r="F832" s="27" t="str">
        <f>HYPERLINK("http://nsgreg.nga.mil/genc/view?v=118567&amp;gencs=T&amp;end_month=12&amp;end_day=31&amp;end_year=2014","Arauca")</f>
        <v>Arauca</v>
      </c>
      <c r="G832" s="28" t="str">
        <f>HYPERLINK("http://api.nsgreg.nga.mil/geo-division/GENC/6/ed3/CO-ARA","as:GENC:6:ed3:CO-ARA")</f>
        <v>as:GENC:6:ed3:CO-ARA</v>
      </c>
    </row>
    <row r="833" spans="1:7" x14ac:dyDescent="0.2">
      <c r="A833" s="85"/>
      <c r="B833" s="25" t="s">
        <v>3381</v>
      </c>
      <c r="C833" s="25" t="s">
        <v>3382</v>
      </c>
      <c r="D833" s="25" t="s">
        <v>2590</v>
      </c>
      <c r="E833" s="26" t="b">
        <v>1</v>
      </c>
      <c r="F833" s="27" t="str">
        <f>HYPERLINK("http://nsgreg.nga.mil/genc/view?v=118568&amp;gencs=T&amp;end_month=12&amp;end_day=31&amp;end_year=2014","Atlántico")</f>
        <v>Atlántico</v>
      </c>
      <c r="G833" s="28" t="str">
        <f>HYPERLINK("http://api.nsgreg.nga.mil/geo-division/GENC/6/ed3/CO-ATL","as:GENC:6:ed3:CO-ATL")</f>
        <v>as:GENC:6:ed3:CO-ATL</v>
      </c>
    </row>
    <row r="834" spans="1:7" x14ac:dyDescent="0.2">
      <c r="A834" s="85"/>
      <c r="B834" s="25" t="s">
        <v>3402</v>
      </c>
      <c r="C834" s="25" t="s">
        <v>12201</v>
      </c>
      <c r="D834" s="25" t="s">
        <v>3404</v>
      </c>
      <c r="E834" s="26" t="b">
        <v>1</v>
      </c>
      <c r="F834" s="27" t="str">
        <f>HYPERLINK("http://nsgreg.nga.mil/genc/view?v=211499&amp;end_month=12&amp;end_day=31&amp;end_year=2014","Bogotá")</f>
        <v>Bogotá</v>
      </c>
      <c r="G834" s="28" t="str">
        <f>HYPERLINK("http://api.nsgreg.nga.mil/geo-division/GENC/6/ed3/CO-DC","as:GENC:6:ed3:CO-DC")</f>
        <v>as:GENC:6:ed3:CO-DC</v>
      </c>
    </row>
    <row r="835" spans="1:7" x14ac:dyDescent="0.2">
      <c r="A835" s="85"/>
      <c r="B835" s="25" t="s">
        <v>3383</v>
      </c>
      <c r="C835" s="25" t="s">
        <v>3384</v>
      </c>
      <c r="D835" s="25" t="s">
        <v>2590</v>
      </c>
      <c r="E835" s="26" t="b">
        <v>1</v>
      </c>
      <c r="F835" s="27" t="str">
        <f>HYPERLINK("http://nsgreg.nga.mil/genc/view?v=118569&amp;gencs=T&amp;end_month=12&amp;end_day=31&amp;end_year=2014","Bolívar")</f>
        <v>Bolívar</v>
      </c>
      <c r="G835" s="28" t="str">
        <f>HYPERLINK("http://api.nsgreg.nga.mil/geo-division/GENC/6/ed3/CO-BOL","as:GENC:6:ed3:CO-BOL")</f>
        <v>as:GENC:6:ed3:CO-BOL</v>
      </c>
    </row>
    <row r="836" spans="1:7" x14ac:dyDescent="0.2">
      <c r="A836" s="85"/>
      <c r="B836" s="25" t="s">
        <v>3385</v>
      </c>
      <c r="C836" s="25" t="s">
        <v>3386</v>
      </c>
      <c r="D836" s="25" t="s">
        <v>2590</v>
      </c>
      <c r="E836" s="26" t="b">
        <v>1</v>
      </c>
      <c r="F836" s="27" t="str">
        <f>HYPERLINK("http://nsgreg.nga.mil/genc/view?v=118570&amp;gencs=T&amp;end_month=12&amp;end_day=31&amp;end_year=2014","Boyacá")</f>
        <v>Boyacá</v>
      </c>
      <c r="G836" s="28" t="str">
        <f>HYPERLINK("http://api.nsgreg.nga.mil/geo-division/GENC/6/ed3/CO-BOY","as:GENC:6:ed3:CO-BOY")</f>
        <v>as:GENC:6:ed3:CO-BOY</v>
      </c>
    </row>
    <row r="837" spans="1:7" x14ac:dyDescent="0.2">
      <c r="A837" s="85"/>
      <c r="B837" s="25" t="s">
        <v>3387</v>
      </c>
      <c r="C837" s="25" t="s">
        <v>3388</v>
      </c>
      <c r="D837" s="25" t="s">
        <v>2590</v>
      </c>
      <c r="E837" s="26" t="b">
        <v>1</v>
      </c>
      <c r="F837" s="27" t="str">
        <f>HYPERLINK("http://nsgreg.nga.mil/genc/view?v=118571&amp;gencs=T&amp;end_month=12&amp;end_day=31&amp;end_year=2014","Caldas")</f>
        <v>Caldas</v>
      </c>
      <c r="G837" s="28" t="str">
        <f>HYPERLINK("http://api.nsgreg.nga.mil/geo-division/GENC/6/ed3/CO-CAL","as:GENC:6:ed3:CO-CAL")</f>
        <v>as:GENC:6:ed3:CO-CAL</v>
      </c>
    </row>
    <row r="838" spans="1:7" x14ac:dyDescent="0.2">
      <c r="A838" s="85"/>
      <c r="B838" s="25" t="s">
        <v>3389</v>
      </c>
      <c r="C838" s="25" t="s">
        <v>3390</v>
      </c>
      <c r="D838" s="25" t="s">
        <v>2590</v>
      </c>
      <c r="E838" s="26" t="b">
        <v>1</v>
      </c>
      <c r="F838" s="27" t="str">
        <f>HYPERLINK("http://nsgreg.nga.mil/genc/view?v=118572&amp;gencs=T&amp;end_month=12&amp;end_day=31&amp;end_year=2014","Caquetá")</f>
        <v>Caquetá</v>
      </c>
      <c r="G838" s="28" t="str">
        <f>HYPERLINK("http://api.nsgreg.nga.mil/geo-division/GENC/6/ed3/CO-CAQ","as:GENC:6:ed3:CO-CAQ")</f>
        <v>as:GENC:6:ed3:CO-CAQ</v>
      </c>
    </row>
    <row r="839" spans="1:7" x14ac:dyDescent="0.2">
      <c r="A839" s="85"/>
      <c r="B839" s="25" t="s">
        <v>3391</v>
      </c>
      <c r="C839" s="25" t="s">
        <v>3392</v>
      </c>
      <c r="D839" s="25" t="s">
        <v>2590</v>
      </c>
      <c r="E839" s="26" t="b">
        <v>1</v>
      </c>
      <c r="F839" s="27" t="str">
        <f>HYPERLINK("http://nsgreg.nga.mil/genc/view?v=118573&amp;gencs=T&amp;end_month=12&amp;end_day=31&amp;end_year=2014","Casanare")</f>
        <v>Casanare</v>
      </c>
      <c r="G839" s="28" t="str">
        <f>HYPERLINK("http://api.nsgreg.nga.mil/geo-division/GENC/6/ed3/CO-CAS","as:GENC:6:ed3:CO-CAS")</f>
        <v>as:GENC:6:ed3:CO-CAS</v>
      </c>
    </row>
    <row r="840" spans="1:7" x14ac:dyDescent="0.2">
      <c r="A840" s="85"/>
      <c r="B840" s="25" t="s">
        <v>3393</v>
      </c>
      <c r="C840" s="25" t="s">
        <v>3394</v>
      </c>
      <c r="D840" s="25" t="s">
        <v>2590</v>
      </c>
      <c r="E840" s="26" t="b">
        <v>1</v>
      </c>
      <c r="F840" s="27" t="str">
        <f>HYPERLINK("http://nsgreg.nga.mil/genc/view?v=118574&amp;gencs=T&amp;end_month=12&amp;end_day=31&amp;end_year=2014","Cauca")</f>
        <v>Cauca</v>
      </c>
      <c r="G840" s="28" t="str">
        <f>HYPERLINK("http://api.nsgreg.nga.mil/geo-division/GENC/6/ed3/CO-CAU","as:GENC:6:ed3:CO-CAU")</f>
        <v>as:GENC:6:ed3:CO-CAU</v>
      </c>
    </row>
    <row r="841" spans="1:7" x14ac:dyDescent="0.2">
      <c r="A841" s="85"/>
      <c r="B841" s="25" t="s">
        <v>3395</v>
      </c>
      <c r="C841" s="25" t="s">
        <v>3396</v>
      </c>
      <c r="D841" s="25" t="s">
        <v>2590</v>
      </c>
      <c r="E841" s="26" t="b">
        <v>1</v>
      </c>
      <c r="F841" s="27" t="str">
        <f>HYPERLINK("http://nsgreg.nga.mil/genc/view?v=118575&amp;gencs=T&amp;end_month=12&amp;end_day=31&amp;end_year=2014","Cesar")</f>
        <v>Cesar</v>
      </c>
      <c r="G841" s="28" t="str">
        <f>HYPERLINK("http://api.nsgreg.nga.mil/geo-division/GENC/6/ed3/CO-CES","as:GENC:6:ed3:CO-CES")</f>
        <v>as:GENC:6:ed3:CO-CES</v>
      </c>
    </row>
    <row r="842" spans="1:7" x14ac:dyDescent="0.2">
      <c r="A842" s="85"/>
      <c r="B842" s="25" t="s">
        <v>3397</v>
      </c>
      <c r="C842" s="25" t="s">
        <v>3398</v>
      </c>
      <c r="D842" s="25" t="s">
        <v>2590</v>
      </c>
      <c r="E842" s="26" t="b">
        <v>1</v>
      </c>
      <c r="F842" s="27" t="str">
        <f>HYPERLINK("http://nsgreg.nga.mil/genc/view?v=118576&amp;gencs=T&amp;end_month=12&amp;end_day=31&amp;end_year=2014","Chocó")</f>
        <v>Chocó</v>
      </c>
      <c r="G842" s="28" t="str">
        <f>HYPERLINK("http://api.nsgreg.nga.mil/geo-division/GENC/6/ed3/CO-CHO","as:GENC:6:ed3:CO-CHO")</f>
        <v>as:GENC:6:ed3:CO-CHO</v>
      </c>
    </row>
    <row r="843" spans="1:7" x14ac:dyDescent="0.2">
      <c r="A843" s="85"/>
      <c r="B843" s="25" t="s">
        <v>3401</v>
      </c>
      <c r="C843" s="25" t="s">
        <v>2050</v>
      </c>
      <c r="D843" s="25" t="s">
        <v>2590</v>
      </c>
      <c r="E843" s="26" t="b">
        <v>1</v>
      </c>
      <c r="F843" s="27" t="str">
        <f>HYPERLINK("http://nsgreg.nga.mil/genc/view?v=118577&amp;gencs=T&amp;end_month=12&amp;end_day=31&amp;end_year=2014","Córdoba")</f>
        <v>Córdoba</v>
      </c>
      <c r="G843" s="28" t="str">
        <f>HYPERLINK("http://api.nsgreg.nga.mil/geo-division/GENC/6/ed3/CO-COR","as:GENC:6:ed3:CO-COR")</f>
        <v>as:GENC:6:ed3:CO-COR</v>
      </c>
    </row>
    <row r="844" spans="1:7" x14ac:dyDescent="0.2">
      <c r="A844" s="85"/>
      <c r="B844" s="25" t="s">
        <v>3399</v>
      </c>
      <c r="C844" s="25" t="s">
        <v>3400</v>
      </c>
      <c r="D844" s="25" t="s">
        <v>2590</v>
      </c>
      <c r="E844" s="26" t="b">
        <v>1</v>
      </c>
      <c r="F844" s="27" t="str">
        <f>HYPERLINK("http://nsgreg.nga.mil/genc/view?v=118578&amp;gencs=T&amp;end_month=12&amp;end_day=31&amp;end_year=2014","Cundinamarca")</f>
        <v>Cundinamarca</v>
      </c>
      <c r="G844" s="28" t="str">
        <f>HYPERLINK("http://api.nsgreg.nga.mil/geo-division/GENC/6/ed3/CO-CUN","as:GENC:6:ed3:CO-CUN")</f>
        <v>as:GENC:6:ed3:CO-CUN</v>
      </c>
    </row>
    <row r="845" spans="1:7" x14ac:dyDescent="0.2">
      <c r="A845" s="85"/>
      <c r="B845" s="25" t="s">
        <v>3405</v>
      </c>
      <c r="C845" s="25" t="s">
        <v>3406</v>
      </c>
      <c r="D845" s="25" t="s">
        <v>2590</v>
      </c>
      <c r="E845" s="26" t="b">
        <v>1</v>
      </c>
      <c r="F845" s="27" t="str">
        <f>HYPERLINK("http://nsgreg.nga.mil/genc/view?v=118580&amp;gencs=T&amp;end_month=12&amp;end_day=31&amp;end_year=2014","Guainía")</f>
        <v>Guainía</v>
      </c>
      <c r="G845" s="28" t="str">
        <f>HYPERLINK("http://api.nsgreg.nga.mil/geo-division/GENC/6/ed3/CO-GUA","as:GENC:6:ed3:CO-GUA")</f>
        <v>as:GENC:6:ed3:CO-GUA</v>
      </c>
    </row>
    <row r="846" spans="1:7" x14ac:dyDescent="0.2">
      <c r="A846" s="85"/>
      <c r="B846" s="25" t="s">
        <v>3407</v>
      </c>
      <c r="C846" s="25" t="s">
        <v>3408</v>
      </c>
      <c r="D846" s="25" t="s">
        <v>2590</v>
      </c>
      <c r="E846" s="26" t="b">
        <v>1</v>
      </c>
      <c r="F846" s="27" t="str">
        <f>HYPERLINK("http://nsgreg.nga.mil/genc/view?v=118581&amp;gencs=T&amp;end_month=12&amp;end_day=31&amp;end_year=2014","Guaviare")</f>
        <v>Guaviare</v>
      </c>
      <c r="G846" s="28" t="str">
        <f>HYPERLINK("http://api.nsgreg.nga.mil/geo-division/GENC/6/ed3/CO-GUV","as:GENC:6:ed3:CO-GUV")</f>
        <v>as:GENC:6:ed3:CO-GUV</v>
      </c>
    </row>
    <row r="847" spans="1:7" x14ac:dyDescent="0.2">
      <c r="A847" s="85"/>
      <c r="B847" s="25" t="s">
        <v>3409</v>
      </c>
      <c r="C847" s="25" t="s">
        <v>3410</v>
      </c>
      <c r="D847" s="25" t="s">
        <v>2590</v>
      </c>
      <c r="E847" s="26" t="b">
        <v>1</v>
      </c>
      <c r="F847" s="27" t="str">
        <f>HYPERLINK("http://nsgreg.nga.mil/genc/view?v=118582&amp;gencs=T&amp;end_month=12&amp;end_day=31&amp;end_year=2014","Huila")</f>
        <v>Huila</v>
      </c>
      <c r="G847" s="28" t="str">
        <f>HYPERLINK("http://api.nsgreg.nga.mil/geo-division/GENC/6/ed3/CO-HUI","as:GENC:6:ed3:CO-HUI")</f>
        <v>as:GENC:6:ed3:CO-HUI</v>
      </c>
    </row>
    <row r="848" spans="1:7" x14ac:dyDescent="0.2">
      <c r="A848" s="85"/>
      <c r="B848" s="25" t="s">
        <v>3411</v>
      </c>
      <c r="C848" s="25" t="s">
        <v>3412</v>
      </c>
      <c r="D848" s="25" t="s">
        <v>2590</v>
      </c>
      <c r="E848" s="26" t="b">
        <v>1</v>
      </c>
      <c r="F848" s="27" t="str">
        <f>HYPERLINK("http://nsgreg.nga.mil/genc/view?v=118583&amp;gencs=T&amp;end_month=12&amp;end_day=31&amp;end_year=2014","La Guajira")</f>
        <v>La Guajira</v>
      </c>
      <c r="G848" s="28" t="str">
        <f>HYPERLINK("http://api.nsgreg.nga.mil/geo-division/GENC/6/ed3/CO-LAG","as:GENC:6:ed3:CO-LAG")</f>
        <v>as:GENC:6:ed3:CO-LAG</v>
      </c>
    </row>
    <row r="849" spans="1:7" x14ac:dyDescent="0.2">
      <c r="A849" s="85"/>
      <c r="B849" s="25" t="s">
        <v>3413</v>
      </c>
      <c r="C849" s="25" t="s">
        <v>3414</v>
      </c>
      <c r="D849" s="25" t="s">
        <v>2590</v>
      </c>
      <c r="E849" s="26" t="b">
        <v>1</v>
      </c>
      <c r="F849" s="27" t="str">
        <f>HYPERLINK("http://nsgreg.nga.mil/genc/view?v=118584&amp;gencs=T&amp;end_month=12&amp;end_day=31&amp;end_year=2014","Magdalena")</f>
        <v>Magdalena</v>
      </c>
      <c r="G849" s="28" t="str">
        <f>HYPERLINK("http://api.nsgreg.nga.mil/geo-division/GENC/6/ed3/CO-MAG","as:GENC:6:ed3:CO-MAG")</f>
        <v>as:GENC:6:ed3:CO-MAG</v>
      </c>
    </row>
    <row r="850" spans="1:7" x14ac:dyDescent="0.2">
      <c r="A850" s="85"/>
      <c r="B850" s="25" t="s">
        <v>3415</v>
      </c>
      <c r="C850" s="25" t="s">
        <v>3416</v>
      </c>
      <c r="D850" s="25" t="s">
        <v>2590</v>
      </c>
      <c r="E850" s="26" t="b">
        <v>1</v>
      </c>
      <c r="F850" s="27" t="str">
        <f>HYPERLINK("http://nsgreg.nga.mil/genc/view?v=118585&amp;gencs=T&amp;end_month=12&amp;end_day=31&amp;end_year=2014","Meta")</f>
        <v>Meta</v>
      </c>
      <c r="G850" s="28" t="str">
        <f>HYPERLINK("http://api.nsgreg.nga.mil/geo-division/GENC/6/ed3/CO-MET","as:GENC:6:ed3:CO-MET")</f>
        <v>as:GENC:6:ed3:CO-MET</v>
      </c>
    </row>
    <row r="851" spans="1:7" x14ac:dyDescent="0.2">
      <c r="A851" s="85"/>
      <c r="B851" s="25" t="s">
        <v>3417</v>
      </c>
      <c r="C851" s="25" t="s">
        <v>3418</v>
      </c>
      <c r="D851" s="25" t="s">
        <v>2590</v>
      </c>
      <c r="E851" s="26" t="b">
        <v>1</v>
      </c>
      <c r="F851" s="27" t="str">
        <f>HYPERLINK("http://nsgreg.nga.mil/genc/view?v=118586&amp;gencs=T&amp;end_month=12&amp;end_day=31&amp;end_year=2014","Nariño")</f>
        <v>Nariño</v>
      </c>
      <c r="G851" s="28" t="str">
        <f>HYPERLINK("http://api.nsgreg.nga.mil/geo-division/GENC/6/ed3/CO-NAR","as:GENC:6:ed3:CO-NAR")</f>
        <v>as:GENC:6:ed3:CO-NAR</v>
      </c>
    </row>
    <row r="852" spans="1:7" x14ac:dyDescent="0.2">
      <c r="A852" s="85"/>
      <c r="B852" s="25" t="s">
        <v>3419</v>
      </c>
      <c r="C852" s="25" t="s">
        <v>3420</v>
      </c>
      <c r="D852" s="25" t="s">
        <v>2590</v>
      </c>
      <c r="E852" s="26" t="b">
        <v>1</v>
      </c>
      <c r="F852" s="27" t="str">
        <f>HYPERLINK("http://nsgreg.nga.mil/genc/view?v=118587&amp;gencs=T&amp;end_month=12&amp;end_day=31&amp;end_year=2014","Norte de Santander")</f>
        <v>Norte de Santander</v>
      </c>
      <c r="G852" s="28" t="str">
        <f>HYPERLINK("http://api.nsgreg.nga.mil/geo-division/GENC/6/ed3/CO-NSA","as:GENC:6:ed3:CO-NSA")</f>
        <v>as:GENC:6:ed3:CO-NSA</v>
      </c>
    </row>
    <row r="853" spans="1:7" x14ac:dyDescent="0.2">
      <c r="A853" s="85"/>
      <c r="B853" s="25" t="s">
        <v>3421</v>
      </c>
      <c r="C853" s="25" t="s">
        <v>3422</v>
      </c>
      <c r="D853" s="25" t="s">
        <v>2590</v>
      </c>
      <c r="E853" s="26" t="b">
        <v>1</v>
      </c>
      <c r="F853" s="27" t="str">
        <f>HYPERLINK("http://nsgreg.nga.mil/genc/view?v=118588&amp;gencs=T&amp;end_month=12&amp;end_day=31&amp;end_year=2014","Putumayo")</f>
        <v>Putumayo</v>
      </c>
      <c r="G853" s="28" t="str">
        <f>HYPERLINK("http://api.nsgreg.nga.mil/geo-division/GENC/6/ed3/CO-PUT","as:GENC:6:ed3:CO-PUT")</f>
        <v>as:GENC:6:ed3:CO-PUT</v>
      </c>
    </row>
    <row r="854" spans="1:7" x14ac:dyDescent="0.2">
      <c r="A854" s="85"/>
      <c r="B854" s="25" t="s">
        <v>3423</v>
      </c>
      <c r="C854" s="25" t="s">
        <v>3424</v>
      </c>
      <c r="D854" s="25" t="s">
        <v>2590</v>
      </c>
      <c r="E854" s="26" t="b">
        <v>1</v>
      </c>
      <c r="F854" s="27" t="str">
        <f>HYPERLINK("http://nsgreg.nga.mil/genc/view?v=118589&amp;gencs=T&amp;end_month=12&amp;end_day=31&amp;end_year=2014","Quindío")</f>
        <v>Quindío</v>
      </c>
      <c r="G854" s="28" t="str">
        <f>HYPERLINK("http://api.nsgreg.nga.mil/geo-division/GENC/6/ed3/CO-QUI","as:GENC:6:ed3:CO-QUI")</f>
        <v>as:GENC:6:ed3:CO-QUI</v>
      </c>
    </row>
    <row r="855" spans="1:7" x14ac:dyDescent="0.2">
      <c r="A855" s="85"/>
      <c r="B855" s="25" t="s">
        <v>3425</v>
      </c>
      <c r="C855" s="25" t="s">
        <v>3426</v>
      </c>
      <c r="D855" s="25" t="s">
        <v>2590</v>
      </c>
      <c r="E855" s="26" t="b">
        <v>1</v>
      </c>
      <c r="F855" s="27" t="str">
        <f>HYPERLINK("http://nsgreg.nga.mil/genc/view?v=118590&amp;gencs=T&amp;end_month=12&amp;end_day=31&amp;end_year=2014","Risaralda")</f>
        <v>Risaralda</v>
      </c>
      <c r="G855" s="28" t="str">
        <f>HYPERLINK("http://api.nsgreg.nga.mil/geo-division/GENC/6/ed3/CO-RIS","as:GENC:6:ed3:CO-RIS")</f>
        <v>as:GENC:6:ed3:CO-RIS</v>
      </c>
    </row>
    <row r="856" spans="1:7" x14ac:dyDescent="0.2">
      <c r="A856" s="85"/>
      <c r="B856" s="25" t="s">
        <v>3427</v>
      </c>
      <c r="C856" s="25" t="s">
        <v>12202</v>
      </c>
      <c r="D856" s="25" t="s">
        <v>2590</v>
      </c>
      <c r="E856" s="26" t="b">
        <v>1</v>
      </c>
      <c r="F856" s="27" t="str">
        <f>HYPERLINK("http://nsgreg.nga.mil/genc/view?v=211500&amp;end_month=12&amp;end_day=31&amp;end_year=2014","San Andrés y Providencia")</f>
        <v>San Andrés y Providencia</v>
      </c>
      <c r="G856" s="28" t="str">
        <f>HYPERLINK("http://api.nsgreg.nga.mil/geo-division/GENC/6/ed3/CO-SAP","as:GENC:6:ed3:CO-SAP")</f>
        <v>as:GENC:6:ed3:CO-SAP</v>
      </c>
    </row>
    <row r="857" spans="1:7" x14ac:dyDescent="0.2">
      <c r="A857" s="85"/>
      <c r="B857" s="25" t="s">
        <v>3429</v>
      </c>
      <c r="C857" s="25" t="s">
        <v>3430</v>
      </c>
      <c r="D857" s="25" t="s">
        <v>2590</v>
      </c>
      <c r="E857" s="26" t="b">
        <v>1</v>
      </c>
      <c r="F857" s="27" t="str">
        <f>HYPERLINK("http://nsgreg.nga.mil/genc/view?v=118591&amp;gencs=T&amp;end_month=12&amp;end_day=31&amp;end_year=2014","Santander")</f>
        <v>Santander</v>
      </c>
      <c r="G857" s="28" t="str">
        <f>HYPERLINK("http://api.nsgreg.nga.mil/geo-division/GENC/6/ed3/CO-SAN","as:GENC:6:ed3:CO-SAN")</f>
        <v>as:GENC:6:ed3:CO-SAN</v>
      </c>
    </row>
    <row r="858" spans="1:7" x14ac:dyDescent="0.2">
      <c r="A858" s="85"/>
      <c r="B858" s="25" t="s">
        <v>3431</v>
      </c>
      <c r="C858" s="25" t="s">
        <v>3432</v>
      </c>
      <c r="D858" s="25" t="s">
        <v>2590</v>
      </c>
      <c r="E858" s="26" t="b">
        <v>1</v>
      </c>
      <c r="F858" s="27" t="str">
        <f>HYPERLINK("http://nsgreg.nga.mil/genc/view?v=118593&amp;gencs=T&amp;end_month=12&amp;end_day=31&amp;end_year=2014","Sucre")</f>
        <v>Sucre</v>
      </c>
      <c r="G858" s="28" t="str">
        <f>HYPERLINK("http://api.nsgreg.nga.mil/geo-division/GENC/6/ed3/CO-SUC","as:GENC:6:ed3:CO-SUC")</f>
        <v>as:GENC:6:ed3:CO-SUC</v>
      </c>
    </row>
    <row r="859" spans="1:7" x14ac:dyDescent="0.2">
      <c r="A859" s="85"/>
      <c r="B859" s="25" t="s">
        <v>3433</v>
      </c>
      <c r="C859" s="25" t="s">
        <v>3434</v>
      </c>
      <c r="D859" s="25" t="s">
        <v>2590</v>
      </c>
      <c r="E859" s="26" t="b">
        <v>1</v>
      </c>
      <c r="F859" s="27" t="str">
        <f>HYPERLINK("http://nsgreg.nga.mil/genc/view?v=118594&amp;gencs=T&amp;end_month=12&amp;end_day=31&amp;end_year=2014","Tolima")</f>
        <v>Tolima</v>
      </c>
      <c r="G859" s="28" t="str">
        <f>HYPERLINK("http://api.nsgreg.nga.mil/geo-division/GENC/6/ed3/CO-TOL","as:GENC:6:ed3:CO-TOL")</f>
        <v>as:GENC:6:ed3:CO-TOL</v>
      </c>
    </row>
    <row r="860" spans="1:7" x14ac:dyDescent="0.2">
      <c r="A860" s="85"/>
      <c r="B860" s="25" t="s">
        <v>3435</v>
      </c>
      <c r="C860" s="25" t="s">
        <v>3436</v>
      </c>
      <c r="D860" s="25" t="s">
        <v>2590</v>
      </c>
      <c r="E860" s="26" t="b">
        <v>1</v>
      </c>
      <c r="F860" s="27" t="str">
        <f>HYPERLINK("http://nsgreg.nga.mil/genc/view?v=118595&amp;gencs=T&amp;end_month=12&amp;end_day=31&amp;end_year=2014","Valle del Cauca")</f>
        <v>Valle del Cauca</v>
      </c>
      <c r="G860" s="28" t="str">
        <f>HYPERLINK("http://api.nsgreg.nga.mil/geo-division/GENC/6/ed3/CO-VAC","as:GENC:6:ed3:CO-VAC")</f>
        <v>as:GENC:6:ed3:CO-VAC</v>
      </c>
    </row>
    <row r="861" spans="1:7" x14ac:dyDescent="0.2">
      <c r="A861" s="85"/>
      <c r="B861" s="25" t="s">
        <v>3437</v>
      </c>
      <c r="C861" s="25" t="s">
        <v>3438</v>
      </c>
      <c r="D861" s="25" t="s">
        <v>2590</v>
      </c>
      <c r="E861" s="26" t="b">
        <v>1</v>
      </c>
      <c r="F861" s="27" t="str">
        <f>HYPERLINK("http://nsgreg.nga.mil/genc/view?v=118596&amp;gencs=T&amp;end_month=12&amp;end_day=31&amp;end_year=2014","Vaupés")</f>
        <v>Vaupés</v>
      </c>
      <c r="G861" s="28" t="str">
        <f>HYPERLINK("http://api.nsgreg.nga.mil/geo-division/GENC/6/ed3/CO-VAU","as:GENC:6:ed3:CO-VAU")</f>
        <v>as:GENC:6:ed3:CO-VAU</v>
      </c>
    </row>
    <row r="862" spans="1:7" x14ac:dyDescent="0.2">
      <c r="A862" s="86"/>
      <c r="B862" s="29" t="s">
        <v>3439</v>
      </c>
      <c r="C862" s="29" t="s">
        <v>3440</v>
      </c>
      <c r="D862" s="29" t="s">
        <v>2590</v>
      </c>
      <c r="E862" s="30" t="b">
        <v>1</v>
      </c>
      <c r="F862" s="31" t="str">
        <f>HYPERLINK("http://nsgreg.nga.mil/genc/view?v=118597&amp;gencs=T&amp;end_month=12&amp;end_day=31&amp;end_year=2014","Vichada")</f>
        <v>Vichada</v>
      </c>
      <c r="G862" s="32" t="str">
        <f>HYPERLINK("http://api.nsgreg.nga.mil/geo-division/GENC/6/ed3/CO-VID","as:GENC:6:ed3:CO-VID")</f>
        <v>as:GENC:6:ed3:CO-VID</v>
      </c>
    </row>
    <row r="863" spans="1:7" x14ac:dyDescent="0.2">
      <c r="A863" s="84" t="str">
        <f>HYPERLINK("[#]Codes_for_GE_Names!A58:I58","COMOROS")</f>
        <v>COMOROS</v>
      </c>
      <c r="B863" s="33" t="s">
        <v>3444</v>
      </c>
      <c r="C863" s="33" t="s">
        <v>3446</v>
      </c>
      <c r="D863" s="33" t="s">
        <v>12203</v>
      </c>
      <c r="E863" s="34" t="b">
        <v>1</v>
      </c>
      <c r="F863" s="35" t="str">
        <f>HYPERLINK("http://nsgreg.nga.mil/genc/view?v=212144&amp;end_month=12&amp;end_day=31&amp;end_year=2014","Anjouan")</f>
        <v>Anjouan</v>
      </c>
      <c r="G863" s="36" t="str">
        <f>HYPERLINK("http://api.nsgreg.nga.mil/geo-division/GENC/6/ed3/KM-A","as:GENC:6:ed3:KM-A")</f>
        <v>as:GENC:6:ed3:KM-A</v>
      </c>
    </row>
    <row r="864" spans="1:7" x14ac:dyDescent="0.2">
      <c r="A864" s="85"/>
      <c r="B864" s="25" t="s">
        <v>3441</v>
      </c>
      <c r="C864" s="25" t="s">
        <v>3447</v>
      </c>
      <c r="D864" s="25" t="s">
        <v>12203</v>
      </c>
      <c r="E864" s="26" t="b">
        <v>1</v>
      </c>
      <c r="F864" s="27" t="str">
        <f>HYPERLINK("http://nsgreg.nga.mil/genc/view?v=212145&amp;end_month=12&amp;end_day=31&amp;end_year=2014","Grande Comore")</f>
        <v>Grande Comore</v>
      </c>
      <c r="G864" s="28" t="str">
        <f>HYPERLINK("http://api.nsgreg.nga.mil/geo-division/GENC/6/ed3/KM-G","as:GENC:6:ed3:KM-G")</f>
        <v>as:GENC:6:ed3:KM-G</v>
      </c>
    </row>
    <row r="865" spans="1:7" x14ac:dyDescent="0.2">
      <c r="A865" s="86"/>
      <c r="B865" s="29" t="s">
        <v>3448</v>
      </c>
      <c r="C865" s="29" t="s">
        <v>3449</v>
      </c>
      <c r="D865" s="29" t="s">
        <v>12203</v>
      </c>
      <c r="E865" s="30" t="b">
        <v>1</v>
      </c>
      <c r="F865" s="31" t="str">
        <f>HYPERLINK("http://nsgreg.nga.mil/genc/view?v=212146&amp;end_month=12&amp;end_day=31&amp;end_year=2014","Mohéli")</f>
        <v>Mohéli</v>
      </c>
      <c r="G865" s="32" t="str">
        <f>HYPERLINK("http://api.nsgreg.nga.mil/geo-division/GENC/6/ed3/KM-M","as:GENC:6:ed3:KM-M")</f>
        <v>as:GENC:6:ed3:KM-M</v>
      </c>
    </row>
    <row r="866" spans="1:7" x14ac:dyDescent="0.2">
      <c r="A866" s="84" t="str">
        <f>HYPERLINK("[#]Codes_for_GE_Names!A59:I59","CONGO (BRAZZAVILLE)")</f>
        <v>CONGO (BRAZZAVILLE)</v>
      </c>
      <c r="B866" s="33" t="s">
        <v>3454</v>
      </c>
      <c r="C866" s="33" t="s">
        <v>3455</v>
      </c>
      <c r="D866" s="33" t="s">
        <v>2590</v>
      </c>
      <c r="E866" s="34" t="b">
        <v>1</v>
      </c>
      <c r="F866" s="35" t="str">
        <f>HYPERLINK("http://nsgreg.nga.mil/genc/view?v=118450&amp;gencs=T&amp;end_month=12&amp;end_day=31&amp;end_year=2014","Bouenza")</f>
        <v>Bouenza</v>
      </c>
      <c r="G866" s="36" t="str">
        <f>HYPERLINK("http://api.nsgreg.nga.mil/geo-division/GENC/6/ed3/CG-11","as:GENC:6:ed3:CG-11")</f>
        <v>as:GENC:6:ed3:CG-11</v>
      </c>
    </row>
    <row r="867" spans="1:7" x14ac:dyDescent="0.2">
      <c r="A867" s="85"/>
      <c r="B867" s="25" t="s">
        <v>3456</v>
      </c>
      <c r="C867" s="25" t="s">
        <v>3457</v>
      </c>
      <c r="D867" s="25" t="s">
        <v>2590</v>
      </c>
      <c r="E867" s="26" t="b">
        <v>1</v>
      </c>
      <c r="F867" s="27" t="str">
        <f>HYPERLINK("http://nsgreg.nga.mil/genc/view?v=118460&amp;gencs=T&amp;end_month=12&amp;end_day=31&amp;end_year=2014","Brazzaville")</f>
        <v>Brazzaville</v>
      </c>
      <c r="G867" s="28" t="str">
        <f>HYPERLINK("http://api.nsgreg.nga.mil/geo-division/GENC/6/ed3/CG-BZV","as:GENC:6:ed3:CG-BZV")</f>
        <v>as:GENC:6:ed3:CG-BZV</v>
      </c>
    </row>
    <row r="868" spans="1:7" x14ac:dyDescent="0.2">
      <c r="A868" s="85"/>
      <c r="B868" s="25" t="s">
        <v>3459</v>
      </c>
      <c r="C868" s="25" t="s">
        <v>3460</v>
      </c>
      <c r="D868" s="25" t="s">
        <v>2590</v>
      </c>
      <c r="E868" s="26" t="b">
        <v>1</v>
      </c>
      <c r="F868" s="27" t="str">
        <f>HYPERLINK("http://nsgreg.nga.mil/genc/view?v=118458&amp;gencs=T&amp;end_month=12&amp;end_day=31&amp;end_year=2014","Cuvette")</f>
        <v>Cuvette</v>
      </c>
      <c r="G868" s="28" t="str">
        <f>HYPERLINK("http://api.nsgreg.nga.mil/geo-division/GENC/6/ed3/CG-8","as:GENC:6:ed3:CG-8")</f>
        <v>as:GENC:6:ed3:CG-8</v>
      </c>
    </row>
    <row r="869" spans="1:7" x14ac:dyDescent="0.2">
      <c r="A869" s="85"/>
      <c r="B869" s="25" t="s">
        <v>3461</v>
      </c>
      <c r="C869" s="25" t="s">
        <v>3462</v>
      </c>
      <c r="D869" s="25" t="s">
        <v>2590</v>
      </c>
      <c r="E869" s="26" t="b">
        <v>1</v>
      </c>
      <c r="F869" s="27" t="str">
        <f>HYPERLINK("http://nsgreg.nga.mil/genc/view?v=118454&amp;gencs=T&amp;end_month=12&amp;end_day=31&amp;end_year=2014","Cuvette-Ouest")</f>
        <v>Cuvette-Ouest</v>
      </c>
      <c r="G869" s="28" t="str">
        <f>HYPERLINK("http://api.nsgreg.nga.mil/geo-division/GENC/6/ed3/CG-15","as:GENC:6:ed3:CG-15")</f>
        <v>as:GENC:6:ed3:CG-15</v>
      </c>
    </row>
    <row r="870" spans="1:7" x14ac:dyDescent="0.2">
      <c r="A870" s="85"/>
      <c r="B870" s="25" t="s">
        <v>3463</v>
      </c>
      <c r="C870" s="25" t="s">
        <v>3464</v>
      </c>
      <c r="D870" s="25" t="s">
        <v>2590</v>
      </c>
      <c r="E870" s="26" t="b">
        <v>1</v>
      </c>
      <c r="F870" s="27" t="str">
        <f>HYPERLINK("http://nsgreg.nga.mil/genc/view?v=118456&amp;gencs=T&amp;end_month=12&amp;end_day=31&amp;end_year=2014","Kouilou")</f>
        <v>Kouilou</v>
      </c>
      <c r="G870" s="28" t="str">
        <f>HYPERLINK("http://api.nsgreg.nga.mil/geo-division/GENC/6/ed3/CG-5","as:GENC:6:ed3:CG-5")</f>
        <v>as:GENC:6:ed3:CG-5</v>
      </c>
    </row>
    <row r="871" spans="1:7" x14ac:dyDescent="0.2">
      <c r="A871" s="85"/>
      <c r="B871" s="25" t="s">
        <v>3467</v>
      </c>
      <c r="C871" s="25" t="s">
        <v>3468</v>
      </c>
      <c r="D871" s="25" t="s">
        <v>2590</v>
      </c>
      <c r="E871" s="26" t="b">
        <v>1</v>
      </c>
      <c r="F871" s="27" t="str">
        <f>HYPERLINK("http://nsgreg.nga.mil/genc/view?v=118455&amp;gencs=T&amp;end_month=12&amp;end_day=31&amp;end_year=2014","Lékoumou")</f>
        <v>Lékoumou</v>
      </c>
      <c r="G871" s="28" t="str">
        <f>HYPERLINK("http://api.nsgreg.nga.mil/geo-division/GENC/6/ed3/CG-2","as:GENC:6:ed3:CG-2")</f>
        <v>as:GENC:6:ed3:CG-2</v>
      </c>
    </row>
    <row r="872" spans="1:7" x14ac:dyDescent="0.2">
      <c r="A872" s="85"/>
      <c r="B872" s="25" t="s">
        <v>3465</v>
      </c>
      <c r="C872" s="25" t="s">
        <v>3466</v>
      </c>
      <c r="D872" s="25" t="s">
        <v>2590</v>
      </c>
      <c r="E872" s="26" t="b">
        <v>1</v>
      </c>
      <c r="F872" s="27" t="str">
        <f>HYPERLINK("http://nsgreg.nga.mil/genc/view?v=118457&amp;gencs=T&amp;end_month=12&amp;end_day=31&amp;end_year=2014","Likouala")</f>
        <v>Likouala</v>
      </c>
      <c r="G872" s="28" t="str">
        <f>HYPERLINK("http://api.nsgreg.nga.mil/geo-division/GENC/6/ed3/CG-7","as:GENC:6:ed3:CG-7")</f>
        <v>as:GENC:6:ed3:CG-7</v>
      </c>
    </row>
    <row r="873" spans="1:7" x14ac:dyDescent="0.2">
      <c r="A873" s="85"/>
      <c r="B873" s="25" t="s">
        <v>3469</v>
      </c>
      <c r="C873" s="25" t="s">
        <v>3470</v>
      </c>
      <c r="D873" s="25" t="s">
        <v>2590</v>
      </c>
      <c r="E873" s="26" t="b">
        <v>1</v>
      </c>
      <c r="F873" s="27" t="str">
        <f>HYPERLINK("http://nsgreg.nga.mil/genc/view?v=118459&amp;gencs=T&amp;end_month=12&amp;end_day=31&amp;end_year=2014","Niari")</f>
        <v>Niari</v>
      </c>
      <c r="G873" s="28" t="str">
        <f>HYPERLINK("http://api.nsgreg.nga.mil/geo-division/GENC/6/ed3/CG-9","as:GENC:6:ed3:CG-9")</f>
        <v>as:GENC:6:ed3:CG-9</v>
      </c>
    </row>
    <row r="874" spans="1:7" x14ac:dyDescent="0.2">
      <c r="A874" s="85"/>
      <c r="B874" s="25" t="s">
        <v>3471</v>
      </c>
      <c r="C874" s="25" t="s">
        <v>3472</v>
      </c>
      <c r="D874" s="25" t="s">
        <v>2590</v>
      </c>
      <c r="E874" s="26" t="b">
        <v>1</v>
      </c>
      <c r="F874" s="27" t="str">
        <f>HYPERLINK("http://nsgreg.nga.mil/genc/view?v=118453&amp;gencs=T&amp;end_month=12&amp;end_day=31&amp;end_year=2014","Plateaux")</f>
        <v>Plateaux</v>
      </c>
      <c r="G874" s="28" t="str">
        <f>HYPERLINK("http://api.nsgreg.nga.mil/geo-division/GENC/6/ed3/CG-14","as:GENC:6:ed3:CG-14")</f>
        <v>as:GENC:6:ed3:CG-14</v>
      </c>
    </row>
    <row r="875" spans="1:7" x14ac:dyDescent="0.2">
      <c r="A875" s="85"/>
      <c r="B875" s="25" t="s">
        <v>12204</v>
      </c>
      <c r="C875" s="25" t="s">
        <v>12205</v>
      </c>
      <c r="D875" s="25" t="s">
        <v>2590</v>
      </c>
      <c r="E875" s="26" t="b">
        <v>1</v>
      </c>
      <c r="F875" s="27" t="str">
        <f>HYPERLINK("http://nsgreg.nga.mil/genc/view?v=211439&amp;end_month=12&amp;end_day=31&amp;end_year=2014","Pointe-Noire")</f>
        <v>Pointe-Noire</v>
      </c>
      <c r="G875" s="28" t="str">
        <f>HYPERLINK("http://api.nsgreg.nga.mil/geo-division/GENC/6/ed3/CG-16","as:GENC:6:ed3:CG-16")</f>
        <v>as:GENC:6:ed3:CG-16</v>
      </c>
    </row>
    <row r="876" spans="1:7" x14ac:dyDescent="0.2">
      <c r="A876" s="85"/>
      <c r="B876" s="25" t="s">
        <v>3473</v>
      </c>
      <c r="C876" s="25" t="s">
        <v>3474</v>
      </c>
      <c r="D876" s="25" t="s">
        <v>2590</v>
      </c>
      <c r="E876" s="26" t="b">
        <v>1</v>
      </c>
      <c r="F876" s="27" t="str">
        <f>HYPERLINK("http://nsgreg.nga.mil/genc/view?v=118451&amp;gencs=T&amp;end_month=12&amp;end_day=31&amp;end_year=2014","Pool")</f>
        <v>Pool</v>
      </c>
      <c r="G876" s="28" t="str">
        <f>HYPERLINK("http://api.nsgreg.nga.mil/geo-division/GENC/6/ed3/CG-12","as:GENC:6:ed3:CG-12")</f>
        <v>as:GENC:6:ed3:CG-12</v>
      </c>
    </row>
    <row r="877" spans="1:7" x14ac:dyDescent="0.2">
      <c r="A877" s="86"/>
      <c r="B877" s="29" t="s">
        <v>3475</v>
      </c>
      <c r="C877" s="29" t="s">
        <v>3198</v>
      </c>
      <c r="D877" s="29" t="s">
        <v>2590</v>
      </c>
      <c r="E877" s="30" t="b">
        <v>1</v>
      </c>
      <c r="F877" s="31" t="str">
        <f>HYPERLINK("http://nsgreg.nga.mil/genc/view?v=118452&amp;gencs=T&amp;end_month=12&amp;end_day=31&amp;end_year=2014","Sangha")</f>
        <v>Sangha</v>
      </c>
      <c r="G877" s="32" t="str">
        <f>HYPERLINK("http://api.nsgreg.nga.mil/geo-division/GENC/6/ed3/CG-13","as:GENC:6:ed3:CG-13")</f>
        <v>as:GENC:6:ed3:CG-13</v>
      </c>
    </row>
    <row r="878" spans="1:7" x14ac:dyDescent="0.2">
      <c r="A878" s="84" t="str">
        <f>HYPERLINK("[#]Codes_for_GE_Names!A60:I60","CONGO (KINSHASA)")</f>
        <v>CONGO (KINSHASA)</v>
      </c>
      <c r="B878" s="33" t="s">
        <v>3476</v>
      </c>
      <c r="C878" s="33" t="s">
        <v>3477</v>
      </c>
      <c r="D878" s="33" t="s">
        <v>1719</v>
      </c>
      <c r="E878" s="34" t="b">
        <v>1</v>
      </c>
      <c r="F878" s="35" t="str">
        <f>HYPERLINK("http://nsgreg.nga.mil/genc/view?v=118423&amp;gencs=T&amp;end_month=12&amp;end_day=31&amp;end_year=2014","Bandundu")</f>
        <v>Bandundu</v>
      </c>
      <c r="G878" s="36" t="str">
        <f>HYPERLINK("http://api.nsgreg.nga.mil/geo-division/GENC/6/ed3/CD-BN","as:GENC:6:ed3:CD-BN")</f>
        <v>as:GENC:6:ed3:CD-BN</v>
      </c>
    </row>
    <row r="879" spans="1:7" x14ac:dyDescent="0.2">
      <c r="A879" s="85"/>
      <c r="B879" s="25" t="s">
        <v>3478</v>
      </c>
      <c r="C879" s="25" t="s">
        <v>3479</v>
      </c>
      <c r="D879" s="25" t="s">
        <v>1719</v>
      </c>
      <c r="E879" s="26" t="b">
        <v>1</v>
      </c>
      <c r="F879" s="27" t="str">
        <f>HYPERLINK("http://nsgreg.nga.mil/genc/view?v=118422&amp;gencs=T&amp;end_month=12&amp;end_day=31&amp;end_year=2014","Bas-Congo")</f>
        <v>Bas-Congo</v>
      </c>
      <c r="G879" s="28" t="str">
        <f>HYPERLINK("http://api.nsgreg.nga.mil/geo-division/GENC/6/ed3/CD-BC","as:GENC:6:ed3:CD-BC")</f>
        <v>as:GENC:6:ed3:CD-BC</v>
      </c>
    </row>
    <row r="880" spans="1:7" x14ac:dyDescent="0.2">
      <c r="A880" s="85"/>
      <c r="B880" s="25" t="s">
        <v>3496</v>
      </c>
      <c r="C880" s="25" t="s">
        <v>3497</v>
      </c>
      <c r="D880" s="25" t="s">
        <v>1719</v>
      </c>
      <c r="E880" s="26" t="b">
        <v>1</v>
      </c>
      <c r="F880" s="27" t="str">
        <f>HYPERLINK("http://nsgreg.nga.mil/genc/view?v=118424&amp;gencs=T&amp;end_month=12&amp;end_day=31&amp;end_year=2014","Équateur")</f>
        <v>Équateur</v>
      </c>
      <c r="G880" s="28" t="str">
        <f>HYPERLINK("http://api.nsgreg.nga.mil/geo-division/GENC/6/ed3/CD-EQ","as:GENC:6:ed3:CD-EQ")</f>
        <v>as:GENC:6:ed3:CD-EQ</v>
      </c>
    </row>
    <row r="881" spans="1:7" x14ac:dyDescent="0.2">
      <c r="A881" s="85"/>
      <c r="B881" s="25" t="s">
        <v>3480</v>
      </c>
      <c r="C881" s="25" t="s">
        <v>12206</v>
      </c>
      <c r="D881" s="25" t="s">
        <v>1719</v>
      </c>
      <c r="E881" s="26" t="b">
        <v>1</v>
      </c>
      <c r="F881" s="27" t="str">
        <f>HYPERLINK("http://nsgreg.nga.mil/genc/view?v=211421&amp;end_month=12&amp;end_day=31&amp;end_year=2014","Kasaï-Occidental")</f>
        <v>Kasaï-Occidental</v>
      </c>
      <c r="G881" s="28" t="str">
        <f>HYPERLINK("http://api.nsgreg.nga.mil/geo-division/GENC/6/ed3/CD-KW","as:GENC:6:ed3:CD-KW")</f>
        <v>as:GENC:6:ed3:CD-KW</v>
      </c>
    </row>
    <row r="882" spans="1:7" x14ac:dyDescent="0.2">
      <c r="A882" s="85"/>
      <c r="B882" s="25" t="s">
        <v>3482</v>
      </c>
      <c r="C882" s="25" t="s">
        <v>12207</v>
      </c>
      <c r="D882" s="25" t="s">
        <v>1719</v>
      </c>
      <c r="E882" s="26" t="b">
        <v>1</v>
      </c>
      <c r="F882" s="27" t="str">
        <f>HYPERLINK("http://nsgreg.nga.mil/genc/view?v=211419&amp;end_month=12&amp;end_day=31&amp;end_year=2014","Kasaï-Oriental")</f>
        <v>Kasaï-Oriental</v>
      </c>
      <c r="G882" s="28" t="str">
        <f>HYPERLINK("http://api.nsgreg.nga.mil/geo-division/GENC/6/ed3/CD-KE","as:GENC:6:ed3:CD-KE")</f>
        <v>as:GENC:6:ed3:CD-KE</v>
      </c>
    </row>
    <row r="883" spans="1:7" x14ac:dyDescent="0.2">
      <c r="A883" s="85"/>
      <c r="B883" s="25" t="s">
        <v>3484</v>
      </c>
      <c r="C883" s="25" t="s">
        <v>3485</v>
      </c>
      <c r="D883" s="25" t="s">
        <v>1719</v>
      </c>
      <c r="E883" s="26" t="b">
        <v>1</v>
      </c>
      <c r="F883" s="27" t="str">
        <f>HYPERLINK("http://nsgreg.nga.mil/genc/view?v=118425&amp;gencs=T&amp;end_month=12&amp;end_day=31&amp;end_year=2014","Katanga")</f>
        <v>Katanga</v>
      </c>
      <c r="G883" s="28" t="str">
        <f>HYPERLINK("http://api.nsgreg.nga.mil/geo-division/GENC/6/ed3/CD-KA","as:GENC:6:ed3:CD-KA")</f>
        <v>as:GENC:6:ed3:CD-KA</v>
      </c>
    </row>
    <row r="884" spans="1:7" x14ac:dyDescent="0.2">
      <c r="A884" s="85"/>
      <c r="B884" s="25" t="s">
        <v>3486</v>
      </c>
      <c r="C884" s="25" t="s">
        <v>3487</v>
      </c>
      <c r="D884" s="25" t="s">
        <v>12127</v>
      </c>
      <c r="E884" s="26" t="b">
        <v>1</v>
      </c>
      <c r="F884" s="27" t="str">
        <f>HYPERLINK("http://nsgreg.nga.mil/genc/view?v=211420&amp;end_month=12&amp;end_day=31&amp;end_year=2014","Kinshasa")</f>
        <v>Kinshasa</v>
      </c>
      <c r="G884" s="28" t="str">
        <f>HYPERLINK("http://api.nsgreg.nga.mil/geo-division/GENC/6/ed3/CD-KN","as:GENC:6:ed3:CD-KN")</f>
        <v>as:GENC:6:ed3:CD-KN</v>
      </c>
    </row>
    <row r="885" spans="1:7" x14ac:dyDescent="0.2">
      <c r="A885" s="85"/>
      <c r="B885" s="25" t="s">
        <v>3488</v>
      </c>
      <c r="C885" s="25" t="s">
        <v>3489</v>
      </c>
      <c r="D885" s="25" t="s">
        <v>1719</v>
      </c>
      <c r="E885" s="26" t="b">
        <v>1</v>
      </c>
      <c r="F885" s="27" t="str">
        <f>HYPERLINK("http://nsgreg.nga.mil/genc/view?v=118429&amp;gencs=T&amp;end_month=12&amp;end_day=31&amp;end_year=2014","Maniema")</f>
        <v>Maniema</v>
      </c>
      <c r="G885" s="28" t="str">
        <f>HYPERLINK("http://api.nsgreg.nga.mil/geo-division/GENC/6/ed3/CD-MA","as:GENC:6:ed3:CD-MA")</f>
        <v>as:GENC:6:ed3:CD-MA</v>
      </c>
    </row>
    <row r="886" spans="1:7" x14ac:dyDescent="0.2">
      <c r="A886" s="85"/>
      <c r="B886" s="25" t="s">
        <v>3490</v>
      </c>
      <c r="C886" s="25" t="s">
        <v>3491</v>
      </c>
      <c r="D886" s="25" t="s">
        <v>1719</v>
      </c>
      <c r="E886" s="26" t="b">
        <v>1</v>
      </c>
      <c r="F886" s="27" t="str">
        <f>HYPERLINK("http://nsgreg.nga.mil/genc/view?v=118430&amp;gencs=T&amp;end_month=12&amp;end_day=31&amp;end_year=2014","Nord-Kivu")</f>
        <v>Nord-Kivu</v>
      </c>
      <c r="G886" s="28" t="str">
        <f>HYPERLINK("http://api.nsgreg.nga.mil/geo-division/GENC/6/ed3/CD-NK","as:GENC:6:ed3:CD-NK")</f>
        <v>as:GENC:6:ed3:CD-NK</v>
      </c>
    </row>
    <row r="887" spans="1:7" x14ac:dyDescent="0.2">
      <c r="A887" s="85"/>
      <c r="B887" s="25" t="s">
        <v>3492</v>
      </c>
      <c r="C887" s="25" t="s">
        <v>3493</v>
      </c>
      <c r="D887" s="25" t="s">
        <v>1719</v>
      </c>
      <c r="E887" s="26" t="b">
        <v>1</v>
      </c>
      <c r="F887" s="27" t="str">
        <f>HYPERLINK("http://nsgreg.nga.mil/genc/view?v=118431&amp;gencs=T&amp;end_month=12&amp;end_day=31&amp;end_year=2014","Orientale")</f>
        <v>Orientale</v>
      </c>
      <c r="G887" s="28" t="str">
        <f>HYPERLINK("http://api.nsgreg.nga.mil/geo-division/GENC/6/ed3/CD-OR","as:GENC:6:ed3:CD-OR")</f>
        <v>as:GENC:6:ed3:CD-OR</v>
      </c>
    </row>
    <row r="888" spans="1:7" x14ac:dyDescent="0.2">
      <c r="A888" s="86"/>
      <c r="B888" s="29" t="s">
        <v>3494</v>
      </c>
      <c r="C888" s="29" t="s">
        <v>3495</v>
      </c>
      <c r="D888" s="29" t="s">
        <v>1719</v>
      </c>
      <c r="E888" s="30" t="b">
        <v>1</v>
      </c>
      <c r="F888" s="31" t="str">
        <f>HYPERLINK("http://nsgreg.nga.mil/genc/view?v=118432&amp;gencs=T&amp;end_month=12&amp;end_day=31&amp;end_year=2014","Sud-Kivu")</f>
        <v>Sud-Kivu</v>
      </c>
      <c r="G888" s="32" t="str">
        <f>HYPERLINK("http://api.nsgreg.nga.mil/geo-division/GENC/6/ed3/CD-SK","as:GENC:6:ed3:CD-SK")</f>
        <v>as:GENC:6:ed3:CD-SK</v>
      </c>
    </row>
    <row r="889" spans="1:7" x14ac:dyDescent="0.2">
      <c r="A889" s="84" t="str">
        <f>HYPERLINK("[#]Codes_for_GE_Names!A63:I63","COSTA RICA")</f>
        <v>COSTA RICA</v>
      </c>
      <c r="B889" s="33" t="s">
        <v>3498</v>
      </c>
      <c r="C889" s="33" t="s">
        <v>3499</v>
      </c>
      <c r="D889" s="33" t="s">
        <v>1719</v>
      </c>
      <c r="E889" s="34" t="b">
        <v>1</v>
      </c>
      <c r="F889" s="35" t="str">
        <f>HYPERLINK("http://nsgreg.nga.mil/genc/view?v=118598&amp;gencs=T&amp;end_month=12&amp;end_day=31&amp;end_year=2014","Alajuela")</f>
        <v>Alajuela</v>
      </c>
      <c r="G889" s="36" t="str">
        <f>HYPERLINK("http://api.nsgreg.nga.mil/geo-division/GENC/6/ed3/CR-A","as:GENC:6:ed3:CR-A")</f>
        <v>as:GENC:6:ed3:CR-A</v>
      </c>
    </row>
    <row r="890" spans="1:7" x14ac:dyDescent="0.2">
      <c r="A890" s="85"/>
      <c r="B890" s="25" t="s">
        <v>3500</v>
      </c>
      <c r="C890" s="25" t="s">
        <v>3501</v>
      </c>
      <c r="D890" s="25" t="s">
        <v>1719</v>
      </c>
      <c r="E890" s="26" t="b">
        <v>1</v>
      </c>
      <c r="F890" s="27" t="str">
        <f>HYPERLINK("http://nsgreg.nga.mil/genc/view?v=118599&amp;gencs=T&amp;end_month=12&amp;end_day=31&amp;end_year=2014","Cartago")</f>
        <v>Cartago</v>
      </c>
      <c r="G890" s="28" t="str">
        <f>HYPERLINK("http://api.nsgreg.nga.mil/geo-division/GENC/6/ed3/CR-C","as:GENC:6:ed3:CR-C")</f>
        <v>as:GENC:6:ed3:CR-C</v>
      </c>
    </row>
    <row r="891" spans="1:7" x14ac:dyDescent="0.2">
      <c r="A891" s="85"/>
      <c r="B891" s="25" t="s">
        <v>3502</v>
      </c>
      <c r="C891" s="25" t="s">
        <v>3503</v>
      </c>
      <c r="D891" s="25" t="s">
        <v>1719</v>
      </c>
      <c r="E891" s="26" t="b">
        <v>1</v>
      </c>
      <c r="F891" s="27" t="str">
        <f>HYPERLINK("http://nsgreg.nga.mil/genc/view?v=118600&amp;gencs=T&amp;end_month=12&amp;end_day=31&amp;end_year=2014","Guanacaste")</f>
        <v>Guanacaste</v>
      </c>
      <c r="G891" s="28" t="str">
        <f>HYPERLINK("http://api.nsgreg.nga.mil/geo-division/GENC/6/ed3/CR-G","as:GENC:6:ed3:CR-G")</f>
        <v>as:GENC:6:ed3:CR-G</v>
      </c>
    </row>
    <row r="892" spans="1:7" x14ac:dyDescent="0.2">
      <c r="A892" s="85"/>
      <c r="B892" s="25" t="s">
        <v>3504</v>
      </c>
      <c r="C892" s="25" t="s">
        <v>3505</v>
      </c>
      <c r="D892" s="25" t="s">
        <v>1719</v>
      </c>
      <c r="E892" s="26" t="b">
        <v>1</v>
      </c>
      <c r="F892" s="27" t="str">
        <f>HYPERLINK("http://nsgreg.nga.mil/genc/view?v=118601&amp;gencs=T&amp;end_month=12&amp;end_day=31&amp;end_year=2014","Heredia")</f>
        <v>Heredia</v>
      </c>
      <c r="G892" s="28" t="str">
        <f>HYPERLINK("http://api.nsgreg.nga.mil/geo-division/GENC/6/ed3/CR-H","as:GENC:6:ed3:CR-H")</f>
        <v>as:GENC:6:ed3:CR-H</v>
      </c>
    </row>
    <row r="893" spans="1:7" x14ac:dyDescent="0.2">
      <c r="A893" s="85"/>
      <c r="B893" s="25" t="s">
        <v>3506</v>
      </c>
      <c r="C893" s="25" t="s">
        <v>3507</v>
      </c>
      <c r="D893" s="25" t="s">
        <v>1719</v>
      </c>
      <c r="E893" s="26" t="b">
        <v>1</v>
      </c>
      <c r="F893" s="27" t="str">
        <f>HYPERLINK("http://nsgreg.nga.mil/genc/view?v=118602&amp;gencs=T&amp;end_month=12&amp;end_day=31&amp;end_year=2014","Limón")</f>
        <v>Limón</v>
      </c>
      <c r="G893" s="28" t="str">
        <f>HYPERLINK("http://api.nsgreg.nga.mil/geo-division/GENC/6/ed3/CR-L","as:GENC:6:ed3:CR-L")</f>
        <v>as:GENC:6:ed3:CR-L</v>
      </c>
    </row>
    <row r="894" spans="1:7" x14ac:dyDescent="0.2">
      <c r="A894" s="85"/>
      <c r="B894" s="25" t="s">
        <v>3508</v>
      </c>
      <c r="C894" s="25" t="s">
        <v>3509</v>
      </c>
      <c r="D894" s="25" t="s">
        <v>1719</v>
      </c>
      <c r="E894" s="26" t="b">
        <v>1</v>
      </c>
      <c r="F894" s="27" t="str">
        <f>HYPERLINK("http://nsgreg.nga.mil/genc/view?v=118603&amp;gencs=T&amp;end_month=12&amp;end_day=31&amp;end_year=2014","Puntarenas")</f>
        <v>Puntarenas</v>
      </c>
      <c r="G894" s="28" t="str">
        <f>HYPERLINK("http://api.nsgreg.nga.mil/geo-division/GENC/6/ed3/CR-P","as:GENC:6:ed3:CR-P")</f>
        <v>as:GENC:6:ed3:CR-P</v>
      </c>
    </row>
    <row r="895" spans="1:7" x14ac:dyDescent="0.2">
      <c r="A895" s="86"/>
      <c r="B895" s="29" t="s">
        <v>3510</v>
      </c>
      <c r="C895" s="29" t="s">
        <v>3511</v>
      </c>
      <c r="D895" s="29" t="s">
        <v>1719</v>
      </c>
      <c r="E895" s="30" t="b">
        <v>1</v>
      </c>
      <c r="F895" s="31" t="str">
        <f>HYPERLINK("http://nsgreg.nga.mil/genc/view?v=118604&amp;gencs=T&amp;end_month=12&amp;end_day=31&amp;end_year=2014","San José")</f>
        <v>San José</v>
      </c>
      <c r="G895" s="32" t="str">
        <f>HYPERLINK("http://api.nsgreg.nga.mil/geo-division/GENC/6/ed3/CR-SJ","as:GENC:6:ed3:CR-SJ")</f>
        <v>as:GENC:6:ed3:CR-SJ</v>
      </c>
    </row>
    <row r="896" spans="1:7" x14ac:dyDescent="0.2">
      <c r="A896" s="84" t="str">
        <f>HYPERLINK("[#]Codes_for_GE_Names!A64:I64","CÔTE D’IVOIRE")</f>
        <v>CÔTE D’IVOIRE</v>
      </c>
      <c r="B896" s="33" t="s">
        <v>12208</v>
      </c>
      <c r="C896" s="33" t="s">
        <v>12209</v>
      </c>
      <c r="D896" s="33" t="s">
        <v>8709</v>
      </c>
      <c r="E896" s="34" t="b">
        <v>1</v>
      </c>
      <c r="F896" s="35" t="str">
        <f>HYPERLINK("http://nsgreg.nga.mil/genc/view?v=211485&amp;end_month=12&amp;end_day=31&amp;end_year=2014","Abidjan")</f>
        <v>Abidjan</v>
      </c>
      <c r="G896" s="36" t="str">
        <f>HYPERLINK("http://api.nsgreg.nga.mil/geo-division/GENC/6/ed3/CI-20","as:GENC:6:ed3:CI-20")</f>
        <v>as:GENC:6:ed3:CI-20</v>
      </c>
    </row>
    <row r="897" spans="1:7" x14ac:dyDescent="0.2">
      <c r="A897" s="85"/>
      <c r="B897" s="25" t="s">
        <v>3817</v>
      </c>
      <c r="C897" s="25" t="s">
        <v>12210</v>
      </c>
      <c r="D897" s="25" t="s">
        <v>1790</v>
      </c>
      <c r="E897" s="26" t="b">
        <v>1</v>
      </c>
      <c r="F897" s="27" t="str">
        <f>HYPERLINK("http://nsgreg.nga.mil/genc/view?v=211474&amp;end_month=12&amp;end_day=31&amp;end_year=2014","Bas-Sassandra")</f>
        <v>Bas-Sassandra</v>
      </c>
      <c r="G897" s="28" t="str">
        <f>HYPERLINK("http://api.nsgreg.nga.mil/geo-division/GENC/6/ed3/CI-09","as:GENC:6:ed3:CI-09")</f>
        <v>as:GENC:6:ed3:CI-09</v>
      </c>
    </row>
    <row r="898" spans="1:7" x14ac:dyDescent="0.2">
      <c r="A898" s="85"/>
      <c r="B898" s="25" t="s">
        <v>12211</v>
      </c>
      <c r="C898" s="25" t="s">
        <v>2885</v>
      </c>
      <c r="D898" s="25" t="s">
        <v>1790</v>
      </c>
      <c r="E898" s="26" t="b">
        <v>1</v>
      </c>
      <c r="F898" s="27" t="str">
        <f>HYPERLINK("http://nsgreg.nga.mil/genc/view?v=211486&amp;end_month=12&amp;end_day=31&amp;end_year=2014","Comoé")</f>
        <v>Comoé</v>
      </c>
      <c r="G898" s="28" t="str">
        <f>HYPERLINK("http://api.nsgreg.nga.mil/geo-division/GENC/6/ed3/CI-21","as:GENC:6:ed3:CI-21")</f>
        <v>as:GENC:6:ed3:CI-21</v>
      </c>
    </row>
    <row r="899" spans="1:7" x14ac:dyDescent="0.2">
      <c r="A899" s="85"/>
      <c r="B899" s="25" t="s">
        <v>3819</v>
      </c>
      <c r="C899" s="25" t="s">
        <v>12212</v>
      </c>
      <c r="D899" s="25" t="s">
        <v>1790</v>
      </c>
      <c r="E899" s="26" t="b">
        <v>1</v>
      </c>
      <c r="F899" s="27" t="str">
        <f>HYPERLINK("http://nsgreg.nga.mil/genc/view?v=211475&amp;end_month=12&amp;end_day=31&amp;end_year=2014","Denguélé")</f>
        <v>Denguélé</v>
      </c>
      <c r="G899" s="28" t="str">
        <f>HYPERLINK("http://api.nsgreg.nga.mil/geo-division/GENC/6/ed3/CI-10","as:GENC:6:ed3:CI-10")</f>
        <v>as:GENC:6:ed3:CI-10</v>
      </c>
    </row>
    <row r="900" spans="1:7" x14ac:dyDescent="0.2">
      <c r="A900" s="85"/>
      <c r="B900" s="25" t="s">
        <v>12213</v>
      </c>
      <c r="C900" s="25" t="s">
        <v>12214</v>
      </c>
      <c r="D900" s="25" t="s">
        <v>1790</v>
      </c>
      <c r="E900" s="26" t="b">
        <v>1</v>
      </c>
      <c r="F900" s="27" t="str">
        <f>HYPERLINK("http://nsgreg.nga.mil/genc/view?v=211487&amp;end_month=12&amp;end_day=31&amp;end_year=2014","Gôh-Djiboua")</f>
        <v>Gôh-Djiboua</v>
      </c>
      <c r="G900" s="28" t="str">
        <f>HYPERLINK("http://api.nsgreg.nga.mil/geo-division/GENC/6/ed3/CI-22","as:GENC:6:ed3:CI-22")</f>
        <v>as:GENC:6:ed3:CI-22</v>
      </c>
    </row>
    <row r="901" spans="1:7" x14ac:dyDescent="0.2">
      <c r="A901" s="85"/>
      <c r="B901" s="25" t="s">
        <v>3825</v>
      </c>
      <c r="C901" s="25" t="s">
        <v>12215</v>
      </c>
      <c r="D901" s="25" t="s">
        <v>1790</v>
      </c>
      <c r="E901" s="26" t="b">
        <v>1</v>
      </c>
      <c r="F901" s="27" t="str">
        <f>HYPERLINK("http://nsgreg.nga.mil/genc/view?v=211472&amp;end_month=12&amp;end_day=31&amp;end_year=2014","Lacs")</f>
        <v>Lacs</v>
      </c>
      <c r="G901" s="28" t="str">
        <f>HYPERLINK("http://api.nsgreg.nga.mil/geo-division/GENC/6/ed3/CI-07","as:GENC:6:ed3:CI-07")</f>
        <v>as:GENC:6:ed3:CI-07</v>
      </c>
    </row>
    <row r="902" spans="1:7" x14ac:dyDescent="0.2">
      <c r="A902" s="85"/>
      <c r="B902" s="25" t="s">
        <v>3827</v>
      </c>
      <c r="C902" s="25" t="s">
        <v>12216</v>
      </c>
      <c r="D902" s="25" t="s">
        <v>1790</v>
      </c>
      <c r="E902" s="26" t="b">
        <v>1</v>
      </c>
      <c r="F902" s="27" t="str">
        <f>HYPERLINK("http://nsgreg.nga.mil/genc/view?v=211466&amp;end_month=12&amp;end_day=31&amp;end_year=2014","Lagunes")</f>
        <v>Lagunes</v>
      </c>
      <c r="G902" s="28" t="str">
        <f>HYPERLINK("http://api.nsgreg.nga.mil/geo-division/GENC/6/ed3/CI-01","as:GENC:6:ed3:CI-01")</f>
        <v>as:GENC:6:ed3:CI-01</v>
      </c>
    </row>
    <row r="903" spans="1:7" x14ac:dyDescent="0.2">
      <c r="A903" s="85"/>
      <c r="B903" s="25" t="s">
        <v>3811</v>
      </c>
      <c r="C903" s="25" t="s">
        <v>12217</v>
      </c>
      <c r="D903" s="25" t="s">
        <v>1790</v>
      </c>
      <c r="E903" s="26" t="b">
        <v>1</v>
      </c>
      <c r="F903" s="27" t="str">
        <f>HYPERLINK("http://nsgreg.nga.mil/genc/view?v=211471&amp;end_month=12&amp;end_day=31&amp;end_year=2014","Montagnes")</f>
        <v>Montagnes</v>
      </c>
      <c r="G903" s="28" t="str">
        <f>HYPERLINK("http://api.nsgreg.nga.mil/geo-division/GENC/6/ed3/CI-06","as:GENC:6:ed3:CI-06")</f>
        <v>as:GENC:6:ed3:CI-06</v>
      </c>
    </row>
    <row r="904" spans="1:7" x14ac:dyDescent="0.2">
      <c r="A904" s="85"/>
      <c r="B904" s="25" t="s">
        <v>12218</v>
      </c>
      <c r="C904" s="25" t="s">
        <v>12219</v>
      </c>
      <c r="D904" s="25" t="s">
        <v>1790</v>
      </c>
      <c r="E904" s="26" t="b">
        <v>1</v>
      </c>
      <c r="F904" s="27" t="str">
        <f>HYPERLINK("http://nsgreg.nga.mil/genc/view?v=211488&amp;end_month=12&amp;end_day=31&amp;end_year=2014","Sassandra-Marahoué")</f>
        <v>Sassandra-Marahoué</v>
      </c>
      <c r="G904" s="28" t="str">
        <f>HYPERLINK("http://api.nsgreg.nga.mil/geo-division/GENC/6/ed3/CI-23","as:GENC:6:ed3:CI-23")</f>
        <v>as:GENC:6:ed3:CI-23</v>
      </c>
    </row>
    <row r="905" spans="1:7" x14ac:dyDescent="0.2">
      <c r="A905" s="85"/>
      <c r="B905" s="25" t="s">
        <v>3837</v>
      </c>
      <c r="C905" s="25" t="s">
        <v>12220</v>
      </c>
      <c r="D905" s="25" t="s">
        <v>1790</v>
      </c>
      <c r="E905" s="26" t="b">
        <v>1</v>
      </c>
      <c r="F905" s="27" t="str">
        <f>HYPERLINK("http://nsgreg.nga.mil/genc/view?v=211468&amp;end_month=12&amp;end_day=31&amp;end_year=2014","Savanes")</f>
        <v>Savanes</v>
      </c>
      <c r="G905" s="28" t="str">
        <f>HYPERLINK("http://api.nsgreg.nga.mil/geo-division/GENC/6/ed3/CI-03","as:GENC:6:ed3:CI-03")</f>
        <v>as:GENC:6:ed3:CI-03</v>
      </c>
    </row>
    <row r="906" spans="1:7" x14ac:dyDescent="0.2">
      <c r="A906" s="85"/>
      <c r="B906" s="25" t="s">
        <v>3843</v>
      </c>
      <c r="C906" s="25" t="s">
        <v>12221</v>
      </c>
      <c r="D906" s="25" t="s">
        <v>1790</v>
      </c>
      <c r="E906" s="26" t="b">
        <v>1</v>
      </c>
      <c r="F906" s="27" t="str">
        <f>HYPERLINK("http://nsgreg.nga.mil/genc/view?v=211469&amp;end_month=12&amp;end_day=31&amp;end_year=2014","Vallée du Bandama")</f>
        <v>Vallée du Bandama</v>
      </c>
      <c r="G906" s="28" t="str">
        <f>HYPERLINK("http://api.nsgreg.nga.mil/geo-division/GENC/6/ed3/CI-04","as:GENC:6:ed3:CI-04")</f>
        <v>as:GENC:6:ed3:CI-04</v>
      </c>
    </row>
    <row r="907" spans="1:7" x14ac:dyDescent="0.2">
      <c r="A907" s="85"/>
      <c r="B907" s="25" t="s">
        <v>12222</v>
      </c>
      <c r="C907" s="25" t="s">
        <v>12223</v>
      </c>
      <c r="D907" s="25" t="s">
        <v>1790</v>
      </c>
      <c r="E907" s="26" t="b">
        <v>1</v>
      </c>
      <c r="F907" s="27" t="str">
        <f>HYPERLINK("http://nsgreg.nga.mil/genc/view?v=211489&amp;end_month=12&amp;end_day=31&amp;end_year=2014","Woroba")</f>
        <v>Woroba</v>
      </c>
      <c r="G907" s="28" t="str">
        <f>HYPERLINK("http://api.nsgreg.nga.mil/geo-division/GENC/6/ed3/CI-24","as:GENC:6:ed3:CI-24")</f>
        <v>as:GENC:6:ed3:CI-24</v>
      </c>
    </row>
    <row r="908" spans="1:7" x14ac:dyDescent="0.2">
      <c r="A908" s="85"/>
      <c r="B908" s="25" t="s">
        <v>12224</v>
      </c>
      <c r="C908" s="25" t="s">
        <v>12225</v>
      </c>
      <c r="D908" s="25" t="s">
        <v>8709</v>
      </c>
      <c r="E908" s="26" t="b">
        <v>1</v>
      </c>
      <c r="F908" s="27" t="str">
        <f>HYPERLINK("http://nsgreg.nga.mil/genc/view?v=211490&amp;end_month=12&amp;end_day=31&amp;end_year=2014","Yamoussoukro")</f>
        <v>Yamoussoukro</v>
      </c>
      <c r="G908" s="28" t="str">
        <f>HYPERLINK("http://api.nsgreg.nga.mil/geo-division/GENC/6/ed3/CI-25","as:GENC:6:ed3:CI-25")</f>
        <v>as:GENC:6:ed3:CI-25</v>
      </c>
    </row>
    <row r="909" spans="1:7" x14ac:dyDescent="0.2">
      <c r="A909" s="86"/>
      <c r="B909" s="29" t="s">
        <v>3847</v>
      </c>
      <c r="C909" s="29" t="s">
        <v>12226</v>
      </c>
      <c r="D909" s="29" t="s">
        <v>1790</v>
      </c>
      <c r="E909" s="30" t="b">
        <v>1</v>
      </c>
      <c r="F909" s="31" t="str">
        <f>HYPERLINK("http://nsgreg.nga.mil/genc/view?v=211473&amp;end_month=12&amp;end_day=31&amp;end_year=2014","Zanzan")</f>
        <v>Zanzan</v>
      </c>
      <c r="G909" s="32" t="str">
        <f>HYPERLINK("http://api.nsgreg.nga.mil/geo-division/GENC/6/ed3/CI-08","as:GENC:6:ed3:CI-08")</f>
        <v>as:GENC:6:ed3:CI-08</v>
      </c>
    </row>
    <row r="910" spans="1:7" x14ac:dyDescent="0.2">
      <c r="A910" s="84" t="str">
        <f>HYPERLINK("[#]Codes_for_GE_Names!A65:I65","CROATIA")</f>
        <v>CROATIA</v>
      </c>
      <c r="B910" s="33" t="s">
        <v>3512</v>
      </c>
      <c r="C910" s="33" t="s">
        <v>12227</v>
      </c>
      <c r="D910" s="33" t="s">
        <v>1788</v>
      </c>
      <c r="E910" s="34" t="b">
        <v>1</v>
      </c>
      <c r="F910" s="35" t="str">
        <f>HYPERLINK("http://nsgreg.nga.mil/genc/view?v=211916&amp;end_month=12&amp;end_day=31&amp;end_year=2014","Bjelovarsko-Bilogorska Županija")</f>
        <v>Bjelovarsko-Bilogorska Županija</v>
      </c>
      <c r="G910" s="36" t="str">
        <f>HYPERLINK("http://api.nsgreg.nga.mil/geo-division/GENC/6/ed3/HR-07","as:GENC:6:ed3:HR-07")</f>
        <v>as:GENC:6:ed3:HR-07</v>
      </c>
    </row>
    <row r="911" spans="1:7" x14ac:dyDescent="0.2">
      <c r="A911" s="85"/>
      <c r="B911" s="25" t="s">
        <v>3514</v>
      </c>
      <c r="C911" s="25" t="s">
        <v>12228</v>
      </c>
      <c r="D911" s="25" t="s">
        <v>1788</v>
      </c>
      <c r="E911" s="26" t="b">
        <v>1</v>
      </c>
      <c r="F911" s="27" t="str">
        <f>HYPERLINK("http://nsgreg.nga.mil/genc/view?v=211921&amp;end_month=12&amp;end_day=31&amp;end_year=2014","Brodsko-Posavska Županija")</f>
        <v>Brodsko-Posavska Županija</v>
      </c>
      <c r="G911" s="28" t="str">
        <f>HYPERLINK("http://api.nsgreg.nga.mil/geo-division/GENC/6/ed3/HR-12","as:GENC:6:ed3:HR-12")</f>
        <v>as:GENC:6:ed3:HR-12</v>
      </c>
    </row>
    <row r="912" spans="1:7" x14ac:dyDescent="0.2">
      <c r="A912" s="85"/>
      <c r="B912" s="25" t="s">
        <v>3516</v>
      </c>
      <c r="C912" s="25" t="s">
        <v>12229</v>
      </c>
      <c r="D912" s="25" t="s">
        <v>1788</v>
      </c>
      <c r="E912" s="26" t="b">
        <v>1</v>
      </c>
      <c r="F912" s="27" t="str">
        <f>HYPERLINK("http://nsgreg.nga.mil/genc/view?v=211928&amp;end_month=12&amp;end_day=31&amp;end_year=2014","Dubrovačko-Neretvanska Županija")</f>
        <v>Dubrovačko-Neretvanska Županija</v>
      </c>
      <c r="G912" s="28" t="str">
        <f>HYPERLINK("http://api.nsgreg.nga.mil/geo-division/GENC/6/ed3/HR-19","as:GENC:6:ed3:HR-19")</f>
        <v>as:GENC:6:ed3:HR-19</v>
      </c>
    </row>
    <row r="913" spans="1:7" x14ac:dyDescent="0.2">
      <c r="A913" s="85"/>
      <c r="B913" s="25" t="s">
        <v>3520</v>
      </c>
      <c r="C913" s="25" t="s">
        <v>12230</v>
      </c>
      <c r="D913" s="25" t="s">
        <v>1788</v>
      </c>
      <c r="E913" s="26" t="b">
        <v>1</v>
      </c>
      <c r="F913" s="27" t="str">
        <f>HYPERLINK("http://nsgreg.nga.mil/genc/view?v=211927&amp;end_month=12&amp;end_day=31&amp;end_year=2014","Istarska Županija")</f>
        <v>Istarska Županija</v>
      </c>
      <c r="G913" s="28" t="str">
        <f>HYPERLINK("http://api.nsgreg.nga.mil/geo-division/GENC/6/ed3/HR-18","as:GENC:6:ed3:HR-18")</f>
        <v>as:GENC:6:ed3:HR-18</v>
      </c>
    </row>
    <row r="914" spans="1:7" x14ac:dyDescent="0.2">
      <c r="A914" s="85"/>
      <c r="B914" s="25" t="s">
        <v>3522</v>
      </c>
      <c r="C914" s="25" t="s">
        <v>12231</v>
      </c>
      <c r="D914" s="25" t="s">
        <v>1788</v>
      </c>
      <c r="E914" s="26" t="b">
        <v>1</v>
      </c>
      <c r="F914" s="27" t="str">
        <f>HYPERLINK("http://nsgreg.nga.mil/genc/view?v=211913&amp;end_month=12&amp;end_day=31&amp;end_year=2014","Karlovačka Županija")</f>
        <v>Karlovačka Županija</v>
      </c>
      <c r="G914" s="28" t="str">
        <f>HYPERLINK("http://api.nsgreg.nga.mil/geo-division/GENC/6/ed3/HR-04","as:GENC:6:ed3:HR-04")</f>
        <v>as:GENC:6:ed3:HR-04</v>
      </c>
    </row>
    <row r="915" spans="1:7" x14ac:dyDescent="0.2">
      <c r="A915" s="85"/>
      <c r="B915" s="25" t="s">
        <v>3524</v>
      </c>
      <c r="C915" s="25" t="s">
        <v>12232</v>
      </c>
      <c r="D915" s="25" t="s">
        <v>1788</v>
      </c>
      <c r="E915" s="26" t="b">
        <v>1</v>
      </c>
      <c r="F915" s="27" t="str">
        <f>HYPERLINK("http://nsgreg.nga.mil/genc/view?v=211915&amp;end_month=12&amp;end_day=31&amp;end_year=2014","Koprivničko-Križevačka Županija")</f>
        <v>Koprivničko-Križevačka Županija</v>
      </c>
      <c r="G915" s="28" t="str">
        <f>HYPERLINK("http://api.nsgreg.nga.mil/geo-division/GENC/6/ed3/HR-06","as:GENC:6:ed3:HR-06")</f>
        <v>as:GENC:6:ed3:HR-06</v>
      </c>
    </row>
    <row r="916" spans="1:7" x14ac:dyDescent="0.2">
      <c r="A916" s="85"/>
      <c r="B916" s="25" t="s">
        <v>3526</v>
      </c>
      <c r="C916" s="25" t="s">
        <v>12233</v>
      </c>
      <c r="D916" s="25" t="s">
        <v>1788</v>
      </c>
      <c r="E916" s="26" t="b">
        <v>1</v>
      </c>
      <c r="F916" s="27" t="str">
        <f>HYPERLINK("http://nsgreg.nga.mil/genc/view?v=211911&amp;end_month=12&amp;end_day=31&amp;end_year=2014","Krapinsko-Zagorska Županija")</f>
        <v>Krapinsko-Zagorska Županija</v>
      </c>
      <c r="G916" s="28" t="str">
        <f>HYPERLINK("http://api.nsgreg.nga.mil/geo-division/GENC/6/ed3/HR-02","as:GENC:6:ed3:HR-02")</f>
        <v>as:GENC:6:ed3:HR-02</v>
      </c>
    </row>
    <row r="917" spans="1:7" x14ac:dyDescent="0.2">
      <c r="A917" s="85"/>
      <c r="B917" s="25" t="s">
        <v>3528</v>
      </c>
      <c r="C917" s="25" t="s">
        <v>12234</v>
      </c>
      <c r="D917" s="25" t="s">
        <v>1788</v>
      </c>
      <c r="E917" s="26" t="b">
        <v>1</v>
      </c>
      <c r="F917" s="27" t="str">
        <f>HYPERLINK("http://nsgreg.nga.mil/genc/view?v=211918&amp;end_month=12&amp;end_day=31&amp;end_year=2014","Ličko-Senjska Županija")</f>
        <v>Ličko-Senjska Županija</v>
      </c>
      <c r="G917" s="28" t="str">
        <f>HYPERLINK("http://api.nsgreg.nga.mil/geo-division/GENC/6/ed3/HR-09","as:GENC:6:ed3:HR-09")</f>
        <v>as:GENC:6:ed3:HR-09</v>
      </c>
    </row>
    <row r="918" spans="1:7" x14ac:dyDescent="0.2">
      <c r="A918" s="85"/>
      <c r="B918" s="25" t="s">
        <v>3530</v>
      </c>
      <c r="C918" s="25" t="s">
        <v>12235</v>
      </c>
      <c r="D918" s="25" t="s">
        <v>1788</v>
      </c>
      <c r="E918" s="26" t="b">
        <v>1</v>
      </c>
      <c r="F918" s="27" t="str">
        <f>HYPERLINK("http://nsgreg.nga.mil/genc/view?v=211929&amp;end_month=12&amp;end_day=31&amp;end_year=2014","Međimurska Županija")</f>
        <v>Međimurska Županija</v>
      </c>
      <c r="G918" s="28" t="str">
        <f>HYPERLINK("http://api.nsgreg.nga.mil/geo-division/GENC/6/ed3/HR-20","as:GENC:6:ed3:HR-20")</f>
        <v>as:GENC:6:ed3:HR-20</v>
      </c>
    </row>
    <row r="919" spans="1:7" x14ac:dyDescent="0.2">
      <c r="A919" s="85"/>
      <c r="B919" s="25" t="s">
        <v>3532</v>
      </c>
      <c r="C919" s="25" t="s">
        <v>12236</v>
      </c>
      <c r="D919" s="25" t="s">
        <v>1788</v>
      </c>
      <c r="E919" s="26" t="b">
        <v>1</v>
      </c>
      <c r="F919" s="27" t="str">
        <f>HYPERLINK("http://nsgreg.nga.mil/genc/view?v=211923&amp;end_month=12&amp;end_day=31&amp;end_year=2014","Osječko-Baranjska Županija")</f>
        <v>Osječko-Baranjska Županija</v>
      </c>
      <c r="G919" s="28" t="str">
        <f>HYPERLINK("http://api.nsgreg.nga.mil/geo-division/GENC/6/ed3/HR-14","as:GENC:6:ed3:HR-14")</f>
        <v>as:GENC:6:ed3:HR-14</v>
      </c>
    </row>
    <row r="920" spans="1:7" x14ac:dyDescent="0.2">
      <c r="A920" s="85"/>
      <c r="B920" s="25" t="s">
        <v>3534</v>
      </c>
      <c r="C920" s="25" t="s">
        <v>12237</v>
      </c>
      <c r="D920" s="25" t="s">
        <v>1788</v>
      </c>
      <c r="E920" s="26" t="b">
        <v>1</v>
      </c>
      <c r="F920" s="27" t="str">
        <f>HYPERLINK("http://nsgreg.nga.mil/genc/view?v=211920&amp;end_month=12&amp;end_day=31&amp;end_year=2014","Požeško-Slavonska Županija")</f>
        <v>Požeško-Slavonska Županija</v>
      </c>
      <c r="G920" s="28" t="str">
        <f>HYPERLINK("http://api.nsgreg.nga.mil/geo-division/GENC/6/ed3/HR-11","as:GENC:6:ed3:HR-11")</f>
        <v>as:GENC:6:ed3:HR-11</v>
      </c>
    </row>
    <row r="921" spans="1:7" x14ac:dyDescent="0.2">
      <c r="A921" s="85"/>
      <c r="B921" s="25" t="s">
        <v>3536</v>
      </c>
      <c r="C921" s="25" t="s">
        <v>12238</v>
      </c>
      <c r="D921" s="25" t="s">
        <v>1788</v>
      </c>
      <c r="E921" s="26" t="b">
        <v>1</v>
      </c>
      <c r="F921" s="27" t="str">
        <f>HYPERLINK("http://nsgreg.nga.mil/genc/view?v=211917&amp;end_month=12&amp;end_day=31&amp;end_year=2014","Primorsko-Goranska Županija")</f>
        <v>Primorsko-Goranska Županija</v>
      </c>
      <c r="G921" s="28" t="str">
        <f>HYPERLINK("http://api.nsgreg.nga.mil/geo-division/GENC/6/ed3/HR-08","as:GENC:6:ed3:HR-08")</f>
        <v>as:GENC:6:ed3:HR-08</v>
      </c>
    </row>
    <row r="922" spans="1:7" x14ac:dyDescent="0.2">
      <c r="A922" s="85"/>
      <c r="B922" s="25" t="s">
        <v>3552</v>
      </c>
      <c r="C922" s="25" t="s">
        <v>12239</v>
      </c>
      <c r="D922" s="25" t="s">
        <v>1788</v>
      </c>
      <c r="E922" s="26" t="b">
        <v>1</v>
      </c>
      <c r="F922" s="27" t="str">
        <f>HYPERLINK("http://nsgreg.nga.mil/genc/view?v=211924&amp;end_month=12&amp;end_day=31&amp;end_year=2014","Šibensko-Kninska Županija")</f>
        <v>Šibensko-Kninska Županija</v>
      </c>
      <c r="G922" s="28" t="str">
        <f>HYPERLINK("http://api.nsgreg.nga.mil/geo-division/GENC/6/ed3/HR-15","as:GENC:6:ed3:HR-15")</f>
        <v>as:GENC:6:ed3:HR-15</v>
      </c>
    </row>
    <row r="923" spans="1:7" x14ac:dyDescent="0.2">
      <c r="A923" s="85"/>
      <c r="B923" s="25" t="s">
        <v>3538</v>
      </c>
      <c r="C923" s="25" t="s">
        <v>12240</v>
      </c>
      <c r="D923" s="25" t="s">
        <v>1788</v>
      </c>
      <c r="E923" s="26" t="b">
        <v>1</v>
      </c>
      <c r="F923" s="27" t="str">
        <f>HYPERLINK("http://nsgreg.nga.mil/genc/view?v=211912&amp;end_month=12&amp;end_day=31&amp;end_year=2014","Sisačko-Moslavačka Županija")</f>
        <v>Sisačko-Moslavačka Županija</v>
      </c>
      <c r="G923" s="28" t="str">
        <f>HYPERLINK("http://api.nsgreg.nga.mil/geo-division/GENC/6/ed3/HR-03","as:GENC:6:ed3:HR-03")</f>
        <v>as:GENC:6:ed3:HR-03</v>
      </c>
    </row>
    <row r="924" spans="1:7" x14ac:dyDescent="0.2">
      <c r="A924" s="85"/>
      <c r="B924" s="25" t="s">
        <v>3540</v>
      </c>
      <c r="C924" s="25" t="s">
        <v>12241</v>
      </c>
      <c r="D924" s="25" t="s">
        <v>1788</v>
      </c>
      <c r="E924" s="26" t="b">
        <v>1</v>
      </c>
      <c r="F924" s="27" t="str">
        <f>HYPERLINK("http://nsgreg.nga.mil/genc/view?v=211926&amp;end_month=12&amp;end_day=31&amp;end_year=2014","Splitsko-Dalmatinska Županija")</f>
        <v>Splitsko-Dalmatinska Županija</v>
      </c>
      <c r="G924" s="28" t="str">
        <f>HYPERLINK("http://api.nsgreg.nga.mil/geo-division/GENC/6/ed3/HR-17","as:GENC:6:ed3:HR-17")</f>
        <v>as:GENC:6:ed3:HR-17</v>
      </c>
    </row>
    <row r="925" spans="1:7" x14ac:dyDescent="0.2">
      <c r="A925" s="85"/>
      <c r="B925" s="25" t="s">
        <v>3542</v>
      </c>
      <c r="C925" s="25" t="s">
        <v>12242</v>
      </c>
      <c r="D925" s="25" t="s">
        <v>1788</v>
      </c>
      <c r="E925" s="26" t="b">
        <v>1</v>
      </c>
      <c r="F925" s="27" t="str">
        <f>HYPERLINK("http://nsgreg.nga.mil/genc/view?v=211914&amp;end_month=12&amp;end_day=31&amp;end_year=2014","Varaždinska Županija")</f>
        <v>Varaždinska Županija</v>
      </c>
      <c r="G925" s="28" t="str">
        <f>HYPERLINK("http://api.nsgreg.nga.mil/geo-division/GENC/6/ed3/HR-05","as:GENC:6:ed3:HR-05")</f>
        <v>as:GENC:6:ed3:HR-05</v>
      </c>
    </row>
    <row r="926" spans="1:7" x14ac:dyDescent="0.2">
      <c r="A926" s="85"/>
      <c r="B926" s="25" t="s">
        <v>3544</v>
      </c>
      <c r="C926" s="25" t="s">
        <v>12243</v>
      </c>
      <c r="D926" s="25" t="s">
        <v>1788</v>
      </c>
      <c r="E926" s="26" t="b">
        <v>1</v>
      </c>
      <c r="F926" s="27" t="str">
        <f>HYPERLINK("http://nsgreg.nga.mil/genc/view?v=211919&amp;end_month=12&amp;end_day=31&amp;end_year=2014","Virovitičko-Podravska Županija")</f>
        <v>Virovitičko-Podravska Županija</v>
      </c>
      <c r="G926" s="28" t="str">
        <f>HYPERLINK("http://api.nsgreg.nga.mil/geo-division/GENC/6/ed3/HR-10","as:GENC:6:ed3:HR-10")</f>
        <v>as:GENC:6:ed3:HR-10</v>
      </c>
    </row>
    <row r="927" spans="1:7" x14ac:dyDescent="0.2">
      <c r="A927" s="85"/>
      <c r="B927" s="25" t="s">
        <v>3546</v>
      </c>
      <c r="C927" s="25" t="s">
        <v>12244</v>
      </c>
      <c r="D927" s="25" t="s">
        <v>1788</v>
      </c>
      <c r="E927" s="26" t="b">
        <v>1</v>
      </c>
      <c r="F927" s="27" t="str">
        <f>HYPERLINK("http://nsgreg.nga.mil/genc/view?v=211925&amp;end_month=12&amp;end_day=31&amp;end_year=2014","Vukovarsko-Srijemska Županija")</f>
        <v>Vukovarsko-Srijemska Županija</v>
      </c>
      <c r="G927" s="28" t="str">
        <f>HYPERLINK("http://api.nsgreg.nga.mil/geo-division/GENC/6/ed3/HR-16","as:GENC:6:ed3:HR-16")</f>
        <v>as:GENC:6:ed3:HR-16</v>
      </c>
    </row>
    <row r="928" spans="1:7" x14ac:dyDescent="0.2">
      <c r="A928" s="85"/>
      <c r="B928" s="25" t="s">
        <v>3548</v>
      </c>
      <c r="C928" s="25" t="s">
        <v>12245</v>
      </c>
      <c r="D928" s="25" t="s">
        <v>1788</v>
      </c>
      <c r="E928" s="26" t="b">
        <v>1</v>
      </c>
      <c r="F928" s="27" t="str">
        <f>HYPERLINK("http://nsgreg.nga.mil/genc/view?v=211922&amp;end_month=12&amp;end_day=31&amp;end_year=2014","Zadarska Županija")</f>
        <v>Zadarska Županija</v>
      </c>
      <c r="G928" s="28" t="str">
        <f>HYPERLINK("http://api.nsgreg.nga.mil/geo-division/GENC/6/ed3/HR-13","as:GENC:6:ed3:HR-13")</f>
        <v>as:GENC:6:ed3:HR-13</v>
      </c>
    </row>
    <row r="929" spans="1:7" x14ac:dyDescent="0.2">
      <c r="A929" s="85"/>
      <c r="B929" s="25" t="s">
        <v>3518</v>
      </c>
      <c r="C929" s="25" t="s">
        <v>12246</v>
      </c>
      <c r="D929" s="25" t="s">
        <v>2046</v>
      </c>
      <c r="E929" s="26" t="b">
        <v>1</v>
      </c>
      <c r="F929" s="27" t="str">
        <f>HYPERLINK("http://nsgreg.nga.mil/genc/view?v=211930&amp;end_month=12&amp;end_day=31&amp;end_year=2014","Zagreb, Grad")</f>
        <v>Zagreb, Grad</v>
      </c>
      <c r="G929" s="28" t="str">
        <f>HYPERLINK("http://api.nsgreg.nga.mil/geo-division/GENC/6/ed3/HR-21","as:GENC:6:ed3:HR-21")</f>
        <v>as:GENC:6:ed3:HR-21</v>
      </c>
    </row>
    <row r="930" spans="1:7" x14ac:dyDescent="0.2">
      <c r="A930" s="86"/>
      <c r="B930" s="29" t="s">
        <v>3550</v>
      </c>
      <c r="C930" s="29" t="s">
        <v>12247</v>
      </c>
      <c r="D930" s="29" t="s">
        <v>1788</v>
      </c>
      <c r="E930" s="30" t="b">
        <v>1</v>
      </c>
      <c r="F930" s="31" t="str">
        <f>HYPERLINK("http://nsgreg.nga.mil/genc/view?v=211910&amp;end_month=12&amp;end_day=31&amp;end_year=2014","Zagrebačka Županija")</f>
        <v>Zagrebačka Županija</v>
      </c>
      <c r="G930" s="32" t="str">
        <f>HYPERLINK("http://api.nsgreg.nga.mil/geo-division/GENC/6/ed3/HR-01","as:GENC:6:ed3:HR-01")</f>
        <v>as:GENC:6:ed3:HR-01</v>
      </c>
    </row>
    <row r="931" spans="1:7" x14ac:dyDescent="0.2">
      <c r="A931" s="84" t="str">
        <f>HYPERLINK("[#]Codes_for_GE_Names!A66:I66","CUBA")</f>
        <v>CUBA</v>
      </c>
      <c r="B931" s="33" t="s">
        <v>12248</v>
      </c>
      <c r="C931" s="33" t="s">
        <v>12249</v>
      </c>
      <c r="D931" s="33" t="s">
        <v>1719</v>
      </c>
      <c r="E931" s="34" t="b">
        <v>1</v>
      </c>
      <c r="F931" s="35" t="str">
        <f>HYPERLINK("http://nsgreg.nga.mil/genc/view?v=118619&amp;gencs=T&amp;end_month=12&amp;end_day=31&amp;end_year=2014","Artemisa")</f>
        <v>Artemisa</v>
      </c>
      <c r="G931" s="36" t="str">
        <f>HYPERLINK("http://api.nsgreg.nga.mil/geo-division/GENC/6/ed3/CU-15","as:GENC:6:ed3:CU-15")</f>
        <v>as:GENC:6:ed3:CU-15</v>
      </c>
    </row>
    <row r="932" spans="1:7" x14ac:dyDescent="0.2">
      <c r="A932" s="85"/>
      <c r="B932" s="25" t="s">
        <v>3554</v>
      </c>
      <c r="C932" s="25" t="s">
        <v>3555</v>
      </c>
      <c r="D932" s="25" t="s">
        <v>1719</v>
      </c>
      <c r="E932" s="26" t="b">
        <v>1</v>
      </c>
      <c r="F932" s="27" t="str">
        <f>HYPERLINK("http://nsgreg.nga.mil/genc/view?v=118613&amp;gencs=T&amp;end_month=12&amp;end_day=31&amp;end_year=2014","Camagüey")</f>
        <v>Camagüey</v>
      </c>
      <c r="G932" s="28" t="str">
        <f>HYPERLINK("http://api.nsgreg.nga.mil/geo-division/GENC/6/ed3/CU-09","as:GENC:6:ed3:CU-09")</f>
        <v>as:GENC:6:ed3:CU-09</v>
      </c>
    </row>
    <row r="933" spans="1:7" x14ac:dyDescent="0.2">
      <c r="A933" s="85"/>
      <c r="B933" s="25" t="s">
        <v>3556</v>
      </c>
      <c r="C933" s="25" t="s">
        <v>3557</v>
      </c>
      <c r="D933" s="25" t="s">
        <v>1719</v>
      </c>
      <c r="E933" s="26" t="b">
        <v>1</v>
      </c>
      <c r="F933" s="27" t="str">
        <f>HYPERLINK("http://nsgreg.nga.mil/genc/view?v=118612&amp;gencs=T&amp;end_month=12&amp;end_day=31&amp;end_year=2014","Ciego de Ávila")</f>
        <v>Ciego de Ávila</v>
      </c>
      <c r="G933" s="28" t="str">
        <f>HYPERLINK("http://api.nsgreg.nga.mil/geo-division/GENC/6/ed3/CU-08","as:GENC:6:ed3:CU-08")</f>
        <v>as:GENC:6:ed3:CU-08</v>
      </c>
    </row>
    <row r="934" spans="1:7" x14ac:dyDescent="0.2">
      <c r="A934" s="85"/>
      <c r="B934" s="25" t="s">
        <v>3558</v>
      </c>
      <c r="C934" s="25" t="s">
        <v>3559</v>
      </c>
      <c r="D934" s="25" t="s">
        <v>1719</v>
      </c>
      <c r="E934" s="26" t="b">
        <v>1</v>
      </c>
      <c r="F934" s="27" t="str">
        <f>HYPERLINK("http://nsgreg.nga.mil/genc/view?v=118610&amp;gencs=T&amp;end_month=12&amp;end_day=31&amp;end_year=2014","Cienfuegos")</f>
        <v>Cienfuegos</v>
      </c>
      <c r="G934" s="28" t="str">
        <f>HYPERLINK("http://api.nsgreg.nga.mil/geo-division/GENC/6/ed3/CU-06","as:GENC:6:ed3:CU-06")</f>
        <v>as:GENC:6:ed3:CU-06</v>
      </c>
    </row>
    <row r="935" spans="1:7" x14ac:dyDescent="0.2">
      <c r="A935" s="85"/>
      <c r="B935" s="25" t="s">
        <v>3562</v>
      </c>
      <c r="C935" s="25" t="s">
        <v>3563</v>
      </c>
      <c r="D935" s="25" t="s">
        <v>1719</v>
      </c>
      <c r="E935" s="26" t="b">
        <v>1</v>
      </c>
      <c r="F935" s="27" t="str">
        <f>HYPERLINK("http://nsgreg.nga.mil/genc/view?v=118616&amp;gencs=T&amp;end_month=12&amp;end_day=31&amp;end_year=2014","Granma")</f>
        <v>Granma</v>
      </c>
      <c r="G935" s="28" t="str">
        <f>HYPERLINK("http://api.nsgreg.nga.mil/geo-division/GENC/6/ed3/CU-12","as:GENC:6:ed3:CU-12")</f>
        <v>as:GENC:6:ed3:CU-12</v>
      </c>
    </row>
    <row r="936" spans="1:7" x14ac:dyDescent="0.2">
      <c r="A936" s="85"/>
      <c r="B936" s="25" t="s">
        <v>3564</v>
      </c>
      <c r="C936" s="25" t="s">
        <v>3565</v>
      </c>
      <c r="D936" s="25" t="s">
        <v>1719</v>
      </c>
      <c r="E936" s="26" t="b">
        <v>1</v>
      </c>
      <c r="F936" s="27" t="str">
        <f>HYPERLINK("http://nsgreg.nga.mil/genc/view?v=118618&amp;gencs=T&amp;end_month=12&amp;end_day=31&amp;end_year=2014","Guantánamo")</f>
        <v>Guantánamo</v>
      </c>
      <c r="G936" s="28" t="str">
        <f>HYPERLINK("http://api.nsgreg.nga.mil/geo-division/GENC/6/ed3/CU-14","as:GENC:6:ed3:CU-14")</f>
        <v>as:GENC:6:ed3:CU-14</v>
      </c>
    </row>
    <row r="937" spans="1:7" x14ac:dyDescent="0.2">
      <c r="A937" s="85"/>
      <c r="B937" s="25" t="s">
        <v>3566</v>
      </c>
      <c r="C937" s="25" t="s">
        <v>3567</v>
      </c>
      <c r="D937" s="25" t="s">
        <v>1719</v>
      </c>
      <c r="E937" s="26" t="b">
        <v>1</v>
      </c>
      <c r="F937" s="27" t="str">
        <f>HYPERLINK("http://nsgreg.nga.mil/genc/view?v=118615&amp;gencs=T&amp;end_month=12&amp;end_day=31&amp;end_year=2014","Holguín")</f>
        <v>Holguín</v>
      </c>
      <c r="G937" s="28" t="str">
        <f>HYPERLINK("http://api.nsgreg.nga.mil/geo-division/GENC/6/ed3/CU-11","as:GENC:6:ed3:CU-11")</f>
        <v>as:GENC:6:ed3:CU-11</v>
      </c>
    </row>
    <row r="938" spans="1:7" x14ac:dyDescent="0.2">
      <c r="A938" s="85"/>
      <c r="B938" s="25" t="s">
        <v>3568</v>
      </c>
      <c r="C938" s="25" t="s">
        <v>3569</v>
      </c>
      <c r="D938" s="25" t="s">
        <v>2673</v>
      </c>
      <c r="E938" s="26" t="b">
        <v>1</v>
      </c>
      <c r="F938" s="27" t="str">
        <f>HYPERLINK("http://nsgreg.nga.mil/genc/view?v=118621&amp;gencs=T&amp;end_month=12&amp;end_day=31&amp;end_year=2014","Isla de la Juventud")</f>
        <v>Isla de la Juventud</v>
      </c>
      <c r="G938" s="28" t="str">
        <f>HYPERLINK("http://api.nsgreg.nga.mil/geo-division/GENC/6/ed3/CU-99","as:GENC:6:ed3:CU-99")</f>
        <v>as:GENC:6:ed3:CU-99</v>
      </c>
    </row>
    <row r="939" spans="1:7" x14ac:dyDescent="0.2">
      <c r="A939" s="85"/>
      <c r="B939" s="25" t="s">
        <v>3560</v>
      </c>
      <c r="C939" s="25" t="s">
        <v>3571</v>
      </c>
      <c r="D939" s="25" t="s">
        <v>1719</v>
      </c>
      <c r="E939" s="26" t="b">
        <v>1</v>
      </c>
      <c r="F939" s="27" t="str">
        <f>HYPERLINK("http://nsgreg.nga.mil/genc/view?v=118607&amp;gencs=T&amp;end_month=12&amp;end_day=31&amp;end_year=2014","La Habana")</f>
        <v>La Habana</v>
      </c>
      <c r="G939" s="28" t="str">
        <f>HYPERLINK("http://api.nsgreg.nga.mil/geo-division/GENC/6/ed3/CU-03","as:GENC:6:ed3:CU-03")</f>
        <v>as:GENC:6:ed3:CU-03</v>
      </c>
    </row>
    <row r="940" spans="1:7" x14ac:dyDescent="0.2">
      <c r="A940" s="85"/>
      <c r="B940" s="25" t="s">
        <v>3572</v>
      </c>
      <c r="C940" s="25" t="s">
        <v>3573</v>
      </c>
      <c r="D940" s="25" t="s">
        <v>1719</v>
      </c>
      <c r="E940" s="26" t="b">
        <v>1</v>
      </c>
      <c r="F940" s="27" t="str">
        <f>HYPERLINK("http://nsgreg.nga.mil/genc/view?v=118614&amp;gencs=T&amp;end_month=12&amp;end_day=31&amp;end_year=2014","Las Tunas")</f>
        <v>Las Tunas</v>
      </c>
      <c r="G940" s="28" t="str">
        <f>HYPERLINK("http://api.nsgreg.nga.mil/geo-division/GENC/6/ed3/CU-10","as:GENC:6:ed3:CU-10")</f>
        <v>as:GENC:6:ed3:CU-10</v>
      </c>
    </row>
    <row r="941" spans="1:7" x14ac:dyDescent="0.2">
      <c r="A941" s="85"/>
      <c r="B941" s="25" t="s">
        <v>3574</v>
      </c>
      <c r="C941" s="25" t="s">
        <v>3575</v>
      </c>
      <c r="D941" s="25" t="s">
        <v>1719</v>
      </c>
      <c r="E941" s="26" t="b">
        <v>1</v>
      </c>
      <c r="F941" s="27" t="str">
        <f>HYPERLINK("http://nsgreg.nga.mil/genc/view?v=118608&amp;gencs=T&amp;end_month=12&amp;end_day=31&amp;end_year=2014","Matanzas")</f>
        <v>Matanzas</v>
      </c>
      <c r="G941" s="28" t="str">
        <f>HYPERLINK("http://api.nsgreg.nga.mil/geo-division/GENC/6/ed3/CU-04","as:GENC:6:ed3:CU-04")</f>
        <v>as:GENC:6:ed3:CU-04</v>
      </c>
    </row>
    <row r="942" spans="1:7" x14ac:dyDescent="0.2">
      <c r="A942" s="85"/>
      <c r="B942" s="25" t="s">
        <v>12250</v>
      </c>
      <c r="C942" s="25" t="s">
        <v>12251</v>
      </c>
      <c r="D942" s="25" t="s">
        <v>1719</v>
      </c>
      <c r="E942" s="26" t="b">
        <v>1</v>
      </c>
      <c r="F942" s="27" t="str">
        <f>HYPERLINK("http://nsgreg.nga.mil/genc/view?v=118620&amp;gencs=T&amp;end_month=12&amp;end_day=31&amp;end_year=2014","Mayabeque")</f>
        <v>Mayabeque</v>
      </c>
      <c r="G942" s="28" t="str">
        <f>HYPERLINK("http://api.nsgreg.nga.mil/geo-division/GENC/6/ed3/CU-16","as:GENC:6:ed3:CU-16")</f>
        <v>as:GENC:6:ed3:CU-16</v>
      </c>
    </row>
    <row r="943" spans="1:7" x14ac:dyDescent="0.2">
      <c r="A943" s="85"/>
      <c r="B943" s="25" t="s">
        <v>3576</v>
      </c>
      <c r="C943" s="25" t="s">
        <v>3577</v>
      </c>
      <c r="D943" s="25" t="s">
        <v>1719</v>
      </c>
      <c r="E943" s="26" t="b">
        <v>1</v>
      </c>
      <c r="F943" s="27" t="str">
        <f>HYPERLINK("http://nsgreg.nga.mil/genc/view?v=118605&amp;gencs=T&amp;end_month=12&amp;end_day=31&amp;end_year=2014","Pinar del Río")</f>
        <v>Pinar del Río</v>
      </c>
      <c r="G943" s="28" t="str">
        <f>HYPERLINK("http://api.nsgreg.nga.mil/geo-division/GENC/6/ed3/CU-01","as:GENC:6:ed3:CU-01")</f>
        <v>as:GENC:6:ed3:CU-01</v>
      </c>
    </row>
    <row r="944" spans="1:7" x14ac:dyDescent="0.2">
      <c r="A944" s="85"/>
      <c r="B944" s="25" t="s">
        <v>3578</v>
      </c>
      <c r="C944" s="25" t="s">
        <v>3579</v>
      </c>
      <c r="D944" s="25" t="s">
        <v>1719</v>
      </c>
      <c r="E944" s="26" t="b">
        <v>1</v>
      </c>
      <c r="F944" s="27" t="str">
        <f>HYPERLINK("http://nsgreg.nga.mil/genc/view?v=118611&amp;gencs=T&amp;end_month=12&amp;end_day=31&amp;end_year=2014","Sancti Spíritus")</f>
        <v>Sancti Spíritus</v>
      </c>
      <c r="G944" s="28" t="str">
        <f>HYPERLINK("http://api.nsgreg.nga.mil/geo-division/GENC/6/ed3/CU-07","as:GENC:6:ed3:CU-07")</f>
        <v>as:GENC:6:ed3:CU-07</v>
      </c>
    </row>
    <row r="945" spans="1:7" x14ac:dyDescent="0.2">
      <c r="A945" s="85"/>
      <c r="B945" s="25" t="s">
        <v>3580</v>
      </c>
      <c r="C945" s="25" t="s">
        <v>3581</v>
      </c>
      <c r="D945" s="25" t="s">
        <v>1719</v>
      </c>
      <c r="E945" s="26" t="b">
        <v>1</v>
      </c>
      <c r="F945" s="27" t="str">
        <f>HYPERLINK("http://nsgreg.nga.mil/genc/view?v=118617&amp;gencs=T&amp;end_month=12&amp;end_day=31&amp;end_year=2014","Santiago de Cuba")</f>
        <v>Santiago de Cuba</v>
      </c>
      <c r="G945" s="28" t="str">
        <f>HYPERLINK("http://api.nsgreg.nga.mil/geo-division/GENC/6/ed3/CU-13","as:GENC:6:ed3:CU-13")</f>
        <v>as:GENC:6:ed3:CU-13</v>
      </c>
    </row>
    <row r="946" spans="1:7" x14ac:dyDescent="0.2">
      <c r="A946" s="86"/>
      <c r="B946" s="29" t="s">
        <v>3582</v>
      </c>
      <c r="C946" s="29" t="s">
        <v>3583</v>
      </c>
      <c r="D946" s="29" t="s">
        <v>1719</v>
      </c>
      <c r="E946" s="30" t="b">
        <v>1</v>
      </c>
      <c r="F946" s="31" t="str">
        <f>HYPERLINK("http://nsgreg.nga.mil/genc/view?v=118609&amp;gencs=T&amp;end_month=12&amp;end_day=31&amp;end_year=2014","Villa Clara")</f>
        <v>Villa Clara</v>
      </c>
      <c r="G946" s="32" t="str">
        <f>HYPERLINK("http://api.nsgreg.nga.mil/geo-division/GENC/6/ed3/CU-05","as:GENC:6:ed3:CU-05")</f>
        <v>as:GENC:6:ed3:CU-05</v>
      </c>
    </row>
    <row r="947" spans="1:7" x14ac:dyDescent="0.2">
      <c r="A947" s="84" t="str">
        <f>HYPERLINK("[#]Codes_for_GE_Names!A68:I68","CYPRUS")</f>
        <v>CYPRUS</v>
      </c>
      <c r="B947" s="33" t="s">
        <v>3584</v>
      </c>
      <c r="C947" s="33" t="s">
        <v>12252</v>
      </c>
      <c r="D947" s="33" t="s">
        <v>1790</v>
      </c>
      <c r="E947" s="34" t="b">
        <v>1</v>
      </c>
      <c r="F947" s="35" t="str">
        <f>HYPERLINK("http://nsgreg.nga.mil/genc/view?v=211505&amp;end_month=12&amp;end_day=31&amp;end_year=2014","Ammóchostos")</f>
        <v>Ammóchostos</v>
      </c>
      <c r="G947" s="36" t="str">
        <f>HYPERLINK("http://api.nsgreg.nga.mil/geo-division/GENC/6/ed3/CY-04","as:GENC:6:ed3:CY-04")</f>
        <v>as:GENC:6:ed3:CY-04</v>
      </c>
    </row>
    <row r="948" spans="1:7" x14ac:dyDescent="0.2">
      <c r="A948" s="85"/>
      <c r="B948" s="25" t="s">
        <v>3589</v>
      </c>
      <c r="C948" s="25" t="s">
        <v>12253</v>
      </c>
      <c r="D948" s="25" t="s">
        <v>1790</v>
      </c>
      <c r="E948" s="26" t="b">
        <v>1</v>
      </c>
      <c r="F948" s="27" t="str">
        <f>HYPERLINK("http://nsgreg.nga.mil/genc/view?v=211507&amp;end_month=12&amp;end_day=31&amp;end_year=2014","Kerýneia")</f>
        <v>Kerýneia</v>
      </c>
      <c r="G948" s="28" t="str">
        <f>HYPERLINK("http://api.nsgreg.nga.mil/geo-division/GENC/6/ed3/CY-06","as:GENC:6:ed3:CY-06")</f>
        <v>as:GENC:6:ed3:CY-06</v>
      </c>
    </row>
    <row r="949" spans="1:7" x14ac:dyDescent="0.2">
      <c r="A949" s="85"/>
      <c r="B949" s="25" t="s">
        <v>3592</v>
      </c>
      <c r="C949" s="25" t="s">
        <v>12254</v>
      </c>
      <c r="D949" s="25" t="s">
        <v>1790</v>
      </c>
      <c r="E949" s="26" t="b">
        <v>1</v>
      </c>
      <c r="F949" s="27" t="str">
        <f>HYPERLINK("http://nsgreg.nga.mil/genc/view?v=211504&amp;end_month=12&amp;end_day=31&amp;end_year=2014","Lárnaka")</f>
        <v>Lárnaka</v>
      </c>
      <c r="G949" s="28" t="str">
        <f>HYPERLINK("http://api.nsgreg.nga.mil/geo-division/GENC/6/ed3/CY-03","as:GENC:6:ed3:CY-03")</f>
        <v>as:GENC:6:ed3:CY-03</v>
      </c>
    </row>
    <row r="950" spans="1:7" x14ac:dyDescent="0.2">
      <c r="A950" s="85"/>
      <c r="B950" s="25" t="s">
        <v>3594</v>
      </c>
      <c r="C950" s="25" t="s">
        <v>12255</v>
      </c>
      <c r="D950" s="25" t="s">
        <v>1790</v>
      </c>
      <c r="E950" s="26" t="b">
        <v>1</v>
      </c>
      <c r="F950" s="27" t="str">
        <f>HYPERLINK("http://nsgreg.nga.mil/genc/view?v=211502&amp;end_month=12&amp;end_day=31&amp;end_year=2014","Lefkosía")</f>
        <v>Lefkosía</v>
      </c>
      <c r="G950" s="28" t="str">
        <f>HYPERLINK("http://api.nsgreg.nga.mil/geo-division/GENC/6/ed3/CY-01","as:GENC:6:ed3:CY-01")</f>
        <v>as:GENC:6:ed3:CY-01</v>
      </c>
    </row>
    <row r="951" spans="1:7" x14ac:dyDescent="0.2">
      <c r="A951" s="85"/>
      <c r="B951" s="25" t="s">
        <v>3597</v>
      </c>
      <c r="C951" s="25" t="s">
        <v>12256</v>
      </c>
      <c r="D951" s="25" t="s">
        <v>1790</v>
      </c>
      <c r="E951" s="26" t="b">
        <v>1</v>
      </c>
      <c r="F951" s="27" t="str">
        <f>HYPERLINK("http://nsgreg.nga.mil/genc/view?v=211503&amp;end_month=12&amp;end_day=31&amp;end_year=2014","Lemesós")</f>
        <v>Lemesós</v>
      </c>
      <c r="G951" s="28" t="str">
        <f>HYPERLINK("http://api.nsgreg.nga.mil/geo-division/GENC/6/ed3/CY-02","as:GENC:6:ed3:CY-02")</f>
        <v>as:GENC:6:ed3:CY-02</v>
      </c>
    </row>
    <row r="952" spans="1:7" x14ac:dyDescent="0.2">
      <c r="A952" s="86"/>
      <c r="B952" s="29" t="s">
        <v>3586</v>
      </c>
      <c r="C952" s="29" t="s">
        <v>12257</v>
      </c>
      <c r="D952" s="29" t="s">
        <v>1790</v>
      </c>
      <c r="E952" s="30" t="b">
        <v>1</v>
      </c>
      <c r="F952" s="31" t="str">
        <f>HYPERLINK("http://nsgreg.nga.mil/genc/view?v=211506&amp;end_month=12&amp;end_day=31&amp;end_year=2014","Páfos")</f>
        <v>Páfos</v>
      </c>
      <c r="G952" s="32" t="str">
        <f>HYPERLINK("http://api.nsgreg.nga.mil/geo-division/GENC/6/ed3/CY-05","as:GENC:6:ed3:CY-05")</f>
        <v>as:GENC:6:ed3:CY-05</v>
      </c>
    </row>
    <row r="953" spans="1:7" x14ac:dyDescent="0.2">
      <c r="A953" s="84" t="str">
        <f>HYPERLINK("[#]Codes_for_GE_Names!A69:I69","CZECH REPUBLIC")</f>
        <v>CZECH REPUBLIC</v>
      </c>
      <c r="B953" s="33" t="s">
        <v>3601</v>
      </c>
      <c r="C953" s="33" t="s">
        <v>3602</v>
      </c>
      <c r="D953" s="41" t="s">
        <v>1790</v>
      </c>
      <c r="E953" s="42" t="b">
        <v>0</v>
      </c>
      <c r="F953" s="35" t="str">
        <f>HYPERLINK("http://nsgreg.nga.mil/genc/view?v=118667&amp;gencs=T&amp;end_month=12&amp;end_day=31&amp;end_year=2014","Benešov")</f>
        <v>Benešov</v>
      </c>
      <c r="G953" s="36" t="str">
        <f>HYPERLINK("http://api.nsgreg.nga.mil/geo-division/GENC/6/ed3/CZ-201","as:GENC:6:ed3:CZ-201")</f>
        <v>as:GENC:6:ed3:CZ-201</v>
      </c>
    </row>
    <row r="954" spans="1:7" x14ac:dyDescent="0.2">
      <c r="A954" s="85"/>
      <c r="B954" s="25" t="s">
        <v>3603</v>
      </c>
      <c r="C954" s="25" t="s">
        <v>3604</v>
      </c>
      <c r="D954" s="37" t="s">
        <v>1790</v>
      </c>
      <c r="E954" s="38" t="b">
        <v>0</v>
      </c>
      <c r="F954" s="27" t="str">
        <f>HYPERLINK("http://nsgreg.nga.mil/genc/view?v=118668&amp;gencs=T&amp;end_month=12&amp;end_day=31&amp;end_year=2014","Beroun")</f>
        <v>Beroun</v>
      </c>
      <c r="G954" s="28" t="str">
        <f>HYPERLINK("http://api.nsgreg.nga.mil/geo-division/GENC/6/ed3/CZ-202","as:GENC:6:ed3:CZ-202")</f>
        <v>as:GENC:6:ed3:CZ-202</v>
      </c>
    </row>
    <row r="955" spans="1:7" x14ac:dyDescent="0.2">
      <c r="A955" s="85"/>
      <c r="B955" s="25" t="s">
        <v>3605</v>
      </c>
      <c r="C955" s="25" t="s">
        <v>3606</v>
      </c>
      <c r="D955" s="37" t="s">
        <v>1790</v>
      </c>
      <c r="E955" s="38" t="b">
        <v>0</v>
      </c>
      <c r="F955" s="27" t="str">
        <f>HYPERLINK("http://nsgreg.nga.mil/genc/view?v=118721&amp;gencs=T&amp;end_month=12&amp;end_day=31&amp;end_year=2014","Blansko")</f>
        <v>Blansko</v>
      </c>
      <c r="G955" s="28" t="str">
        <f>HYPERLINK("http://api.nsgreg.nga.mil/geo-division/GENC/6/ed3/CZ-621","as:GENC:6:ed3:CZ-621")</f>
        <v>as:GENC:6:ed3:CZ-621</v>
      </c>
    </row>
    <row r="956" spans="1:7" x14ac:dyDescent="0.2">
      <c r="A956" s="85"/>
      <c r="B956" s="25" t="s">
        <v>3613</v>
      </c>
      <c r="C956" s="25" t="s">
        <v>3614</v>
      </c>
      <c r="D956" s="37" t="s">
        <v>1790</v>
      </c>
      <c r="E956" s="38" t="b">
        <v>0</v>
      </c>
      <c r="F956" s="27" t="str">
        <f>HYPERLINK("http://nsgreg.nga.mil/genc/view?v=118724&amp;gencs=T&amp;end_month=12&amp;end_day=31&amp;end_year=2014","Břeclav")</f>
        <v>Břeclav</v>
      </c>
      <c r="G956" s="28" t="str">
        <f>HYPERLINK("http://api.nsgreg.nga.mil/geo-division/GENC/6/ed3/CZ-624","as:GENC:6:ed3:CZ-624")</f>
        <v>as:GENC:6:ed3:CZ-624</v>
      </c>
    </row>
    <row r="957" spans="1:7" x14ac:dyDescent="0.2">
      <c r="A957" s="85"/>
      <c r="B957" s="25" t="s">
        <v>3609</v>
      </c>
      <c r="C957" s="25" t="s">
        <v>12258</v>
      </c>
      <c r="D957" s="37" t="s">
        <v>1790</v>
      </c>
      <c r="E957" s="38" t="b">
        <v>0</v>
      </c>
      <c r="F957" s="27" t="str">
        <f>HYPERLINK("http://nsgreg.nga.mil/genc/view?v=211529&amp;end_month=12&amp;end_day=31&amp;end_year=2014","Brno-Venkov")</f>
        <v>Brno-Venkov</v>
      </c>
      <c r="G957" s="28" t="str">
        <f>HYPERLINK("http://api.nsgreg.nga.mil/geo-division/GENC/6/ed3/CZ-623","as:GENC:6:ed3:CZ-623")</f>
        <v>as:GENC:6:ed3:CZ-623</v>
      </c>
    </row>
    <row r="958" spans="1:7" x14ac:dyDescent="0.2">
      <c r="A958" s="85"/>
      <c r="B958" s="25" t="s">
        <v>3611</v>
      </c>
      <c r="C958" s="25" t="s">
        <v>3612</v>
      </c>
      <c r="D958" s="37" t="s">
        <v>1790</v>
      </c>
      <c r="E958" s="38" t="b">
        <v>0</v>
      </c>
      <c r="F958" s="27" t="str">
        <f>HYPERLINK("http://nsgreg.nga.mil/genc/view?v=118737&amp;gencs=T&amp;end_month=12&amp;end_day=31&amp;end_year=2014","Bruntál")</f>
        <v>Bruntál</v>
      </c>
      <c r="G958" s="28" t="str">
        <f>HYPERLINK("http://api.nsgreg.nga.mil/geo-division/GENC/6/ed3/CZ-801","as:GENC:6:ed3:CZ-801")</f>
        <v>as:GENC:6:ed3:CZ-801</v>
      </c>
    </row>
    <row r="959" spans="1:7" x14ac:dyDescent="0.2">
      <c r="A959" s="85"/>
      <c r="B959" s="25" t="s">
        <v>3801</v>
      </c>
      <c r="C959" s="25" t="s">
        <v>3802</v>
      </c>
      <c r="D959" s="37" t="s">
        <v>1790</v>
      </c>
      <c r="E959" s="38" t="b">
        <v>0</v>
      </c>
      <c r="F959" s="27" t="str">
        <f>HYPERLINK("http://nsgreg.nga.mil/genc/view?v=118703&amp;gencs=T&amp;end_month=12&amp;end_day=31&amp;end_year=2014","Česká Lípa")</f>
        <v>Česká Lípa</v>
      </c>
      <c r="G959" s="28" t="str">
        <f>HYPERLINK("http://api.nsgreg.nga.mil/geo-division/GENC/6/ed3/CZ-511","as:GENC:6:ed3:CZ-511")</f>
        <v>as:GENC:6:ed3:CZ-511</v>
      </c>
    </row>
    <row r="960" spans="1:7" x14ac:dyDescent="0.2">
      <c r="A960" s="85"/>
      <c r="B960" s="25" t="s">
        <v>3803</v>
      </c>
      <c r="C960" s="25" t="s">
        <v>3804</v>
      </c>
      <c r="D960" s="37" t="s">
        <v>1790</v>
      </c>
      <c r="E960" s="38" t="b">
        <v>0</v>
      </c>
      <c r="F960" s="27" t="str">
        <f>HYPERLINK("http://nsgreg.nga.mil/genc/view?v=118679&amp;gencs=T&amp;end_month=12&amp;end_day=31&amp;end_year=2014","České Budějovice")</f>
        <v>České Budějovice</v>
      </c>
      <c r="G960" s="28" t="str">
        <f>HYPERLINK("http://api.nsgreg.nga.mil/geo-division/GENC/6/ed3/CZ-311","as:GENC:6:ed3:CZ-311")</f>
        <v>as:GENC:6:ed3:CZ-311</v>
      </c>
    </row>
    <row r="961" spans="1:7" x14ac:dyDescent="0.2">
      <c r="A961" s="85"/>
      <c r="B961" s="25" t="s">
        <v>3805</v>
      </c>
      <c r="C961" s="25" t="s">
        <v>3806</v>
      </c>
      <c r="D961" s="37" t="s">
        <v>1790</v>
      </c>
      <c r="E961" s="38" t="b">
        <v>0</v>
      </c>
      <c r="F961" s="27" t="str">
        <f>HYPERLINK("http://nsgreg.nga.mil/genc/view?v=118680&amp;gencs=T&amp;end_month=12&amp;end_day=31&amp;end_year=2014","Český Krumlov")</f>
        <v>Český Krumlov</v>
      </c>
      <c r="G961" s="28" t="str">
        <f>HYPERLINK("http://api.nsgreg.nga.mil/geo-division/GENC/6/ed3/CZ-312","as:GENC:6:ed3:CZ-312")</f>
        <v>as:GENC:6:ed3:CZ-312</v>
      </c>
    </row>
    <row r="962" spans="1:7" x14ac:dyDescent="0.2">
      <c r="A962" s="85"/>
      <c r="B962" s="25" t="s">
        <v>3615</v>
      </c>
      <c r="C962" s="25" t="s">
        <v>3616</v>
      </c>
      <c r="D962" s="37" t="s">
        <v>1790</v>
      </c>
      <c r="E962" s="38" t="b">
        <v>0</v>
      </c>
      <c r="F962" s="27" t="str">
        <f>HYPERLINK("http://nsgreg.nga.mil/genc/view?v=118693&amp;gencs=T&amp;end_month=12&amp;end_day=31&amp;end_year=2014","Cheb")</f>
        <v>Cheb</v>
      </c>
      <c r="G962" s="28" t="str">
        <f>HYPERLINK("http://api.nsgreg.nga.mil/geo-division/GENC/6/ed3/CZ-411","as:GENC:6:ed3:CZ-411")</f>
        <v>as:GENC:6:ed3:CZ-411</v>
      </c>
    </row>
    <row r="963" spans="1:7" x14ac:dyDescent="0.2">
      <c r="A963" s="85"/>
      <c r="B963" s="25" t="s">
        <v>3617</v>
      </c>
      <c r="C963" s="25" t="s">
        <v>3618</v>
      </c>
      <c r="D963" s="37" t="s">
        <v>1790</v>
      </c>
      <c r="E963" s="38" t="b">
        <v>0</v>
      </c>
      <c r="F963" s="27" t="str">
        <f>HYPERLINK("http://nsgreg.nga.mil/genc/view?v=118697&amp;gencs=T&amp;end_month=12&amp;end_day=31&amp;end_year=2014","Chomutov")</f>
        <v>Chomutov</v>
      </c>
      <c r="G963" s="28" t="str">
        <f>HYPERLINK("http://api.nsgreg.nga.mil/geo-division/GENC/6/ed3/CZ-422","as:GENC:6:ed3:CZ-422")</f>
        <v>as:GENC:6:ed3:CZ-422</v>
      </c>
    </row>
    <row r="964" spans="1:7" x14ac:dyDescent="0.2">
      <c r="A964" s="85"/>
      <c r="B964" s="25" t="s">
        <v>3619</v>
      </c>
      <c r="C964" s="25" t="s">
        <v>3620</v>
      </c>
      <c r="D964" s="37" t="s">
        <v>1790</v>
      </c>
      <c r="E964" s="38" t="b">
        <v>0</v>
      </c>
      <c r="F964" s="27" t="str">
        <f>HYPERLINK("http://nsgreg.nga.mil/genc/view?v=118712&amp;gencs=T&amp;end_month=12&amp;end_day=31&amp;end_year=2014","Chrudim")</f>
        <v>Chrudim</v>
      </c>
      <c r="G964" s="28" t="str">
        <f>HYPERLINK("http://api.nsgreg.nga.mil/geo-division/GENC/6/ed3/CZ-531","as:GENC:6:ed3:CZ-531")</f>
        <v>as:GENC:6:ed3:CZ-531</v>
      </c>
    </row>
    <row r="965" spans="1:7" x14ac:dyDescent="0.2">
      <c r="A965" s="85"/>
      <c r="B965" s="25" t="s">
        <v>3623</v>
      </c>
      <c r="C965" s="25" t="s">
        <v>3624</v>
      </c>
      <c r="D965" s="37" t="s">
        <v>1790</v>
      </c>
      <c r="E965" s="38" t="b">
        <v>0</v>
      </c>
      <c r="F965" s="27" t="str">
        <f>HYPERLINK("http://nsgreg.nga.mil/genc/view?v=118696&amp;gencs=T&amp;end_month=12&amp;end_day=31&amp;end_year=2014","Děčín")</f>
        <v>Děčín</v>
      </c>
      <c r="G965" s="28" t="str">
        <f>HYPERLINK("http://api.nsgreg.nga.mil/geo-division/GENC/6/ed3/CZ-421","as:GENC:6:ed3:CZ-421")</f>
        <v>as:GENC:6:ed3:CZ-421</v>
      </c>
    </row>
    <row r="966" spans="1:7" x14ac:dyDescent="0.2">
      <c r="A966" s="85"/>
      <c r="B966" s="25" t="s">
        <v>3621</v>
      </c>
      <c r="C966" s="25" t="s">
        <v>3622</v>
      </c>
      <c r="D966" s="37" t="s">
        <v>1790</v>
      </c>
      <c r="E966" s="38" t="b">
        <v>0</v>
      </c>
      <c r="F966" s="27" t="str">
        <f>HYPERLINK("http://nsgreg.nga.mil/genc/view?v=118686&amp;gencs=T&amp;end_month=12&amp;end_day=31&amp;end_year=2014","Domažlice")</f>
        <v>Domažlice</v>
      </c>
      <c r="G966" s="28" t="str">
        <f>HYPERLINK("http://api.nsgreg.nga.mil/geo-division/GENC/6/ed3/CZ-321","as:GENC:6:ed3:CZ-321")</f>
        <v>as:GENC:6:ed3:CZ-321</v>
      </c>
    </row>
    <row r="967" spans="1:7" x14ac:dyDescent="0.2">
      <c r="A967" s="85"/>
      <c r="B967" s="25" t="s">
        <v>3625</v>
      </c>
      <c r="C967" s="25" t="s">
        <v>12259</v>
      </c>
      <c r="D967" s="37" t="s">
        <v>1790</v>
      </c>
      <c r="E967" s="38" t="b">
        <v>0</v>
      </c>
      <c r="F967" s="27" t="str">
        <f>HYPERLINK("http://nsgreg.nga.mil/genc/view?v=118738&amp;gencs=T&amp;end_month=12&amp;end_day=31&amp;end_year=2014","Frýdek-Místek")</f>
        <v>Frýdek-Místek</v>
      </c>
      <c r="G967" s="28" t="str">
        <f>HYPERLINK("http://api.nsgreg.nga.mil/geo-division/GENC/6/ed3/CZ-802","as:GENC:6:ed3:CZ-802")</f>
        <v>as:GENC:6:ed3:CZ-802</v>
      </c>
    </row>
    <row r="968" spans="1:7" x14ac:dyDescent="0.2">
      <c r="A968" s="85"/>
      <c r="B968" s="25" t="s">
        <v>3627</v>
      </c>
      <c r="C968" s="25" t="s">
        <v>3628</v>
      </c>
      <c r="D968" s="37" t="s">
        <v>1790</v>
      </c>
      <c r="E968" s="38" t="b">
        <v>0</v>
      </c>
      <c r="F968" s="27" t="str">
        <f>HYPERLINK("http://nsgreg.nga.mil/genc/view?v=118716&amp;gencs=T&amp;end_month=12&amp;end_day=31&amp;end_year=2014","Havlíčkův Brod")</f>
        <v>Havlíčkův Brod</v>
      </c>
      <c r="G968" s="28" t="str">
        <f>HYPERLINK("http://api.nsgreg.nga.mil/geo-division/GENC/6/ed3/CZ-611","as:GENC:6:ed3:CZ-611")</f>
        <v>as:GENC:6:ed3:CZ-611</v>
      </c>
    </row>
    <row r="969" spans="1:7" x14ac:dyDescent="0.2">
      <c r="A969" s="85"/>
      <c r="B969" s="25" t="s">
        <v>3629</v>
      </c>
      <c r="C969" s="25" t="s">
        <v>3630</v>
      </c>
      <c r="D969" s="37" t="s">
        <v>1790</v>
      </c>
      <c r="E969" s="38" t="b">
        <v>0</v>
      </c>
      <c r="F969" s="27" t="str">
        <f>HYPERLINK("http://nsgreg.nga.mil/genc/view?v=118725&amp;gencs=T&amp;end_month=12&amp;end_day=31&amp;end_year=2014","Hodonín")</f>
        <v>Hodonín</v>
      </c>
      <c r="G969" s="28" t="str">
        <f>HYPERLINK("http://api.nsgreg.nga.mil/geo-division/GENC/6/ed3/CZ-625","as:GENC:6:ed3:CZ-625")</f>
        <v>as:GENC:6:ed3:CZ-625</v>
      </c>
    </row>
    <row r="970" spans="1:7" x14ac:dyDescent="0.2">
      <c r="A970" s="85"/>
      <c r="B970" s="25" t="s">
        <v>3631</v>
      </c>
      <c r="C970" s="25" t="s">
        <v>3632</v>
      </c>
      <c r="D970" s="37" t="s">
        <v>1790</v>
      </c>
      <c r="E970" s="38" t="b">
        <v>0</v>
      </c>
      <c r="F970" s="27" t="str">
        <f>HYPERLINK("http://nsgreg.nga.mil/genc/view?v=118707&amp;gencs=T&amp;end_month=12&amp;end_day=31&amp;end_year=2014","Hradec Králové")</f>
        <v>Hradec Králové</v>
      </c>
      <c r="G970" s="28" t="str">
        <f>HYPERLINK("http://api.nsgreg.nga.mil/geo-division/GENC/6/ed3/CZ-521","as:GENC:6:ed3:CZ-521")</f>
        <v>as:GENC:6:ed3:CZ-521</v>
      </c>
    </row>
    <row r="971" spans="1:7" x14ac:dyDescent="0.2">
      <c r="A971" s="85"/>
      <c r="B971" s="25" t="s">
        <v>3633</v>
      </c>
      <c r="C971" s="25" t="s">
        <v>3634</v>
      </c>
      <c r="D971" s="37" t="s">
        <v>1790</v>
      </c>
      <c r="E971" s="38" t="b">
        <v>0</v>
      </c>
      <c r="F971" s="27" t="str">
        <f>HYPERLINK("http://nsgreg.nga.mil/genc/view?v=118704&amp;gencs=T&amp;end_month=12&amp;end_day=31&amp;end_year=2014","Jablonec nad Nisou")</f>
        <v>Jablonec nad Nisou</v>
      </c>
      <c r="G971" s="28" t="str">
        <f>HYPERLINK("http://api.nsgreg.nga.mil/geo-division/GENC/6/ed3/CZ-512","as:GENC:6:ed3:CZ-512")</f>
        <v>as:GENC:6:ed3:CZ-512</v>
      </c>
    </row>
    <row r="972" spans="1:7" x14ac:dyDescent="0.2">
      <c r="A972" s="85"/>
      <c r="B972" s="25" t="s">
        <v>3635</v>
      </c>
      <c r="C972" s="25" t="s">
        <v>3636</v>
      </c>
      <c r="D972" s="37" t="s">
        <v>1790</v>
      </c>
      <c r="E972" s="38" t="b">
        <v>0</v>
      </c>
      <c r="F972" s="27" t="str">
        <f>HYPERLINK("http://nsgreg.nga.mil/genc/view?v=118728&amp;gencs=T&amp;end_month=12&amp;end_day=31&amp;end_year=2014","Jeseník")</f>
        <v>Jeseník</v>
      </c>
      <c r="G972" s="28" t="str">
        <f>HYPERLINK("http://api.nsgreg.nga.mil/geo-division/GENC/6/ed3/CZ-711","as:GENC:6:ed3:CZ-711")</f>
        <v>as:GENC:6:ed3:CZ-711</v>
      </c>
    </row>
    <row r="973" spans="1:7" x14ac:dyDescent="0.2">
      <c r="A973" s="85"/>
      <c r="B973" s="25" t="s">
        <v>3645</v>
      </c>
      <c r="C973" s="25" t="s">
        <v>3646</v>
      </c>
      <c r="D973" s="37" t="s">
        <v>1790</v>
      </c>
      <c r="E973" s="38" t="b">
        <v>0</v>
      </c>
      <c r="F973" s="27" t="str">
        <f>HYPERLINK("http://nsgreg.nga.mil/genc/view?v=118708&amp;gencs=T&amp;end_month=12&amp;end_day=31&amp;end_year=2014","Jičín")</f>
        <v>Jičín</v>
      </c>
      <c r="G973" s="28" t="str">
        <f>HYPERLINK("http://api.nsgreg.nga.mil/geo-division/GENC/6/ed3/CZ-522","as:GENC:6:ed3:CZ-522")</f>
        <v>as:GENC:6:ed3:CZ-522</v>
      </c>
    </row>
    <row r="974" spans="1:7" x14ac:dyDescent="0.2">
      <c r="A974" s="85"/>
      <c r="B974" s="25" t="s">
        <v>3637</v>
      </c>
      <c r="C974" s="25" t="s">
        <v>3638</v>
      </c>
      <c r="D974" s="37" t="s">
        <v>1790</v>
      </c>
      <c r="E974" s="38" t="b">
        <v>0</v>
      </c>
      <c r="F974" s="27" t="str">
        <f>HYPERLINK("http://nsgreg.nga.mil/genc/view?v=118717&amp;gencs=T&amp;end_month=12&amp;end_day=31&amp;end_year=2014","Jihlava")</f>
        <v>Jihlava</v>
      </c>
      <c r="G974" s="28" t="str">
        <f>HYPERLINK("http://api.nsgreg.nga.mil/geo-division/GENC/6/ed3/CZ-612","as:GENC:6:ed3:CZ-612")</f>
        <v>as:GENC:6:ed3:CZ-612</v>
      </c>
    </row>
    <row r="975" spans="1:7" x14ac:dyDescent="0.2">
      <c r="A975" s="85"/>
      <c r="B975" s="25" t="s">
        <v>3641</v>
      </c>
      <c r="C975" s="25" t="s">
        <v>12260</v>
      </c>
      <c r="D975" s="25" t="s">
        <v>2087</v>
      </c>
      <c r="E975" s="26" t="b">
        <v>1</v>
      </c>
      <c r="F975" s="27" t="str">
        <f>HYPERLINK("http://nsgreg.nga.mil/genc/view?v=211531&amp;end_month=12&amp;end_day=31&amp;end_year=2014","Jihočeský Kraj ")</f>
        <v xml:space="preserve">Jihočeský Kraj </v>
      </c>
      <c r="G975" s="28" t="str">
        <f>HYPERLINK("http://api.nsgreg.nga.mil/geo-division/GENC/6/ed3/CZ-JC","as:GENC:6:ed3:CZ-JC")</f>
        <v>as:GENC:6:ed3:CZ-JC</v>
      </c>
    </row>
    <row r="976" spans="1:7" x14ac:dyDescent="0.2">
      <c r="A976" s="85"/>
      <c r="B976" s="25" t="s">
        <v>3639</v>
      </c>
      <c r="C976" s="25" t="s">
        <v>12261</v>
      </c>
      <c r="D976" s="25" t="s">
        <v>2087</v>
      </c>
      <c r="E976" s="26" t="b">
        <v>1</v>
      </c>
      <c r="F976" s="27" t="str">
        <f>HYPERLINK("http://nsgreg.nga.mil/genc/view?v=211532&amp;end_month=12&amp;end_day=31&amp;end_year=2014","Jihomoravský Kraj")</f>
        <v>Jihomoravský Kraj</v>
      </c>
      <c r="G976" s="28" t="str">
        <f>HYPERLINK("http://api.nsgreg.nga.mil/geo-division/GENC/6/ed3/CZ-JM","as:GENC:6:ed3:CZ-JM")</f>
        <v>as:GENC:6:ed3:CZ-JM</v>
      </c>
    </row>
    <row r="977" spans="1:7" x14ac:dyDescent="0.2">
      <c r="A977" s="85"/>
      <c r="B977" s="25" t="s">
        <v>3643</v>
      </c>
      <c r="C977" s="25" t="s">
        <v>3644</v>
      </c>
      <c r="D977" s="37" t="s">
        <v>1790</v>
      </c>
      <c r="E977" s="38" t="b">
        <v>0</v>
      </c>
      <c r="F977" s="27" t="str">
        <f>HYPERLINK("http://nsgreg.nga.mil/genc/view?v=118681&amp;gencs=T&amp;end_month=12&amp;end_day=31&amp;end_year=2014","Jindřichův Hradec")</f>
        <v>Jindřichův Hradec</v>
      </c>
      <c r="G977" s="28" t="str">
        <f>HYPERLINK("http://api.nsgreg.nga.mil/geo-division/GENC/6/ed3/CZ-313","as:GENC:6:ed3:CZ-313")</f>
        <v>as:GENC:6:ed3:CZ-313</v>
      </c>
    </row>
    <row r="978" spans="1:7" x14ac:dyDescent="0.2">
      <c r="A978" s="85"/>
      <c r="B978" s="25" t="s">
        <v>3647</v>
      </c>
      <c r="C978" s="25" t="s">
        <v>12262</v>
      </c>
      <c r="D978" s="25" t="s">
        <v>2087</v>
      </c>
      <c r="E978" s="26" t="b">
        <v>1</v>
      </c>
      <c r="F978" s="27" t="str">
        <f>HYPERLINK("http://nsgreg.nga.mil/genc/view?v=211533&amp;end_month=12&amp;end_day=31&amp;end_year=2014","Karlovarský Kraj")</f>
        <v>Karlovarský Kraj</v>
      </c>
      <c r="G978" s="28" t="str">
        <f>HYPERLINK("http://api.nsgreg.nga.mil/geo-division/GENC/6/ed3/CZ-KA","as:GENC:6:ed3:CZ-KA")</f>
        <v>as:GENC:6:ed3:CZ-KA</v>
      </c>
    </row>
    <row r="979" spans="1:7" x14ac:dyDescent="0.2">
      <c r="A979" s="85"/>
      <c r="B979" s="25" t="s">
        <v>3649</v>
      </c>
      <c r="C979" s="25" t="s">
        <v>3650</v>
      </c>
      <c r="D979" s="37" t="s">
        <v>1790</v>
      </c>
      <c r="E979" s="38" t="b">
        <v>0</v>
      </c>
      <c r="F979" s="27" t="str">
        <f>HYPERLINK("http://nsgreg.nga.mil/genc/view?v=118694&amp;gencs=T&amp;end_month=12&amp;end_day=31&amp;end_year=2014","Karlovy Vary")</f>
        <v>Karlovy Vary</v>
      </c>
      <c r="G979" s="28" t="str">
        <f>HYPERLINK("http://api.nsgreg.nga.mil/geo-division/GENC/6/ed3/CZ-412","as:GENC:6:ed3:CZ-412")</f>
        <v>as:GENC:6:ed3:CZ-412</v>
      </c>
    </row>
    <row r="980" spans="1:7" x14ac:dyDescent="0.2">
      <c r="A980" s="85"/>
      <c r="B980" s="25" t="s">
        <v>3651</v>
      </c>
      <c r="C980" s="25" t="s">
        <v>3652</v>
      </c>
      <c r="D980" s="37" t="s">
        <v>1790</v>
      </c>
      <c r="E980" s="38" t="b">
        <v>0</v>
      </c>
      <c r="F980" s="27" t="str">
        <f>HYPERLINK("http://nsgreg.nga.mil/genc/view?v=118739&amp;gencs=T&amp;end_month=12&amp;end_day=31&amp;end_year=2014","Karviná")</f>
        <v>Karviná</v>
      </c>
      <c r="G980" s="28" t="str">
        <f>HYPERLINK("http://api.nsgreg.nga.mil/geo-division/GENC/6/ed3/CZ-803","as:GENC:6:ed3:CZ-803")</f>
        <v>as:GENC:6:ed3:CZ-803</v>
      </c>
    </row>
    <row r="981" spans="1:7" x14ac:dyDescent="0.2">
      <c r="A981" s="85"/>
      <c r="B981" s="25" t="s">
        <v>3653</v>
      </c>
      <c r="C981" s="25" t="s">
        <v>3654</v>
      </c>
      <c r="D981" s="37" t="s">
        <v>1790</v>
      </c>
      <c r="E981" s="38" t="b">
        <v>0</v>
      </c>
      <c r="F981" s="27" t="str">
        <f>HYPERLINK("http://nsgreg.nga.mil/genc/view?v=118669&amp;gencs=T&amp;end_month=12&amp;end_day=31&amp;end_year=2014","Kladno")</f>
        <v>Kladno</v>
      </c>
      <c r="G981" s="28" t="str">
        <f>HYPERLINK("http://api.nsgreg.nga.mil/geo-division/GENC/6/ed3/CZ-203","as:GENC:6:ed3:CZ-203")</f>
        <v>as:GENC:6:ed3:CZ-203</v>
      </c>
    </row>
    <row r="982" spans="1:7" x14ac:dyDescent="0.2">
      <c r="A982" s="85"/>
      <c r="B982" s="25" t="s">
        <v>3655</v>
      </c>
      <c r="C982" s="25" t="s">
        <v>3656</v>
      </c>
      <c r="D982" s="37" t="s">
        <v>1790</v>
      </c>
      <c r="E982" s="38" t="b">
        <v>0</v>
      </c>
      <c r="F982" s="27" t="str">
        <f>HYPERLINK("http://nsgreg.nga.mil/genc/view?v=118687&amp;gencs=T&amp;end_month=12&amp;end_day=31&amp;end_year=2014","Klatovy")</f>
        <v>Klatovy</v>
      </c>
      <c r="G982" s="28" t="str">
        <f>HYPERLINK("http://api.nsgreg.nga.mil/geo-division/GENC/6/ed3/CZ-322","as:GENC:6:ed3:CZ-322")</f>
        <v>as:GENC:6:ed3:CZ-322</v>
      </c>
    </row>
    <row r="983" spans="1:7" x14ac:dyDescent="0.2">
      <c r="A983" s="85"/>
      <c r="B983" s="25" t="s">
        <v>3657</v>
      </c>
      <c r="C983" s="25" t="s">
        <v>3658</v>
      </c>
      <c r="D983" s="37" t="s">
        <v>1790</v>
      </c>
      <c r="E983" s="38" t="b">
        <v>0</v>
      </c>
      <c r="F983" s="27" t="str">
        <f>HYPERLINK("http://nsgreg.nga.mil/genc/view?v=118670&amp;gencs=T&amp;end_month=12&amp;end_day=31&amp;end_year=2014","Kolín")</f>
        <v>Kolín</v>
      </c>
      <c r="G983" s="28" t="str">
        <f>HYPERLINK("http://api.nsgreg.nga.mil/geo-division/GENC/6/ed3/CZ-204","as:GENC:6:ed3:CZ-204")</f>
        <v>as:GENC:6:ed3:CZ-204</v>
      </c>
    </row>
    <row r="984" spans="1:7" x14ac:dyDescent="0.2">
      <c r="A984" s="85"/>
      <c r="B984" s="25" t="s">
        <v>3661</v>
      </c>
      <c r="C984" s="25" t="s">
        <v>12263</v>
      </c>
      <c r="D984" s="25" t="s">
        <v>2087</v>
      </c>
      <c r="E984" s="26" t="b">
        <v>1</v>
      </c>
      <c r="F984" s="27" t="str">
        <f>HYPERLINK("http://nsgreg.nga.mil/genc/view?v=211534&amp;end_month=12&amp;end_day=31&amp;end_year=2014","Královéhradecký Kraj")</f>
        <v>Královéhradecký Kraj</v>
      </c>
      <c r="G984" s="28" t="str">
        <f>HYPERLINK("http://api.nsgreg.nga.mil/geo-division/GENC/6/ed3/CZ-KR","as:GENC:6:ed3:CZ-KR")</f>
        <v>as:GENC:6:ed3:CZ-KR</v>
      </c>
    </row>
    <row r="985" spans="1:7" x14ac:dyDescent="0.2">
      <c r="A985" s="85"/>
      <c r="B985" s="25" t="s">
        <v>3659</v>
      </c>
      <c r="C985" s="25" t="s">
        <v>12264</v>
      </c>
      <c r="D985" s="37" t="s">
        <v>1790</v>
      </c>
      <c r="E985" s="38" t="b">
        <v>0</v>
      </c>
      <c r="F985" s="27" t="str">
        <f>HYPERLINK("http://nsgreg.nga.mil/genc/view?v=118733&amp;gencs=T&amp;end_month=12&amp;end_day=31&amp;end_year=2014","Kroměříž")</f>
        <v>Kroměříž</v>
      </c>
      <c r="G985" s="28" t="str">
        <f>HYPERLINK("http://api.nsgreg.nga.mil/geo-division/GENC/6/ed3/CZ-721","as:GENC:6:ed3:CZ-721")</f>
        <v>as:GENC:6:ed3:CZ-721</v>
      </c>
    </row>
    <row r="986" spans="1:7" x14ac:dyDescent="0.2">
      <c r="A986" s="85"/>
      <c r="B986" s="25" t="s">
        <v>3663</v>
      </c>
      <c r="C986" s="25" t="s">
        <v>3664</v>
      </c>
      <c r="D986" s="37" t="s">
        <v>1790</v>
      </c>
      <c r="E986" s="38" t="b">
        <v>0</v>
      </c>
      <c r="F986" s="27" t="str">
        <f>HYPERLINK("http://nsgreg.nga.mil/genc/view?v=118671&amp;gencs=T&amp;end_month=12&amp;end_day=31&amp;end_year=2014","Kutná Hora")</f>
        <v>Kutná Hora</v>
      </c>
      <c r="G986" s="28" t="str">
        <f>HYPERLINK("http://api.nsgreg.nga.mil/geo-division/GENC/6/ed3/CZ-205","as:GENC:6:ed3:CZ-205")</f>
        <v>as:GENC:6:ed3:CZ-205</v>
      </c>
    </row>
    <row r="987" spans="1:7" x14ac:dyDescent="0.2">
      <c r="A987" s="85"/>
      <c r="B987" s="25" t="s">
        <v>3665</v>
      </c>
      <c r="C987" s="25" t="s">
        <v>3666</v>
      </c>
      <c r="D987" s="37" t="s">
        <v>1790</v>
      </c>
      <c r="E987" s="38" t="b">
        <v>0</v>
      </c>
      <c r="F987" s="27" t="str">
        <f>HYPERLINK("http://nsgreg.nga.mil/genc/view?v=118705&amp;gencs=T&amp;end_month=12&amp;end_day=31&amp;end_year=2014","Liberec")</f>
        <v>Liberec</v>
      </c>
      <c r="G987" s="28" t="str">
        <f>HYPERLINK("http://api.nsgreg.nga.mil/geo-division/GENC/6/ed3/CZ-513","as:GENC:6:ed3:CZ-513")</f>
        <v>as:GENC:6:ed3:CZ-513</v>
      </c>
    </row>
    <row r="988" spans="1:7" x14ac:dyDescent="0.2">
      <c r="A988" s="85"/>
      <c r="B988" s="25" t="s">
        <v>3667</v>
      </c>
      <c r="C988" s="25" t="s">
        <v>12265</v>
      </c>
      <c r="D988" s="25" t="s">
        <v>2087</v>
      </c>
      <c r="E988" s="26" t="b">
        <v>1</v>
      </c>
      <c r="F988" s="27" t="str">
        <f>HYPERLINK("http://nsgreg.nga.mil/genc/view?v=211535&amp;end_month=12&amp;end_day=31&amp;end_year=2014","Liberecký Kraj")</f>
        <v>Liberecký Kraj</v>
      </c>
      <c r="G988" s="28" t="str">
        <f>HYPERLINK("http://api.nsgreg.nga.mil/geo-division/GENC/6/ed3/CZ-LI","as:GENC:6:ed3:CZ-LI")</f>
        <v>as:GENC:6:ed3:CZ-LI</v>
      </c>
    </row>
    <row r="989" spans="1:7" x14ac:dyDescent="0.2">
      <c r="A989" s="85"/>
      <c r="B989" s="25" t="s">
        <v>3669</v>
      </c>
      <c r="C989" s="25" t="s">
        <v>3670</v>
      </c>
      <c r="D989" s="37" t="s">
        <v>1790</v>
      </c>
      <c r="E989" s="38" t="b">
        <v>0</v>
      </c>
      <c r="F989" s="27" t="str">
        <f>HYPERLINK("http://nsgreg.nga.mil/genc/view?v=118698&amp;gencs=T&amp;end_month=12&amp;end_day=31&amp;end_year=2014","Litoměřice")</f>
        <v>Litoměřice</v>
      </c>
      <c r="G989" s="28" t="str">
        <f>HYPERLINK("http://api.nsgreg.nga.mil/geo-division/GENC/6/ed3/CZ-423","as:GENC:6:ed3:CZ-423")</f>
        <v>as:GENC:6:ed3:CZ-423</v>
      </c>
    </row>
    <row r="990" spans="1:7" x14ac:dyDescent="0.2">
      <c r="A990" s="85"/>
      <c r="B990" s="25" t="s">
        <v>3671</v>
      </c>
      <c r="C990" s="25" t="s">
        <v>3672</v>
      </c>
      <c r="D990" s="37" t="s">
        <v>1790</v>
      </c>
      <c r="E990" s="38" t="b">
        <v>0</v>
      </c>
      <c r="F990" s="27" t="str">
        <f>HYPERLINK("http://nsgreg.nga.mil/genc/view?v=118699&amp;gencs=T&amp;end_month=12&amp;end_day=31&amp;end_year=2014","Louny")</f>
        <v>Louny</v>
      </c>
      <c r="G990" s="28" t="str">
        <f>HYPERLINK("http://api.nsgreg.nga.mil/geo-division/GENC/6/ed3/CZ-424","as:GENC:6:ed3:CZ-424")</f>
        <v>as:GENC:6:ed3:CZ-424</v>
      </c>
    </row>
    <row r="991" spans="1:7" x14ac:dyDescent="0.2">
      <c r="A991" s="85"/>
      <c r="B991" s="25" t="s">
        <v>3679</v>
      </c>
      <c r="C991" s="25" t="s">
        <v>3680</v>
      </c>
      <c r="D991" s="37" t="s">
        <v>1790</v>
      </c>
      <c r="E991" s="38" t="b">
        <v>0</v>
      </c>
      <c r="F991" s="27" t="str">
        <f>HYPERLINK("http://nsgreg.nga.mil/genc/view?v=118672&amp;gencs=T&amp;end_month=12&amp;end_day=31&amp;end_year=2014","Mělník")</f>
        <v>Mělník</v>
      </c>
      <c r="G991" s="28" t="str">
        <f>HYPERLINK("http://api.nsgreg.nga.mil/geo-division/GENC/6/ed3/CZ-206","as:GENC:6:ed3:CZ-206")</f>
        <v>as:GENC:6:ed3:CZ-206</v>
      </c>
    </row>
    <row r="992" spans="1:7" x14ac:dyDescent="0.2">
      <c r="A992" s="85"/>
      <c r="B992" s="25" t="s">
        <v>3607</v>
      </c>
      <c r="C992" s="25" t="s">
        <v>12266</v>
      </c>
      <c r="D992" s="37" t="s">
        <v>1790</v>
      </c>
      <c r="E992" s="38" t="b">
        <v>0</v>
      </c>
      <c r="F992" s="27" t="str">
        <f>HYPERLINK("http://nsgreg.nga.mil/genc/view?v=211528&amp;end_month=12&amp;end_day=31&amp;end_year=2014","Město Brno")</f>
        <v>Město Brno</v>
      </c>
      <c r="G992" s="28" t="str">
        <f>HYPERLINK("http://api.nsgreg.nga.mil/geo-division/GENC/6/ed3/CZ-622","as:GENC:6:ed3:CZ-622")</f>
        <v>as:GENC:6:ed3:CZ-622</v>
      </c>
    </row>
    <row r="993" spans="1:7" x14ac:dyDescent="0.2">
      <c r="A993" s="85"/>
      <c r="B993" s="25" t="s">
        <v>3673</v>
      </c>
      <c r="C993" s="25" t="s">
        <v>3674</v>
      </c>
      <c r="D993" s="37" t="s">
        <v>1790</v>
      </c>
      <c r="E993" s="38" t="b">
        <v>0</v>
      </c>
      <c r="F993" s="27" t="str">
        <f>HYPERLINK("http://nsgreg.nga.mil/genc/view?v=118673&amp;gencs=T&amp;end_month=12&amp;end_day=31&amp;end_year=2014","Mladá Boleslav")</f>
        <v>Mladá Boleslav</v>
      </c>
      <c r="G993" s="28" t="str">
        <f>HYPERLINK("http://api.nsgreg.nga.mil/geo-division/GENC/6/ed3/CZ-207","as:GENC:6:ed3:CZ-207")</f>
        <v>as:GENC:6:ed3:CZ-207</v>
      </c>
    </row>
    <row r="994" spans="1:7" x14ac:dyDescent="0.2">
      <c r="A994" s="85"/>
      <c r="B994" s="25" t="s">
        <v>3675</v>
      </c>
      <c r="C994" s="25" t="s">
        <v>12267</v>
      </c>
      <c r="D994" s="25" t="s">
        <v>2087</v>
      </c>
      <c r="E994" s="26" t="b">
        <v>1</v>
      </c>
      <c r="F994" s="27" t="str">
        <f>HYPERLINK("http://nsgreg.nga.mil/genc/view?v=211536&amp;end_month=12&amp;end_day=31&amp;end_year=2014","Moravskoslezský Kraj ")</f>
        <v xml:space="preserve">Moravskoslezský Kraj </v>
      </c>
      <c r="G994" s="28" t="str">
        <f>HYPERLINK("http://api.nsgreg.nga.mil/geo-division/GENC/6/ed3/CZ-MO","as:GENC:6:ed3:CZ-MO")</f>
        <v>as:GENC:6:ed3:CZ-MO</v>
      </c>
    </row>
    <row r="995" spans="1:7" x14ac:dyDescent="0.2">
      <c r="A995" s="85"/>
      <c r="B995" s="25" t="s">
        <v>3677</v>
      </c>
      <c r="C995" s="25" t="s">
        <v>3678</v>
      </c>
      <c r="D995" s="37" t="s">
        <v>1790</v>
      </c>
      <c r="E995" s="38" t="b">
        <v>0</v>
      </c>
      <c r="F995" s="27" t="str">
        <f>HYPERLINK("http://nsgreg.nga.mil/genc/view?v=118700&amp;gencs=T&amp;end_month=12&amp;end_day=31&amp;end_year=2014","Most")</f>
        <v>Most</v>
      </c>
      <c r="G995" s="28" t="str">
        <f>HYPERLINK("http://api.nsgreg.nga.mil/geo-division/GENC/6/ed3/CZ-425","as:GENC:6:ed3:CZ-425")</f>
        <v>as:GENC:6:ed3:CZ-425</v>
      </c>
    </row>
    <row r="996" spans="1:7" x14ac:dyDescent="0.2">
      <c r="A996" s="85"/>
      <c r="B996" s="25" t="s">
        <v>3685</v>
      </c>
      <c r="C996" s="25" t="s">
        <v>3686</v>
      </c>
      <c r="D996" s="37" t="s">
        <v>1790</v>
      </c>
      <c r="E996" s="38" t="b">
        <v>0</v>
      </c>
      <c r="F996" s="27" t="str">
        <f>HYPERLINK("http://nsgreg.nga.mil/genc/view?v=118709&amp;gencs=T&amp;end_month=12&amp;end_day=31&amp;end_year=2014","Náchod")</f>
        <v>Náchod</v>
      </c>
      <c r="G996" s="28" t="str">
        <f>HYPERLINK("http://api.nsgreg.nga.mil/geo-division/GENC/6/ed3/CZ-523","as:GENC:6:ed3:CZ-523")</f>
        <v>as:GENC:6:ed3:CZ-523</v>
      </c>
    </row>
    <row r="997" spans="1:7" x14ac:dyDescent="0.2">
      <c r="A997" s="85"/>
      <c r="B997" s="25" t="s">
        <v>3681</v>
      </c>
      <c r="C997" s="25" t="s">
        <v>3682</v>
      </c>
      <c r="D997" s="37" t="s">
        <v>1790</v>
      </c>
      <c r="E997" s="38" t="b">
        <v>0</v>
      </c>
      <c r="F997" s="27" t="str">
        <f>HYPERLINK("http://nsgreg.nga.mil/genc/view?v=118740&amp;gencs=T&amp;end_month=12&amp;end_day=31&amp;end_year=2014","Nový Jičín")</f>
        <v>Nový Jičín</v>
      </c>
      <c r="G997" s="28" t="str">
        <f>HYPERLINK("http://api.nsgreg.nga.mil/geo-division/GENC/6/ed3/CZ-804","as:GENC:6:ed3:CZ-804")</f>
        <v>as:GENC:6:ed3:CZ-804</v>
      </c>
    </row>
    <row r="998" spans="1:7" x14ac:dyDescent="0.2">
      <c r="A998" s="85"/>
      <c r="B998" s="25" t="s">
        <v>3683</v>
      </c>
      <c r="C998" s="25" t="s">
        <v>3684</v>
      </c>
      <c r="D998" s="37" t="s">
        <v>1790</v>
      </c>
      <c r="E998" s="38" t="b">
        <v>0</v>
      </c>
      <c r="F998" s="27" t="str">
        <f>HYPERLINK("http://nsgreg.nga.mil/genc/view?v=118674&amp;gencs=T&amp;end_month=12&amp;end_day=31&amp;end_year=2014","Nymburk")</f>
        <v>Nymburk</v>
      </c>
      <c r="G998" s="28" t="str">
        <f>HYPERLINK("http://api.nsgreg.nga.mil/geo-division/GENC/6/ed3/CZ-208","as:GENC:6:ed3:CZ-208")</f>
        <v>as:GENC:6:ed3:CZ-208</v>
      </c>
    </row>
    <row r="999" spans="1:7" x14ac:dyDescent="0.2">
      <c r="A999" s="85"/>
      <c r="B999" s="25" t="s">
        <v>3687</v>
      </c>
      <c r="C999" s="25" t="s">
        <v>3688</v>
      </c>
      <c r="D999" s="37" t="s">
        <v>1790</v>
      </c>
      <c r="E999" s="38" t="b">
        <v>0</v>
      </c>
      <c r="F999" s="27" t="str">
        <f>HYPERLINK("http://nsgreg.nga.mil/genc/view?v=118729&amp;gencs=T&amp;end_month=12&amp;end_day=31&amp;end_year=2014","Olomouc")</f>
        <v>Olomouc</v>
      </c>
      <c r="G999" s="28" t="str">
        <f>HYPERLINK("http://api.nsgreg.nga.mil/geo-division/GENC/6/ed3/CZ-712","as:GENC:6:ed3:CZ-712")</f>
        <v>as:GENC:6:ed3:CZ-712</v>
      </c>
    </row>
    <row r="1000" spans="1:7" x14ac:dyDescent="0.2">
      <c r="A1000" s="85"/>
      <c r="B1000" s="25" t="s">
        <v>3689</v>
      </c>
      <c r="C1000" s="25" t="s">
        <v>12268</v>
      </c>
      <c r="D1000" s="25" t="s">
        <v>2087</v>
      </c>
      <c r="E1000" s="26" t="b">
        <v>1</v>
      </c>
      <c r="F1000" s="27" t="str">
        <f>HYPERLINK("http://nsgreg.nga.mil/genc/view?v=211537&amp;end_month=12&amp;end_day=31&amp;end_year=2014","Olomoucký Kraj")</f>
        <v>Olomoucký Kraj</v>
      </c>
      <c r="G1000" s="28" t="str">
        <f>HYPERLINK("http://api.nsgreg.nga.mil/geo-division/GENC/6/ed3/CZ-OL","as:GENC:6:ed3:CZ-OL")</f>
        <v>as:GENC:6:ed3:CZ-OL</v>
      </c>
    </row>
    <row r="1001" spans="1:7" x14ac:dyDescent="0.2">
      <c r="A1001" s="85"/>
      <c r="B1001" s="25" t="s">
        <v>3691</v>
      </c>
      <c r="C1001" s="25" t="s">
        <v>3692</v>
      </c>
      <c r="D1001" s="37" t="s">
        <v>1790</v>
      </c>
      <c r="E1001" s="38" t="b">
        <v>0</v>
      </c>
      <c r="F1001" s="27" t="str">
        <f>HYPERLINK("http://nsgreg.nga.mil/genc/view?v=118741&amp;gencs=T&amp;end_month=12&amp;end_day=31&amp;end_year=2014","Opava")</f>
        <v>Opava</v>
      </c>
      <c r="G1001" s="28" t="str">
        <f>HYPERLINK("http://api.nsgreg.nga.mil/geo-division/GENC/6/ed3/CZ-805","as:GENC:6:ed3:CZ-805")</f>
        <v>as:GENC:6:ed3:CZ-805</v>
      </c>
    </row>
    <row r="1002" spans="1:7" x14ac:dyDescent="0.2">
      <c r="A1002" s="85"/>
      <c r="B1002" s="25" t="s">
        <v>3693</v>
      </c>
      <c r="C1002" s="25" t="s">
        <v>12269</v>
      </c>
      <c r="D1002" s="37" t="s">
        <v>1790</v>
      </c>
      <c r="E1002" s="38" t="b">
        <v>0</v>
      </c>
      <c r="F1002" s="27" t="str">
        <f>HYPERLINK("http://nsgreg.nga.mil/genc/view?v=211530&amp;end_month=12&amp;end_day=31&amp;end_year=2014","Ostrava-Město")</f>
        <v>Ostrava-Město</v>
      </c>
      <c r="G1002" s="28" t="str">
        <f>HYPERLINK("http://api.nsgreg.nga.mil/geo-division/GENC/6/ed3/CZ-806","as:GENC:6:ed3:CZ-806")</f>
        <v>as:GENC:6:ed3:CZ-806</v>
      </c>
    </row>
    <row r="1003" spans="1:7" x14ac:dyDescent="0.2">
      <c r="A1003" s="85"/>
      <c r="B1003" s="25" t="s">
        <v>3695</v>
      </c>
      <c r="C1003" s="25" t="s">
        <v>3696</v>
      </c>
      <c r="D1003" s="37" t="s">
        <v>1790</v>
      </c>
      <c r="E1003" s="38" t="b">
        <v>0</v>
      </c>
      <c r="F1003" s="27" t="str">
        <f>HYPERLINK("http://nsgreg.nga.mil/genc/view?v=118713&amp;gencs=T&amp;end_month=12&amp;end_day=31&amp;end_year=2014","Pardubice")</f>
        <v>Pardubice</v>
      </c>
      <c r="G1003" s="28" t="str">
        <f>HYPERLINK("http://api.nsgreg.nga.mil/geo-division/GENC/6/ed3/CZ-532","as:GENC:6:ed3:CZ-532")</f>
        <v>as:GENC:6:ed3:CZ-532</v>
      </c>
    </row>
    <row r="1004" spans="1:7" x14ac:dyDescent="0.2">
      <c r="A1004" s="85"/>
      <c r="B1004" s="25" t="s">
        <v>3697</v>
      </c>
      <c r="C1004" s="25" t="s">
        <v>12270</v>
      </c>
      <c r="D1004" s="25" t="s">
        <v>2087</v>
      </c>
      <c r="E1004" s="26" t="b">
        <v>1</v>
      </c>
      <c r="F1004" s="27" t="str">
        <f>HYPERLINK("http://nsgreg.nga.mil/genc/view?v=211538&amp;end_month=12&amp;end_day=31&amp;end_year=2014","Pardubický Kraj")</f>
        <v>Pardubický Kraj</v>
      </c>
      <c r="G1004" s="28" t="str">
        <f>HYPERLINK("http://api.nsgreg.nga.mil/geo-division/GENC/6/ed3/CZ-PA","as:GENC:6:ed3:CZ-PA")</f>
        <v>as:GENC:6:ed3:CZ-PA</v>
      </c>
    </row>
    <row r="1005" spans="1:7" x14ac:dyDescent="0.2">
      <c r="A1005" s="85"/>
      <c r="B1005" s="25" t="s">
        <v>3699</v>
      </c>
      <c r="C1005" s="25" t="s">
        <v>3700</v>
      </c>
      <c r="D1005" s="37" t="s">
        <v>1790</v>
      </c>
      <c r="E1005" s="38" t="b">
        <v>0</v>
      </c>
      <c r="F1005" s="27" t="str">
        <f>HYPERLINK("http://nsgreg.nga.mil/genc/view?v=118718&amp;gencs=T&amp;end_month=12&amp;end_day=31&amp;end_year=2014","Pelhřimov")</f>
        <v>Pelhřimov</v>
      </c>
      <c r="G1005" s="28" t="str">
        <f>HYPERLINK("http://api.nsgreg.nga.mil/geo-division/GENC/6/ed3/CZ-613","as:GENC:6:ed3:CZ-613")</f>
        <v>as:GENC:6:ed3:CZ-613</v>
      </c>
    </row>
    <row r="1006" spans="1:7" x14ac:dyDescent="0.2">
      <c r="A1006" s="85"/>
      <c r="B1006" s="25" t="s">
        <v>3749</v>
      </c>
      <c r="C1006" s="25" t="s">
        <v>3750</v>
      </c>
      <c r="D1006" s="37" t="s">
        <v>1790</v>
      </c>
      <c r="E1006" s="38" t="b">
        <v>0</v>
      </c>
      <c r="F1006" s="27" t="str">
        <f>HYPERLINK("http://nsgreg.nga.mil/genc/view?v=118682&amp;gencs=T&amp;end_month=12&amp;end_day=31&amp;end_year=2014","Písek")</f>
        <v>Písek</v>
      </c>
      <c r="G1006" s="28" t="str">
        <f>HYPERLINK("http://api.nsgreg.nga.mil/geo-division/GENC/6/ed3/CZ-314","as:GENC:6:ed3:CZ-314")</f>
        <v>as:GENC:6:ed3:CZ-314</v>
      </c>
    </row>
    <row r="1007" spans="1:7" x14ac:dyDescent="0.2">
      <c r="A1007" s="85"/>
      <c r="B1007" s="25" t="s">
        <v>3701</v>
      </c>
      <c r="C1007" s="25" t="s">
        <v>12271</v>
      </c>
      <c r="D1007" s="37" t="s">
        <v>1790</v>
      </c>
      <c r="E1007" s="38" t="b">
        <v>0</v>
      </c>
      <c r="F1007" s="27" t="str">
        <f>HYPERLINK("http://nsgreg.nga.mil/genc/view?v=211526&amp;end_month=12&amp;end_day=31&amp;end_year=2014","Plzeň-Jih")</f>
        <v>Plzeň-Jih</v>
      </c>
      <c r="G1007" s="28" t="str">
        <f>HYPERLINK("http://api.nsgreg.nga.mil/geo-division/GENC/6/ed3/CZ-324","as:GENC:6:ed3:CZ-324")</f>
        <v>as:GENC:6:ed3:CZ-324</v>
      </c>
    </row>
    <row r="1008" spans="1:7" x14ac:dyDescent="0.2">
      <c r="A1008" s="85"/>
      <c r="B1008" s="25" t="s">
        <v>3703</v>
      </c>
      <c r="C1008" s="25" t="s">
        <v>12272</v>
      </c>
      <c r="D1008" s="37" t="s">
        <v>1790</v>
      </c>
      <c r="E1008" s="38" t="b">
        <v>0</v>
      </c>
      <c r="F1008" s="27" t="str">
        <f>HYPERLINK("http://nsgreg.nga.mil/genc/view?v=211525&amp;end_month=12&amp;end_day=31&amp;end_year=2014","Plzeň-Město")</f>
        <v>Plzeň-Město</v>
      </c>
      <c r="G1008" s="28" t="str">
        <f>HYPERLINK("http://api.nsgreg.nga.mil/geo-division/GENC/6/ed3/CZ-323","as:GENC:6:ed3:CZ-323")</f>
        <v>as:GENC:6:ed3:CZ-323</v>
      </c>
    </row>
    <row r="1009" spans="1:7" x14ac:dyDescent="0.2">
      <c r="A1009" s="85"/>
      <c r="B1009" s="25" t="s">
        <v>3705</v>
      </c>
      <c r="C1009" s="25" t="s">
        <v>12273</v>
      </c>
      <c r="D1009" s="37" t="s">
        <v>1790</v>
      </c>
      <c r="E1009" s="38" t="b">
        <v>0</v>
      </c>
      <c r="F1009" s="27" t="str">
        <f>HYPERLINK("http://nsgreg.nga.mil/genc/view?v=211527&amp;end_month=12&amp;end_day=31&amp;end_year=2014","Plzeň-Sever")</f>
        <v>Plzeň-Sever</v>
      </c>
      <c r="G1009" s="28" t="str">
        <f>HYPERLINK("http://api.nsgreg.nga.mil/geo-division/GENC/6/ed3/CZ-325","as:GENC:6:ed3:CZ-325")</f>
        <v>as:GENC:6:ed3:CZ-325</v>
      </c>
    </row>
    <row r="1010" spans="1:7" x14ac:dyDescent="0.2">
      <c r="A1010" s="85"/>
      <c r="B1010" s="25" t="s">
        <v>3707</v>
      </c>
      <c r="C1010" s="25" t="s">
        <v>12274</v>
      </c>
      <c r="D1010" s="25" t="s">
        <v>2087</v>
      </c>
      <c r="E1010" s="26" t="b">
        <v>1</v>
      </c>
      <c r="F1010" s="27" t="str">
        <f>HYPERLINK("http://nsgreg.nga.mil/genc/view?v=211539&amp;end_month=12&amp;end_day=31&amp;end_year=2014","Plzeňský Kraj")</f>
        <v>Plzeňský Kraj</v>
      </c>
      <c r="G1010" s="28" t="str">
        <f>HYPERLINK("http://api.nsgreg.nga.mil/geo-division/GENC/6/ed3/CZ-PL","as:GENC:6:ed3:CZ-PL")</f>
        <v>as:GENC:6:ed3:CZ-PL</v>
      </c>
    </row>
    <row r="1011" spans="1:7" x14ac:dyDescent="0.2">
      <c r="A1011" s="85"/>
      <c r="B1011" s="25" t="s">
        <v>3709</v>
      </c>
      <c r="C1011" s="25" t="s">
        <v>3710</v>
      </c>
      <c r="D1011" s="37" t="s">
        <v>1790</v>
      </c>
      <c r="E1011" s="38" t="b">
        <v>0</v>
      </c>
      <c r="F1011" s="27" t="str">
        <f>HYPERLINK("http://nsgreg.nga.mil/genc/view?v=118683&amp;gencs=T&amp;end_month=12&amp;end_day=31&amp;end_year=2014","Prachatice")</f>
        <v>Prachatice</v>
      </c>
      <c r="G1011" s="28" t="str">
        <f>HYPERLINK("http://api.nsgreg.nga.mil/geo-division/GENC/6/ed3/CZ-315","as:GENC:6:ed3:CZ-315")</f>
        <v>as:GENC:6:ed3:CZ-315</v>
      </c>
    </row>
    <row r="1012" spans="1:7" x14ac:dyDescent="0.2">
      <c r="A1012" s="85"/>
      <c r="B1012" s="25" t="s">
        <v>3745</v>
      </c>
      <c r="C1012" s="25" t="s">
        <v>12275</v>
      </c>
      <c r="D1012" s="25" t="s">
        <v>4996</v>
      </c>
      <c r="E1012" s="26" t="b">
        <v>1</v>
      </c>
      <c r="F1012" s="27" t="str">
        <f>HYPERLINK("http://nsgreg.nga.mil/genc/view?v=211540&amp;end_month=12&amp;end_day=31&amp;end_year=2014","Praha, Hlavní Město")</f>
        <v>Praha, Hlavní Město</v>
      </c>
      <c r="G1012" s="28" t="str">
        <f>HYPERLINK("http://api.nsgreg.nga.mil/geo-division/GENC/6/ed3/CZ-PR","as:GENC:6:ed3:CZ-PR")</f>
        <v>as:GENC:6:ed3:CZ-PR</v>
      </c>
    </row>
    <row r="1013" spans="1:7" x14ac:dyDescent="0.2">
      <c r="A1013" s="85"/>
      <c r="B1013" s="25" t="s">
        <v>3721</v>
      </c>
      <c r="C1013" s="25" t="s">
        <v>12276</v>
      </c>
      <c r="D1013" s="37" t="s">
        <v>1790</v>
      </c>
      <c r="E1013" s="38" t="b">
        <v>0</v>
      </c>
      <c r="F1013" s="27" t="str">
        <f>HYPERLINK("http://nsgreg.nga.mil/genc/view?v=211521&amp;end_month=12&amp;end_day=31&amp;end_year=2014","Praha Čtrnáct")</f>
        <v>Praha Čtrnáct</v>
      </c>
      <c r="G1013" s="28" t="str">
        <f>HYPERLINK("http://api.nsgreg.nga.mil/geo-division/GENC/6/ed3/CZ-10E","as:GENC:6:ed3:CZ-10E")</f>
        <v>as:GENC:6:ed3:CZ-10E</v>
      </c>
    </row>
    <row r="1014" spans="1:7" x14ac:dyDescent="0.2">
      <c r="A1014" s="85"/>
      <c r="B1014" s="25" t="s">
        <v>3729</v>
      </c>
      <c r="C1014" s="25" t="s">
        <v>12277</v>
      </c>
      <c r="D1014" s="37" t="s">
        <v>1790</v>
      </c>
      <c r="E1014" s="38" t="b">
        <v>0</v>
      </c>
      <c r="F1014" s="27" t="str">
        <f>HYPERLINK("http://nsgreg.nga.mil/genc/view?v=211511&amp;end_month=12&amp;end_day=31&amp;end_year=2014","Praha Čtyři")</f>
        <v>Praha Čtyři</v>
      </c>
      <c r="G1014" s="28" t="str">
        <f>HYPERLINK("http://api.nsgreg.nga.mil/geo-division/GENC/6/ed3/CZ-104","as:GENC:6:ed3:CZ-104")</f>
        <v>as:GENC:6:ed3:CZ-104</v>
      </c>
    </row>
    <row r="1015" spans="1:7" x14ac:dyDescent="0.2">
      <c r="A1015" s="85"/>
      <c r="B1015" s="25" t="s">
        <v>3713</v>
      </c>
      <c r="C1015" s="25" t="s">
        <v>12278</v>
      </c>
      <c r="D1015" s="37" t="s">
        <v>1790</v>
      </c>
      <c r="E1015" s="38" t="b">
        <v>0</v>
      </c>
      <c r="F1015" s="27" t="str">
        <f>HYPERLINK("http://nsgreg.nga.mil/genc/view?v=211517&amp;end_month=12&amp;end_day=31&amp;end_year=2014","Praha Deset")</f>
        <v>Praha Deset</v>
      </c>
      <c r="G1015" s="28" t="str">
        <f>HYPERLINK("http://api.nsgreg.nga.mil/geo-division/GENC/6/ed3/CZ-10A","as:GENC:6:ed3:CZ-10A")</f>
        <v>as:GENC:6:ed3:CZ-10A</v>
      </c>
    </row>
    <row r="1016" spans="1:7" x14ac:dyDescent="0.2">
      <c r="A1016" s="85"/>
      <c r="B1016" s="25" t="s">
        <v>3739</v>
      </c>
      <c r="C1016" s="25" t="s">
        <v>12279</v>
      </c>
      <c r="D1016" s="37" t="s">
        <v>1790</v>
      </c>
      <c r="E1016" s="38" t="b">
        <v>0</v>
      </c>
      <c r="F1016" s="27" t="str">
        <f>HYPERLINK("http://nsgreg.nga.mil/genc/view?v=211516&amp;end_month=12&amp;end_day=31&amp;end_year=2014","Praha Devět")</f>
        <v>Praha Devět</v>
      </c>
      <c r="G1016" s="28" t="str">
        <f>HYPERLINK("http://api.nsgreg.nga.mil/geo-division/GENC/6/ed3/CZ-109","as:GENC:6:ed3:CZ-109")</f>
        <v>as:GENC:6:ed3:CZ-109</v>
      </c>
    </row>
    <row r="1017" spans="1:7" x14ac:dyDescent="0.2">
      <c r="A1017" s="85"/>
      <c r="B1017" s="25" t="s">
        <v>3725</v>
      </c>
      <c r="C1017" s="25" t="s">
        <v>12280</v>
      </c>
      <c r="D1017" s="37" t="s">
        <v>1790</v>
      </c>
      <c r="E1017" s="38" t="b">
        <v>0</v>
      </c>
      <c r="F1017" s="27" t="str">
        <f>HYPERLINK("http://nsgreg.nga.mil/genc/view?v=211509&amp;end_month=12&amp;end_day=31&amp;end_year=2014","Praha Dva")</f>
        <v>Praha Dva</v>
      </c>
      <c r="G1017" s="28" t="str">
        <f>HYPERLINK("http://api.nsgreg.nga.mil/geo-division/GENC/6/ed3/CZ-102","as:GENC:6:ed3:CZ-102")</f>
        <v>as:GENC:6:ed3:CZ-102</v>
      </c>
    </row>
    <row r="1018" spans="1:7" x14ac:dyDescent="0.2">
      <c r="A1018" s="85"/>
      <c r="B1018" s="25" t="s">
        <v>3717</v>
      </c>
      <c r="C1018" s="25" t="s">
        <v>12281</v>
      </c>
      <c r="D1018" s="37" t="s">
        <v>1790</v>
      </c>
      <c r="E1018" s="38" t="b">
        <v>0</v>
      </c>
      <c r="F1018" s="27" t="str">
        <f>HYPERLINK("http://nsgreg.nga.mil/genc/view?v=211519&amp;end_month=12&amp;end_day=31&amp;end_year=2014","Praha Dvanáct")</f>
        <v>Praha Dvanáct</v>
      </c>
      <c r="G1018" s="28" t="str">
        <f>HYPERLINK("http://api.nsgreg.nga.mil/geo-division/GENC/6/ed3/CZ-10C","as:GENC:6:ed3:CZ-10C")</f>
        <v>as:GENC:6:ed3:CZ-10C</v>
      </c>
    </row>
    <row r="1019" spans="1:7" x14ac:dyDescent="0.2">
      <c r="A1019" s="85"/>
      <c r="B1019" s="25" t="s">
        <v>3711</v>
      </c>
      <c r="C1019" s="25" t="s">
        <v>12282</v>
      </c>
      <c r="D1019" s="37" t="s">
        <v>1790</v>
      </c>
      <c r="E1019" s="38" t="b">
        <v>0</v>
      </c>
      <c r="F1019" s="27" t="str">
        <f>HYPERLINK("http://nsgreg.nga.mil/genc/view?v=211508&amp;end_month=12&amp;end_day=31&amp;end_year=2014","Praha Jeden")</f>
        <v>Praha Jeden</v>
      </c>
      <c r="G1019" s="28" t="str">
        <f>HYPERLINK("http://api.nsgreg.nga.mil/geo-division/GENC/6/ed3/CZ-101","as:GENC:6:ed3:CZ-101")</f>
        <v>as:GENC:6:ed3:CZ-101</v>
      </c>
    </row>
    <row r="1020" spans="1:7" x14ac:dyDescent="0.2">
      <c r="A1020" s="85"/>
      <c r="B1020" s="25" t="s">
        <v>3715</v>
      </c>
      <c r="C1020" s="25" t="s">
        <v>12283</v>
      </c>
      <c r="D1020" s="37" t="s">
        <v>1790</v>
      </c>
      <c r="E1020" s="38" t="b">
        <v>0</v>
      </c>
      <c r="F1020" s="27" t="str">
        <f>HYPERLINK("http://nsgreg.nga.mil/genc/view?v=211518&amp;end_month=12&amp;end_day=31&amp;end_year=2014","Praha Jedenáct ")</f>
        <v xml:space="preserve">Praha Jedenáct </v>
      </c>
      <c r="G1020" s="28" t="str">
        <f>HYPERLINK("http://api.nsgreg.nga.mil/geo-division/GENC/6/ed3/CZ-10B","as:GENC:6:ed3:CZ-10B")</f>
        <v>as:GENC:6:ed3:CZ-10B</v>
      </c>
    </row>
    <row r="1021" spans="1:7" x14ac:dyDescent="0.2">
      <c r="A1021" s="85"/>
      <c r="B1021" s="25" t="s">
        <v>3737</v>
      </c>
      <c r="C1021" s="25" t="s">
        <v>12284</v>
      </c>
      <c r="D1021" s="37" t="s">
        <v>1790</v>
      </c>
      <c r="E1021" s="38" t="b">
        <v>0</v>
      </c>
      <c r="F1021" s="27" t="str">
        <f>HYPERLINK("http://nsgreg.nga.mil/genc/view?v=211515&amp;end_month=12&amp;end_day=31&amp;end_year=2014","Praha Osm")</f>
        <v>Praha Osm</v>
      </c>
      <c r="G1021" s="28" t="str">
        <f>HYPERLINK("http://api.nsgreg.nga.mil/geo-division/GENC/6/ed3/CZ-108","as:GENC:6:ed3:CZ-108")</f>
        <v>as:GENC:6:ed3:CZ-108</v>
      </c>
    </row>
    <row r="1022" spans="1:7" x14ac:dyDescent="0.2">
      <c r="A1022" s="85"/>
      <c r="B1022" s="25" t="s">
        <v>3723</v>
      </c>
      <c r="C1022" s="25" t="s">
        <v>12285</v>
      </c>
      <c r="D1022" s="37" t="s">
        <v>1790</v>
      </c>
      <c r="E1022" s="38" t="b">
        <v>0</v>
      </c>
      <c r="F1022" s="27" t="str">
        <f>HYPERLINK("http://nsgreg.nga.mil/genc/view?v=211522&amp;end_month=12&amp;end_day=31&amp;end_year=2014","Praha Patnáct")</f>
        <v>Praha Patnáct</v>
      </c>
      <c r="G1022" s="28" t="str">
        <f>HYPERLINK("http://api.nsgreg.nga.mil/geo-division/GENC/6/ed3/CZ-10F","as:GENC:6:ed3:CZ-10F")</f>
        <v>as:GENC:6:ed3:CZ-10F</v>
      </c>
    </row>
    <row r="1023" spans="1:7" x14ac:dyDescent="0.2">
      <c r="A1023" s="85"/>
      <c r="B1023" s="25" t="s">
        <v>3731</v>
      </c>
      <c r="C1023" s="25" t="s">
        <v>12286</v>
      </c>
      <c r="D1023" s="37" t="s">
        <v>1790</v>
      </c>
      <c r="E1023" s="38" t="b">
        <v>0</v>
      </c>
      <c r="F1023" s="27" t="str">
        <f>HYPERLINK("http://nsgreg.nga.mil/genc/view?v=211512&amp;end_month=12&amp;end_day=31&amp;end_year=2014","Praha Pět")</f>
        <v>Praha Pět</v>
      </c>
      <c r="G1023" s="28" t="str">
        <f>HYPERLINK("http://api.nsgreg.nga.mil/geo-division/GENC/6/ed3/CZ-105","as:GENC:6:ed3:CZ-105")</f>
        <v>as:GENC:6:ed3:CZ-105</v>
      </c>
    </row>
    <row r="1024" spans="1:7" x14ac:dyDescent="0.2">
      <c r="A1024" s="85"/>
      <c r="B1024" s="25" t="s">
        <v>3735</v>
      </c>
      <c r="C1024" s="25" t="s">
        <v>12287</v>
      </c>
      <c r="D1024" s="37" t="s">
        <v>1790</v>
      </c>
      <c r="E1024" s="38" t="b">
        <v>0</v>
      </c>
      <c r="F1024" s="27" t="str">
        <f>HYPERLINK("http://nsgreg.nga.mil/genc/view?v=211514&amp;end_month=12&amp;end_day=31&amp;end_year=2014","Praha Sedm")</f>
        <v>Praha Sedm</v>
      </c>
      <c r="G1024" s="28" t="str">
        <f>HYPERLINK("http://api.nsgreg.nga.mil/geo-division/GENC/6/ed3/CZ-107","as:GENC:6:ed3:CZ-107")</f>
        <v>as:GENC:6:ed3:CZ-107</v>
      </c>
    </row>
    <row r="1025" spans="1:7" x14ac:dyDescent="0.2">
      <c r="A1025" s="85"/>
      <c r="B1025" s="25" t="s">
        <v>3733</v>
      </c>
      <c r="C1025" s="25" t="s">
        <v>12288</v>
      </c>
      <c r="D1025" s="37" t="s">
        <v>1790</v>
      </c>
      <c r="E1025" s="38" t="b">
        <v>0</v>
      </c>
      <c r="F1025" s="27" t="str">
        <f>HYPERLINK("http://nsgreg.nga.mil/genc/view?v=211513&amp;end_month=12&amp;end_day=31&amp;end_year=2014","Praha Šest")</f>
        <v>Praha Šest</v>
      </c>
      <c r="G1025" s="28" t="str">
        <f>HYPERLINK("http://api.nsgreg.nga.mil/geo-division/GENC/6/ed3/CZ-106","as:GENC:6:ed3:CZ-106")</f>
        <v>as:GENC:6:ed3:CZ-106</v>
      </c>
    </row>
    <row r="1026" spans="1:7" x14ac:dyDescent="0.2">
      <c r="A1026" s="85"/>
      <c r="B1026" s="25" t="s">
        <v>3727</v>
      </c>
      <c r="C1026" s="25" t="s">
        <v>12289</v>
      </c>
      <c r="D1026" s="37" t="s">
        <v>1790</v>
      </c>
      <c r="E1026" s="38" t="b">
        <v>0</v>
      </c>
      <c r="F1026" s="27" t="str">
        <f>HYPERLINK("http://nsgreg.nga.mil/genc/view?v=211510&amp;end_month=12&amp;end_day=31&amp;end_year=2014","Praha Tři")</f>
        <v>Praha Tři</v>
      </c>
      <c r="G1026" s="28" t="str">
        <f>HYPERLINK("http://api.nsgreg.nga.mil/geo-division/GENC/6/ed3/CZ-103","as:GENC:6:ed3:CZ-103")</f>
        <v>as:GENC:6:ed3:CZ-103</v>
      </c>
    </row>
    <row r="1027" spans="1:7" x14ac:dyDescent="0.2">
      <c r="A1027" s="85"/>
      <c r="B1027" s="25" t="s">
        <v>3719</v>
      </c>
      <c r="C1027" s="25" t="s">
        <v>12290</v>
      </c>
      <c r="D1027" s="37" t="s">
        <v>1790</v>
      </c>
      <c r="E1027" s="38" t="b">
        <v>0</v>
      </c>
      <c r="F1027" s="27" t="str">
        <f>HYPERLINK("http://nsgreg.nga.mil/genc/view?v=211520&amp;end_month=12&amp;end_day=31&amp;end_year=2014","Praha Třináct")</f>
        <v>Praha Třináct</v>
      </c>
      <c r="G1027" s="28" t="str">
        <f>HYPERLINK("http://api.nsgreg.nga.mil/geo-division/GENC/6/ed3/CZ-10D","as:GENC:6:ed3:CZ-10D")</f>
        <v>as:GENC:6:ed3:CZ-10D</v>
      </c>
    </row>
    <row r="1028" spans="1:7" x14ac:dyDescent="0.2">
      <c r="A1028" s="85"/>
      <c r="B1028" s="25" t="s">
        <v>3741</v>
      </c>
      <c r="C1028" s="25" t="s">
        <v>12291</v>
      </c>
      <c r="D1028" s="37" t="s">
        <v>1790</v>
      </c>
      <c r="E1028" s="38" t="b">
        <v>0</v>
      </c>
      <c r="F1028" s="27" t="str">
        <f>HYPERLINK("http://nsgreg.nga.mil/genc/view?v=211523&amp;end_month=12&amp;end_day=31&amp;end_year=2014","Praha-Východ")</f>
        <v>Praha-Východ</v>
      </c>
      <c r="G1028" s="28" t="str">
        <f>HYPERLINK("http://api.nsgreg.nga.mil/geo-division/GENC/6/ed3/CZ-209","as:GENC:6:ed3:CZ-209")</f>
        <v>as:GENC:6:ed3:CZ-209</v>
      </c>
    </row>
    <row r="1029" spans="1:7" x14ac:dyDescent="0.2">
      <c r="A1029" s="85"/>
      <c r="B1029" s="25" t="s">
        <v>3743</v>
      </c>
      <c r="C1029" s="25" t="s">
        <v>12292</v>
      </c>
      <c r="D1029" s="37" t="s">
        <v>1790</v>
      </c>
      <c r="E1029" s="38" t="b">
        <v>0</v>
      </c>
      <c r="F1029" s="27" t="str">
        <f>HYPERLINK("http://nsgreg.nga.mil/genc/view?v=211524&amp;end_month=12&amp;end_day=31&amp;end_year=2014","Praha-Západ")</f>
        <v>Praha-Západ</v>
      </c>
      <c r="G1029" s="28" t="str">
        <f>HYPERLINK("http://api.nsgreg.nga.mil/geo-division/GENC/6/ed3/CZ-20A","as:GENC:6:ed3:CZ-20A")</f>
        <v>as:GENC:6:ed3:CZ-20A</v>
      </c>
    </row>
    <row r="1030" spans="1:7" x14ac:dyDescent="0.2">
      <c r="A1030" s="85"/>
      <c r="B1030" s="25" t="s">
        <v>3751</v>
      </c>
      <c r="C1030" s="25" t="s">
        <v>3752</v>
      </c>
      <c r="D1030" s="37" t="s">
        <v>1790</v>
      </c>
      <c r="E1030" s="38" t="b">
        <v>0</v>
      </c>
      <c r="F1030" s="27" t="str">
        <f>HYPERLINK("http://nsgreg.nga.mil/genc/view?v=118731&amp;gencs=T&amp;end_month=12&amp;end_day=31&amp;end_year=2014","Přerov")</f>
        <v>Přerov</v>
      </c>
      <c r="G1030" s="28" t="str">
        <f>HYPERLINK("http://api.nsgreg.nga.mil/geo-division/GENC/6/ed3/CZ-714","as:GENC:6:ed3:CZ-714")</f>
        <v>as:GENC:6:ed3:CZ-714</v>
      </c>
    </row>
    <row r="1031" spans="1:7" x14ac:dyDescent="0.2">
      <c r="A1031" s="85"/>
      <c r="B1031" s="25" t="s">
        <v>3753</v>
      </c>
      <c r="C1031" s="25" t="s">
        <v>3754</v>
      </c>
      <c r="D1031" s="37" t="s">
        <v>1790</v>
      </c>
      <c r="E1031" s="38" t="b">
        <v>0</v>
      </c>
      <c r="F1031" s="27" t="str">
        <f>HYPERLINK("http://nsgreg.nga.mil/genc/view?v=118677&amp;gencs=T&amp;end_month=12&amp;end_day=31&amp;end_year=2014","Příbram")</f>
        <v>Příbram</v>
      </c>
      <c r="G1031" s="28" t="str">
        <f>HYPERLINK("http://api.nsgreg.nga.mil/geo-division/GENC/6/ed3/CZ-20B","as:GENC:6:ed3:CZ-20B")</f>
        <v>as:GENC:6:ed3:CZ-20B</v>
      </c>
    </row>
    <row r="1032" spans="1:7" x14ac:dyDescent="0.2">
      <c r="A1032" s="85"/>
      <c r="B1032" s="25" t="s">
        <v>3747</v>
      </c>
      <c r="C1032" s="25" t="s">
        <v>12293</v>
      </c>
      <c r="D1032" s="37" t="s">
        <v>1790</v>
      </c>
      <c r="E1032" s="38" t="b">
        <v>0</v>
      </c>
      <c r="F1032" s="27" t="str">
        <f>HYPERLINK("http://nsgreg.nga.mil/genc/view?v=118730&amp;gencs=T&amp;end_month=12&amp;end_day=31&amp;end_year=2014","Prostějov")</f>
        <v>Prostějov</v>
      </c>
      <c r="G1032" s="28" t="str">
        <f>HYPERLINK("http://api.nsgreg.nga.mil/geo-division/GENC/6/ed3/CZ-713","as:GENC:6:ed3:CZ-713")</f>
        <v>as:GENC:6:ed3:CZ-713</v>
      </c>
    </row>
    <row r="1033" spans="1:7" x14ac:dyDescent="0.2">
      <c r="A1033" s="85"/>
      <c r="B1033" s="25" t="s">
        <v>3755</v>
      </c>
      <c r="C1033" s="25" t="s">
        <v>3756</v>
      </c>
      <c r="D1033" s="37" t="s">
        <v>1790</v>
      </c>
      <c r="E1033" s="38" t="b">
        <v>0</v>
      </c>
      <c r="F1033" s="27" t="str">
        <f>HYPERLINK("http://nsgreg.nga.mil/genc/view?v=118678&amp;gencs=T&amp;end_month=12&amp;end_day=31&amp;end_year=2014","Rakovník")</f>
        <v>Rakovník</v>
      </c>
      <c r="G1033" s="28" t="str">
        <f>HYPERLINK("http://api.nsgreg.nga.mil/geo-division/GENC/6/ed3/CZ-20C","as:GENC:6:ed3:CZ-20C")</f>
        <v>as:GENC:6:ed3:CZ-20C</v>
      </c>
    </row>
    <row r="1034" spans="1:7" x14ac:dyDescent="0.2">
      <c r="A1034" s="85"/>
      <c r="B1034" s="25" t="s">
        <v>3757</v>
      </c>
      <c r="C1034" s="25" t="s">
        <v>3758</v>
      </c>
      <c r="D1034" s="37" t="s">
        <v>1790</v>
      </c>
      <c r="E1034" s="38" t="b">
        <v>0</v>
      </c>
      <c r="F1034" s="27" t="str">
        <f>HYPERLINK("http://nsgreg.nga.mil/genc/view?v=118691&amp;gencs=T&amp;end_month=12&amp;end_day=31&amp;end_year=2014","Rokycany")</f>
        <v>Rokycany</v>
      </c>
      <c r="G1034" s="28" t="str">
        <f>HYPERLINK("http://api.nsgreg.nga.mil/geo-division/GENC/6/ed3/CZ-326","as:GENC:6:ed3:CZ-326")</f>
        <v>as:GENC:6:ed3:CZ-326</v>
      </c>
    </row>
    <row r="1035" spans="1:7" x14ac:dyDescent="0.2">
      <c r="A1035" s="85"/>
      <c r="B1035" s="25" t="s">
        <v>3759</v>
      </c>
      <c r="C1035" s="25" t="s">
        <v>3760</v>
      </c>
      <c r="D1035" s="37" t="s">
        <v>1790</v>
      </c>
      <c r="E1035" s="38" t="b">
        <v>0</v>
      </c>
      <c r="F1035" s="27" t="str">
        <f>HYPERLINK("http://nsgreg.nga.mil/genc/view?v=118710&amp;gencs=T&amp;end_month=12&amp;end_day=31&amp;end_year=2014","Rychnov nad Kněžnou")</f>
        <v>Rychnov nad Kněžnou</v>
      </c>
      <c r="G1035" s="28" t="str">
        <f>HYPERLINK("http://api.nsgreg.nga.mil/geo-division/GENC/6/ed3/CZ-524","as:GENC:6:ed3:CZ-524")</f>
        <v>as:GENC:6:ed3:CZ-524</v>
      </c>
    </row>
    <row r="1036" spans="1:7" x14ac:dyDescent="0.2">
      <c r="A1036" s="85"/>
      <c r="B1036" s="25" t="s">
        <v>3761</v>
      </c>
      <c r="C1036" s="25" t="s">
        <v>3762</v>
      </c>
      <c r="D1036" s="37" t="s">
        <v>1790</v>
      </c>
      <c r="E1036" s="38" t="b">
        <v>0</v>
      </c>
      <c r="F1036" s="27" t="str">
        <f>HYPERLINK("http://nsgreg.nga.mil/genc/view?v=118706&amp;gencs=T&amp;end_month=12&amp;end_day=31&amp;end_year=2014","Semily")</f>
        <v>Semily</v>
      </c>
      <c r="G1036" s="28" t="str">
        <f>HYPERLINK("http://api.nsgreg.nga.mil/geo-division/GENC/6/ed3/CZ-514","as:GENC:6:ed3:CZ-514")</f>
        <v>as:GENC:6:ed3:CZ-514</v>
      </c>
    </row>
    <row r="1037" spans="1:7" x14ac:dyDescent="0.2">
      <c r="A1037" s="85"/>
      <c r="B1037" s="25" t="s">
        <v>3763</v>
      </c>
      <c r="C1037" s="25" t="s">
        <v>3764</v>
      </c>
      <c r="D1037" s="37" t="s">
        <v>1790</v>
      </c>
      <c r="E1037" s="38" t="b">
        <v>0</v>
      </c>
      <c r="F1037" s="27" t="str">
        <f>HYPERLINK("http://nsgreg.nga.mil/genc/view?v=118695&amp;gencs=T&amp;end_month=12&amp;end_day=31&amp;end_year=2014","Sokolov")</f>
        <v>Sokolov</v>
      </c>
      <c r="G1037" s="28" t="str">
        <f>HYPERLINK("http://api.nsgreg.nga.mil/geo-division/GENC/6/ed3/CZ-413","as:GENC:6:ed3:CZ-413")</f>
        <v>as:GENC:6:ed3:CZ-413</v>
      </c>
    </row>
    <row r="1038" spans="1:7" x14ac:dyDescent="0.2">
      <c r="A1038" s="85"/>
      <c r="B1038" s="25" t="s">
        <v>3765</v>
      </c>
      <c r="C1038" s="25" t="s">
        <v>3766</v>
      </c>
      <c r="D1038" s="37" t="s">
        <v>1790</v>
      </c>
      <c r="E1038" s="38" t="b">
        <v>0</v>
      </c>
      <c r="F1038" s="27" t="str">
        <f>HYPERLINK("http://nsgreg.nga.mil/genc/view?v=118684&amp;gencs=T&amp;end_month=12&amp;end_day=31&amp;end_year=2014","Strakonice")</f>
        <v>Strakonice</v>
      </c>
      <c r="G1038" s="28" t="str">
        <f>HYPERLINK("http://api.nsgreg.nga.mil/geo-division/GENC/6/ed3/CZ-316","as:GENC:6:ed3:CZ-316")</f>
        <v>as:GENC:6:ed3:CZ-316</v>
      </c>
    </row>
    <row r="1039" spans="1:7" x14ac:dyDescent="0.2">
      <c r="A1039" s="85"/>
      <c r="B1039" s="25" t="s">
        <v>3767</v>
      </c>
      <c r="C1039" s="25" t="s">
        <v>12294</v>
      </c>
      <c r="D1039" s="25" t="s">
        <v>2087</v>
      </c>
      <c r="E1039" s="26" t="b">
        <v>1</v>
      </c>
      <c r="F1039" s="27" t="str">
        <f>HYPERLINK("http://nsgreg.nga.mil/genc/view?v=211541&amp;end_month=12&amp;end_day=31&amp;end_year=2014","Středočeský Kraj")</f>
        <v>Středočeský Kraj</v>
      </c>
      <c r="G1039" s="28" t="str">
        <f>HYPERLINK("http://api.nsgreg.nga.mil/geo-division/GENC/6/ed3/CZ-ST","as:GENC:6:ed3:CZ-ST")</f>
        <v>as:GENC:6:ed3:CZ-ST</v>
      </c>
    </row>
    <row r="1040" spans="1:7" x14ac:dyDescent="0.2">
      <c r="A1040" s="85"/>
      <c r="B1040" s="25" t="s">
        <v>3807</v>
      </c>
      <c r="C1040" s="25" t="s">
        <v>3808</v>
      </c>
      <c r="D1040" s="37" t="s">
        <v>1790</v>
      </c>
      <c r="E1040" s="38" t="b">
        <v>0</v>
      </c>
      <c r="F1040" s="27" t="str">
        <f>HYPERLINK("http://nsgreg.nga.mil/genc/view?v=118732&amp;gencs=T&amp;end_month=12&amp;end_day=31&amp;end_year=2014","Šumperk")</f>
        <v>Šumperk</v>
      </c>
      <c r="G1040" s="28" t="str">
        <f>HYPERLINK("http://api.nsgreg.nga.mil/geo-division/GENC/6/ed3/CZ-715","as:GENC:6:ed3:CZ-715")</f>
        <v>as:GENC:6:ed3:CZ-715</v>
      </c>
    </row>
    <row r="1041" spans="1:7" x14ac:dyDescent="0.2">
      <c r="A1041" s="85"/>
      <c r="B1041" s="25" t="s">
        <v>3769</v>
      </c>
      <c r="C1041" s="25" t="s">
        <v>3770</v>
      </c>
      <c r="D1041" s="37" t="s">
        <v>1790</v>
      </c>
      <c r="E1041" s="38" t="b">
        <v>0</v>
      </c>
      <c r="F1041" s="27" t="str">
        <f>HYPERLINK("http://nsgreg.nga.mil/genc/view?v=118714&amp;gencs=T&amp;end_month=12&amp;end_day=31&amp;end_year=2014","Svitavy")</f>
        <v>Svitavy</v>
      </c>
      <c r="G1041" s="28" t="str">
        <f>HYPERLINK("http://api.nsgreg.nga.mil/geo-division/GENC/6/ed3/CZ-533","as:GENC:6:ed3:CZ-533")</f>
        <v>as:GENC:6:ed3:CZ-533</v>
      </c>
    </row>
    <row r="1042" spans="1:7" x14ac:dyDescent="0.2">
      <c r="A1042" s="85"/>
      <c r="B1042" s="25" t="s">
        <v>3777</v>
      </c>
      <c r="C1042" s="25" t="s">
        <v>3778</v>
      </c>
      <c r="D1042" s="37" t="s">
        <v>1790</v>
      </c>
      <c r="E1042" s="38" t="b">
        <v>0</v>
      </c>
      <c r="F1042" s="27" t="str">
        <f>HYPERLINK("http://nsgreg.nga.mil/genc/view?v=118685&amp;gencs=T&amp;end_month=12&amp;end_day=31&amp;end_year=2014","Tábor")</f>
        <v>Tábor</v>
      </c>
      <c r="G1042" s="28" t="str">
        <f>HYPERLINK("http://api.nsgreg.nga.mil/geo-division/GENC/6/ed3/CZ-317","as:GENC:6:ed3:CZ-317")</f>
        <v>as:GENC:6:ed3:CZ-317</v>
      </c>
    </row>
    <row r="1043" spans="1:7" x14ac:dyDescent="0.2">
      <c r="A1043" s="85"/>
      <c r="B1043" s="25" t="s">
        <v>3771</v>
      </c>
      <c r="C1043" s="25" t="s">
        <v>3772</v>
      </c>
      <c r="D1043" s="37" t="s">
        <v>1790</v>
      </c>
      <c r="E1043" s="38" t="b">
        <v>0</v>
      </c>
      <c r="F1043" s="27" t="str">
        <f>HYPERLINK("http://nsgreg.nga.mil/genc/view?v=118692&amp;gencs=T&amp;end_month=12&amp;end_day=31&amp;end_year=2014","Tachov")</f>
        <v>Tachov</v>
      </c>
      <c r="G1043" s="28" t="str">
        <f>HYPERLINK("http://api.nsgreg.nga.mil/geo-division/GENC/6/ed3/CZ-327","as:GENC:6:ed3:CZ-327")</f>
        <v>as:GENC:6:ed3:CZ-327</v>
      </c>
    </row>
    <row r="1044" spans="1:7" x14ac:dyDescent="0.2">
      <c r="A1044" s="85"/>
      <c r="B1044" s="25" t="s">
        <v>3773</v>
      </c>
      <c r="C1044" s="25" t="s">
        <v>3774</v>
      </c>
      <c r="D1044" s="37" t="s">
        <v>1790</v>
      </c>
      <c r="E1044" s="38" t="b">
        <v>0</v>
      </c>
      <c r="F1044" s="27" t="str">
        <f>HYPERLINK("http://nsgreg.nga.mil/genc/view?v=118701&amp;gencs=T&amp;end_month=12&amp;end_day=31&amp;end_year=2014","Teplice")</f>
        <v>Teplice</v>
      </c>
      <c r="G1044" s="28" t="str">
        <f>HYPERLINK("http://api.nsgreg.nga.mil/geo-division/GENC/6/ed3/CZ-426","as:GENC:6:ed3:CZ-426")</f>
        <v>as:GENC:6:ed3:CZ-426</v>
      </c>
    </row>
    <row r="1045" spans="1:7" x14ac:dyDescent="0.2">
      <c r="A1045" s="85"/>
      <c r="B1045" s="25" t="s">
        <v>3779</v>
      </c>
      <c r="C1045" s="25" t="s">
        <v>3780</v>
      </c>
      <c r="D1045" s="37" t="s">
        <v>1790</v>
      </c>
      <c r="E1045" s="38" t="b">
        <v>0</v>
      </c>
      <c r="F1045" s="27" t="str">
        <f>HYPERLINK("http://nsgreg.nga.mil/genc/view?v=118719&amp;gencs=T&amp;end_month=12&amp;end_day=31&amp;end_year=2014","Třebíč")</f>
        <v>Třebíč</v>
      </c>
      <c r="G1045" s="28" t="str">
        <f>HYPERLINK("http://api.nsgreg.nga.mil/geo-division/GENC/6/ed3/CZ-614","as:GENC:6:ed3:CZ-614")</f>
        <v>as:GENC:6:ed3:CZ-614</v>
      </c>
    </row>
    <row r="1046" spans="1:7" x14ac:dyDescent="0.2">
      <c r="A1046" s="85"/>
      <c r="B1046" s="25" t="s">
        <v>3775</v>
      </c>
      <c r="C1046" s="25" t="s">
        <v>3776</v>
      </c>
      <c r="D1046" s="37" t="s">
        <v>1790</v>
      </c>
      <c r="E1046" s="38" t="b">
        <v>0</v>
      </c>
      <c r="F1046" s="27" t="str">
        <f>HYPERLINK("http://nsgreg.nga.mil/genc/view?v=118711&amp;gencs=T&amp;end_month=12&amp;end_day=31&amp;end_year=2014","Trutnov")</f>
        <v>Trutnov</v>
      </c>
      <c r="G1046" s="28" t="str">
        <f>HYPERLINK("http://api.nsgreg.nga.mil/geo-division/GENC/6/ed3/CZ-525","as:GENC:6:ed3:CZ-525")</f>
        <v>as:GENC:6:ed3:CZ-525</v>
      </c>
    </row>
    <row r="1047" spans="1:7" x14ac:dyDescent="0.2">
      <c r="A1047" s="85"/>
      <c r="B1047" s="25" t="s">
        <v>3781</v>
      </c>
      <c r="C1047" s="25" t="s">
        <v>12295</v>
      </c>
      <c r="D1047" s="37" t="s">
        <v>1790</v>
      </c>
      <c r="E1047" s="38" t="b">
        <v>0</v>
      </c>
      <c r="F1047" s="27" t="str">
        <f>HYPERLINK("http://nsgreg.nga.mil/genc/view?v=118734&amp;gencs=T&amp;end_month=12&amp;end_day=31&amp;end_year=2014","Uherské Hradiště")</f>
        <v>Uherské Hradiště</v>
      </c>
      <c r="G1047" s="28" t="str">
        <f>HYPERLINK("http://api.nsgreg.nga.mil/geo-division/GENC/6/ed3/CZ-722","as:GENC:6:ed3:CZ-722")</f>
        <v>as:GENC:6:ed3:CZ-722</v>
      </c>
    </row>
    <row r="1048" spans="1:7" x14ac:dyDescent="0.2">
      <c r="A1048" s="85"/>
      <c r="B1048" s="25" t="s">
        <v>3795</v>
      </c>
      <c r="C1048" s="25" t="s">
        <v>12296</v>
      </c>
      <c r="D1048" s="25" t="s">
        <v>2087</v>
      </c>
      <c r="E1048" s="26" t="b">
        <v>1</v>
      </c>
      <c r="F1048" s="27" t="str">
        <f>HYPERLINK("http://nsgreg.nga.mil/genc/view?v=211542&amp;end_month=12&amp;end_day=31&amp;end_year=2014","Ústecký Kraj")</f>
        <v>Ústecký Kraj</v>
      </c>
      <c r="G1048" s="28" t="str">
        <f>HYPERLINK("http://api.nsgreg.nga.mil/geo-division/GENC/6/ed3/CZ-US","as:GENC:6:ed3:CZ-US")</f>
        <v>as:GENC:6:ed3:CZ-US</v>
      </c>
    </row>
    <row r="1049" spans="1:7" x14ac:dyDescent="0.2">
      <c r="A1049" s="85"/>
      <c r="B1049" s="25" t="s">
        <v>3797</v>
      </c>
      <c r="C1049" s="25" t="s">
        <v>3798</v>
      </c>
      <c r="D1049" s="37" t="s">
        <v>1790</v>
      </c>
      <c r="E1049" s="38" t="b">
        <v>0</v>
      </c>
      <c r="F1049" s="27" t="str">
        <f>HYPERLINK("http://nsgreg.nga.mil/genc/view?v=118702&amp;gencs=T&amp;end_month=12&amp;end_day=31&amp;end_year=2014","Ústí nad Labem")</f>
        <v>Ústí nad Labem</v>
      </c>
      <c r="G1049" s="28" t="str">
        <f>HYPERLINK("http://api.nsgreg.nga.mil/geo-division/GENC/6/ed3/CZ-427","as:GENC:6:ed3:CZ-427")</f>
        <v>as:GENC:6:ed3:CZ-427</v>
      </c>
    </row>
    <row r="1050" spans="1:7" x14ac:dyDescent="0.2">
      <c r="A1050" s="85"/>
      <c r="B1050" s="25" t="s">
        <v>3799</v>
      </c>
      <c r="C1050" s="25" t="s">
        <v>3800</v>
      </c>
      <c r="D1050" s="37" t="s">
        <v>1790</v>
      </c>
      <c r="E1050" s="38" t="b">
        <v>0</v>
      </c>
      <c r="F1050" s="27" t="str">
        <f>HYPERLINK("http://nsgreg.nga.mil/genc/view?v=118715&amp;gencs=T&amp;end_month=12&amp;end_day=31&amp;end_year=2014","Ústí nad Orlicí")</f>
        <v>Ústí nad Orlicí</v>
      </c>
      <c r="G1050" s="28" t="str">
        <f>HYPERLINK("http://api.nsgreg.nga.mil/geo-division/GENC/6/ed3/CZ-534","as:GENC:6:ed3:CZ-534")</f>
        <v>as:GENC:6:ed3:CZ-534</v>
      </c>
    </row>
    <row r="1051" spans="1:7" x14ac:dyDescent="0.2">
      <c r="A1051" s="85"/>
      <c r="B1051" s="25" t="s">
        <v>3783</v>
      </c>
      <c r="C1051" s="25" t="s">
        <v>3784</v>
      </c>
      <c r="D1051" s="37" t="s">
        <v>1790</v>
      </c>
      <c r="E1051" s="38" t="b">
        <v>0</v>
      </c>
      <c r="F1051" s="27" t="str">
        <f>HYPERLINK("http://nsgreg.nga.mil/genc/view?v=118735&amp;gencs=T&amp;end_month=12&amp;end_day=31&amp;end_year=2014","Vsetín")</f>
        <v>Vsetín</v>
      </c>
      <c r="G1051" s="28" t="str">
        <f>HYPERLINK("http://api.nsgreg.nga.mil/geo-division/GENC/6/ed3/CZ-723","as:GENC:6:ed3:CZ-723")</f>
        <v>as:GENC:6:ed3:CZ-723</v>
      </c>
    </row>
    <row r="1052" spans="1:7" x14ac:dyDescent="0.2">
      <c r="A1052" s="85"/>
      <c r="B1052" s="25" t="s">
        <v>3787</v>
      </c>
      <c r="C1052" s="25" t="s">
        <v>3788</v>
      </c>
      <c r="D1052" s="37" t="s">
        <v>1790</v>
      </c>
      <c r="E1052" s="38" t="b">
        <v>0</v>
      </c>
      <c r="F1052" s="27" t="str">
        <f>HYPERLINK("http://nsgreg.nga.mil/genc/view?v=118726&amp;gencs=T&amp;end_month=12&amp;end_day=31&amp;end_year=2014","Vyškov")</f>
        <v>Vyškov</v>
      </c>
      <c r="G1052" s="28" t="str">
        <f>HYPERLINK("http://api.nsgreg.nga.mil/geo-division/GENC/6/ed3/CZ-626","as:GENC:6:ed3:CZ-626")</f>
        <v>as:GENC:6:ed3:CZ-626</v>
      </c>
    </row>
    <row r="1053" spans="1:7" x14ac:dyDescent="0.2">
      <c r="A1053" s="85"/>
      <c r="B1053" s="25" t="s">
        <v>3785</v>
      </c>
      <c r="C1053" s="25" t="s">
        <v>3786</v>
      </c>
      <c r="D1053" s="25" t="s">
        <v>2087</v>
      </c>
      <c r="E1053" s="26" t="b">
        <v>1</v>
      </c>
      <c r="F1053" s="27" t="str">
        <f>HYPERLINK("http://nsgreg.nga.mil/genc/view?v=118755&amp;gencs=T&amp;end_month=12&amp;end_day=31&amp;end_year=2014","Vysočina")</f>
        <v>Vysočina</v>
      </c>
      <c r="G1053" s="28" t="str">
        <f>HYPERLINK("http://api.nsgreg.nga.mil/geo-division/GENC/6/ed3/CZ-VY","as:GENC:6:ed3:CZ-VY")</f>
        <v>as:GENC:6:ed3:CZ-VY</v>
      </c>
    </row>
    <row r="1054" spans="1:7" x14ac:dyDescent="0.2">
      <c r="A1054" s="85"/>
      <c r="B1054" s="25" t="s">
        <v>3809</v>
      </c>
      <c r="C1054" s="25" t="s">
        <v>12297</v>
      </c>
      <c r="D1054" s="37" t="s">
        <v>1790</v>
      </c>
      <c r="E1054" s="38" t="b">
        <v>0</v>
      </c>
      <c r="F1054" s="27" t="str">
        <f>HYPERLINK("http://nsgreg.nga.mil/genc/view?v=118720&amp;gencs=T&amp;end_month=12&amp;end_day=31&amp;end_year=2014","Žd’ár nad Sázavou")</f>
        <v>Žd’ár nad Sázavou</v>
      </c>
      <c r="G1054" s="28" t="str">
        <f>HYPERLINK("http://api.nsgreg.nga.mil/geo-division/GENC/6/ed3/CZ-615","as:GENC:6:ed3:CZ-615")</f>
        <v>as:GENC:6:ed3:CZ-615</v>
      </c>
    </row>
    <row r="1055" spans="1:7" x14ac:dyDescent="0.2">
      <c r="A1055" s="85"/>
      <c r="B1055" s="25" t="s">
        <v>3789</v>
      </c>
      <c r="C1055" s="25" t="s">
        <v>3790</v>
      </c>
      <c r="D1055" s="37" t="s">
        <v>1790</v>
      </c>
      <c r="E1055" s="38" t="b">
        <v>0</v>
      </c>
      <c r="F1055" s="27" t="str">
        <f>HYPERLINK("http://nsgreg.nga.mil/genc/view?v=118736&amp;gencs=T&amp;end_month=12&amp;end_day=31&amp;end_year=2014","Zlín")</f>
        <v>Zlín</v>
      </c>
      <c r="G1055" s="28" t="str">
        <f>HYPERLINK("http://api.nsgreg.nga.mil/geo-division/GENC/6/ed3/CZ-724","as:GENC:6:ed3:CZ-724")</f>
        <v>as:GENC:6:ed3:CZ-724</v>
      </c>
    </row>
    <row r="1056" spans="1:7" x14ac:dyDescent="0.2">
      <c r="A1056" s="85"/>
      <c r="B1056" s="25" t="s">
        <v>3791</v>
      </c>
      <c r="C1056" s="25" t="s">
        <v>12298</v>
      </c>
      <c r="D1056" s="25" t="s">
        <v>2087</v>
      </c>
      <c r="E1056" s="26" t="b">
        <v>1</v>
      </c>
      <c r="F1056" s="27" t="str">
        <f>HYPERLINK("http://nsgreg.nga.mil/genc/view?v=211543&amp;end_month=12&amp;end_day=31&amp;end_year=2014","Zlínský Kraj")</f>
        <v>Zlínský Kraj</v>
      </c>
      <c r="G1056" s="28" t="str">
        <f>HYPERLINK("http://api.nsgreg.nga.mil/geo-division/GENC/6/ed3/CZ-ZL","as:GENC:6:ed3:CZ-ZL")</f>
        <v>as:GENC:6:ed3:CZ-ZL</v>
      </c>
    </row>
    <row r="1057" spans="1:7" x14ac:dyDescent="0.2">
      <c r="A1057" s="86"/>
      <c r="B1057" s="29" t="s">
        <v>3793</v>
      </c>
      <c r="C1057" s="29" t="s">
        <v>3794</v>
      </c>
      <c r="D1057" s="39" t="s">
        <v>1790</v>
      </c>
      <c r="E1057" s="40" t="b">
        <v>0</v>
      </c>
      <c r="F1057" s="31" t="str">
        <f>HYPERLINK("http://nsgreg.nga.mil/genc/view?v=118727&amp;gencs=T&amp;end_month=12&amp;end_day=31&amp;end_year=2014","Znojmo")</f>
        <v>Znojmo</v>
      </c>
      <c r="G1057" s="32" t="str">
        <f>HYPERLINK("http://api.nsgreg.nga.mil/geo-division/GENC/6/ed3/CZ-627","as:GENC:6:ed3:CZ-627")</f>
        <v>as:GENC:6:ed3:CZ-627</v>
      </c>
    </row>
    <row r="1058" spans="1:7" x14ac:dyDescent="0.2">
      <c r="A1058" s="84" t="str">
        <f>HYPERLINK("[#]Codes_for_GE_Names!A70:I70","DENMARK")</f>
        <v>DENMARK</v>
      </c>
      <c r="B1058" s="33" t="s">
        <v>3849</v>
      </c>
      <c r="C1058" s="33" t="s">
        <v>12299</v>
      </c>
      <c r="D1058" s="33" t="s">
        <v>2087</v>
      </c>
      <c r="E1058" s="34" t="b">
        <v>1</v>
      </c>
      <c r="F1058" s="35" t="str">
        <f>HYPERLINK("http://nsgreg.nga.mil/genc/view?v=211569&amp;end_month=12&amp;end_day=31&amp;end_year=2014","Hovedstaden")</f>
        <v>Hovedstaden</v>
      </c>
      <c r="G1058" s="36" t="str">
        <f>HYPERLINK("http://api.nsgreg.nga.mil/geo-division/GENC/6/ed3/DK-84","as:GENC:6:ed3:DK-84")</f>
        <v>as:GENC:6:ed3:DK-84</v>
      </c>
    </row>
    <row r="1059" spans="1:7" x14ac:dyDescent="0.2">
      <c r="A1059" s="85"/>
      <c r="B1059" s="25" t="s">
        <v>3851</v>
      </c>
      <c r="C1059" s="25" t="s">
        <v>12300</v>
      </c>
      <c r="D1059" s="25" t="s">
        <v>2087</v>
      </c>
      <c r="E1059" s="26" t="b">
        <v>1</v>
      </c>
      <c r="F1059" s="27" t="str">
        <f>HYPERLINK("http://nsgreg.nga.mil/genc/view?v=211567&amp;end_month=12&amp;end_day=31&amp;end_year=2014","Midtjylland")</f>
        <v>Midtjylland</v>
      </c>
      <c r="G1059" s="28" t="str">
        <f>HYPERLINK("http://api.nsgreg.nga.mil/geo-division/GENC/6/ed3/DK-82","as:GENC:6:ed3:DK-82")</f>
        <v>as:GENC:6:ed3:DK-82</v>
      </c>
    </row>
    <row r="1060" spans="1:7" x14ac:dyDescent="0.2">
      <c r="A1060" s="85"/>
      <c r="B1060" s="25" t="s">
        <v>3853</v>
      </c>
      <c r="C1060" s="25" t="s">
        <v>12301</v>
      </c>
      <c r="D1060" s="25" t="s">
        <v>2087</v>
      </c>
      <c r="E1060" s="26" t="b">
        <v>1</v>
      </c>
      <c r="F1060" s="27" t="str">
        <f>HYPERLINK("http://nsgreg.nga.mil/genc/view?v=211566&amp;end_month=12&amp;end_day=31&amp;end_year=2014","Nordjylland")</f>
        <v>Nordjylland</v>
      </c>
      <c r="G1060" s="28" t="str">
        <f>HYPERLINK("http://api.nsgreg.nga.mil/geo-division/GENC/6/ed3/DK-81","as:GENC:6:ed3:DK-81")</f>
        <v>as:GENC:6:ed3:DK-81</v>
      </c>
    </row>
    <row r="1061" spans="1:7" x14ac:dyDescent="0.2">
      <c r="A1061" s="85"/>
      <c r="B1061" s="25" t="s">
        <v>3855</v>
      </c>
      <c r="C1061" s="25" t="s">
        <v>12302</v>
      </c>
      <c r="D1061" s="25" t="s">
        <v>2087</v>
      </c>
      <c r="E1061" s="26" t="b">
        <v>1</v>
      </c>
      <c r="F1061" s="27" t="str">
        <f>HYPERLINK("http://nsgreg.nga.mil/genc/view?v=211570&amp;end_month=12&amp;end_day=31&amp;end_year=2014","Sjælland")</f>
        <v>Sjælland</v>
      </c>
      <c r="G1061" s="28" t="str">
        <f>HYPERLINK("http://api.nsgreg.nga.mil/geo-division/GENC/6/ed3/DK-85","as:GENC:6:ed3:DK-85")</f>
        <v>as:GENC:6:ed3:DK-85</v>
      </c>
    </row>
    <row r="1062" spans="1:7" x14ac:dyDescent="0.2">
      <c r="A1062" s="86"/>
      <c r="B1062" s="29" t="s">
        <v>3857</v>
      </c>
      <c r="C1062" s="29" t="s">
        <v>12303</v>
      </c>
      <c r="D1062" s="29" t="s">
        <v>2087</v>
      </c>
      <c r="E1062" s="30" t="b">
        <v>1</v>
      </c>
      <c r="F1062" s="31" t="str">
        <f>HYPERLINK("http://nsgreg.nga.mil/genc/view?v=211568&amp;end_month=12&amp;end_day=31&amp;end_year=2014","Syddanmark")</f>
        <v>Syddanmark</v>
      </c>
      <c r="G1062" s="32" t="str">
        <f>HYPERLINK("http://api.nsgreg.nga.mil/geo-division/GENC/6/ed3/DK-83","as:GENC:6:ed3:DK-83")</f>
        <v>as:GENC:6:ed3:DK-83</v>
      </c>
    </row>
    <row r="1063" spans="1:7" x14ac:dyDescent="0.2">
      <c r="A1063" s="84" t="str">
        <f>HYPERLINK("[#]Codes_for_GE_Names!A73:I73","DJIBOUTI")</f>
        <v>DJIBOUTI</v>
      </c>
      <c r="B1063" s="33" t="s">
        <v>3859</v>
      </c>
      <c r="C1063" s="33" t="s">
        <v>3863</v>
      </c>
      <c r="D1063" s="33" t="s">
        <v>2087</v>
      </c>
      <c r="E1063" s="34" t="b">
        <v>1</v>
      </c>
      <c r="F1063" s="35" t="str">
        <f>HYPERLINK("http://nsgreg.nga.mil/genc/view?v=211561&amp;end_month=12&amp;end_day=31&amp;end_year=2014","Ali Sabieh")</f>
        <v>Ali Sabieh</v>
      </c>
      <c r="G1063" s="36" t="str">
        <f>HYPERLINK("http://api.nsgreg.nga.mil/geo-division/GENC/6/ed3/DJ-AS","as:GENC:6:ed3:DJ-AS")</f>
        <v>as:GENC:6:ed3:DJ-AS</v>
      </c>
    </row>
    <row r="1064" spans="1:7" x14ac:dyDescent="0.2">
      <c r="A1064" s="85"/>
      <c r="B1064" s="25" t="s">
        <v>3861</v>
      </c>
      <c r="C1064" s="25" t="s">
        <v>3864</v>
      </c>
      <c r="D1064" s="25" t="s">
        <v>2087</v>
      </c>
      <c r="E1064" s="26" t="b">
        <v>1</v>
      </c>
      <c r="F1064" s="27" t="str">
        <f>HYPERLINK("http://nsgreg.nga.mil/genc/view?v=211560&amp;end_month=12&amp;end_day=31&amp;end_year=2014","Arta")</f>
        <v>Arta</v>
      </c>
      <c r="G1064" s="28" t="str">
        <f>HYPERLINK("http://api.nsgreg.nga.mil/geo-division/GENC/6/ed3/DJ-AR","as:GENC:6:ed3:DJ-AR")</f>
        <v>as:GENC:6:ed3:DJ-AR</v>
      </c>
    </row>
    <row r="1065" spans="1:7" x14ac:dyDescent="0.2">
      <c r="A1065" s="85"/>
      <c r="B1065" s="25" t="s">
        <v>3865</v>
      </c>
      <c r="C1065" s="25" t="s">
        <v>3866</v>
      </c>
      <c r="D1065" s="25" t="s">
        <v>2087</v>
      </c>
      <c r="E1065" s="26" t="b">
        <v>1</v>
      </c>
      <c r="F1065" s="27" t="str">
        <f>HYPERLINK("http://nsgreg.nga.mil/genc/view?v=211562&amp;end_month=12&amp;end_day=31&amp;end_year=2014","Dikhil")</f>
        <v>Dikhil</v>
      </c>
      <c r="G1065" s="28" t="str">
        <f>HYPERLINK("http://api.nsgreg.nga.mil/geo-division/GENC/6/ed3/DJ-DI","as:GENC:6:ed3:DJ-DI")</f>
        <v>as:GENC:6:ed3:DJ-DI</v>
      </c>
    </row>
    <row r="1066" spans="1:7" x14ac:dyDescent="0.2">
      <c r="A1066" s="85"/>
      <c r="B1066" s="25" t="s">
        <v>3868</v>
      </c>
      <c r="C1066" s="25" t="s">
        <v>1510</v>
      </c>
      <c r="D1066" s="25" t="s">
        <v>2046</v>
      </c>
      <c r="E1066" s="26" t="b">
        <v>1</v>
      </c>
      <c r="F1066" s="27" t="str">
        <f>HYPERLINK("http://nsgreg.nga.mil/genc/view?v=211563&amp;end_month=12&amp;end_day=31&amp;end_year=2014","Djibouti")</f>
        <v>Djibouti</v>
      </c>
      <c r="G1066" s="28" t="str">
        <f>HYPERLINK("http://api.nsgreg.nga.mil/geo-division/GENC/6/ed3/DJ-DJ","as:GENC:6:ed3:DJ-DJ")</f>
        <v>as:GENC:6:ed3:DJ-DJ</v>
      </c>
    </row>
    <row r="1067" spans="1:7" x14ac:dyDescent="0.2">
      <c r="A1067" s="85"/>
      <c r="B1067" s="25" t="s">
        <v>3870</v>
      </c>
      <c r="C1067" s="25" t="s">
        <v>3871</v>
      </c>
      <c r="D1067" s="25" t="s">
        <v>2087</v>
      </c>
      <c r="E1067" s="26" t="b">
        <v>1</v>
      </c>
      <c r="F1067" s="27" t="str">
        <f>HYPERLINK("http://nsgreg.nga.mil/genc/view?v=211564&amp;end_month=12&amp;end_day=31&amp;end_year=2014","Obock")</f>
        <v>Obock</v>
      </c>
      <c r="G1067" s="28" t="str">
        <f>HYPERLINK("http://api.nsgreg.nga.mil/geo-division/GENC/6/ed3/DJ-OB","as:GENC:6:ed3:DJ-OB")</f>
        <v>as:GENC:6:ed3:DJ-OB</v>
      </c>
    </row>
    <row r="1068" spans="1:7" x14ac:dyDescent="0.2">
      <c r="A1068" s="86"/>
      <c r="B1068" s="29" t="s">
        <v>3872</v>
      </c>
      <c r="C1068" s="29" t="s">
        <v>3873</v>
      </c>
      <c r="D1068" s="29" t="s">
        <v>2087</v>
      </c>
      <c r="E1068" s="30" t="b">
        <v>1</v>
      </c>
      <c r="F1068" s="31" t="str">
        <f>HYPERLINK("http://nsgreg.nga.mil/genc/view?v=211565&amp;end_month=12&amp;end_day=31&amp;end_year=2014","Tadjourah")</f>
        <v>Tadjourah</v>
      </c>
      <c r="G1068" s="32" t="str">
        <f>HYPERLINK("http://api.nsgreg.nga.mil/geo-division/GENC/6/ed3/DJ-TA","as:GENC:6:ed3:DJ-TA")</f>
        <v>as:GENC:6:ed3:DJ-TA</v>
      </c>
    </row>
    <row r="1069" spans="1:7" x14ac:dyDescent="0.2">
      <c r="A1069" s="84" t="str">
        <f>HYPERLINK("[#]Codes_for_GE_Names!A74:I74","DOMINICA")</f>
        <v>DOMINICA</v>
      </c>
      <c r="B1069" s="33" t="s">
        <v>3876</v>
      </c>
      <c r="C1069" s="33" t="s">
        <v>2513</v>
      </c>
      <c r="D1069" s="33" t="s">
        <v>1970</v>
      </c>
      <c r="E1069" s="34" t="b">
        <v>1</v>
      </c>
      <c r="F1069" s="35" t="str">
        <f>HYPERLINK("http://nsgreg.nga.mil/genc/view?v=118784&amp;gencs=T&amp;end_month=12&amp;end_day=31&amp;end_year=2014","Saint Andrew")</f>
        <v>Saint Andrew</v>
      </c>
      <c r="G1069" s="36" t="str">
        <f>HYPERLINK("http://api.nsgreg.nga.mil/geo-division/GENC/6/ed3/DM-02","as:GENC:6:ed3:DM-02")</f>
        <v>as:GENC:6:ed3:DM-02</v>
      </c>
    </row>
    <row r="1070" spans="1:7" x14ac:dyDescent="0.2">
      <c r="A1070" s="85"/>
      <c r="B1070" s="25" t="s">
        <v>3877</v>
      </c>
      <c r="C1070" s="25" t="s">
        <v>3878</v>
      </c>
      <c r="D1070" s="25" t="s">
        <v>1970</v>
      </c>
      <c r="E1070" s="26" t="b">
        <v>1</v>
      </c>
      <c r="F1070" s="27" t="str">
        <f>HYPERLINK("http://nsgreg.nga.mil/genc/view?v=118785&amp;gencs=T&amp;end_month=12&amp;end_day=31&amp;end_year=2014","Saint David")</f>
        <v>Saint David</v>
      </c>
      <c r="G1070" s="28" t="str">
        <f>HYPERLINK("http://api.nsgreg.nga.mil/geo-division/GENC/6/ed3/DM-03","as:GENC:6:ed3:DM-03")</f>
        <v>as:GENC:6:ed3:DM-03</v>
      </c>
    </row>
    <row r="1071" spans="1:7" x14ac:dyDescent="0.2">
      <c r="A1071" s="85"/>
      <c r="B1071" s="25" t="s">
        <v>3879</v>
      </c>
      <c r="C1071" s="25" t="s">
        <v>2025</v>
      </c>
      <c r="D1071" s="25" t="s">
        <v>1970</v>
      </c>
      <c r="E1071" s="26" t="b">
        <v>1</v>
      </c>
      <c r="F1071" s="27" t="str">
        <f>HYPERLINK("http://nsgreg.nga.mil/genc/view?v=118786&amp;gencs=T&amp;end_month=12&amp;end_day=31&amp;end_year=2014","Saint George")</f>
        <v>Saint George</v>
      </c>
      <c r="G1071" s="28" t="str">
        <f>HYPERLINK("http://api.nsgreg.nga.mil/geo-division/GENC/6/ed3/DM-04","as:GENC:6:ed3:DM-04")</f>
        <v>as:GENC:6:ed3:DM-04</v>
      </c>
    </row>
    <row r="1072" spans="1:7" x14ac:dyDescent="0.2">
      <c r="A1072" s="85"/>
      <c r="B1072" s="25" t="s">
        <v>3880</v>
      </c>
      <c r="C1072" s="25" t="s">
        <v>2518</v>
      </c>
      <c r="D1072" s="25" t="s">
        <v>1970</v>
      </c>
      <c r="E1072" s="26" t="b">
        <v>1</v>
      </c>
      <c r="F1072" s="27" t="str">
        <f>HYPERLINK("http://nsgreg.nga.mil/genc/view?v=118787&amp;gencs=T&amp;end_month=12&amp;end_day=31&amp;end_year=2014","Saint John")</f>
        <v>Saint John</v>
      </c>
      <c r="G1072" s="28" t="str">
        <f>HYPERLINK("http://api.nsgreg.nga.mil/geo-division/GENC/6/ed3/DM-05","as:GENC:6:ed3:DM-05")</f>
        <v>as:GENC:6:ed3:DM-05</v>
      </c>
    </row>
    <row r="1073" spans="1:7" x14ac:dyDescent="0.2">
      <c r="A1073" s="85"/>
      <c r="B1073" s="25" t="s">
        <v>3881</v>
      </c>
      <c r="C1073" s="25" t="s">
        <v>2520</v>
      </c>
      <c r="D1073" s="25" t="s">
        <v>1970</v>
      </c>
      <c r="E1073" s="26" t="b">
        <v>1</v>
      </c>
      <c r="F1073" s="27" t="str">
        <f>HYPERLINK("http://nsgreg.nga.mil/genc/view?v=118788&amp;gencs=T&amp;end_month=12&amp;end_day=31&amp;end_year=2014","Saint Joseph")</f>
        <v>Saint Joseph</v>
      </c>
      <c r="G1073" s="28" t="str">
        <f>HYPERLINK("http://api.nsgreg.nga.mil/geo-division/GENC/6/ed3/DM-06","as:GENC:6:ed3:DM-06")</f>
        <v>as:GENC:6:ed3:DM-06</v>
      </c>
    </row>
    <row r="1074" spans="1:7" x14ac:dyDescent="0.2">
      <c r="A1074" s="85"/>
      <c r="B1074" s="25" t="s">
        <v>3882</v>
      </c>
      <c r="C1074" s="25" t="s">
        <v>3883</v>
      </c>
      <c r="D1074" s="25" t="s">
        <v>1970</v>
      </c>
      <c r="E1074" s="26" t="b">
        <v>1</v>
      </c>
      <c r="F1074" s="27" t="str">
        <f>HYPERLINK("http://nsgreg.nga.mil/genc/view?v=118789&amp;gencs=T&amp;end_month=12&amp;end_day=31&amp;end_year=2014","Saint Luke")</f>
        <v>Saint Luke</v>
      </c>
      <c r="G1074" s="28" t="str">
        <f>HYPERLINK("http://api.nsgreg.nga.mil/geo-division/GENC/6/ed3/DM-07","as:GENC:6:ed3:DM-07")</f>
        <v>as:GENC:6:ed3:DM-07</v>
      </c>
    </row>
    <row r="1075" spans="1:7" x14ac:dyDescent="0.2">
      <c r="A1075" s="85"/>
      <c r="B1075" s="25" t="s">
        <v>3884</v>
      </c>
      <c r="C1075" s="25" t="s">
        <v>3885</v>
      </c>
      <c r="D1075" s="25" t="s">
        <v>1970</v>
      </c>
      <c r="E1075" s="26" t="b">
        <v>1</v>
      </c>
      <c r="F1075" s="27" t="str">
        <f>HYPERLINK("http://nsgreg.nga.mil/genc/view?v=118790&amp;gencs=T&amp;end_month=12&amp;end_day=31&amp;end_year=2014","Saint Mark")</f>
        <v>Saint Mark</v>
      </c>
      <c r="G1075" s="28" t="str">
        <f>HYPERLINK("http://api.nsgreg.nga.mil/geo-division/GENC/6/ed3/DM-08","as:GENC:6:ed3:DM-08")</f>
        <v>as:GENC:6:ed3:DM-08</v>
      </c>
    </row>
    <row r="1076" spans="1:7" x14ac:dyDescent="0.2">
      <c r="A1076" s="85"/>
      <c r="B1076" s="25" t="s">
        <v>3886</v>
      </c>
      <c r="C1076" s="25" t="s">
        <v>3887</v>
      </c>
      <c r="D1076" s="25" t="s">
        <v>1970</v>
      </c>
      <c r="E1076" s="26" t="b">
        <v>1</v>
      </c>
      <c r="F1076" s="27" t="str">
        <f>HYPERLINK("http://nsgreg.nga.mil/genc/view?v=118791&amp;gencs=T&amp;end_month=12&amp;end_day=31&amp;end_year=2014","Saint Patrick")</f>
        <v>Saint Patrick</v>
      </c>
      <c r="G1076" s="28" t="str">
        <f>HYPERLINK("http://api.nsgreg.nga.mil/geo-division/GENC/6/ed3/DM-09","as:GENC:6:ed3:DM-09")</f>
        <v>as:GENC:6:ed3:DM-09</v>
      </c>
    </row>
    <row r="1077" spans="1:7" x14ac:dyDescent="0.2">
      <c r="A1077" s="85"/>
      <c r="B1077" s="25" t="s">
        <v>3888</v>
      </c>
      <c r="C1077" s="25" t="s">
        <v>2031</v>
      </c>
      <c r="D1077" s="25" t="s">
        <v>1970</v>
      </c>
      <c r="E1077" s="26" t="b">
        <v>1</v>
      </c>
      <c r="F1077" s="27" t="str">
        <f>HYPERLINK("http://nsgreg.nga.mil/genc/view?v=118792&amp;gencs=T&amp;end_month=12&amp;end_day=31&amp;end_year=2014","Saint Paul")</f>
        <v>Saint Paul</v>
      </c>
      <c r="G1077" s="28" t="str">
        <f>HYPERLINK("http://api.nsgreg.nga.mil/geo-division/GENC/6/ed3/DM-10","as:GENC:6:ed3:DM-10")</f>
        <v>as:GENC:6:ed3:DM-10</v>
      </c>
    </row>
    <row r="1078" spans="1:7" x14ac:dyDescent="0.2">
      <c r="A1078" s="86"/>
      <c r="B1078" s="29" t="s">
        <v>3889</v>
      </c>
      <c r="C1078" s="29" t="s">
        <v>2033</v>
      </c>
      <c r="D1078" s="29" t="s">
        <v>1970</v>
      </c>
      <c r="E1078" s="30" t="b">
        <v>1</v>
      </c>
      <c r="F1078" s="31" t="str">
        <f>HYPERLINK("http://nsgreg.nga.mil/genc/view?v=118793&amp;gencs=T&amp;end_month=12&amp;end_day=31&amp;end_year=2014","Saint Peter")</f>
        <v>Saint Peter</v>
      </c>
      <c r="G1078" s="32" t="str">
        <f>HYPERLINK("http://api.nsgreg.nga.mil/geo-division/GENC/6/ed3/DM-11","as:GENC:6:ed3:DM-11")</f>
        <v>as:GENC:6:ed3:DM-11</v>
      </c>
    </row>
    <row r="1079" spans="1:7" x14ac:dyDescent="0.2">
      <c r="A1079" s="84" t="str">
        <f>HYPERLINK("[#]Codes_for_GE_Names!A75:I75","DOMINICAN REPUBLIC")</f>
        <v>DOMINICAN REPUBLIC</v>
      </c>
      <c r="B1079" s="33" t="s">
        <v>3890</v>
      </c>
      <c r="C1079" s="33" t="s">
        <v>3891</v>
      </c>
      <c r="D1079" s="41" t="s">
        <v>1719</v>
      </c>
      <c r="E1079" s="42" t="b">
        <v>0</v>
      </c>
      <c r="F1079" s="35" t="str">
        <f>HYPERLINK("http://nsgreg.nga.mil/genc/view?v=118795&amp;gencs=T&amp;end_month=12&amp;end_day=31&amp;end_year=2014","Azua")</f>
        <v>Azua</v>
      </c>
      <c r="G1079" s="36" t="str">
        <f>HYPERLINK("http://api.nsgreg.nga.mil/geo-division/GENC/6/ed3/DO-02","as:GENC:6:ed3:DO-02")</f>
        <v>as:GENC:6:ed3:DO-02</v>
      </c>
    </row>
    <row r="1080" spans="1:7" x14ac:dyDescent="0.2">
      <c r="A1080" s="85"/>
      <c r="B1080" s="25" t="s">
        <v>3892</v>
      </c>
      <c r="C1080" s="25" t="s">
        <v>12304</v>
      </c>
      <c r="D1080" s="37" t="s">
        <v>1719</v>
      </c>
      <c r="E1080" s="38" t="b">
        <v>0</v>
      </c>
      <c r="F1080" s="27" t="str">
        <f>HYPERLINK("http://nsgreg.nga.mil/genc/view?v=118796&amp;gencs=T&amp;end_month=12&amp;end_day=31&amp;end_year=2014","Baoruco")</f>
        <v>Baoruco</v>
      </c>
      <c r="G1080" s="28" t="str">
        <f>HYPERLINK("http://api.nsgreg.nga.mil/geo-division/GENC/6/ed3/DO-03","as:GENC:6:ed3:DO-03")</f>
        <v>as:GENC:6:ed3:DO-03</v>
      </c>
    </row>
    <row r="1081" spans="1:7" x14ac:dyDescent="0.2">
      <c r="A1081" s="85"/>
      <c r="B1081" s="25" t="s">
        <v>3894</v>
      </c>
      <c r="C1081" s="25" t="s">
        <v>3895</v>
      </c>
      <c r="D1081" s="37" t="s">
        <v>1719</v>
      </c>
      <c r="E1081" s="38" t="b">
        <v>0</v>
      </c>
      <c r="F1081" s="27" t="str">
        <f>HYPERLINK("http://nsgreg.nga.mil/genc/view?v=118797&amp;gencs=T&amp;end_month=12&amp;end_day=31&amp;end_year=2014","Barahona")</f>
        <v>Barahona</v>
      </c>
      <c r="G1081" s="28" t="str">
        <f>HYPERLINK("http://api.nsgreg.nga.mil/geo-division/GENC/6/ed3/DO-04","as:GENC:6:ed3:DO-04")</f>
        <v>as:GENC:6:ed3:DO-04</v>
      </c>
    </row>
    <row r="1082" spans="1:7" x14ac:dyDescent="0.2">
      <c r="A1082" s="85"/>
      <c r="B1082" s="25" t="s">
        <v>12305</v>
      </c>
      <c r="C1082" s="25" t="s">
        <v>12306</v>
      </c>
      <c r="D1082" s="25" t="s">
        <v>2087</v>
      </c>
      <c r="E1082" s="26" t="b">
        <v>1</v>
      </c>
      <c r="F1082" s="27" t="str">
        <f>HYPERLINK("http://nsgreg.nga.mil/genc/view?v=118826&amp;gencs=T&amp;end_month=12&amp;end_day=31&amp;end_year=2014","Cibao Nordeste")</f>
        <v>Cibao Nordeste</v>
      </c>
      <c r="G1082" s="28" t="str">
        <f>HYPERLINK("http://api.nsgreg.nga.mil/geo-division/GENC/6/ed3/DO-33","as:GENC:6:ed3:DO-33")</f>
        <v>as:GENC:6:ed3:DO-33</v>
      </c>
    </row>
    <row r="1083" spans="1:7" x14ac:dyDescent="0.2">
      <c r="A1083" s="85"/>
      <c r="B1083" s="25" t="s">
        <v>12307</v>
      </c>
      <c r="C1083" s="25" t="s">
        <v>12308</v>
      </c>
      <c r="D1083" s="25" t="s">
        <v>2087</v>
      </c>
      <c r="E1083" s="26" t="b">
        <v>1</v>
      </c>
      <c r="F1083" s="27" t="str">
        <f>HYPERLINK("http://nsgreg.nga.mil/genc/view?v=118827&amp;gencs=T&amp;end_month=12&amp;end_day=31&amp;end_year=2014","Cibao Noroeste")</f>
        <v>Cibao Noroeste</v>
      </c>
      <c r="G1083" s="28" t="str">
        <f>HYPERLINK("http://api.nsgreg.nga.mil/geo-division/GENC/6/ed3/DO-34","as:GENC:6:ed3:DO-34")</f>
        <v>as:GENC:6:ed3:DO-34</v>
      </c>
    </row>
    <row r="1084" spans="1:7" x14ac:dyDescent="0.2">
      <c r="A1084" s="85"/>
      <c r="B1084" s="25" t="s">
        <v>12309</v>
      </c>
      <c r="C1084" s="25" t="s">
        <v>12310</v>
      </c>
      <c r="D1084" s="25" t="s">
        <v>2087</v>
      </c>
      <c r="E1084" s="26" t="b">
        <v>1</v>
      </c>
      <c r="F1084" s="27" t="str">
        <f>HYPERLINK("http://nsgreg.nga.mil/genc/view?v=118828&amp;gencs=T&amp;end_month=12&amp;end_day=31&amp;end_year=2014","Cibao Norte")</f>
        <v>Cibao Norte</v>
      </c>
      <c r="G1084" s="28" t="str">
        <f>HYPERLINK("http://api.nsgreg.nga.mil/geo-division/GENC/6/ed3/DO-35","as:GENC:6:ed3:DO-35")</f>
        <v>as:GENC:6:ed3:DO-35</v>
      </c>
    </row>
    <row r="1085" spans="1:7" x14ac:dyDescent="0.2">
      <c r="A1085" s="85"/>
      <c r="B1085" s="25" t="s">
        <v>12311</v>
      </c>
      <c r="C1085" s="25" t="s">
        <v>12312</v>
      </c>
      <c r="D1085" s="25" t="s">
        <v>2087</v>
      </c>
      <c r="E1085" s="26" t="b">
        <v>1</v>
      </c>
      <c r="F1085" s="27" t="str">
        <f>HYPERLINK("http://nsgreg.nga.mil/genc/view?v=118829&amp;gencs=T&amp;end_month=12&amp;end_day=31&amp;end_year=2014","Cibao Sur")</f>
        <v>Cibao Sur</v>
      </c>
      <c r="G1085" s="28" t="str">
        <f>HYPERLINK("http://api.nsgreg.nga.mil/geo-division/GENC/6/ed3/DO-36","as:GENC:6:ed3:DO-36")</f>
        <v>as:GENC:6:ed3:DO-36</v>
      </c>
    </row>
    <row r="1086" spans="1:7" x14ac:dyDescent="0.2">
      <c r="A1086" s="85"/>
      <c r="B1086" s="25" t="s">
        <v>3896</v>
      </c>
      <c r="C1086" s="25" t="s">
        <v>3897</v>
      </c>
      <c r="D1086" s="37" t="s">
        <v>1719</v>
      </c>
      <c r="E1086" s="38" t="b">
        <v>0</v>
      </c>
      <c r="F1086" s="27" t="str">
        <f>HYPERLINK("http://nsgreg.nga.mil/genc/view?v=118798&amp;gencs=T&amp;end_month=12&amp;end_day=31&amp;end_year=2014","Dajabón")</f>
        <v>Dajabón</v>
      </c>
      <c r="G1086" s="28" t="str">
        <f>HYPERLINK("http://api.nsgreg.nga.mil/geo-division/GENC/6/ed3/DO-05","as:GENC:6:ed3:DO-05")</f>
        <v>as:GENC:6:ed3:DO-05</v>
      </c>
    </row>
    <row r="1087" spans="1:7" x14ac:dyDescent="0.2">
      <c r="A1087" s="85"/>
      <c r="B1087" s="25" t="s">
        <v>3898</v>
      </c>
      <c r="C1087" s="25" t="s">
        <v>12313</v>
      </c>
      <c r="D1087" s="37" t="s">
        <v>1790</v>
      </c>
      <c r="E1087" s="38" t="b">
        <v>0</v>
      </c>
      <c r="F1087" s="27" t="str">
        <f>HYPERLINK("http://nsgreg.nga.mil/genc/view?v=213795&amp;end_month=12&amp;end_day=31&amp;end_year=2014","Distrito Nacional")</f>
        <v>Distrito Nacional</v>
      </c>
      <c r="G1087" s="28" t="str">
        <f>HYPERLINK("http://api.nsgreg.nga.mil/geo-division/GENC/6/ed3/DO-01","as:GENC:6:ed3:DO-01")</f>
        <v>as:GENC:6:ed3:DO-01</v>
      </c>
    </row>
    <row r="1088" spans="1:7" x14ac:dyDescent="0.2">
      <c r="A1088" s="85"/>
      <c r="B1088" s="25" t="s">
        <v>3900</v>
      </c>
      <c r="C1088" s="25" t="s">
        <v>3901</v>
      </c>
      <c r="D1088" s="37" t="s">
        <v>1719</v>
      </c>
      <c r="E1088" s="38" t="b">
        <v>0</v>
      </c>
      <c r="F1088" s="27" t="str">
        <f>HYPERLINK("http://nsgreg.nga.mil/genc/view?v=118799&amp;gencs=T&amp;end_month=12&amp;end_day=31&amp;end_year=2014","Duarte")</f>
        <v>Duarte</v>
      </c>
      <c r="G1088" s="28" t="str">
        <f>HYPERLINK("http://api.nsgreg.nga.mil/geo-division/GENC/6/ed3/DO-06","as:GENC:6:ed3:DO-06")</f>
        <v>as:GENC:6:ed3:DO-06</v>
      </c>
    </row>
    <row r="1089" spans="1:7" x14ac:dyDescent="0.2">
      <c r="A1089" s="85"/>
      <c r="B1089" s="25" t="s">
        <v>3912</v>
      </c>
      <c r="C1089" s="25" t="s">
        <v>12314</v>
      </c>
      <c r="D1089" s="37" t="s">
        <v>1719</v>
      </c>
      <c r="E1089" s="38" t="b">
        <v>0</v>
      </c>
      <c r="F1089" s="27" t="str">
        <f>HYPERLINK("http://nsgreg.nga.mil/genc/view?v=211571&amp;end_month=12&amp;end_day=31&amp;end_year=2014","Elías Piña")</f>
        <v>Elías Piña</v>
      </c>
      <c r="G1089" s="28" t="str">
        <f>HYPERLINK("http://api.nsgreg.nga.mil/geo-division/GENC/6/ed3/DO-07","as:GENC:6:ed3:DO-07")</f>
        <v>as:GENC:6:ed3:DO-07</v>
      </c>
    </row>
    <row r="1090" spans="1:7" x14ac:dyDescent="0.2">
      <c r="A1090" s="85"/>
      <c r="B1090" s="25" t="s">
        <v>3902</v>
      </c>
      <c r="C1090" s="25" t="s">
        <v>12315</v>
      </c>
      <c r="D1090" s="37" t="s">
        <v>1719</v>
      </c>
      <c r="E1090" s="38" t="b">
        <v>0</v>
      </c>
      <c r="F1090" s="27" t="str">
        <f>HYPERLINK("http://nsgreg.nga.mil/genc/view?v=118801&amp;gencs=T&amp;end_month=12&amp;end_day=31&amp;end_year=2014","El Seibo")</f>
        <v>El Seibo</v>
      </c>
      <c r="G1090" s="28" t="str">
        <f>HYPERLINK("http://api.nsgreg.nga.mil/geo-division/GENC/6/ed3/DO-08","as:GENC:6:ed3:DO-08")</f>
        <v>as:GENC:6:ed3:DO-08</v>
      </c>
    </row>
    <row r="1091" spans="1:7" x14ac:dyDescent="0.2">
      <c r="A1091" s="85"/>
      <c r="B1091" s="25" t="s">
        <v>12316</v>
      </c>
      <c r="C1091" s="25" t="s">
        <v>12317</v>
      </c>
      <c r="D1091" s="25" t="s">
        <v>2087</v>
      </c>
      <c r="E1091" s="26" t="b">
        <v>1</v>
      </c>
      <c r="F1091" s="27" t="str">
        <f>HYPERLINK("http://nsgreg.nga.mil/genc/view?v=118830&amp;gencs=T&amp;end_month=12&amp;end_day=31&amp;end_year=2014","El Valle")</f>
        <v>El Valle</v>
      </c>
      <c r="G1091" s="28" t="str">
        <f>HYPERLINK("http://api.nsgreg.nga.mil/geo-division/GENC/6/ed3/DO-37","as:GENC:6:ed3:DO-37")</f>
        <v>as:GENC:6:ed3:DO-37</v>
      </c>
    </row>
    <row r="1092" spans="1:7" x14ac:dyDescent="0.2">
      <c r="A1092" s="85"/>
      <c r="B1092" s="25" t="s">
        <v>12318</v>
      </c>
      <c r="C1092" s="25" t="s">
        <v>12319</v>
      </c>
      <c r="D1092" s="25" t="s">
        <v>2087</v>
      </c>
      <c r="E1092" s="26" t="b">
        <v>1</v>
      </c>
      <c r="F1092" s="27" t="str">
        <f>HYPERLINK("http://nsgreg.nga.mil/genc/view?v=118831&amp;gencs=T&amp;end_month=12&amp;end_day=31&amp;end_year=2014","Enriquillo")</f>
        <v>Enriquillo</v>
      </c>
      <c r="G1092" s="28" t="str">
        <f>HYPERLINK("http://api.nsgreg.nga.mil/geo-division/GENC/6/ed3/DO-38","as:GENC:6:ed3:DO-38")</f>
        <v>as:GENC:6:ed3:DO-38</v>
      </c>
    </row>
    <row r="1093" spans="1:7" x14ac:dyDescent="0.2">
      <c r="A1093" s="85"/>
      <c r="B1093" s="25" t="s">
        <v>3904</v>
      </c>
      <c r="C1093" s="25" t="s">
        <v>3905</v>
      </c>
      <c r="D1093" s="37" t="s">
        <v>1719</v>
      </c>
      <c r="E1093" s="38" t="b">
        <v>0</v>
      </c>
      <c r="F1093" s="27" t="str">
        <f>HYPERLINK("http://nsgreg.nga.mil/genc/view?v=118802&amp;gencs=T&amp;end_month=12&amp;end_day=31&amp;end_year=2014","Espaillat")</f>
        <v>Espaillat</v>
      </c>
      <c r="G1093" s="28" t="str">
        <f>HYPERLINK("http://api.nsgreg.nga.mil/geo-division/GENC/6/ed3/DO-09","as:GENC:6:ed3:DO-09")</f>
        <v>as:GENC:6:ed3:DO-09</v>
      </c>
    </row>
    <row r="1094" spans="1:7" x14ac:dyDescent="0.2">
      <c r="A1094" s="85"/>
      <c r="B1094" s="25" t="s">
        <v>3906</v>
      </c>
      <c r="C1094" s="25" t="s">
        <v>3907</v>
      </c>
      <c r="D1094" s="37" t="s">
        <v>1719</v>
      </c>
      <c r="E1094" s="38" t="b">
        <v>0</v>
      </c>
      <c r="F1094" s="27" t="str">
        <f>HYPERLINK("http://nsgreg.nga.mil/genc/view?v=118823&amp;gencs=T&amp;end_month=12&amp;end_day=31&amp;end_year=2014","Hato Mayor")</f>
        <v>Hato Mayor</v>
      </c>
      <c r="G1094" s="28" t="str">
        <f>HYPERLINK("http://api.nsgreg.nga.mil/geo-division/GENC/6/ed3/DO-30","as:GENC:6:ed3:DO-30")</f>
        <v>as:GENC:6:ed3:DO-30</v>
      </c>
    </row>
    <row r="1095" spans="1:7" x14ac:dyDescent="0.2">
      <c r="A1095" s="85"/>
      <c r="B1095" s="25" t="s">
        <v>3932</v>
      </c>
      <c r="C1095" s="25" t="s">
        <v>12320</v>
      </c>
      <c r="D1095" s="37" t="s">
        <v>1719</v>
      </c>
      <c r="E1095" s="38" t="b">
        <v>0</v>
      </c>
      <c r="F1095" s="27" t="str">
        <f>HYPERLINK("http://nsgreg.nga.mil/genc/view?v=118812&amp;gencs=T&amp;end_month=12&amp;end_day=31&amp;end_year=2014","Hermanas Mirabal")</f>
        <v>Hermanas Mirabal</v>
      </c>
      <c r="G1095" s="28" t="str">
        <f>HYPERLINK("http://api.nsgreg.nga.mil/geo-division/GENC/6/ed3/DO-19","as:GENC:6:ed3:DO-19")</f>
        <v>as:GENC:6:ed3:DO-19</v>
      </c>
    </row>
    <row r="1096" spans="1:7" x14ac:dyDescent="0.2">
      <c r="A1096" s="85"/>
      <c r="B1096" s="25" t="s">
        <v>12321</v>
      </c>
      <c r="C1096" s="25" t="s">
        <v>12322</v>
      </c>
      <c r="D1096" s="25" t="s">
        <v>2087</v>
      </c>
      <c r="E1096" s="26" t="b">
        <v>1</v>
      </c>
      <c r="F1096" s="27" t="str">
        <f>HYPERLINK("http://nsgreg.nga.mil/genc/view?v=118832&amp;gencs=T&amp;end_month=12&amp;end_day=31&amp;end_year=2014","Higuamo")</f>
        <v>Higuamo</v>
      </c>
      <c r="G1096" s="28" t="str">
        <f>HYPERLINK("http://api.nsgreg.nga.mil/geo-division/GENC/6/ed3/DO-39","as:GENC:6:ed3:DO-39")</f>
        <v>as:GENC:6:ed3:DO-39</v>
      </c>
    </row>
    <row r="1097" spans="1:7" x14ac:dyDescent="0.2">
      <c r="A1097" s="85"/>
      <c r="B1097" s="25" t="s">
        <v>3908</v>
      </c>
      <c r="C1097" s="25" t="s">
        <v>3909</v>
      </c>
      <c r="D1097" s="37" t="s">
        <v>1719</v>
      </c>
      <c r="E1097" s="38" t="b">
        <v>0</v>
      </c>
      <c r="F1097" s="27" t="str">
        <f>HYPERLINK("http://nsgreg.nga.mil/genc/view?v=118803&amp;gencs=T&amp;end_month=12&amp;end_day=31&amp;end_year=2014","Independencia")</f>
        <v>Independencia</v>
      </c>
      <c r="G1097" s="28" t="str">
        <f>HYPERLINK("http://api.nsgreg.nga.mil/geo-division/GENC/6/ed3/DO-10","as:GENC:6:ed3:DO-10")</f>
        <v>as:GENC:6:ed3:DO-10</v>
      </c>
    </row>
    <row r="1098" spans="1:7" x14ac:dyDescent="0.2">
      <c r="A1098" s="85"/>
      <c r="B1098" s="25" t="s">
        <v>3910</v>
      </c>
      <c r="C1098" s="25" t="s">
        <v>3911</v>
      </c>
      <c r="D1098" s="37" t="s">
        <v>1719</v>
      </c>
      <c r="E1098" s="38" t="b">
        <v>0</v>
      </c>
      <c r="F1098" s="27" t="str">
        <f>HYPERLINK("http://nsgreg.nga.mil/genc/view?v=118804&amp;gencs=T&amp;end_month=12&amp;end_day=31&amp;end_year=2014","La Altagracia")</f>
        <v>La Altagracia</v>
      </c>
      <c r="G1098" s="28" t="str">
        <f>HYPERLINK("http://api.nsgreg.nga.mil/geo-division/GENC/6/ed3/DO-11","as:GENC:6:ed3:DO-11")</f>
        <v>as:GENC:6:ed3:DO-11</v>
      </c>
    </row>
    <row r="1099" spans="1:7" x14ac:dyDescent="0.2">
      <c r="A1099" s="85"/>
      <c r="B1099" s="25" t="s">
        <v>3914</v>
      </c>
      <c r="C1099" s="25" t="s">
        <v>3915</v>
      </c>
      <c r="D1099" s="37" t="s">
        <v>1719</v>
      </c>
      <c r="E1099" s="38" t="b">
        <v>0</v>
      </c>
      <c r="F1099" s="27" t="str">
        <f>HYPERLINK("http://nsgreg.nga.mil/genc/view?v=118805&amp;gencs=T&amp;end_month=12&amp;end_day=31&amp;end_year=2014","La Romana")</f>
        <v>La Romana</v>
      </c>
      <c r="G1099" s="28" t="str">
        <f>HYPERLINK("http://api.nsgreg.nga.mil/geo-division/GENC/6/ed3/DO-12","as:GENC:6:ed3:DO-12")</f>
        <v>as:GENC:6:ed3:DO-12</v>
      </c>
    </row>
    <row r="1100" spans="1:7" x14ac:dyDescent="0.2">
      <c r="A1100" s="85"/>
      <c r="B1100" s="25" t="s">
        <v>3916</v>
      </c>
      <c r="C1100" s="25" t="s">
        <v>3917</v>
      </c>
      <c r="D1100" s="37" t="s">
        <v>1719</v>
      </c>
      <c r="E1100" s="38" t="b">
        <v>0</v>
      </c>
      <c r="F1100" s="27" t="str">
        <f>HYPERLINK("http://nsgreg.nga.mil/genc/view?v=118806&amp;gencs=T&amp;end_month=12&amp;end_day=31&amp;end_year=2014","La Vega")</f>
        <v>La Vega</v>
      </c>
      <c r="G1100" s="28" t="str">
        <f>HYPERLINK("http://api.nsgreg.nga.mil/geo-division/GENC/6/ed3/DO-13","as:GENC:6:ed3:DO-13")</f>
        <v>as:GENC:6:ed3:DO-13</v>
      </c>
    </row>
    <row r="1101" spans="1:7" x14ac:dyDescent="0.2">
      <c r="A1101" s="85"/>
      <c r="B1101" s="25" t="s">
        <v>3918</v>
      </c>
      <c r="C1101" s="25" t="s">
        <v>3919</v>
      </c>
      <c r="D1101" s="37" t="s">
        <v>1719</v>
      </c>
      <c r="E1101" s="38" t="b">
        <v>0</v>
      </c>
      <c r="F1101" s="27" t="str">
        <f>HYPERLINK("http://nsgreg.nga.mil/genc/view?v=118807&amp;gencs=T&amp;end_month=12&amp;end_day=31&amp;end_year=2014","María Trinidad Sánchez")</f>
        <v>María Trinidad Sánchez</v>
      </c>
      <c r="G1101" s="28" t="str">
        <f>HYPERLINK("http://api.nsgreg.nga.mil/geo-division/GENC/6/ed3/DO-14","as:GENC:6:ed3:DO-14")</f>
        <v>as:GENC:6:ed3:DO-14</v>
      </c>
    </row>
    <row r="1102" spans="1:7" x14ac:dyDescent="0.2">
      <c r="A1102" s="85"/>
      <c r="B1102" s="25" t="s">
        <v>3920</v>
      </c>
      <c r="C1102" s="25" t="s">
        <v>3921</v>
      </c>
      <c r="D1102" s="37" t="s">
        <v>1719</v>
      </c>
      <c r="E1102" s="38" t="b">
        <v>0</v>
      </c>
      <c r="F1102" s="27" t="str">
        <f>HYPERLINK("http://nsgreg.nga.mil/genc/view?v=118821&amp;gencs=T&amp;end_month=12&amp;end_day=31&amp;end_year=2014","Monseñor Nouel")</f>
        <v>Monseñor Nouel</v>
      </c>
      <c r="G1102" s="28" t="str">
        <f>HYPERLINK("http://api.nsgreg.nga.mil/geo-division/GENC/6/ed3/DO-28","as:GENC:6:ed3:DO-28")</f>
        <v>as:GENC:6:ed3:DO-28</v>
      </c>
    </row>
    <row r="1103" spans="1:7" x14ac:dyDescent="0.2">
      <c r="A1103" s="85"/>
      <c r="B1103" s="25" t="s">
        <v>3922</v>
      </c>
      <c r="C1103" s="25" t="s">
        <v>3923</v>
      </c>
      <c r="D1103" s="37" t="s">
        <v>1719</v>
      </c>
      <c r="E1103" s="38" t="b">
        <v>0</v>
      </c>
      <c r="F1103" s="27" t="str">
        <f>HYPERLINK("http://nsgreg.nga.mil/genc/view?v=118808&amp;gencs=T&amp;end_month=12&amp;end_day=31&amp;end_year=2014","Monte Cristi")</f>
        <v>Monte Cristi</v>
      </c>
      <c r="G1103" s="28" t="str">
        <f>HYPERLINK("http://api.nsgreg.nga.mil/geo-division/GENC/6/ed3/DO-15","as:GENC:6:ed3:DO-15")</f>
        <v>as:GENC:6:ed3:DO-15</v>
      </c>
    </row>
    <row r="1104" spans="1:7" x14ac:dyDescent="0.2">
      <c r="A1104" s="85"/>
      <c r="B1104" s="25" t="s">
        <v>3924</v>
      </c>
      <c r="C1104" s="25" t="s">
        <v>3925</v>
      </c>
      <c r="D1104" s="37" t="s">
        <v>1719</v>
      </c>
      <c r="E1104" s="38" t="b">
        <v>0</v>
      </c>
      <c r="F1104" s="27" t="str">
        <f>HYPERLINK("http://nsgreg.nga.mil/genc/view?v=118822&amp;gencs=T&amp;end_month=12&amp;end_day=31&amp;end_year=2014","Monte Plata")</f>
        <v>Monte Plata</v>
      </c>
      <c r="G1104" s="28" t="str">
        <f>HYPERLINK("http://api.nsgreg.nga.mil/geo-division/GENC/6/ed3/DO-29","as:GENC:6:ed3:DO-29")</f>
        <v>as:GENC:6:ed3:DO-29</v>
      </c>
    </row>
    <row r="1105" spans="1:7" x14ac:dyDescent="0.2">
      <c r="A1105" s="85"/>
      <c r="B1105" s="25" t="s">
        <v>12323</v>
      </c>
      <c r="C1105" s="25" t="s">
        <v>12324</v>
      </c>
      <c r="D1105" s="25" t="s">
        <v>2087</v>
      </c>
      <c r="E1105" s="26" t="b">
        <v>1</v>
      </c>
      <c r="F1105" s="27" t="str">
        <f>HYPERLINK("http://nsgreg.nga.mil/genc/view?v=118833&amp;gencs=T&amp;end_month=12&amp;end_day=31&amp;end_year=2014","Ozama")</f>
        <v>Ozama</v>
      </c>
      <c r="G1105" s="28" t="str">
        <f>HYPERLINK("http://api.nsgreg.nga.mil/geo-division/GENC/6/ed3/DO-40","as:GENC:6:ed3:DO-40")</f>
        <v>as:GENC:6:ed3:DO-40</v>
      </c>
    </row>
    <row r="1106" spans="1:7" x14ac:dyDescent="0.2">
      <c r="A1106" s="85"/>
      <c r="B1106" s="25" t="s">
        <v>3926</v>
      </c>
      <c r="C1106" s="25" t="s">
        <v>3927</v>
      </c>
      <c r="D1106" s="37" t="s">
        <v>1719</v>
      </c>
      <c r="E1106" s="38" t="b">
        <v>0</v>
      </c>
      <c r="F1106" s="27" t="str">
        <f>HYPERLINK("http://nsgreg.nga.mil/genc/view?v=118809&amp;gencs=T&amp;end_month=12&amp;end_day=31&amp;end_year=2014","Pedernales")</f>
        <v>Pedernales</v>
      </c>
      <c r="G1106" s="28" t="str">
        <f>HYPERLINK("http://api.nsgreg.nga.mil/geo-division/GENC/6/ed3/DO-16","as:GENC:6:ed3:DO-16")</f>
        <v>as:GENC:6:ed3:DO-16</v>
      </c>
    </row>
    <row r="1107" spans="1:7" x14ac:dyDescent="0.2">
      <c r="A1107" s="85"/>
      <c r="B1107" s="25" t="s">
        <v>3928</v>
      </c>
      <c r="C1107" s="25" t="s">
        <v>3929</v>
      </c>
      <c r="D1107" s="37" t="s">
        <v>1719</v>
      </c>
      <c r="E1107" s="38" t="b">
        <v>0</v>
      </c>
      <c r="F1107" s="27" t="str">
        <f>HYPERLINK("http://nsgreg.nga.mil/genc/view?v=118810&amp;gencs=T&amp;end_month=12&amp;end_day=31&amp;end_year=2014","Peravia")</f>
        <v>Peravia</v>
      </c>
      <c r="G1107" s="28" t="str">
        <f>HYPERLINK("http://api.nsgreg.nga.mil/geo-division/GENC/6/ed3/DO-17","as:GENC:6:ed3:DO-17")</f>
        <v>as:GENC:6:ed3:DO-17</v>
      </c>
    </row>
    <row r="1108" spans="1:7" x14ac:dyDescent="0.2">
      <c r="A1108" s="85"/>
      <c r="B1108" s="25" t="s">
        <v>3930</v>
      </c>
      <c r="C1108" s="25" t="s">
        <v>3931</v>
      </c>
      <c r="D1108" s="37" t="s">
        <v>1719</v>
      </c>
      <c r="E1108" s="38" t="b">
        <v>0</v>
      </c>
      <c r="F1108" s="27" t="str">
        <f>HYPERLINK("http://nsgreg.nga.mil/genc/view?v=118811&amp;gencs=T&amp;end_month=12&amp;end_day=31&amp;end_year=2014","Puerto Plata")</f>
        <v>Puerto Plata</v>
      </c>
      <c r="G1108" s="28" t="str">
        <f>HYPERLINK("http://api.nsgreg.nga.mil/geo-division/GENC/6/ed3/DO-18","as:GENC:6:ed3:DO-18")</f>
        <v>as:GENC:6:ed3:DO-18</v>
      </c>
    </row>
    <row r="1109" spans="1:7" x14ac:dyDescent="0.2">
      <c r="A1109" s="85"/>
      <c r="B1109" s="25" t="s">
        <v>3934</v>
      </c>
      <c r="C1109" s="25" t="s">
        <v>3935</v>
      </c>
      <c r="D1109" s="37" t="s">
        <v>1719</v>
      </c>
      <c r="E1109" s="38" t="b">
        <v>0</v>
      </c>
      <c r="F1109" s="27" t="str">
        <f>HYPERLINK("http://nsgreg.nga.mil/genc/view?v=118813&amp;gencs=T&amp;end_month=12&amp;end_day=31&amp;end_year=2014","Samaná")</f>
        <v>Samaná</v>
      </c>
      <c r="G1109" s="28" t="str">
        <f>HYPERLINK("http://api.nsgreg.nga.mil/geo-division/GENC/6/ed3/DO-20","as:GENC:6:ed3:DO-20")</f>
        <v>as:GENC:6:ed3:DO-20</v>
      </c>
    </row>
    <row r="1110" spans="1:7" x14ac:dyDescent="0.2">
      <c r="A1110" s="85"/>
      <c r="B1110" s="25" t="s">
        <v>3936</v>
      </c>
      <c r="C1110" s="25" t="s">
        <v>3937</v>
      </c>
      <c r="D1110" s="37" t="s">
        <v>1719</v>
      </c>
      <c r="E1110" s="38" t="b">
        <v>0</v>
      </c>
      <c r="F1110" s="27" t="str">
        <f>HYPERLINK("http://nsgreg.nga.mil/genc/view?v=118814&amp;gencs=T&amp;end_month=12&amp;end_day=31&amp;end_year=2014","San Cristóbal")</f>
        <v>San Cristóbal</v>
      </c>
      <c r="G1110" s="28" t="str">
        <f>HYPERLINK("http://api.nsgreg.nga.mil/geo-division/GENC/6/ed3/DO-21","as:GENC:6:ed3:DO-21")</f>
        <v>as:GENC:6:ed3:DO-21</v>
      </c>
    </row>
    <row r="1111" spans="1:7" x14ac:dyDescent="0.2">
      <c r="A1111" s="85"/>
      <c r="B1111" s="25" t="s">
        <v>3938</v>
      </c>
      <c r="C1111" s="25" t="s">
        <v>3939</v>
      </c>
      <c r="D1111" s="37" t="s">
        <v>1719</v>
      </c>
      <c r="E1111" s="38" t="b">
        <v>0</v>
      </c>
      <c r="F1111" s="27" t="str">
        <f>HYPERLINK("http://nsgreg.nga.mil/genc/view?v=118824&amp;gencs=T&amp;end_month=12&amp;end_day=31&amp;end_year=2014","San José de Ocoa")</f>
        <v>San José de Ocoa</v>
      </c>
      <c r="G1111" s="28" t="str">
        <f>HYPERLINK("http://api.nsgreg.nga.mil/geo-division/GENC/6/ed3/DO-31","as:GENC:6:ed3:DO-31")</f>
        <v>as:GENC:6:ed3:DO-31</v>
      </c>
    </row>
    <row r="1112" spans="1:7" x14ac:dyDescent="0.2">
      <c r="A1112" s="85"/>
      <c r="B1112" s="25" t="s">
        <v>3940</v>
      </c>
      <c r="C1112" s="25" t="s">
        <v>2072</v>
      </c>
      <c r="D1112" s="37" t="s">
        <v>1719</v>
      </c>
      <c r="E1112" s="38" t="b">
        <v>0</v>
      </c>
      <c r="F1112" s="27" t="str">
        <f>HYPERLINK("http://nsgreg.nga.mil/genc/view?v=118815&amp;gencs=T&amp;end_month=12&amp;end_day=31&amp;end_year=2014","San Juan")</f>
        <v>San Juan</v>
      </c>
      <c r="G1112" s="28" t="str">
        <f>HYPERLINK("http://api.nsgreg.nga.mil/geo-division/GENC/6/ed3/DO-22","as:GENC:6:ed3:DO-22")</f>
        <v>as:GENC:6:ed3:DO-22</v>
      </c>
    </row>
    <row r="1113" spans="1:7" x14ac:dyDescent="0.2">
      <c r="A1113" s="85"/>
      <c r="B1113" s="25" t="s">
        <v>3949</v>
      </c>
      <c r="C1113" s="25" t="s">
        <v>3950</v>
      </c>
      <c r="D1113" s="37" t="s">
        <v>1719</v>
      </c>
      <c r="E1113" s="38" t="b">
        <v>0</v>
      </c>
      <c r="F1113" s="27" t="str">
        <f>HYPERLINK("http://nsgreg.nga.mil/genc/view?v=118817&amp;gencs=T&amp;end_month=12&amp;end_day=31&amp;end_year=2014","Sánchez Ramírez")</f>
        <v>Sánchez Ramírez</v>
      </c>
      <c r="G1113" s="28" t="str">
        <f>HYPERLINK("http://api.nsgreg.nga.mil/geo-division/GENC/6/ed3/DO-24","as:GENC:6:ed3:DO-24")</f>
        <v>as:GENC:6:ed3:DO-24</v>
      </c>
    </row>
    <row r="1114" spans="1:7" x14ac:dyDescent="0.2">
      <c r="A1114" s="85"/>
      <c r="B1114" s="25" t="s">
        <v>3941</v>
      </c>
      <c r="C1114" s="25" t="s">
        <v>3942</v>
      </c>
      <c r="D1114" s="37" t="s">
        <v>1719</v>
      </c>
      <c r="E1114" s="38" t="b">
        <v>0</v>
      </c>
      <c r="F1114" s="27" t="str">
        <f>HYPERLINK("http://nsgreg.nga.mil/genc/view?v=118816&amp;gencs=T&amp;end_month=12&amp;end_day=31&amp;end_year=2014","San Pedro de Macorís")</f>
        <v>San Pedro de Macorís</v>
      </c>
      <c r="G1114" s="28" t="str">
        <f>HYPERLINK("http://api.nsgreg.nga.mil/geo-division/GENC/6/ed3/DO-23","as:GENC:6:ed3:DO-23")</f>
        <v>as:GENC:6:ed3:DO-23</v>
      </c>
    </row>
    <row r="1115" spans="1:7" x14ac:dyDescent="0.2">
      <c r="A1115" s="85"/>
      <c r="B1115" s="25" t="s">
        <v>3943</v>
      </c>
      <c r="C1115" s="25" t="s">
        <v>3944</v>
      </c>
      <c r="D1115" s="37" t="s">
        <v>1719</v>
      </c>
      <c r="E1115" s="38" t="b">
        <v>0</v>
      </c>
      <c r="F1115" s="27" t="str">
        <f>HYPERLINK("http://nsgreg.nga.mil/genc/view?v=118818&amp;gencs=T&amp;end_month=12&amp;end_day=31&amp;end_year=2014","Santiago")</f>
        <v>Santiago</v>
      </c>
      <c r="G1115" s="28" t="str">
        <f>HYPERLINK("http://api.nsgreg.nga.mil/geo-division/GENC/6/ed3/DO-25","as:GENC:6:ed3:DO-25")</f>
        <v>as:GENC:6:ed3:DO-25</v>
      </c>
    </row>
    <row r="1116" spans="1:7" x14ac:dyDescent="0.2">
      <c r="A1116" s="85"/>
      <c r="B1116" s="25" t="s">
        <v>3945</v>
      </c>
      <c r="C1116" s="25" t="s">
        <v>3946</v>
      </c>
      <c r="D1116" s="37" t="s">
        <v>1719</v>
      </c>
      <c r="E1116" s="38" t="b">
        <v>0</v>
      </c>
      <c r="F1116" s="27" t="str">
        <f>HYPERLINK("http://nsgreg.nga.mil/genc/view?v=118819&amp;gencs=T&amp;end_month=12&amp;end_day=31&amp;end_year=2014","Santiago Rodríguez")</f>
        <v>Santiago Rodríguez</v>
      </c>
      <c r="G1116" s="28" t="str">
        <f>HYPERLINK("http://api.nsgreg.nga.mil/geo-division/GENC/6/ed3/DO-26","as:GENC:6:ed3:DO-26")</f>
        <v>as:GENC:6:ed3:DO-26</v>
      </c>
    </row>
    <row r="1117" spans="1:7" x14ac:dyDescent="0.2">
      <c r="A1117" s="85"/>
      <c r="B1117" s="25" t="s">
        <v>3947</v>
      </c>
      <c r="C1117" s="25" t="s">
        <v>3948</v>
      </c>
      <c r="D1117" s="37" t="s">
        <v>1719</v>
      </c>
      <c r="E1117" s="38" t="b">
        <v>0</v>
      </c>
      <c r="F1117" s="27" t="str">
        <f>HYPERLINK("http://nsgreg.nga.mil/genc/view?v=118825&amp;gencs=T&amp;end_month=12&amp;end_day=31&amp;end_year=2014","Santo Domingo")</f>
        <v>Santo Domingo</v>
      </c>
      <c r="G1117" s="28" t="str">
        <f>HYPERLINK("http://api.nsgreg.nga.mil/geo-division/GENC/6/ed3/DO-32","as:GENC:6:ed3:DO-32")</f>
        <v>as:GENC:6:ed3:DO-32</v>
      </c>
    </row>
    <row r="1118" spans="1:7" x14ac:dyDescent="0.2">
      <c r="A1118" s="85"/>
      <c r="B1118" s="25" t="s">
        <v>12325</v>
      </c>
      <c r="C1118" s="25" t="s">
        <v>12326</v>
      </c>
      <c r="D1118" s="25" t="s">
        <v>2087</v>
      </c>
      <c r="E1118" s="26" t="b">
        <v>1</v>
      </c>
      <c r="F1118" s="27" t="str">
        <f>HYPERLINK("http://nsgreg.nga.mil/genc/view?v=118834&amp;gencs=T&amp;end_month=12&amp;end_day=31&amp;end_year=2014","Valdesia")</f>
        <v>Valdesia</v>
      </c>
      <c r="G1118" s="28" t="str">
        <f>HYPERLINK("http://api.nsgreg.nga.mil/geo-division/GENC/6/ed3/DO-41","as:GENC:6:ed3:DO-41")</f>
        <v>as:GENC:6:ed3:DO-41</v>
      </c>
    </row>
    <row r="1119" spans="1:7" x14ac:dyDescent="0.2">
      <c r="A1119" s="85"/>
      <c r="B1119" s="25" t="s">
        <v>3951</v>
      </c>
      <c r="C1119" s="25" t="s">
        <v>3952</v>
      </c>
      <c r="D1119" s="37" t="s">
        <v>1719</v>
      </c>
      <c r="E1119" s="38" t="b">
        <v>0</v>
      </c>
      <c r="F1119" s="27" t="str">
        <f>HYPERLINK("http://nsgreg.nga.mil/genc/view?v=118820&amp;gencs=T&amp;end_month=12&amp;end_day=31&amp;end_year=2014","Valverde")</f>
        <v>Valverde</v>
      </c>
      <c r="G1119" s="28" t="str">
        <f>HYPERLINK("http://api.nsgreg.nga.mil/geo-division/GENC/6/ed3/DO-27","as:GENC:6:ed3:DO-27")</f>
        <v>as:GENC:6:ed3:DO-27</v>
      </c>
    </row>
    <row r="1120" spans="1:7" x14ac:dyDescent="0.2">
      <c r="A1120" s="86"/>
      <c r="B1120" s="29" t="s">
        <v>12327</v>
      </c>
      <c r="C1120" s="29" t="s">
        <v>12328</v>
      </c>
      <c r="D1120" s="29" t="s">
        <v>2087</v>
      </c>
      <c r="E1120" s="30" t="b">
        <v>1</v>
      </c>
      <c r="F1120" s="31" t="str">
        <f>HYPERLINK("http://nsgreg.nga.mil/genc/view?v=118835&amp;gencs=T&amp;end_month=12&amp;end_day=31&amp;end_year=2014","Yuma")</f>
        <v>Yuma</v>
      </c>
      <c r="G1120" s="32" t="str">
        <f>HYPERLINK("http://api.nsgreg.nga.mil/geo-division/GENC/6/ed3/DO-42","as:GENC:6:ed3:DO-42")</f>
        <v>as:GENC:6:ed3:DO-42</v>
      </c>
    </row>
    <row r="1121" spans="1:7" x14ac:dyDescent="0.2">
      <c r="A1121" s="84" t="str">
        <f>HYPERLINK("[#]Codes_for_GE_Names!A76:I76","ECUADOR")</f>
        <v>ECUADOR</v>
      </c>
      <c r="B1121" s="33" t="s">
        <v>3953</v>
      </c>
      <c r="C1121" s="33" t="s">
        <v>3954</v>
      </c>
      <c r="D1121" s="33" t="s">
        <v>1719</v>
      </c>
      <c r="E1121" s="34" t="b">
        <v>1</v>
      </c>
      <c r="F1121" s="35" t="str">
        <f>HYPERLINK("http://nsgreg.nga.mil/genc/view?v=118884&amp;gencs=T&amp;end_month=12&amp;end_day=31&amp;end_year=2014","Azuay")</f>
        <v>Azuay</v>
      </c>
      <c r="G1121" s="36" t="str">
        <f>HYPERLINK("http://api.nsgreg.nga.mil/geo-division/GENC/6/ed3/EC-A","as:GENC:6:ed3:EC-A")</f>
        <v>as:GENC:6:ed3:EC-A</v>
      </c>
    </row>
    <row r="1122" spans="1:7" x14ac:dyDescent="0.2">
      <c r="A1122" s="85"/>
      <c r="B1122" s="25" t="s">
        <v>3955</v>
      </c>
      <c r="C1122" s="25" t="s">
        <v>3384</v>
      </c>
      <c r="D1122" s="25" t="s">
        <v>1719</v>
      </c>
      <c r="E1122" s="26" t="b">
        <v>1</v>
      </c>
      <c r="F1122" s="27" t="str">
        <f>HYPERLINK("http://nsgreg.nga.mil/genc/view?v=118885&amp;gencs=T&amp;end_month=12&amp;end_day=31&amp;end_year=2014","Bolívar")</f>
        <v>Bolívar</v>
      </c>
      <c r="G1122" s="28" t="str">
        <f>HYPERLINK("http://api.nsgreg.nga.mil/geo-division/GENC/6/ed3/EC-B","as:GENC:6:ed3:EC-B")</f>
        <v>as:GENC:6:ed3:EC-B</v>
      </c>
    </row>
    <row r="1123" spans="1:7" x14ac:dyDescent="0.2">
      <c r="A1123" s="85"/>
      <c r="B1123" s="25" t="s">
        <v>3958</v>
      </c>
      <c r="C1123" s="25" t="s">
        <v>3959</v>
      </c>
      <c r="D1123" s="25" t="s">
        <v>1719</v>
      </c>
      <c r="E1123" s="26" t="b">
        <v>1</v>
      </c>
      <c r="F1123" s="27" t="str">
        <f>HYPERLINK("http://nsgreg.nga.mil/genc/view?v=118889&amp;gencs=T&amp;end_month=12&amp;end_day=31&amp;end_year=2014","Cañar")</f>
        <v>Cañar</v>
      </c>
      <c r="G1123" s="28" t="str">
        <f>HYPERLINK("http://api.nsgreg.nga.mil/geo-division/GENC/6/ed3/EC-F","as:GENC:6:ed3:EC-F")</f>
        <v>as:GENC:6:ed3:EC-F</v>
      </c>
    </row>
    <row r="1124" spans="1:7" x14ac:dyDescent="0.2">
      <c r="A1124" s="85"/>
      <c r="B1124" s="25" t="s">
        <v>3956</v>
      </c>
      <c r="C1124" s="25" t="s">
        <v>3957</v>
      </c>
      <c r="D1124" s="25" t="s">
        <v>1719</v>
      </c>
      <c r="E1124" s="26" t="b">
        <v>1</v>
      </c>
      <c r="F1124" s="27" t="str">
        <f>HYPERLINK("http://nsgreg.nga.mil/genc/view?v=118886&amp;gencs=T&amp;end_month=12&amp;end_day=31&amp;end_year=2014","Carchi")</f>
        <v>Carchi</v>
      </c>
      <c r="G1124" s="28" t="str">
        <f>HYPERLINK("http://api.nsgreg.nga.mil/geo-division/GENC/6/ed3/EC-C","as:GENC:6:ed3:EC-C")</f>
        <v>as:GENC:6:ed3:EC-C</v>
      </c>
    </row>
    <row r="1125" spans="1:7" x14ac:dyDescent="0.2">
      <c r="A1125" s="85"/>
      <c r="B1125" s="25" t="s">
        <v>3960</v>
      </c>
      <c r="C1125" s="25" t="s">
        <v>3961</v>
      </c>
      <c r="D1125" s="25" t="s">
        <v>1719</v>
      </c>
      <c r="E1125" s="26" t="b">
        <v>1</v>
      </c>
      <c r="F1125" s="27" t="str">
        <f>HYPERLINK("http://nsgreg.nga.mil/genc/view?v=118891&amp;gencs=T&amp;end_month=12&amp;end_day=31&amp;end_year=2014","Chimborazo")</f>
        <v>Chimborazo</v>
      </c>
      <c r="G1125" s="28" t="str">
        <f>HYPERLINK("http://api.nsgreg.nga.mil/geo-division/GENC/6/ed3/EC-H","as:GENC:6:ed3:EC-H")</f>
        <v>as:GENC:6:ed3:EC-H</v>
      </c>
    </row>
    <row r="1126" spans="1:7" x14ac:dyDescent="0.2">
      <c r="A1126" s="85"/>
      <c r="B1126" s="25" t="s">
        <v>3962</v>
      </c>
      <c r="C1126" s="25" t="s">
        <v>3963</v>
      </c>
      <c r="D1126" s="25" t="s">
        <v>1719</v>
      </c>
      <c r="E1126" s="26" t="b">
        <v>1</v>
      </c>
      <c r="F1126" s="27" t="str">
        <f>HYPERLINK("http://nsgreg.nga.mil/genc/view?v=118905&amp;gencs=T&amp;end_month=12&amp;end_day=31&amp;end_year=2014","Cotopaxi")</f>
        <v>Cotopaxi</v>
      </c>
      <c r="G1126" s="28" t="str">
        <f>HYPERLINK("http://api.nsgreg.nga.mil/geo-division/GENC/6/ed3/EC-X","as:GENC:6:ed3:EC-X")</f>
        <v>as:GENC:6:ed3:EC-X</v>
      </c>
    </row>
    <row r="1127" spans="1:7" x14ac:dyDescent="0.2">
      <c r="A1127" s="85"/>
      <c r="B1127" s="25" t="s">
        <v>3964</v>
      </c>
      <c r="C1127" s="25" t="s">
        <v>3965</v>
      </c>
      <c r="D1127" s="25" t="s">
        <v>1719</v>
      </c>
      <c r="E1127" s="26" t="b">
        <v>1</v>
      </c>
      <c r="F1127" s="27" t="str">
        <f>HYPERLINK("http://nsgreg.nga.mil/genc/view?v=118896&amp;gencs=T&amp;end_month=12&amp;end_day=31&amp;end_year=2014","El Oro")</f>
        <v>El Oro</v>
      </c>
      <c r="G1127" s="28" t="str">
        <f>HYPERLINK("http://api.nsgreg.nga.mil/geo-division/GENC/6/ed3/EC-O","as:GENC:6:ed3:EC-O")</f>
        <v>as:GENC:6:ed3:EC-O</v>
      </c>
    </row>
    <row r="1128" spans="1:7" x14ac:dyDescent="0.2">
      <c r="A1128" s="85"/>
      <c r="B1128" s="25" t="s">
        <v>3966</v>
      </c>
      <c r="C1128" s="25" t="s">
        <v>3967</v>
      </c>
      <c r="D1128" s="25" t="s">
        <v>1719</v>
      </c>
      <c r="E1128" s="26" t="b">
        <v>1</v>
      </c>
      <c r="F1128" s="27" t="str">
        <f>HYPERLINK("http://nsgreg.nga.mil/genc/view?v=118888&amp;gencs=T&amp;end_month=12&amp;end_day=31&amp;end_year=2014","Esmeraldas")</f>
        <v>Esmeraldas</v>
      </c>
      <c r="G1128" s="28" t="str">
        <f>HYPERLINK("http://api.nsgreg.nga.mil/geo-division/GENC/6/ed3/EC-E","as:GENC:6:ed3:EC-E")</f>
        <v>as:GENC:6:ed3:EC-E</v>
      </c>
    </row>
    <row r="1129" spans="1:7" x14ac:dyDescent="0.2">
      <c r="A1129" s="85"/>
      <c r="B1129" s="25" t="s">
        <v>3968</v>
      </c>
      <c r="C1129" s="25" t="s">
        <v>3969</v>
      </c>
      <c r="D1129" s="25" t="s">
        <v>1719</v>
      </c>
      <c r="E1129" s="26" t="b">
        <v>1</v>
      </c>
      <c r="F1129" s="27" t="str">
        <f>HYPERLINK("http://nsgreg.nga.mil/genc/view?v=118904&amp;gencs=T&amp;end_month=12&amp;end_day=31&amp;end_year=2014","Galápagos")</f>
        <v>Galápagos</v>
      </c>
      <c r="G1129" s="28" t="str">
        <f>HYPERLINK("http://api.nsgreg.nga.mil/geo-division/GENC/6/ed3/EC-W","as:GENC:6:ed3:EC-W")</f>
        <v>as:GENC:6:ed3:EC-W</v>
      </c>
    </row>
    <row r="1130" spans="1:7" x14ac:dyDescent="0.2">
      <c r="A1130" s="85"/>
      <c r="B1130" s="25" t="s">
        <v>3970</v>
      </c>
      <c r="C1130" s="25" t="s">
        <v>3971</v>
      </c>
      <c r="D1130" s="25" t="s">
        <v>1719</v>
      </c>
      <c r="E1130" s="26" t="b">
        <v>1</v>
      </c>
      <c r="F1130" s="27" t="str">
        <f>HYPERLINK("http://nsgreg.nga.mil/genc/view?v=118890&amp;gencs=T&amp;end_month=12&amp;end_day=31&amp;end_year=2014","Guayas")</f>
        <v>Guayas</v>
      </c>
      <c r="G1130" s="28" t="str">
        <f>HYPERLINK("http://api.nsgreg.nga.mil/geo-division/GENC/6/ed3/EC-G","as:GENC:6:ed3:EC-G")</f>
        <v>as:GENC:6:ed3:EC-G</v>
      </c>
    </row>
    <row r="1131" spans="1:7" x14ac:dyDescent="0.2">
      <c r="A1131" s="85"/>
      <c r="B1131" s="25" t="s">
        <v>3972</v>
      </c>
      <c r="C1131" s="25" t="s">
        <v>3973</v>
      </c>
      <c r="D1131" s="25" t="s">
        <v>1719</v>
      </c>
      <c r="E1131" s="26" t="b">
        <v>1</v>
      </c>
      <c r="F1131" s="27" t="str">
        <f>HYPERLINK("http://nsgreg.nga.mil/genc/view?v=118892&amp;gencs=T&amp;end_month=12&amp;end_day=31&amp;end_year=2014","Imbabura")</f>
        <v>Imbabura</v>
      </c>
      <c r="G1131" s="28" t="str">
        <f>HYPERLINK("http://api.nsgreg.nga.mil/geo-division/GENC/6/ed3/EC-I","as:GENC:6:ed3:EC-I")</f>
        <v>as:GENC:6:ed3:EC-I</v>
      </c>
    </row>
    <row r="1132" spans="1:7" x14ac:dyDescent="0.2">
      <c r="A1132" s="85"/>
      <c r="B1132" s="25" t="s">
        <v>3974</v>
      </c>
      <c r="C1132" s="25" t="s">
        <v>3975</v>
      </c>
      <c r="D1132" s="25" t="s">
        <v>1719</v>
      </c>
      <c r="E1132" s="26" t="b">
        <v>1</v>
      </c>
      <c r="F1132" s="27" t="str">
        <f>HYPERLINK("http://nsgreg.nga.mil/genc/view?v=118893&amp;gencs=T&amp;end_month=12&amp;end_day=31&amp;end_year=2014","Loja")</f>
        <v>Loja</v>
      </c>
      <c r="G1132" s="28" t="str">
        <f>HYPERLINK("http://api.nsgreg.nga.mil/geo-division/GENC/6/ed3/EC-L","as:GENC:6:ed3:EC-L")</f>
        <v>as:GENC:6:ed3:EC-L</v>
      </c>
    </row>
    <row r="1133" spans="1:7" x14ac:dyDescent="0.2">
      <c r="A1133" s="85"/>
      <c r="B1133" s="25" t="s">
        <v>3976</v>
      </c>
      <c r="C1133" s="25" t="s">
        <v>3294</v>
      </c>
      <c r="D1133" s="25" t="s">
        <v>1719</v>
      </c>
      <c r="E1133" s="26" t="b">
        <v>1</v>
      </c>
      <c r="F1133" s="27" t="str">
        <f>HYPERLINK("http://nsgreg.nga.mil/genc/view?v=118898&amp;gencs=T&amp;end_month=12&amp;end_day=31&amp;end_year=2014","Los Ríos")</f>
        <v>Los Ríos</v>
      </c>
      <c r="G1133" s="28" t="str">
        <f>HYPERLINK("http://api.nsgreg.nga.mil/geo-division/GENC/6/ed3/EC-R","as:GENC:6:ed3:EC-R")</f>
        <v>as:GENC:6:ed3:EC-R</v>
      </c>
    </row>
    <row r="1134" spans="1:7" x14ac:dyDescent="0.2">
      <c r="A1134" s="85"/>
      <c r="B1134" s="25" t="s">
        <v>3977</v>
      </c>
      <c r="C1134" s="25" t="s">
        <v>3978</v>
      </c>
      <c r="D1134" s="25" t="s">
        <v>1719</v>
      </c>
      <c r="E1134" s="26" t="b">
        <v>1</v>
      </c>
      <c r="F1134" s="27" t="str">
        <f>HYPERLINK("http://nsgreg.nga.mil/genc/view?v=118894&amp;gencs=T&amp;end_month=12&amp;end_day=31&amp;end_year=2014","Manabí")</f>
        <v>Manabí</v>
      </c>
      <c r="G1134" s="28" t="str">
        <f>HYPERLINK("http://api.nsgreg.nga.mil/geo-division/GENC/6/ed3/EC-M","as:GENC:6:ed3:EC-M")</f>
        <v>as:GENC:6:ed3:EC-M</v>
      </c>
    </row>
    <row r="1135" spans="1:7" x14ac:dyDescent="0.2">
      <c r="A1135" s="85"/>
      <c r="B1135" s="25" t="s">
        <v>3979</v>
      </c>
      <c r="C1135" s="25" t="s">
        <v>3980</v>
      </c>
      <c r="D1135" s="25" t="s">
        <v>1719</v>
      </c>
      <c r="E1135" s="26" t="b">
        <v>1</v>
      </c>
      <c r="F1135" s="27" t="str">
        <f>HYPERLINK("http://nsgreg.nga.mil/genc/view?v=118899&amp;gencs=T&amp;end_month=12&amp;end_day=31&amp;end_year=2014","Morona-Santiago")</f>
        <v>Morona-Santiago</v>
      </c>
      <c r="G1135" s="28" t="str">
        <f>HYPERLINK("http://api.nsgreg.nga.mil/geo-division/GENC/6/ed3/EC-S","as:GENC:6:ed3:EC-S")</f>
        <v>as:GENC:6:ed3:EC-S</v>
      </c>
    </row>
    <row r="1136" spans="1:7" x14ac:dyDescent="0.2">
      <c r="A1136" s="85"/>
      <c r="B1136" s="25" t="s">
        <v>3981</v>
      </c>
      <c r="C1136" s="25" t="s">
        <v>3982</v>
      </c>
      <c r="D1136" s="25" t="s">
        <v>1719</v>
      </c>
      <c r="E1136" s="26" t="b">
        <v>1</v>
      </c>
      <c r="F1136" s="27" t="str">
        <f>HYPERLINK("http://nsgreg.nga.mil/genc/view?v=118895&amp;gencs=T&amp;end_month=12&amp;end_day=31&amp;end_year=2014","Napo")</f>
        <v>Napo</v>
      </c>
      <c r="G1136" s="28" t="str">
        <f>HYPERLINK("http://api.nsgreg.nga.mil/geo-division/GENC/6/ed3/EC-N","as:GENC:6:ed3:EC-N")</f>
        <v>as:GENC:6:ed3:EC-N</v>
      </c>
    </row>
    <row r="1137" spans="1:7" x14ac:dyDescent="0.2">
      <c r="A1137" s="85"/>
      <c r="B1137" s="25" t="s">
        <v>3983</v>
      </c>
      <c r="C1137" s="25" t="s">
        <v>3984</v>
      </c>
      <c r="D1137" s="25" t="s">
        <v>1719</v>
      </c>
      <c r="E1137" s="26" t="b">
        <v>1</v>
      </c>
      <c r="F1137" s="27" t="str">
        <f>HYPERLINK("http://nsgreg.nga.mil/genc/view?v=118887&amp;gencs=T&amp;end_month=12&amp;end_day=31&amp;end_year=2014","Orellana")</f>
        <v>Orellana</v>
      </c>
      <c r="G1137" s="28" t="str">
        <f>HYPERLINK("http://api.nsgreg.nga.mil/geo-division/GENC/6/ed3/EC-D","as:GENC:6:ed3:EC-D")</f>
        <v>as:GENC:6:ed3:EC-D</v>
      </c>
    </row>
    <row r="1138" spans="1:7" x14ac:dyDescent="0.2">
      <c r="A1138" s="85"/>
      <c r="B1138" s="25" t="s">
        <v>3985</v>
      </c>
      <c r="C1138" s="25" t="s">
        <v>3986</v>
      </c>
      <c r="D1138" s="25" t="s">
        <v>1719</v>
      </c>
      <c r="E1138" s="26" t="b">
        <v>1</v>
      </c>
      <c r="F1138" s="27" t="str">
        <f>HYPERLINK("http://nsgreg.nga.mil/genc/view?v=118906&amp;gencs=T&amp;end_month=12&amp;end_day=31&amp;end_year=2014","Pastaza")</f>
        <v>Pastaza</v>
      </c>
      <c r="G1138" s="28" t="str">
        <f>HYPERLINK("http://api.nsgreg.nga.mil/geo-division/GENC/6/ed3/EC-Y","as:GENC:6:ed3:EC-Y")</f>
        <v>as:GENC:6:ed3:EC-Y</v>
      </c>
    </row>
    <row r="1139" spans="1:7" x14ac:dyDescent="0.2">
      <c r="A1139" s="85"/>
      <c r="B1139" s="25" t="s">
        <v>3987</v>
      </c>
      <c r="C1139" s="25" t="s">
        <v>3988</v>
      </c>
      <c r="D1139" s="25" t="s">
        <v>1719</v>
      </c>
      <c r="E1139" s="26" t="b">
        <v>1</v>
      </c>
      <c r="F1139" s="27" t="str">
        <f>HYPERLINK("http://nsgreg.nga.mil/genc/view?v=118897&amp;gencs=T&amp;end_month=12&amp;end_day=31&amp;end_year=2014","Pichincha")</f>
        <v>Pichincha</v>
      </c>
      <c r="G1139" s="28" t="str">
        <f>HYPERLINK("http://api.nsgreg.nga.mil/geo-division/GENC/6/ed3/EC-P","as:GENC:6:ed3:EC-P")</f>
        <v>as:GENC:6:ed3:EC-P</v>
      </c>
    </row>
    <row r="1140" spans="1:7" x14ac:dyDescent="0.2">
      <c r="A1140" s="85"/>
      <c r="B1140" s="25" t="s">
        <v>3989</v>
      </c>
      <c r="C1140" s="25" t="s">
        <v>3990</v>
      </c>
      <c r="D1140" s="25" t="s">
        <v>1719</v>
      </c>
      <c r="E1140" s="26" t="b">
        <v>1</v>
      </c>
      <c r="F1140" s="27" t="str">
        <f>HYPERLINK("http://nsgreg.nga.mil/genc/view?v=118901&amp;gencs=T&amp;end_month=12&amp;end_day=31&amp;end_year=2014","Santa Elena")</f>
        <v>Santa Elena</v>
      </c>
      <c r="G1140" s="28" t="str">
        <f>HYPERLINK("http://api.nsgreg.nga.mil/geo-division/GENC/6/ed3/EC-SE","as:GENC:6:ed3:EC-SE")</f>
        <v>as:GENC:6:ed3:EC-SE</v>
      </c>
    </row>
    <row r="1141" spans="1:7" x14ac:dyDescent="0.2">
      <c r="A1141" s="85"/>
      <c r="B1141" s="25" t="s">
        <v>3991</v>
      </c>
      <c r="C1141" s="25" t="s">
        <v>3992</v>
      </c>
      <c r="D1141" s="25" t="s">
        <v>1719</v>
      </c>
      <c r="E1141" s="26" t="b">
        <v>1</v>
      </c>
      <c r="F1141" s="27" t="str">
        <f>HYPERLINK("http://nsgreg.nga.mil/genc/view?v=118900&amp;gencs=T&amp;end_month=12&amp;end_day=31&amp;end_year=2014","Santo Domingo de los Tsáchilas")</f>
        <v>Santo Domingo de los Tsáchilas</v>
      </c>
      <c r="G1141" s="28" t="str">
        <f>HYPERLINK("http://api.nsgreg.nga.mil/geo-division/GENC/6/ed3/EC-SD","as:GENC:6:ed3:EC-SD")</f>
        <v>as:GENC:6:ed3:EC-SD</v>
      </c>
    </row>
    <row r="1142" spans="1:7" x14ac:dyDescent="0.2">
      <c r="A1142" s="85"/>
      <c r="B1142" s="25" t="s">
        <v>3993</v>
      </c>
      <c r="C1142" s="25" t="s">
        <v>3994</v>
      </c>
      <c r="D1142" s="25" t="s">
        <v>1719</v>
      </c>
      <c r="E1142" s="26" t="b">
        <v>1</v>
      </c>
      <c r="F1142" s="27" t="str">
        <f>HYPERLINK("http://nsgreg.nga.mil/genc/view?v=118903&amp;gencs=T&amp;end_month=12&amp;end_day=31&amp;end_year=2014","Sucumbíos")</f>
        <v>Sucumbíos</v>
      </c>
      <c r="G1142" s="28" t="str">
        <f>HYPERLINK("http://api.nsgreg.nga.mil/geo-division/GENC/6/ed3/EC-U","as:GENC:6:ed3:EC-U")</f>
        <v>as:GENC:6:ed3:EC-U</v>
      </c>
    </row>
    <row r="1143" spans="1:7" x14ac:dyDescent="0.2">
      <c r="A1143" s="85"/>
      <c r="B1143" s="25" t="s">
        <v>3995</v>
      </c>
      <c r="C1143" s="25" t="s">
        <v>3996</v>
      </c>
      <c r="D1143" s="25" t="s">
        <v>1719</v>
      </c>
      <c r="E1143" s="26" t="b">
        <v>1</v>
      </c>
      <c r="F1143" s="27" t="str">
        <f>HYPERLINK("http://nsgreg.nga.mil/genc/view?v=118902&amp;gencs=T&amp;end_month=12&amp;end_day=31&amp;end_year=2014","Tungurahua")</f>
        <v>Tungurahua</v>
      </c>
      <c r="G1143" s="28" t="str">
        <f>HYPERLINK("http://api.nsgreg.nga.mil/geo-division/GENC/6/ed3/EC-T","as:GENC:6:ed3:EC-T")</f>
        <v>as:GENC:6:ed3:EC-T</v>
      </c>
    </row>
    <row r="1144" spans="1:7" x14ac:dyDescent="0.2">
      <c r="A1144" s="86"/>
      <c r="B1144" s="29" t="s">
        <v>3997</v>
      </c>
      <c r="C1144" s="29" t="s">
        <v>3998</v>
      </c>
      <c r="D1144" s="29" t="s">
        <v>1719</v>
      </c>
      <c r="E1144" s="30" t="b">
        <v>1</v>
      </c>
      <c r="F1144" s="31" t="str">
        <f>HYPERLINK("http://nsgreg.nga.mil/genc/view?v=118907&amp;gencs=T&amp;end_month=12&amp;end_day=31&amp;end_year=2014","Zamora-Chinchipe")</f>
        <v>Zamora-Chinchipe</v>
      </c>
      <c r="G1144" s="32" t="str">
        <f>HYPERLINK("http://api.nsgreg.nga.mil/geo-division/GENC/6/ed3/EC-Z","as:GENC:6:ed3:EC-Z")</f>
        <v>as:GENC:6:ed3:EC-Z</v>
      </c>
    </row>
    <row r="1145" spans="1:7" x14ac:dyDescent="0.2">
      <c r="A1145" s="84" t="str">
        <f>HYPERLINK("[#]Codes_for_GE_Names!A77:I77","EGYPT")</f>
        <v>EGYPT</v>
      </c>
      <c r="B1145" s="33" t="s">
        <v>3999</v>
      </c>
      <c r="C1145" s="33" t="s">
        <v>4000</v>
      </c>
      <c r="D1145" s="33" t="s">
        <v>2365</v>
      </c>
      <c r="E1145" s="34" t="b">
        <v>1</v>
      </c>
      <c r="F1145" s="35" t="str">
        <f>HYPERLINK("http://nsgreg.nga.mil/genc/view?v=118930&amp;gencs=T&amp;end_month=12&amp;end_day=31&amp;end_year=2014","Ad Daqahlīyah")</f>
        <v>Ad Daqahlīyah</v>
      </c>
      <c r="G1145" s="36" t="str">
        <f>HYPERLINK("http://api.nsgreg.nga.mil/geo-division/GENC/6/ed3/EG-DK","as:GENC:6:ed3:EG-DK")</f>
        <v>as:GENC:6:ed3:EG-DK</v>
      </c>
    </row>
    <row r="1146" spans="1:7" x14ac:dyDescent="0.2">
      <c r="A1146" s="85"/>
      <c r="B1146" s="25" t="s">
        <v>4001</v>
      </c>
      <c r="C1146" s="25" t="s">
        <v>4002</v>
      </c>
      <c r="D1146" s="25" t="s">
        <v>2365</v>
      </c>
      <c r="E1146" s="26" t="b">
        <v>1</v>
      </c>
      <c r="F1146" s="27" t="str">
        <f>HYPERLINK("http://nsgreg.nga.mil/genc/view?v=118926&amp;gencs=T&amp;end_month=12&amp;end_day=31&amp;end_year=2014","Al Baḩr al Aḩmar")</f>
        <v>Al Baḩr al Aḩmar</v>
      </c>
      <c r="G1146" s="28" t="str">
        <f>HYPERLINK("http://api.nsgreg.nga.mil/geo-division/GENC/6/ed3/EG-BA","as:GENC:6:ed3:EG-BA")</f>
        <v>as:GENC:6:ed3:EG-BA</v>
      </c>
    </row>
    <row r="1147" spans="1:7" x14ac:dyDescent="0.2">
      <c r="A1147" s="85"/>
      <c r="B1147" s="25" t="s">
        <v>4003</v>
      </c>
      <c r="C1147" s="25" t="s">
        <v>4004</v>
      </c>
      <c r="D1147" s="25" t="s">
        <v>2365</v>
      </c>
      <c r="E1147" s="26" t="b">
        <v>1</v>
      </c>
      <c r="F1147" s="27" t="str">
        <f>HYPERLINK("http://nsgreg.nga.mil/genc/view?v=118927&amp;gencs=T&amp;end_month=12&amp;end_day=31&amp;end_year=2014","Al Buḩayrah")</f>
        <v>Al Buḩayrah</v>
      </c>
      <c r="G1147" s="28" t="str">
        <f>HYPERLINK("http://api.nsgreg.nga.mil/geo-division/GENC/6/ed3/EG-BH","as:GENC:6:ed3:EG-BH")</f>
        <v>as:GENC:6:ed3:EG-BH</v>
      </c>
    </row>
    <row r="1148" spans="1:7" x14ac:dyDescent="0.2">
      <c r="A1148" s="85"/>
      <c r="B1148" s="25" t="s">
        <v>4005</v>
      </c>
      <c r="C1148" s="25" t="s">
        <v>4006</v>
      </c>
      <c r="D1148" s="25" t="s">
        <v>2365</v>
      </c>
      <c r="E1148" s="26" t="b">
        <v>1</v>
      </c>
      <c r="F1148" s="27" t="str">
        <f>HYPERLINK("http://nsgreg.nga.mil/genc/view?v=118932&amp;gencs=T&amp;end_month=12&amp;end_day=31&amp;end_year=2014","Al Fayyūm")</f>
        <v>Al Fayyūm</v>
      </c>
      <c r="G1148" s="28" t="str">
        <f>HYPERLINK("http://api.nsgreg.nga.mil/geo-division/GENC/6/ed3/EG-FYM","as:GENC:6:ed3:EG-FYM")</f>
        <v>as:GENC:6:ed3:EG-FYM</v>
      </c>
    </row>
    <row r="1149" spans="1:7" x14ac:dyDescent="0.2">
      <c r="A1149" s="85"/>
      <c r="B1149" s="25" t="s">
        <v>4007</v>
      </c>
      <c r="C1149" s="25" t="s">
        <v>4008</v>
      </c>
      <c r="D1149" s="25" t="s">
        <v>2365</v>
      </c>
      <c r="E1149" s="26" t="b">
        <v>1</v>
      </c>
      <c r="F1149" s="27" t="str">
        <f>HYPERLINK("http://nsgreg.nga.mil/genc/view?v=118933&amp;gencs=T&amp;end_month=12&amp;end_day=31&amp;end_year=2014","Al Gharbīyah")</f>
        <v>Al Gharbīyah</v>
      </c>
      <c r="G1149" s="28" t="str">
        <f>HYPERLINK("http://api.nsgreg.nga.mil/geo-division/GENC/6/ed3/EG-GH","as:GENC:6:ed3:EG-GH")</f>
        <v>as:GENC:6:ed3:EG-GH</v>
      </c>
    </row>
    <row r="1150" spans="1:7" x14ac:dyDescent="0.2">
      <c r="A1150" s="85"/>
      <c r="B1150" s="25" t="s">
        <v>4009</v>
      </c>
      <c r="C1150" s="25" t="s">
        <v>4010</v>
      </c>
      <c r="D1150" s="25" t="s">
        <v>2365</v>
      </c>
      <c r="E1150" s="26" t="b">
        <v>1</v>
      </c>
      <c r="F1150" s="27" t="str">
        <f>HYPERLINK("http://nsgreg.nga.mil/genc/view?v=118923&amp;gencs=T&amp;end_month=12&amp;end_day=31&amp;end_year=2014","Al Iskandarīyah")</f>
        <v>Al Iskandarīyah</v>
      </c>
      <c r="G1150" s="28" t="str">
        <f>HYPERLINK("http://api.nsgreg.nga.mil/geo-division/GENC/6/ed3/EG-ALX","as:GENC:6:ed3:EG-ALX")</f>
        <v>as:GENC:6:ed3:EG-ALX</v>
      </c>
    </row>
    <row r="1151" spans="1:7" x14ac:dyDescent="0.2">
      <c r="A1151" s="85"/>
      <c r="B1151" s="25" t="s">
        <v>4011</v>
      </c>
      <c r="C1151" s="25" t="s">
        <v>12329</v>
      </c>
      <c r="D1151" s="25" t="s">
        <v>2365</v>
      </c>
      <c r="E1151" s="26" t="b">
        <v>1</v>
      </c>
      <c r="F1151" s="27" t="str">
        <f>HYPERLINK("http://nsgreg.nga.mil/genc/view?v=118936&amp;gencs=T&amp;end_month=12&amp;end_day=31&amp;end_year=2014","Al Ismā‘īlīyah")</f>
        <v>Al Ismā‘īlīyah</v>
      </c>
      <c r="G1151" s="28" t="str">
        <f>HYPERLINK("http://api.nsgreg.nga.mil/geo-division/GENC/6/ed3/EG-IS","as:GENC:6:ed3:EG-IS")</f>
        <v>as:GENC:6:ed3:EG-IS</v>
      </c>
    </row>
    <row r="1152" spans="1:7" x14ac:dyDescent="0.2">
      <c r="A1152" s="85"/>
      <c r="B1152" s="25" t="s">
        <v>4013</v>
      </c>
      <c r="C1152" s="25" t="s">
        <v>4014</v>
      </c>
      <c r="D1152" s="25" t="s">
        <v>2365</v>
      </c>
      <c r="E1152" s="26" t="b">
        <v>1</v>
      </c>
      <c r="F1152" s="27" t="str">
        <f>HYPERLINK("http://nsgreg.nga.mil/genc/view?v=118934&amp;gencs=T&amp;end_month=12&amp;end_day=31&amp;end_year=2014","Al Jīzah")</f>
        <v>Al Jīzah</v>
      </c>
      <c r="G1152" s="28" t="str">
        <f>HYPERLINK("http://api.nsgreg.nga.mil/geo-division/GENC/6/ed3/EG-GZ","as:GENC:6:ed3:EG-GZ")</f>
        <v>as:GENC:6:ed3:EG-GZ</v>
      </c>
    </row>
    <row r="1153" spans="1:7" x14ac:dyDescent="0.2">
      <c r="A1153" s="85"/>
      <c r="B1153" s="25" t="s">
        <v>4017</v>
      </c>
      <c r="C1153" s="25" t="s">
        <v>4018</v>
      </c>
      <c r="D1153" s="25" t="s">
        <v>2365</v>
      </c>
      <c r="E1153" s="26" t="b">
        <v>1</v>
      </c>
      <c r="F1153" s="27" t="str">
        <f>HYPERLINK("http://nsgreg.nga.mil/genc/view?v=118943&amp;gencs=T&amp;end_month=12&amp;end_day=31&amp;end_year=2014","Al Minūfīyah")</f>
        <v>Al Minūfīyah</v>
      </c>
      <c r="G1153" s="28" t="str">
        <f>HYPERLINK("http://api.nsgreg.nga.mil/geo-division/GENC/6/ed3/EG-MNF","as:GENC:6:ed3:EG-MNF")</f>
        <v>as:GENC:6:ed3:EG-MNF</v>
      </c>
    </row>
    <row r="1154" spans="1:7" x14ac:dyDescent="0.2">
      <c r="A1154" s="85"/>
      <c r="B1154" s="25" t="s">
        <v>4015</v>
      </c>
      <c r="C1154" s="25" t="s">
        <v>4016</v>
      </c>
      <c r="D1154" s="25" t="s">
        <v>2365</v>
      </c>
      <c r="E1154" s="26" t="b">
        <v>1</v>
      </c>
      <c r="F1154" s="27" t="str">
        <f>HYPERLINK("http://nsgreg.nga.mil/genc/view?v=118942&amp;gencs=T&amp;end_month=12&amp;end_day=31&amp;end_year=2014","Al Minyā")</f>
        <v>Al Minyā</v>
      </c>
      <c r="G1154" s="28" t="str">
        <f>HYPERLINK("http://api.nsgreg.nga.mil/geo-division/GENC/6/ed3/EG-MN","as:GENC:6:ed3:EG-MN")</f>
        <v>as:GENC:6:ed3:EG-MN</v>
      </c>
    </row>
    <row r="1155" spans="1:7" x14ac:dyDescent="0.2">
      <c r="A1155" s="85"/>
      <c r="B1155" s="25" t="s">
        <v>4021</v>
      </c>
      <c r="C1155" s="25" t="s">
        <v>4022</v>
      </c>
      <c r="D1155" s="25" t="s">
        <v>2365</v>
      </c>
      <c r="E1155" s="26" t="b">
        <v>1</v>
      </c>
      <c r="F1155" s="27" t="str">
        <f>HYPERLINK("http://nsgreg.nga.mil/genc/view?v=118929&amp;gencs=T&amp;end_month=12&amp;end_day=31&amp;end_year=2014","Al Qāhirah")</f>
        <v>Al Qāhirah</v>
      </c>
      <c r="G1155" s="28" t="str">
        <f>HYPERLINK("http://api.nsgreg.nga.mil/geo-division/GENC/6/ed3/EG-C","as:GENC:6:ed3:EG-C")</f>
        <v>as:GENC:6:ed3:EG-C</v>
      </c>
    </row>
    <row r="1156" spans="1:7" x14ac:dyDescent="0.2">
      <c r="A1156" s="85"/>
      <c r="B1156" s="25" t="s">
        <v>4019</v>
      </c>
      <c r="C1156" s="25" t="s">
        <v>4020</v>
      </c>
      <c r="D1156" s="25" t="s">
        <v>2365</v>
      </c>
      <c r="E1156" s="26" t="b">
        <v>1</v>
      </c>
      <c r="F1156" s="27" t="str">
        <f>HYPERLINK("http://nsgreg.nga.mil/genc/view?v=118938&amp;gencs=T&amp;end_month=12&amp;end_day=31&amp;end_year=2014","Al Qalyūbīyah")</f>
        <v>Al Qalyūbīyah</v>
      </c>
      <c r="G1156" s="28" t="str">
        <f>HYPERLINK("http://api.nsgreg.nga.mil/geo-division/GENC/6/ed3/EG-KB","as:GENC:6:ed3:EG-KB")</f>
        <v>as:GENC:6:ed3:EG-KB</v>
      </c>
    </row>
    <row r="1157" spans="1:7" x14ac:dyDescent="0.2">
      <c r="A1157" s="85"/>
      <c r="B1157" s="25" t="s">
        <v>4023</v>
      </c>
      <c r="C1157" s="25" t="s">
        <v>4024</v>
      </c>
      <c r="D1157" s="25" t="s">
        <v>2365</v>
      </c>
      <c r="E1157" s="26" t="b">
        <v>1</v>
      </c>
      <c r="F1157" s="27" t="str">
        <f>HYPERLINK("http://nsgreg.nga.mil/genc/view?v=118941&amp;gencs=T&amp;end_month=12&amp;end_day=31&amp;end_year=2014","Al Uqşur")</f>
        <v>Al Uqşur</v>
      </c>
      <c r="G1157" s="28" t="str">
        <f>HYPERLINK("http://api.nsgreg.nga.mil/geo-division/GENC/6/ed3/EG-LX","as:GENC:6:ed3:EG-LX")</f>
        <v>as:GENC:6:ed3:EG-LX</v>
      </c>
    </row>
    <row r="1158" spans="1:7" x14ac:dyDescent="0.2">
      <c r="A1158" s="85"/>
      <c r="B1158" s="25" t="s">
        <v>4025</v>
      </c>
      <c r="C1158" s="25" t="s">
        <v>4026</v>
      </c>
      <c r="D1158" s="25" t="s">
        <v>2365</v>
      </c>
      <c r="E1158" s="26" t="b">
        <v>1</v>
      </c>
      <c r="F1158" s="27" t="str">
        <f>HYPERLINK("http://nsgreg.nga.mil/genc/view?v=118951&amp;gencs=T&amp;end_month=12&amp;end_day=31&amp;end_year=2014","Al Wādī al Jadīd")</f>
        <v>Al Wādī al Jadīd</v>
      </c>
      <c r="G1158" s="28" t="str">
        <f>HYPERLINK("http://api.nsgreg.nga.mil/geo-division/GENC/6/ed3/EG-WAD","as:GENC:6:ed3:EG-WAD")</f>
        <v>as:GENC:6:ed3:EG-WAD</v>
      </c>
    </row>
    <row r="1159" spans="1:7" x14ac:dyDescent="0.2">
      <c r="A1159" s="85"/>
      <c r="B1159" s="25" t="s">
        <v>4031</v>
      </c>
      <c r="C1159" s="25" t="s">
        <v>4032</v>
      </c>
      <c r="D1159" s="25" t="s">
        <v>2365</v>
      </c>
      <c r="E1159" s="26" t="b">
        <v>1</v>
      </c>
      <c r="F1159" s="27" t="str">
        <f>HYPERLINK("http://nsgreg.nga.mil/genc/view?v=118947&amp;gencs=T&amp;end_month=12&amp;end_day=31&amp;end_year=2014","Ash Sharqīyah")</f>
        <v>Ash Sharqīyah</v>
      </c>
      <c r="G1159" s="28" t="str">
        <f>HYPERLINK("http://api.nsgreg.nga.mil/geo-division/GENC/6/ed3/EG-SHR","as:GENC:6:ed3:EG-SHR")</f>
        <v>as:GENC:6:ed3:EG-SHR</v>
      </c>
    </row>
    <row r="1160" spans="1:7" x14ac:dyDescent="0.2">
      <c r="A1160" s="85"/>
      <c r="B1160" s="25" t="s">
        <v>4027</v>
      </c>
      <c r="C1160" s="25" t="s">
        <v>4028</v>
      </c>
      <c r="D1160" s="25" t="s">
        <v>2365</v>
      </c>
      <c r="E1160" s="26" t="b">
        <v>1</v>
      </c>
      <c r="F1160" s="27" t="str">
        <f>HYPERLINK("http://nsgreg.nga.mil/genc/view?v=118950&amp;gencs=T&amp;end_month=12&amp;end_day=31&amp;end_year=2014","As Suways")</f>
        <v>As Suways</v>
      </c>
      <c r="G1160" s="28" t="str">
        <f>HYPERLINK("http://api.nsgreg.nga.mil/geo-division/GENC/6/ed3/EG-SUZ","as:GENC:6:ed3:EG-SUZ")</f>
        <v>as:GENC:6:ed3:EG-SUZ</v>
      </c>
    </row>
    <row r="1161" spans="1:7" x14ac:dyDescent="0.2">
      <c r="A1161" s="85"/>
      <c r="B1161" s="25" t="s">
        <v>4033</v>
      </c>
      <c r="C1161" s="25" t="s">
        <v>4034</v>
      </c>
      <c r="D1161" s="25" t="s">
        <v>2365</v>
      </c>
      <c r="E1161" s="26" t="b">
        <v>1</v>
      </c>
      <c r="F1161" s="27" t="str">
        <f>HYPERLINK("http://nsgreg.nga.mil/genc/view?v=118924&amp;gencs=T&amp;end_month=12&amp;end_day=31&amp;end_year=2014","Aswān")</f>
        <v>Aswān</v>
      </c>
      <c r="G1161" s="28" t="str">
        <f>HYPERLINK("http://api.nsgreg.nga.mil/geo-division/GENC/6/ed3/EG-ASN","as:GENC:6:ed3:EG-ASN")</f>
        <v>as:GENC:6:ed3:EG-ASN</v>
      </c>
    </row>
    <row r="1162" spans="1:7" x14ac:dyDescent="0.2">
      <c r="A1162" s="85"/>
      <c r="B1162" s="25" t="s">
        <v>4035</v>
      </c>
      <c r="C1162" s="25" t="s">
        <v>4036</v>
      </c>
      <c r="D1162" s="25" t="s">
        <v>2365</v>
      </c>
      <c r="E1162" s="26" t="b">
        <v>1</v>
      </c>
      <c r="F1162" s="27" t="str">
        <f>HYPERLINK("http://nsgreg.nga.mil/genc/view?v=118925&amp;gencs=T&amp;end_month=12&amp;end_day=31&amp;end_year=2014","Asyūţ")</f>
        <v>Asyūţ</v>
      </c>
      <c r="G1162" s="28" t="str">
        <f>HYPERLINK("http://api.nsgreg.nga.mil/geo-division/GENC/6/ed3/EG-AST","as:GENC:6:ed3:EG-AST")</f>
        <v>as:GENC:6:ed3:EG-AST</v>
      </c>
    </row>
    <row r="1163" spans="1:7" x14ac:dyDescent="0.2">
      <c r="A1163" s="85"/>
      <c r="B1163" s="25" t="s">
        <v>4037</v>
      </c>
      <c r="C1163" s="25" t="s">
        <v>4038</v>
      </c>
      <c r="D1163" s="25" t="s">
        <v>2365</v>
      </c>
      <c r="E1163" s="26" t="b">
        <v>1</v>
      </c>
      <c r="F1163" s="27" t="str">
        <f>HYPERLINK("http://nsgreg.nga.mil/genc/view?v=118928&amp;gencs=T&amp;end_month=12&amp;end_day=31&amp;end_year=2014","Banī Suwayf")</f>
        <v>Banī Suwayf</v>
      </c>
      <c r="G1163" s="28" t="str">
        <f>HYPERLINK("http://api.nsgreg.nga.mil/geo-division/GENC/6/ed3/EG-BNS","as:GENC:6:ed3:EG-BNS")</f>
        <v>as:GENC:6:ed3:EG-BNS</v>
      </c>
    </row>
    <row r="1164" spans="1:7" x14ac:dyDescent="0.2">
      <c r="A1164" s="85"/>
      <c r="B1164" s="25" t="s">
        <v>4039</v>
      </c>
      <c r="C1164" s="25" t="s">
        <v>12330</v>
      </c>
      <c r="D1164" s="25" t="s">
        <v>2365</v>
      </c>
      <c r="E1164" s="26" t="b">
        <v>1</v>
      </c>
      <c r="F1164" s="27" t="str">
        <f>HYPERLINK("http://nsgreg.nga.mil/genc/view?v=118945&amp;gencs=T&amp;end_month=12&amp;end_day=31&amp;end_year=2014","Būr Sa‘īd")</f>
        <v>Būr Sa‘īd</v>
      </c>
      <c r="G1164" s="28" t="str">
        <f>HYPERLINK("http://api.nsgreg.nga.mil/geo-division/GENC/6/ed3/EG-PTS","as:GENC:6:ed3:EG-PTS")</f>
        <v>as:GENC:6:ed3:EG-PTS</v>
      </c>
    </row>
    <row r="1165" spans="1:7" x14ac:dyDescent="0.2">
      <c r="A1165" s="85"/>
      <c r="B1165" s="25" t="s">
        <v>4041</v>
      </c>
      <c r="C1165" s="25" t="s">
        <v>4042</v>
      </c>
      <c r="D1165" s="25" t="s">
        <v>2365</v>
      </c>
      <c r="E1165" s="26" t="b">
        <v>1</v>
      </c>
      <c r="F1165" s="27" t="str">
        <f>HYPERLINK("http://nsgreg.nga.mil/genc/view?v=118931&amp;gencs=T&amp;end_month=12&amp;end_day=31&amp;end_year=2014","Dumyāţ")</f>
        <v>Dumyāţ</v>
      </c>
      <c r="G1165" s="28" t="str">
        <f>HYPERLINK("http://api.nsgreg.nga.mil/geo-division/GENC/6/ed3/EG-DT","as:GENC:6:ed3:EG-DT")</f>
        <v>as:GENC:6:ed3:EG-DT</v>
      </c>
    </row>
    <row r="1166" spans="1:7" x14ac:dyDescent="0.2">
      <c r="A1166" s="85"/>
      <c r="B1166" s="25" t="s">
        <v>4045</v>
      </c>
      <c r="C1166" s="25" t="s">
        <v>12331</v>
      </c>
      <c r="D1166" s="25" t="s">
        <v>2365</v>
      </c>
      <c r="E1166" s="26" t="b">
        <v>1</v>
      </c>
      <c r="F1166" s="27" t="str">
        <f>HYPERLINK("http://nsgreg.nga.mil/genc/view?v=118937&amp;gencs=T&amp;end_month=12&amp;end_day=31&amp;end_year=2014","Janūb Sīnā’")</f>
        <v>Janūb Sīnā’</v>
      </c>
      <c r="G1166" s="28" t="str">
        <f>HYPERLINK("http://api.nsgreg.nga.mil/geo-division/GENC/6/ed3/EG-JS","as:GENC:6:ed3:EG-JS")</f>
        <v>as:GENC:6:ed3:EG-JS</v>
      </c>
    </row>
    <row r="1167" spans="1:7" x14ac:dyDescent="0.2">
      <c r="A1167" s="85"/>
      <c r="B1167" s="25" t="s">
        <v>4047</v>
      </c>
      <c r="C1167" s="25" t="s">
        <v>4048</v>
      </c>
      <c r="D1167" s="25" t="s">
        <v>2365</v>
      </c>
      <c r="E1167" s="26" t="b">
        <v>1</v>
      </c>
      <c r="F1167" s="27" t="str">
        <f>HYPERLINK("http://nsgreg.nga.mil/genc/view?v=118939&amp;gencs=T&amp;end_month=12&amp;end_day=31&amp;end_year=2014","Kafr ash Shaykh")</f>
        <v>Kafr ash Shaykh</v>
      </c>
      <c r="G1167" s="28" t="str">
        <f>HYPERLINK("http://api.nsgreg.nga.mil/geo-division/GENC/6/ed3/EG-KFS","as:GENC:6:ed3:EG-KFS")</f>
        <v>as:GENC:6:ed3:EG-KFS</v>
      </c>
    </row>
    <row r="1168" spans="1:7" x14ac:dyDescent="0.2">
      <c r="A1168" s="85"/>
      <c r="B1168" s="25" t="s">
        <v>4049</v>
      </c>
      <c r="C1168" s="25" t="s">
        <v>4050</v>
      </c>
      <c r="D1168" s="25" t="s">
        <v>2365</v>
      </c>
      <c r="E1168" s="26" t="b">
        <v>1</v>
      </c>
      <c r="F1168" s="27" t="str">
        <f>HYPERLINK("http://nsgreg.nga.mil/genc/view?v=118944&amp;gencs=T&amp;end_month=12&amp;end_day=31&amp;end_year=2014","Maţrūḩ")</f>
        <v>Maţrūḩ</v>
      </c>
      <c r="G1168" s="28" t="str">
        <f>HYPERLINK("http://api.nsgreg.nga.mil/geo-division/GENC/6/ed3/EG-MT","as:GENC:6:ed3:EG-MT")</f>
        <v>as:GENC:6:ed3:EG-MT</v>
      </c>
    </row>
    <row r="1169" spans="1:7" x14ac:dyDescent="0.2">
      <c r="A1169" s="85"/>
      <c r="B1169" s="25" t="s">
        <v>4051</v>
      </c>
      <c r="C1169" s="25" t="s">
        <v>4052</v>
      </c>
      <c r="D1169" s="25" t="s">
        <v>2365</v>
      </c>
      <c r="E1169" s="26" t="b">
        <v>1</v>
      </c>
      <c r="F1169" s="27" t="str">
        <f>HYPERLINK("http://nsgreg.nga.mil/genc/view?v=118940&amp;gencs=T&amp;end_month=12&amp;end_day=31&amp;end_year=2014","Qinā")</f>
        <v>Qinā</v>
      </c>
      <c r="G1169" s="28" t="str">
        <f>HYPERLINK("http://api.nsgreg.nga.mil/geo-division/GENC/6/ed3/EG-KN","as:GENC:6:ed3:EG-KN")</f>
        <v>as:GENC:6:ed3:EG-KN</v>
      </c>
    </row>
    <row r="1170" spans="1:7" x14ac:dyDescent="0.2">
      <c r="A1170" s="85"/>
      <c r="B1170" s="25" t="s">
        <v>4053</v>
      </c>
      <c r="C1170" s="25" t="s">
        <v>12332</v>
      </c>
      <c r="D1170" s="25" t="s">
        <v>2365</v>
      </c>
      <c r="E1170" s="26" t="b">
        <v>1</v>
      </c>
      <c r="F1170" s="27" t="str">
        <f>HYPERLINK("http://nsgreg.nga.mil/genc/view?v=118948&amp;gencs=T&amp;end_month=12&amp;end_day=31&amp;end_year=2014","Shamāl Sīnā’")</f>
        <v>Shamāl Sīnā’</v>
      </c>
      <c r="G1170" s="28" t="str">
        <f>HYPERLINK("http://api.nsgreg.nga.mil/geo-division/GENC/6/ed3/EG-SIN","as:GENC:6:ed3:EG-SIN")</f>
        <v>as:GENC:6:ed3:EG-SIN</v>
      </c>
    </row>
    <row r="1171" spans="1:7" x14ac:dyDescent="0.2">
      <c r="A1171" s="86"/>
      <c r="B1171" s="29" t="s">
        <v>4055</v>
      </c>
      <c r="C1171" s="29" t="s">
        <v>4056</v>
      </c>
      <c r="D1171" s="29" t="s">
        <v>2365</v>
      </c>
      <c r="E1171" s="30" t="b">
        <v>1</v>
      </c>
      <c r="F1171" s="31" t="str">
        <f>HYPERLINK("http://nsgreg.nga.mil/genc/view?v=118946&amp;gencs=T&amp;end_month=12&amp;end_day=31&amp;end_year=2014","Sūhāj")</f>
        <v>Sūhāj</v>
      </c>
      <c r="G1171" s="32" t="str">
        <f>HYPERLINK("http://api.nsgreg.nga.mil/geo-division/GENC/6/ed3/EG-SHG","as:GENC:6:ed3:EG-SHG")</f>
        <v>as:GENC:6:ed3:EG-SHG</v>
      </c>
    </row>
    <row r="1172" spans="1:7" x14ac:dyDescent="0.2">
      <c r="A1172" s="84" t="str">
        <f>HYPERLINK("[#]Codes_for_GE_Names!A78:I78","EL SALVADOR")</f>
        <v>EL SALVADOR</v>
      </c>
      <c r="B1172" s="33" t="s">
        <v>4057</v>
      </c>
      <c r="C1172" s="33" t="s">
        <v>4058</v>
      </c>
      <c r="D1172" s="33" t="s">
        <v>2590</v>
      </c>
      <c r="E1172" s="34" t="b">
        <v>1</v>
      </c>
      <c r="F1172" s="35" t="str">
        <f>HYPERLINK("http://nsgreg.nga.mil/genc/view?v=122114&amp;gencs=T&amp;end_month=12&amp;end_day=31&amp;end_year=2014","Ahuachapán")</f>
        <v>Ahuachapán</v>
      </c>
      <c r="G1172" s="36" t="str">
        <f>HYPERLINK("http://api.nsgreg.nga.mil/geo-division/GENC/6/ed3/SV-AH","as:GENC:6:ed3:SV-AH")</f>
        <v>as:GENC:6:ed3:SV-AH</v>
      </c>
    </row>
    <row r="1173" spans="1:7" x14ac:dyDescent="0.2">
      <c r="A1173" s="85"/>
      <c r="B1173" s="25" t="s">
        <v>4059</v>
      </c>
      <c r="C1173" s="25" t="s">
        <v>4060</v>
      </c>
      <c r="D1173" s="25" t="s">
        <v>2590</v>
      </c>
      <c r="E1173" s="26" t="b">
        <v>1</v>
      </c>
      <c r="F1173" s="27" t="str">
        <f>HYPERLINK("http://nsgreg.nga.mil/genc/view?v=122115&amp;gencs=T&amp;end_month=12&amp;end_day=31&amp;end_year=2014","Cabañas")</f>
        <v>Cabañas</v>
      </c>
      <c r="G1173" s="28" t="str">
        <f>HYPERLINK("http://api.nsgreg.nga.mil/geo-division/GENC/6/ed3/SV-CA","as:GENC:6:ed3:SV-CA")</f>
        <v>as:GENC:6:ed3:SV-CA</v>
      </c>
    </row>
    <row r="1174" spans="1:7" x14ac:dyDescent="0.2">
      <c r="A1174" s="85"/>
      <c r="B1174" s="25" t="s">
        <v>4061</v>
      </c>
      <c r="C1174" s="25" t="s">
        <v>4062</v>
      </c>
      <c r="D1174" s="25" t="s">
        <v>2590</v>
      </c>
      <c r="E1174" s="26" t="b">
        <v>1</v>
      </c>
      <c r="F1174" s="27" t="str">
        <f>HYPERLINK("http://nsgreg.nga.mil/genc/view?v=122116&amp;gencs=T&amp;end_month=12&amp;end_day=31&amp;end_year=2014","Chalatenango")</f>
        <v>Chalatenango</v>
      </c>
      <c r="G1174" s="28" t="str">
        <f>HYPERLINK("http://api.nsgreg.nga.mil/geo-division/GENC/6/ed3/SV-CH","as:GENC:6:ed3:SV-CH")</f>
        <v>as:GENC:6:ed3:SV-CH</v>
      </c>
    </row>
    <row r="1175" spans="1:7" x14ac:dyDescent="0.2">
      <c r="A1175" s="85"/>
      <c r="B1175" s="25" t="s">
        <v>4063</v>
      </c>
      <c r="C1175" s="25" t="s">
        <v>4064</v>
      </c>
      <c r="D1175" s="25" t="s">
        <v>2590</v>
      </c>
      <c r="E1175" s="26" t="b">
        <v>1</v>
      </c>
      <c r="F1175" s="27" t="str">
        <f>HYPERLINK("http://nsgreg.nga.mil/genc/view?v=122117&amp;gencs=T&amp;end_month=12&amp;end_day=31&amp;end_year=2014","Cuscatlán")</f>
        <v>Cuscatlán</v>
      </c>
      <c r="G1175" s="28" t="str">
        <f>HYPERLINK("http://api.nsgreg.nga.mil/geo-division/GENC/6/ed3/SV-CU","as:GENC:6:ed3:SV-CU")</f>
        <v>as:GENC:6:ed3:SV-CU</v>
      </c>
    </row>
    <row r="1176" spans="1:7" x14ac:dyDescent="0.2">
      <c r="A1176" s="85"/>
      <c r="B1176" s="25" t="s">
        <v>4065</v>
      </c>
      <c r="C1176" s="25" t="s">
        <v>4066</v>
      </c>
      <c r="D1176" s="25" t="s">
        <v>2590</v>
      </c>
      <c r="E1176" s="26" t="b">
        <v>1</v>
      </c>
      <c r="F1176" s="27" t="str">
        <f>HYPERLINK("http://nsgreg.nga.mil/genc/view?v=122118&amp;gencs=T&amp;end_month=12&amp;end_day=31&amp;end_year=2014","La Libertad")</f>
        <v>La Libertad</v>
      </c>
      <c r="G1176" s="28" t="str">
        <f>HYPERLINK("http://api.nsgreg.nga.mil/geo-division/GENC/6/ed3/SV-LI","as:GENC:6:ed3:SV-LI")</f>
        <v>as:GENC:6:ed3:SV-LI</v>
      </c>
    </row>
    <row r="1177" spans="1:7" x14ac:dyDescent="0.2">
      <c r="A1177" s="85"/>
      <c r="B1177" s="25" t="s">
        <v>4067</v>
      </c>
      <c r="C1177" s="25" t="s">
        <v>2661</v>
      </c>
      <c r="D1177" s="25" t="s">
        <v>2590</v>
      </c>
      <c r="E1177" s="26" t="b">
        <v>1</v>
      </c>
      <c r="F1177" s="27" t="str">
        <f>HYPERLINK("http://nsgreg.nga.mil/genc/view?v=122120&amp;gencs=T&amp;end_month=12&amp;end_day=31&amp;end_year=2014","La Paz")</f>
        <v>La Paz</v>
      </c>
      <c r="G1177" s="28" t="str">
        <f>HYPERLINK("http://api.nsgreg.nga.mil/geo-division/GENC/6/ed3/SV-PA","as:GENC:6:ed3:SV-PA")</f>
        <v>as:GENC:6:ed3:SV-PA</v>
      </c>
    </row>
    <row r="1178" spans="1:7" x14ac:dyDescent="0.2">
      <c r="A1178" s="85"/>
      <c r="B1178" s="25" t="s">
        <v>4068</v>
      </c>
      <c r="C1178" s="25" t="s">
        <v>4069</v>
      </c>
      <c r="D1178" s="25" t="s">
        <v>2590</v>
      </c>
      <c r="E1178" s="26" t="b">
        <v>1</v>
      </c>
      <c r="F1178" s="27" t="str">
        <f>HYPERLINK("http://nsgreg.nga.mil/genc/view?v=122126&amp;gencs=T&amp;end_month=12&amp;end_day=31&amp;end_year=2014","La Unión")</f>
        <v>La Unión</v>
      </c>
      <c r="G1178" s="28" t="str">
        <f>HYPERLINK("http://api.nsgreg.nga.mil/geo-division/GENC/6/ed3/SV-UN","as:GENC:6:ed3:SV-UN")</f>
        <v>as:GENC:6:ed3:SV-UN</v>
      </c>
    </row>
    <row r="1179" spans="1:7" x14ac:dyDescent="0.2">
      <c r="A1179" s="85"/>
      <c r="B1179" s="25" t="s">
        <v>4070</v>
      </c>
      <c r="C1179" s="25" t="s">
        <v>4071</v>
      </c>
      <c r="D1179" s="25" t="s">
        <v>2590</v>
      </c>
      <c r="E1179" s="26" t="b">
        <v>1</v>
      </c>
      <c r="F1179" s="27" t="str">
        <f>HYPERLINK("http://nsgreg.nga.mil/genc/view?v=122119&amp;gencs=T&amp;end_month=12&amp;end_day=31&amp;end_year=2014","Morazán")</f>
        <v>Morazán</v>
      </c>
      <c r="G1179" s="28" t="str">
        <f>HYPERLINK("http://api.nsgreg.nga.mil/geo-division/GENC/6/ed3/SV-MO","as:GENC:6:ed3:SV-MO")</f>
        <v>as:GENC:6:ed3:SV-MO</v>
      </c>
    </row>
    <row r="1180" spans="1:7" x14ac:dyDescent="0.2">
      <c r="A1180" s="85"/>
      <c r="B1180" s="25" t="s">
        <v>4072</v>
      </c>
      <c r="C1180" s="25" t="s">
        <v>4073</v>
      </c>
      <c r="D1180" s="25" t="s">
        <v>2590</v>
      </c>
      <c r="E1180" s="26" t="b">
        <v>1</v>
      </c>
      <c r="F1180" s="27" t="str">
        <f>HYPERLINK("http://nsgreg.nga.mil/genc/view?v=122122&amp;gencs=T&amp;end_month=12&amp;end_day=31&amp;end_year=2014","San Miguel")</f>
        <v>San Miguel</v>
      </c>
      <c r="G1180" s="28" t="str">
        <f>HYPERLINK("http://api.nsgreg.nga.mil/geo-division/GENC/6/ed3/SV-SM","as:GENC:6:ed3:SV-SM")</f>
        <v>as:GENC:6:ed3:SV-SM</v>
      </c>
    </row>
    <row r="1181" spans="1:7" x14ac:dyDescent="0.2">
      <c r="A1181" s="85"/>
      <c r="B1181" s="25" t="s">
        <v>4074</v>
      </c>
      <c r="C1181" s="25" t="s">
        <v>2352</v>
      </c>
      <c r="D1181" s="25" t="s">
        <v>2590</v>
      </c>
      <c r="E1181" s="26" t="b">
        <v>1</v>
      </c>
      <c r="F1181" s="27" t="str">
        <f>HYPERLINK("http://nsgreg.nga.mil/genc/view?v=122124&amp;gencs=T&amp;end_month=12&amp;end_day=31&amp;end_year=2014","San Salvador")</f>
        <v>San Salvador</v>
      </c>
      <c r="G1181" s="28" t="str">
        <f>HYPERLINK("http://api.nsgreg.nga.mil/geo-division/GENC/6/ed3/SV-SS","as:GENC:6:ed3:SV-SS")</f>
        <v>as:GENC:6:ed3:SV-SS</v>
      </c>
    </row>
    <row r="1182" spans="1:7" x14ac:dyDescent="0.2">
      <c r="A1182" s="85"/>
      <c r="B1182" s="25" t="s">
        <v>4077</v>
      </c>
      <c r="C1182" s="25" t="s">
        <v>4078</v>
      </c>
      <c r="D1182" s="25" t="s">
        <v>2590</v>
      </c>
      <c r="E1182" s="26" t="b">
        <v>1</v>
      </c>
      <c r="F1182" s="27" t="str">
        <f>HYPERLINK("http://nsgreg.nga.mil/genc/view?v=122121&amp;gencs=T&amp;end_month=12&amp;end_day=31&amp;end_year=2014","Santa Ana")</f>
        <v>Santa Ana</v>
      </c>
      <c r="G1182" s="28" t="str">
        <f>HYPERLINK("http://api.nsgreg.nga.mil/geo-division/GENC/6/ed3/SV-SA","as:GENC:6:ed3:SV-SA")</f>
        <v>as:GENC:6:ed3:SV-SA</v>
      </c>
    </row>
    <row r="1183" spans="1:7" x14ac:dyDescent="0.2">
      <c r="A1183" s="85"/>
      <c r="B1183" s="25" t="s">
        <v>4075</v>
      </c>
      <c r="C1183" s="25" t="s">
        <v>4076</v>
      </c>
      <c r="D1183" s="25" t="s">
        <v>2590</v>
      </c>
      <c r="E1183" s="26" t="b">
        <v>1</v>
      </c>
      <c r="F1183" s="27" t="str">
        <f>HYPERLINK("http://nsgreg.nga.mil/genc/view?v=122125&amp;gencs=T&amp;end_month=12&amp;end_day=31&amp;end_year=2014","San Vicente")</f>
        <v>San Vicente</v>
      </c>
      <c r="G1183" s="28" t="str">
        <f>HYPERLINK("http://api.nsgreg.nga.mil/geo-division/GENC/6/ed3/SV-SV","as:GENC:6:ed3:SV-SV")</f>
        <v>as:GENC:6:ed3:SV-SV</v>
      </c>
    </row>
    <row r="1184" spans="1:7" x14ac:dyDescent="0.2">
      <c r="A1184" s="85"/>
      <c r="B1184" s="25" t="s">
        <v>4079</v>
      </c>
      <c r="C1184" s="25" t="s">
        <v>4080</v>
      </c>
      <c r="D1184" s="25" t="s">
        <v>2590</v>
      </c>
      <c r="E1184" s="26" t="b">
        <v>1</v>
      </c>
      <c r="F1184" s="27" t="str">
        <f>HYPERLINK("http://nsgreg.nga.mil/genc/view?v=122123&amp;gencs=T&amp;end_month=12&amp;end_day=31&amp;end_year=2014","Sonsonate")</f>
        <v>Sonsonate</v>
      </c>
      <c r="G1184" s="28" t="str">
        <f>HYPERLINK("http://api.nsgreg.nga.mil/geo-division/GENC/6/ed3/SV-SO","as:GENC:6:ed3:SV-SO")</f>
        <v>as:GENC:6:ed3:SV-SO</v>
      </c>
    </row>
    <row r="1185" spans="1:7" x14ac:dyDescent="0.2">
      <c r="A1185" s="86"/>
      <c r="B1185" s="29" t="s">
        <v>4081</v>
      </c>
      <c r="C1185" s="29" t="s">
        <v>4082</v>
      </c>
      <c r="D1185" s="29" t="s">
        <v>2590</v>
      </c>
      <c r="E1185" s="30" t="b">
        <v>1</v>
      </c>
      <c r="F1185" s="31" t="str">
        <f>HYPERLINK("http://nsgreg.nga.mil/genc/view?v=122127&amp;gencs=T&amp;end_month=12&amp;end_day=31&amp;end_year=2014","Usulután")</f>
        <v>Usulután</v>
      </c>
      <c r="G1185" s="32" t="str">
        <f>HYPERLINK("http://api.nsgreg.nga.mil/geo-division/GENC/6/ed3/SV-US","as:GENC:6:ed3:SV-US")</f>
        <v>as:GENC:6:ed3:SV-US</v>
      </c>
    </row>
    <row r="1186" spans="1:7" x14ac:dyDescent="0.2">
      <c r="A1186" s="84" t="str">
        <f>HYPERLINK("[#]Codes_for_GE_Names!A85:I85","EQUATORIAL GUINEA")</f>
        <v>EQUATORIAL GUINEA</v>
      </c>
      <c r="B1186" s="33" t="s">
        <v>4083</v>
      </c>
      <c r="C1186" s="33" t="s">
        <v>4085</v>
      </c>
      <c r="D1186" s="33" t="s">
        <v>1719</v>
      </c>
      <c r="E1186" s="34" t="b">
        <v>1</v>
      </c>
      <c r="F1186" s="35" t="str">
        <f>HYPERLINK("http://nsgreg.nga.mil/genc/view?v=211825&amp;end_month=12&amp;end_day=31&amp;end_year=2014","Annobón")</f>
        <v>Annobón</v>
      </c>
      <c r="G1186" s="36" t="str">
        <f>HYPERLINK("http://api.nsgreg.nga.mil/geo-division/GENC/6/ed3/GQ-AN","as:GENC:6:ed3:GQ-AN")</f>
        <v>as:GENC:6:ed3:GQ-AN</v>
      </c>
    </row>
    <row r="1187" spans="1:7" x14ac:dyDescent="0.2">
      <c r="A1187" s="85"/>
      <c r="B1187" s="25" t="s">
        <v>4087</v>
      </c>
      <c r="C1187" s="25" t="s">
        <v>4089</v>
      </c>
      <c r="D1187" s="25" t="s">
        <v>1719</v>
      </c>
      <c r="E1187" s="26" t="b">
        <v>1</v>
      </c>
      <c r="F1187" s="27" t="str">
        <f>HYPERLINK("http://nsgreg.nga.mil/genc/view?v=211826&amp;end_month=12&amp;end_day=31&amp;end_year=2014","Bioko Norte")</f>
        <v>Bioko Norte</v>
      </c>
      <c r="G1187" s="28" t="str">
        <f>HYPERLINK("http://api.nsgreg.nga.mil/geo-division/GENC/6/ed3/GQ-BN","as:GENC:6:ed3:GQ-BN")</f>
        <v>as:GENC:6:ed3:GQ-BN</v>
      </c>
    </row>
    <row r="1188" spans="1:7" x14ac:dyDescent="0.2">
      <c r="A1188" s="85"/>
      <c r="B1188" s="25" t="s">
        <v>4090</v>
      </c>
      <c r="C1188" s="25" t="s">
        <v>4093</v>
      </c>
      <c r="D1188" s="25" t="s">
        <v>1719</v>
      </c>
      <c r="E1188" s="26" t="b">
        <v>1</v>
      </c>
      <c r="F1188" s="27" t="str">
        <f>HYPERLINK("http://nsgreg.nga.mil/genc/view?v=211827&amp;end_month=12&amp;end_day=31&amp;end_year=2014","Bioko Sur")</f>
        <v>Bioko Sur</v>
      </c>
      <c r="G1188" s="28" t="str">
        <f>HYPERLINK("http://api.nsgreg.nga.mil/geo-division/GENC/6/ed3/GQ-BS","as:GENC:6:ed3:GQ-BS")</f>
        <v>as:GENC:6:ed3:GQ-BS</v>
      </c>
    </row>
    <row r="1189" spans="1:7" x14ac:dyDescent="0.2">
      <c r="A1189" s="85"/>
      <c r="B1189" s="25" t="s">
        <v>4094</v>
      </c>
      <c r="C1189" s="25" t="s">
        <v>4097</v>
      </c>
      <c r="D1189" s="25" t="s">
        <v>1719</v>
      </c>
      <c r="E1189" s="26" t="b">
        <v>1</v>
      </c>
      <c r="F1189" s="27" t="str">
        <f>HYPERLINK("http://nsgreg.nga.mil/genc/view?v=211829&amp;end_month=12&amp;end_day=31&amp;end_year=2014","Centro Sur")</f>
        <v>Centro Sur</v>
      </c>
      <c r="G1189" s="28" t="str">
        <f>HYPERLINK("http://api.nsgreg.nga.mil/geo-division/GENC/6/ed3/GQ-CS","as:GENC:6:ed3:GQ-CS")</f>
        <v>as:GENC:6:ed3:GQ-CS</v>
      </c>
    </row>
    <row r="1190" spans="1:7" x14ac:dyDescent="0.2">
      <c r="A1190" s="85"/>
      <c r="B1190" s="25" t="s">
        <v>4098</v>
      </c>
      <c r="C1190" s="25" t="s">
        <v>4099</v>
      </c>
      <c r="D1190" s="25" t="s">
        <v>1719</v>
      </c>
      <c r="E1190" s="26" t="b">
        <v>1</v>
      </c>
      <c r="F1190" s="27" t="str">
        <f>HYPERLINK("http://nsgreg.nga.mil/genc/view?v=211831&amp;end_month=12&amp;end_day=31&amp;end_year=2014","Kié-Ntem")</f>
        <v>Kié-Ntem</v>
      </c>
      <c r="G1190" s="28" t="str">
        <f>HYPERLINK("http://api.nsgreg.nga.mil/geo-division/GENC/6/ed3/GQ-KN","as:GENC:6:ed3:GQ-KN")</f>
        <v>as:GENC:6:ed3:GQ-KN</v>
      </c>
    </row>
    <row r="1191" spans="1:7" x14ac:dyDescent="0.2">
      <c r="A1191" s="85"/>
      <c r="B1191" s="25" t="s">
        <v>4100</v>
      </c>
      <c r="C1191" s="25" t="s">
        <v>4101</v>
      </c>
      <c r="D1191" s="25" t="s">
        <v>1719</v>
      </c>
      <c r="E1191" s="26" t="b">
        <v>1</v>
      </c>
      <c r="F1191" s="27" t="str">
        <f>HYPERLINK("http://nsgreg.nga.mil/genc/view?v=211832&amp;end_month=12&amp;end_day=31&amp;end_year=2014","Litoral")</f>
        <v>Litoral</v>
      </c>
      <c r="G1191" s="28" t="str">
        <f>HYPERLINK("http://api.nsgreg.nga.mil/geo-division/GENC/6/ed3/GQ-LI","as:GENC:6:ed3:GQ-LI")</f>
        <v>as:GENC:6:ed3:GQ-LI</v>
      </c>
    </row>
    <row r="1192" spans="1:7" x14ac:dyDescent="0.2">
      <c r="A1192" s="85"/>
      <c r="B1192" s="25" t="s">
        <v>4102</v>
      </c>
      <c r="C1192" s="25" t="s">
        <v>4106</v>
      </c>
      <c r="D1192" s="37" t="s">
        <v>2087</v>
      </c>
      <c r="E1192" s="38" t="b">
        <v>0</v>
      </c>
      <c r="F1192" s="27" t="str">
        <f>HYPERLINK("http://nsgreg.nga.mil/genc/view?v=211828&amp;end_month=12&amp;end_day=31&amp;end_year=2014","Región Continental")</f>
        <v>Región Continental</v>
      </c>
      <c r="G1192" s="28" t="str">
        <f>HYPERLINK("http://api.nsgreg.nga.mil/geo-division/GENC/6/ed3/GQ-C","as:GENC:6:ed3:GQ-C")</f>
        <v>as:GENC:6:ed3:GQ-C</v>
      </c>
    </row>
    <row r="1193" spans="1:7" x14ac:dyDescent="0.2">
      <c r="A1193" s="85"/>
      <c r="B1193" s="25" t="s">
        <v>4104</v>
      </c>
      <c r="C1193" s="25" t="s">
        <v>4107</v>
      </c>
      <c r="D1193" s="37" t="s">
        <v>2087</v>
      </c>
      <c r="E1193" s="38" t="b">
        <v>0</v>
      </c>
      <c r="F1193" s="27" t="str">
        <f>HYPERLINK("http://nsgreg.nga.mil/genc/view?v=211830&amp;end_month=12&amp;end_day=31&amp;end_year=2014","Región Insular")</f>
        <v>Región Insular</v>
      </c>
      <c r="G1193" s="28" t="str">
        <f>HYPERLINK("http://api.nsgreg.nga.mil/geo-division/GENC/6/ed3/GQ-I","as:GENC:6:ed3:GQ-I")</f>
        <v>as:GENC:6:ed3:GQ-I</v>
      </c>
    </row>
    <row r="1194" spans="1:7" x14ac:dyDescent="0.2">
      <c r="A1194" s="86"/>
      <c r="B1194" s="29" t="s">
        <v>4110</v>
      </c>
      <c r="C1194" s="29" t="s">
        <v>4111</v>
      </c>
      <c r="D1194" s="29" t="s">
        <v>1719</v>
      </c>
      <c r="E1194" s="30" t="b">
        <v>1</v>
      </c>
      <c r="F1194" s="31" t="str">
        <f>HYPERLINK("http://nsgreg.nga.mil/genc/view?v=211833&amp;end_month=12&amp;end_day=31&amp;end_year=2014","Wele-Nzas")</f>
        <v>Wele-Nzas</v>
      </c>
      <c r="G1194" s="32" t="str">
        <f>HYPERLINK("http://api.nsgreg.nga.mil/geo-division/GENC/6/ed3/GQ-WN","as:GENC:6:ed3:GQ-WN")</f>
        <v>as:GENC:6:ed3:GQ-WN</v>
      </c>
    </row>
    <row r="1195" spans="1:7" x14ac:dyDescent="0.2">
      <c r="A1195" s="84" t="str">
        <f>HYPERLINK("[#]Codes_for_GE_Names!A86:I86","ERITREA")</f>
        <v>ERITREA</v>
      </c>
      <c r="B1195" s="33" t="s">
        <v>4113</v>
      </c>
      <c r="C1195" s="33" t="s">
        <v>12333</v>
      </c>
      <c r="D1195" s="33" t="s">
        <v>2087</v>
      </c>
      <c r="E1195" s="34" t="b">
        <v>1</v>
      </c>
      <c r="F1195" s="35" t="str">
        <f>HYPERLINK("http://nsgreg.nga.mil/genc/view?v=211593&amp;end_month=12&amp;end_day=31&amp;end_year=2014","Ānseba")</f>
        <v>Ānseba</v>
      </c>
      <c r="G1195" s="36" t="str">
        <f>HYPERLINK("http://api.nsgreg.nga.mil/geo-division/GENC/6/ed3/ER-AN","as:GENC:6:ed3:ER-AN")</f>
        <v>as:GENC:6:ed3:ER-AN</v>
      </c>
    </row>
    <row r="1196" spans="1:7" x14ac:dyDescent="0.2">
      <c r="A1196" s="85"/>
      <c r="B1196" s="25" t="s">
        <v>4115</v>
      </c>
      <c r="C1196" s="25" t="s">
        <v>4116</v>
      </c>
      <c r="D1196" s="25" t="s">
        <v>2087</v>
      </c>
      <c r="E1196" s="26" t="b">
        <v>1</v>
      </c>
      <c r="F1196" s="27" t="str">
        <f>HYPERLINK("http://nsgreg.nga.mil/genc/view?v=211595&amp;end_month=12&amp;end_day=31&amp;end_year=2014","Debub")</f>
        <v>Debub</v>
      </c>
      <c r="G1196" s="28" t="str">
        <f>HYPERLINK("http://api.nsgreg.nga.mil/geo-division/GENC/6/ed3/ER-DU","as:GENC:6:ed3:ER-DU")</f>
        <v>as:GENC:6:ed3:ER-DU</v>
      </c>
    </row>
    <row r="1197" spans="1:7" x14ac:dyDescent="0.2">
      <c r="A1197" s="85"/>
      <c r="B1197" s="25" t="s">
        <v>4117</v>
      </c>
      <c r="C1197" s="25" t="s">
        <v>12334</v>
      </c>
      <c r="D1197" s="25" t="s">
        <v>2087</v>
      </c>
      <c r="E1197" s="26" t="b">
        <v>1</v>
      </c>
      <c r="F1197" s="27" t="str">
        <f>HYPERLINK("http://nsgreg.nga.mil/genc/view?v=211594&amp;end_month=12&amp;end_day=31&amp;end_year=2014","Debubawī K’eyih Bahrī")</f>
        <v>Debubawī K’eyih Bahrī</v>
      </c>
      <c r="G1197" s="28" t="str">
        <f>HYPERLINK("http://api.nsgreg.nga.mil/geo-division/GENC/6/ed3/ER-DK","as:GENC:6:ed3:ER-DK")</f>
        <v>as:GENC:6:ed3:ER-DK</v>
      </c>
    </row>
    <row r="1198" spans="1:7" x14ac:dyDescent="0.2">
      <c r="A1198" s="85"/>
      <c r="B1198" s="25" t="s">
        <v>4119</v>
      </c>
      <c r="C1198" s="25" t="s">
        <v>12335</v>
      </c>
      <c r="D1198" s="25" t="s">
        <v>2087</v>
      </c>
      <c r="E1198" s="26" t="b">
        <v>1</v>
      </c>
      <c r="F1198" s="27" t="str">
        <f>HYPERLINK("http://nsgreg.nga.mil/genc/view?v=211596&amp;end_month=12&amp;end_day=31&amp;end_year=2014","Gash Barka")</f>
        <v>Gash Barka</v>
      </c>
      <c r="G1198" s="28" t="str">
        <f>HYPERLINK("http://api.nsgreg.nga.mil/geo-division/GENC/6/ed3/ER-GB","as:GENC:6:ed3:ER-GB")</f>
        <v>as:GENC:6:ed3:ER-GB</v>
      </c>
    </row>
    <row r="1199" spans="1:7" x14ac:dyDescent="0.2">
      <c r="A1199" s="85"/>
      <c r="B1199" s="25" t="s">
        <v>4121</v>
      </c>
      <c r="C1199" s="25" t="s">
        <v>12336</v>
      </c>
      <c r="D1199" s="25" t="s">
        <v>2087</v>
      </c>
      <c r="E1199" s="26" t="b">
        <v>1</v>
      </c>
      <c r="F1199" s="27" t="str">
        <f>HYPERLINK("http://nsgreg.nga.mil/genc/view?v=211597&amp;end_month=12&amp;end_day=31&amp;end_year=2014","Ma’ākel")</f>
        <v>Ma’ākel</v>
      </c>
      <c r="G1199" s="28" t="str">
        <f>HYPERLINK("http://api.nsgreg.nga.mil/geo-division/GENC/6/ed3/ER-MA","as:GENC:6:ed3:ER-MA")</f>
        <v>as:GENC:6:ed3:ER-MA</v>
      </c>
    </row>
    <row r="1200" spans="1:7" x14ac:dyDescent="0.2">
      <c r="A1200" s="86"/>
      <c r="B1200" s="29" t="s">
        <v>4123</v>
      </c>
      <c r="C1200" s="29" t="s">
        <v>12337</v>
      </c>
      <c r="D1200" s="29" t="s">
        <v>2087</v>
      </c>
      <c r="E1200" s="30" t="b">
        <v>1</v>
      </c>
      <c r="F1200" s="31" t="str">
        <f>HYPERLINK("http://nsgreg.nga.mil/genc/view?v=211598&amp;end_month=12&amp;end_day=31&amp;end_year=2014","Semēnawī K’eyih Bahrī")</f>
        <v>Semēnawī K’eyih Bahrī</v>
      </c>
      <c r="G1200" s="32" t="str">
        <f>HYPERLINK("http://api.nsgreg.nga.mil/geo-division/GENC/6/ed3/ER-SK","as:GENC:6:ed3:ER-SK")</f>
        <v>as:GENC:6:ed3:ER-SK</v>
      </c>
    </row>
    <row r="1201" spans="1:7" x14ac:dyDescent="0.2">
      <c r="A1201" s="84" t="str">
        <f>HYPERLINK("[#]Codes_for_GE_Names!A87:I87","ESTONIA")</f>
        <v>ESTONIA</v>
      </c>
      <c r="B1201" s="33" t="s">
        <v>4125</v>
      </c>
      <c r="C1201" s="33" t="s">
        <v>4126</v>
      </c>
      <c r="D1201" s="33" t="s">
        <v>1788</v>
      </c>
      <c r="E1201" s="34" t="b">
        <v>1</v>
      </c>
      <c r="F1201" s="35" t="str">
        <f>HYPERLINK("http://nsgreg.nga.mil/genc/view?v=211576&amp;end_month=12&amp;end_day=31&amp;end_year=2014","Harjumaa")</f>
        <v>Harjumaa</v>
      </c>
      <c r="G1201" s="36" t="str">
        <f>HYPERLINK("http://api.nsgreg.nga.mil/geo-division/GENC/6/ed3/EE-37","as:GENC:6:ed3:EE-37")</f>
        <v>as:GENC:6:ed3:EE-37</v>
      </c>
    </row>
    <row r="1202" spans="1:7" x14ac:dyDescent="0.2">
      <c r="A1202" s="85"/>
      <c r="B1202" s="25" t="s">
        <v>4127</v>
      </c>
      <c r="C1202" s="25" t="s">
        <v>4128</v>
      </c>
      <c r="D1202" s="25" t="s">
        <v>1788</v>
      </c>
      <c r="E1202" s="26" t="b">
        <v>1</v>
      </c>
      <c r="F1202" s="27" t="str">
        <f>HYPERLINK("http://nsgreg.nga.mil/genc/view?v=211577&amp;end_month=12&amp;end_day=31&amp;end_year=2014","Hiiumaa")</f>
        <v>Hiiumaa</v>
      </c>
      <c r="G1202" s="28" t="str">
        <f>HYPERLINK("http://api.nsgreg.nga.mil/geo-division/GENC/6/ed3/EE-39","as:GENC:6:ed3:EE-39")</f>
        <v>as:GENC:6:ed3:EE-39</v>
      </c>
    </row>
    <row r="1203" spans="1:7" x14ac:dyDescent="0.2">
      <c r="A1203" s="85"/>
      <c r="B1203" s="25" t="s">
        <v>4129</v>
      </c>
      <c r="C1203" s="25" t="s">
        <v>4130</v>
      </c>
      <c r="D1203" s="25" t="s">
        <v>1788</v>
      </c>
      <c r="E1203" s="26" t="b">
        <v>1</v>
      </c>
      <c r="F1203" s="27" t="str">
        <f>HYPERLINK("http://nsgreg.nga.mil/genc/view?v=211578&amp;end_month=12&amp;end_day=31&amp;end_year=2014","Ida-Virumaa")</f>
        <v>Ida-Virumaa</v>
      </c>
      <c r="G1203" s="28" t="str">
        <f>HYPERLINK("http://api.nsgreg.nga.mil/geo-division/GENC/6/ed3/EE-44","as:GENC:6:ed3:EE-44")</f>
        <v>as:GENC:6:ed3:EE-44</v>
      </c>
    </row>
    <row r="1204" spans="1:7" x14ac:dyDescent="0.2">
      <c r="A1204" s="85"/>
      <c r="B1204" s="25" t="s">
        <v>4131</v>
      </c>
      <c r="C1204" s="25" t="s">
        <v>4132</v>
      </c>
      <c r="D1204" s="25" t="s">
        <v>1788</v>
      </c>
      <c r="E1204" s="26" t="b">
        <v>1</v>
      </c>
      <c r="F1204" s="27" t="str">
        <f>HYPERLINK("http://nsgreg.nga.mil/genc/view?v=211580&amp;end_month=12&amp;end_day=31&amp;end_year=2014","Järvamaa")</f>
        <v>Järvamaa</v>
      </c>
      <c r="G1204" s="28" t="str">
        <f>HYPERLINK("http://api.nsgreg.nga.mil/geo-division/GENC/6/ed3/EE-51","as:GENC:6:ed3:EE-51")</f>
        <v>as:GENC:6:ed3:EE-51</v>
      </c>
    </row>
    <row r="1205" spans="1:7" x14ac:dyDescent="0.2">
      <c r="A1205" s="85"/>
      <c r="B1205" s="25" t="s">
        <v>4133</v>
      </c>
      <c r="C1205" s="25" t="s">
        <v>4134</v>
      </c>
      <c r="D1205" s="25" t="s">
        <v>1788</v>
      </c>
      <c r="E1205" s="26" t="b">
        <v>1</v>
      </c>
      <c r="F1205" s="27" t="str">
        <f>HYPERLINK("http://nsgreg.nga.mil/genc/view?v=211579&amp;end_month=12&amp;end_day=31&amp;end_year=2014","Jõgevamaa")</f>
        <v>Jõgevamaa</v>
      </c>
      <c r="G1205" s="28" t="str">
        <f>HYPERLINK("http://api.nsgreg.nga.mil/geo-division/GENC/6/ed3/EE-49","as:GENC:6:ed3:EE-49")</f>
        <v>as:GENC:6:ed3:EE-49</v>
      </c>
    </row>
    <row r="1206" spans="1:7" x14ac:dyDescent="0.2">
      <c r="A1206" s="85"/>
      <c r="B1206" s="25" t="s">
        <v>4137</v>
      </c>
      <c r="C1206" s="25" t="s">
        <v>4138</v>
      </c>
      <c r="D1206" s="25" t="s">
        <v>1788</v>
      </c>
      <c r="E1206" s="26" t="b">
        <v>1</v>
      </c>
      <c r="F1206" s="27" t="str">
        <f>HYPERLINK("http://nsgreg.nga.mil/genc/view?v=211581&amp;end_month=12&amp;end_day=31&amp;end_year=2014","Läänemaa")</f>
        <v>Läänemaa</v>
      </c>
      <c r="G1206" s="28" t="str">
        <f>HYPERLINK("http://api.nsgreg.nga.mil/geo-division/GENC/6/ed3/EE-57","as:GENC:6:ed3:EE-57")</f>
        <v>as:GENC:6:ed3:EE-57</v>
      </c>
    </row>
    <row r="1207" spans="1:7" x14ac:dyDescent="0.2">
      <c r="A1207" s="85"/>
      <c r="B1207" s="25" t="s">
        <v>4135</v>
      </c>
      <c r="C1207" s="25" t="s">
        <v>4136</v>
      </c>
      <c r="D1207" s="25" t="s">
        <v>1788</v>
      </c>
      <c r="E1207" s="26" t="b">
        <v>1</v>
      </c>
      <c r="F1207" s="27" t="str">
        <f>HYPERLINK("http://nsgreg.nga.mil/genc/view?v=211582&amp;end_month=12&amp;end_day=31&amp;end_year=2014","Lääne-Virumaa")</f>
        <v>Lääne-Virumaa</v>
      </c>
      <c r="G1207" s="28" t="str">
        <f>HYPERLINK("http://api.nsgreg.nga.mil/geo-division/GENC/6/ed3/EE-59","as:GENC:6:ed3:EE-59")</f>
        <v>as:GENC:6:ed3:EE-59</v>
      </c>
    </row>
    <row r="1208" spans="1:7" x14ac:dyDescent="0.2">
      <c r="A1208" s="85"/>
      <c r="B1208" s="25" t="s">
        <v>4139</v>
      </c>
      <c r="C1208" s="25" t="s">
        <v>4140</v>
      </c>
      <c r="D1208" s="25" t="s">
        <v>1788</v>
      </c>
      <c r="E1208" s="26" t="b">
        <v>1</v>
      </c>
      <c r="F1208" s="27" t="str">
        <f>HYPERLINK("http://nsgreg.nga.mil/genc/view?v=211584&amp;end_month=12&amp;end_day=31&amp;end_year=2014","Pärnumaa")</f>
        <v>Pärnumaa</v>
      </c>
      <c r="G1208" s="28" t="str">
        <f>HYPERLINK("http://api.nsgreg.nga.mil/geo-division/GENC/6/ed3/EE-67","as:GENC:6:ed3:EE-67")</f>
        <v>as:GENC:6:ed3:EE-67</v>
      </c>
    </row>
    <row r="1209" spans="1:7" x14ac:dyDescent="0.2">
      <c r="A1209" s="85"/>
      <c r="B1209" s="25" t="s">
        <v>4141</v>
      </c>
      <c r="C1209" s="25" t="s">
        <v>4142</v>
      </c>
      <c r="D1209" s="25" t="s">
        <v>1788</v>
      </c>
      <c r="E1209" s="26" t="b">
        <v>1</v>
      </c>
      <c r="F1209" s="27" t="str">
        <f>HYPERLINK("http://nsgreg.nga.mil/genc/view?v=211583&amp;end_month=12&amp;end_day=31&amp;end_year=2014","Põlvamaa")</f>
        <v>Põlvamaa</v>
      </c>
      <c r="G1209" s="28" t="str">
        <f>HYPERLINK("http://api.nsgreg.nga.mil/geo-division/GENC/6/ed3/EE-65","as:GENC:6:ed3:EE-65")</f>
        <v>as:GENC:6:ed3:EE-65</v>
      </c>
    </row>
    <row r="1210" spans="1:7" x14ac:dyDescent="0.2">
      <c r="A1210" s="85"/>
      <c r="B1210" s="25" t="s">
        <v>4143</v>
      </c>
      <c r="C1210" s="25" t="s">
        <v>4144</v>
      </c>
      <c r="D1210" s="25" t="s">
        <v>1788</v>
      </c>
      <c r="E1210" s="26" t="b">
        <v>1</v>
      </c>
      <c r="F1210" s="27" t="str">
        <f>HYPERLINK("http://nsgreg.nga.mil/genc/view?v=211585&amp;end_month=12&amp;end_day=31&amp;end_year=2014","Raplamaa")</f>
        <v>Raplamaa</v>
      </c>
      <c r="G1210" s="28" t="str">
        <f>HYPERLINK("http://api.nsgreg.nga.mil/geo-division/GENC/6/ed3/EE-70","as:GENC:6:ed3:EE-70")</f>
        <v>as:GENC:6:ed3:EE-70</v>
      </c>
    </row>
    <row r="1211" spans="1:7" x14ac:dyDescent="0.2">
      <c r="A1211" s="85"/>
      <c r="B1211" s="25" t="s">
        <v>4145</v>
      </c>
      <c r="C1211" s="25" t="s">
        <v>4146</v>
      </c>
      <c r="D1211" s="25" t="s">
        <v>1788</v>
      </c>
      <c r="E1211" s="26" t="b">
        <v>1</v>
      </c>
      <c r="F1211" s="27" t="str">
        <f>HYPERLINK("http://nsgreg.nga.mil/genc/view?v=211586&amp;end_month=12&amp;end_day=31&amp;end_year=2014","Saaremaa")</f>
        <v>Saaremaa</v>
      </c>
      <c r="G1211" s="28" t="str">
        <f>HYPERLINK("http://api.nsgreg.nga.mil/geo-division/GENC/6/ed3/EE-74","as:GENC:6:ed3:EE-74")</f>
        <v>as:GENC:6:ed3:EE-74</v>
      </c>
    </row>
    <row r="1212" spans="1:7" x14ac:dyDescent="0.2">
      <c r="A1212" s="85"/>
      <c r="B1212" s="25" t="s">
        <v>4147</v>
      </c>
      <c r="C1212" s="25" t="s">
        <v>4148</v>
      </c>
      <c r="D1212" s="25" t="s">
        <v>1788</v>
      </c>
      <c r="E1212" s="26" t="b">
        <v>1</v>
      </c>
      <c r="F1212" s="27" t="str">
        <f>HYPERLINK("http://nsgreg.nga.mil/genc/view?v=211587&amp;end_month=12&amp;end_day=31&amp;end_year=2014","Tartumaa")</f>
        <v>Tartumaa</v>
      </c>
      <c r="G1212" s="28" t="str">
        <f>HYPERLINK("http://api.nsgreg.nga.mil/geo-division/GENC/6/ed3/EE-78","as:GENC:6:ed3:EE-78")</f>
        <v>as:GENC:6:ed3:EE-78</v>
      </c>
    </row>
    <row r="1213" spans="1:7" x14ac:dyDescent="0.2">
      <c r="A1213" s="85"/>
      <c r="B1213" s="25" t="s">
        <v>4149</v>
      </c>
      <c r="C1213" s="25" t="s">
        <v>4150</v>
      </c>
      <c r="D1213" s="25" t="s">
        <v>1788</v>
      </c>
      <c r="E1213" s="26" t="b">
        <v>1</v>
      </c>
      <c r="F1213" s="27" t="str">
        <f>HYPERLINK("http://nsgreg.nga.mil/genc/view?v=211588&amp;end_month=12&amp;end_day=31&amp;end_year=2014","Valgamaa")</f>
        <v>Valgamaa</v>
      </c>
      <c r="G1213" s="28" t="str">
        <f>HYPERLINK("http://api.nsgreg.nga.mil/geo-division/GENC/6/ed3/EE-82","as:GENC:6:ed3:EE-82")</f>
        <v>as:GENC:6:ed3:EE-82</v>
      </c>
    </row>
    <row r="1214" spans="1:7" x14ac:dyDescent="0.2">
      <c r="A1214" s="85"/>
      <c r="B1214" s="25" t="s">
        <v>4151</v>
      </c>
      <c r="C1214" s="25" t="s">
        <v>4152</v>
      </c>
      <c r="D1214" s="25" t="s">
        <v>1788</v>
      </c>
      <c r="E1214" s="26" t="b">
        <v>1</v>
      </c>
      <c r="F1214" s="27" t="str">
        <f>HYPERLINK("http://nsgreg.nga.mil/genc/view?v=211589&amp;end_month=12&amp;end_day=31&amp;end_year=2014","Viljandimaa")</f>
        <v>Viljandimaa</v>
      </c>
      <c r="G1214" s="28" t="str">
        <f>HYPERLINK("http://api.nsgreg.nga.mil/geo-division/GENC/6/ed3/EE-84","as:GENC:6:ed3:EE-84")</f>
        <v>as:GENC:6:ed3:EE-84</v>
      </c>
    </row>
    <row r="1215" spans="1:7" x14ac:dyDescent="0.2">
      <c r="A1215" s="86"/>
      <c r="B1215" s="29" t="s">
        <v>4153</v>
      </c>
      <c r="C1215" s="29" t="s">
        <v>4154</v>
      </c>
      <c r="D1215" s="29" t="s">
        <v>1788</v>
      </c>
      <c r="E1215" s="30" t="b">
        <v>1</v>
      </c>
      <c r="F1215" s="31" t="str">
        <f>HYPERLINK("http://nsgreg.nga.mil/genc/view?v=211590&amp;end_month=12&amp;end_day=31&amp;end_year=2014","Võrumaa")</f>
        <v>Võrumaa</v>
      </c>
      <c r="G1215" s="32" t="str">
        <f>HYPERLINK("http://api.nsgreg.nga.mil/geo-division/GENC/6/ed3/EE-86","as:GENC:6:ed3:EE-86")</f>
        <v>as:GENC:6:ed3:EE-86</v>
      </c>
    </row>
    <row r="1216" spans="1:7" x14ac:dyDescent="0.2">
      <c r="A1216" s="84" t="str">
        <f>HYPERLINK("[#]Codes_for_GE_Names!A88:I88","ETHIOPIA")</f>
        <v>ETHIOPIA</v>
      </c>
      <c r="B1216" s="33" t="s">
        <v>4155</v>
      </c>
      <c r="C1216" s="33" t="s">
        <v>4186</v>
      </c>
      <c r="D1216" s="33" t="s">
        <v>4157</v>
      </c>
      <c r="E1216" s="34" t="b">
        <v>1</v>
      </c>
      <c r="F1216" s="35" t="str">
        <f>HYPERLINK("http://nsgreg.nga.mil/genc/view?v=211631&amp;end_month=12&amp;end_day=31&amp;end_year=2014","Ādīs Ābeba")</f>
        <v>Ādīs Ābeba</v>
      </c>
      <c r="G1216" s="36" t="str">
        <f>HYPERLINK("http://api.nsgreg.nga.mil/geo-division/GENC/6/ed3/ET-AA","as:GENC:6:ed3:ET-AA")</f>
        <v>as:GENC:6:ed3:ET-AA</v>
      </c>
    </row>
    <row r="1217" spans="1:7" x14ac:dyDescent="0.2">
      <c r="A1217" s="85"/>
      <c r="B1217" s="25" t="s">
        <v>4158</v>
      </c>
      <c r="C1217" s="25" t="s">
        <v>4187</v>
      </c>
      <c r="D1217" s="25" t="s">
        <v>2113</v>
      </c>
      <c r="E1217" s="26" t="b">
        <v>1</v>
      </c>
      <c r="F1217" s="27" t="str">
        <f>HYPERLINK("http://nsgreg.nga.mil/genc/view?v=211632&amp;end_month=12&amp;end_day=31&amp;end_year=2014","Āfar")</f>
        <v>Āfar</v>
      </c>
      <c r="G1217" s="28" t="str">
        <f>HYPERLINK("http://api.nsgreg.nga.mil/geo-division/GENC/6/ed3/ET-AF","as:GENC:6:ed3:ET-AF")</f>
        <v>as:GENC:6:ed3:ET-AF</v>
      </c>
    </row>
    <row r="1218" spans="1:7" x14ac:dyDescent="0.2">
      <c r="A1218" s="85"/>
      <c r="B1218" s="25" t="s">
        <v>4160</v>
      </c>
      <c r="C1218" s="25" t="s">
        <v>4188</v>
      </c>
      <c r="D1218" s="25" t="s">
        <v>2113</v>
      </c>
      <c r="E1218" s="26" t="b">
        <v>1</v>
      </c>
      <c r="F1218" s="27" t="str">
        <f>HYPERLINK("http://nsgreg.nga.mil/genc/view?v=211633&amp;end_month=12&amp;end_day=31&amp;end_year=2014","Āmara")</f>
        <v>Āmara</v>
      </c>
      <c r="G1218" s="28" t="str">
        <f>HYPERLINK("http://api.nsgreg.nga.mil/geo-division/GENC/6/ed3/ET-AM","as:GENC:6:ed3:ET-AM")</f>
        <v>as:GENC:6:ed3:ET-AM</v>
      </c>
    </row>
    <row r="1219" spans="1:7" x14ac:dyDescent="0.2">
      <c r="A1219" s="85"/>
      <c r="B1219" s="25" t="s">
        <v>4162</v>
      </c>
      <c r="C1219" s="25" t="s">
        <v>4164</v>
      </c>
      <c r="D1219" s="25" t="s">
        <v>2113</v>
      </c>
      <c r="E1219" s="26" t="b">
        <v>1</v>
      </c>
      <c r="F1219" s="27" t="str">
        <f>HYPERLINK("http://nsgreg.nga.mil/genc/view?v=211634&amp;end_month=12&amp;end_day=31&amp;end_year=2014","Bīnshangul Gumuz")</f>
        <v>Bīnshangul Gumuz</v>
      </c>
      <c r="G1219" s="28" t="str">
        <f>HYPERLINK("http://api.nsgreg.nga.mil/geo-division/GENC/6/ed3/ET-BE","as:GENC:6:ed3:ET-BE")</f>
        <v>as:GENC:6:ed3:ET-BE</v>
      </c>
    </row>
    <row r="1220" spans="1:7" x14ac:dyDescent="0.2">
      <c r="A1220" s="85"/>
      <c r="B1220" s="25" t="s">
        <v>4165</v>
      </c>
      <c r="C1220" s="25" t="s">
        <v>4167</v>
      </c>
      <c r="D1220" s="25" t="s">
        <v>4157</v>
      </c>
      <c r="E1220" s="26" t="b">
        <v>1</v>
      </c>
      <c r="F1220" s="27" t="str">
        <f>HYPERLINK("http://nsgreg.nga.mil/genc/view?v=211635&amp;end_month=12&amp;end_day=31&amp;end_year=2014","Dirē Dawa")</f>
        <v>Dirē Dawa</v>
      </c>
      <c r="G1220" s="28" t="str">
        <f>HYPERLINK("http://api.nsgreg.nga.mil/geo-division/GENC/6/ed3/ET-DD","as:GENC:6:ed3:ET-DD")</f>
        <v>as:GENC:6:ed3:ET-DD</v>
      </c>
    </row>
    <row r="1221" spans="1:7" x14ac:dyDescent="0.2">
      <c r="A1221" s="85"/>
      <c r="B1221" s="25" t="s">
        <v>4168</v>
      </c>
      <c r="C1221" s="25" t="s">
        <v>4170</v>
      </c>
      <c r="D1221" s="25" t="s">
        <v>4157</v>
      </c>
      <c r="E1221" s="26" t="b">
        <v>1</v>
      </c>
      <c r="F1221" s="27" t="str">
        <f>HYPERLINK("http://nsgreg.nga.mil/genc/view?v=211636&amp;end_month=12&amp;end_day=31&amp;end_year=2014","Gambēla Hizboch")</f>
        <v>Gambēla Hizboch</v>
      </c>
      <c r="G1221" s="28" t="str">
        <f>HYPERLINK("http://api.nsgreg.nga.mil/geo-division/GENC/6/ed3/ET-GA","as:GENC:6:ed3:ET-GA")</f>
        <v>as:GENC:6:ed3:ET-GA</v>
      </c>
    </row>
    <row r="1222" spans="1:7" x14ac:dyDescent="0.2">
      <c r="A1222" s="85"/>
      <c r="B1222" s="25" t="s">
        <v>4171</v>
      </c>
      <c r="C1222" s="25" t="s">
        <v>4173</v>
      </c>
      <c r="D1222" s="25" t="s">
        <v>4157</v>
      </c>
      <c r="E1222" s="26" t="b">
        <v>1</v>
      </c>
      <c r="F1222" s="27" t="str">
        <f>HYPERLINK("http://nsgreg.nga.mil/genc/view?v=211637&amp;end_month=12&amp;end_day=31&amp;end_year=2014","Hārerī Hizb")</f>
        <v>Hārerī Hizb</v>
      </c>
      <c r="G1222" s="28" t="str">
        <f>HYPERLINK("http://api.nsgreg.nga.mil/geo-division/GENC/6/ed3/ET-HA","as:GENC:6:ed3:ET-HA")</f>
        <v>as:GENC:6:ed3:ET-HA</v>
      </c>
    </row>
    <row r="1223" spans="1:7" x14ac:dyDescent="0.2">
      <c r="A1223" s="85"/>
      <c r="B1223" s="25" t="s">
        <v>4174</v>
      </c>
      <c r="C1223" s="25" t="s">
        <v>4176</v>
      </c>
      <c r="D1223" s="25" t="s">
        <v>2113</v>
      </c>
      <c r="E1223" s="26" t="b">
        <v>1</v>
      </c>
      <c r="F1223" s="27" t="str">
        <f>HYPERLINK("http://nsgreg.nga.mil/genc/view?v=211638&amp;end_month=12&amp;end_day=31&amp;end_year=2014","Oromīya")</f>
        <v>Oromīya</v>
      </c>
      <c r="G1223" s="28" t="str">
        <f>HYPERLINK("http://api.nsgreg.nga.mil/geo-division/GENC/6/ed3/ET-OR","as:GENC:6:ed3:ET-OR")</f>
        <v>as:GENC:6:ed3:ET-OR</v>
      </c>
    </row>
    <row r="1224" spans="1:7" x14ac:dyDescent="0.2">
      <c r="A1224" s="85"/>
      <c r="B1224" s="25" t="s">
        <v>4177</v>
      </c>
      <c r="C1224" s="25" t="s">
        <v>4181</v>
      </c>
      <c r="D1224" s="25" t="s">
        <v>2113</v>
      </c>
      <c r="E1224" s="26" t="b">
        <v>1</v>
      </c>
      <c r="F1224" s="27" t="str">
        <f>HYPERLINK("http://nsgreg.nga.mil/genc/view?v=211640&amp;end_month=12&amp;end_day=31&amp;end_year=2014","Sumalē")</f>
        <v>Sumalē</v>
      </c>
      <c r="G1224" s="28" t="str">
        <f>HYPERLINK("http://api.nsgreg.nga.mil/geo-division/GENC/6/ed3/ET-SO","as:GENC:6:ed3:ET-SO")</f>
        <v>as:GENC:6:ed3:ET-SO</v>
      </c>
    </row>
    <row r="1225" spans="1:7" x14ac:dyDescent="0.2">
      <c r="A1225" s="85"/>
      <c r="B1225" s="25" t="s">
        <v>4182</v>
      </c>
      <c r="C1225" s="25" t="s">
        <v>4184</v>
      </c>
      <c r="D1225" s="25" t="s">
        <v>4157</v>
      </c>
      <c r="E1225" s="26" t="b">
        <v>1</v>
      </c>
      <c r="F1225" s="27" t="str">
        <f>HYPERLINK("http://nsgreg.nga.mil/genc/view?v=211641&amp;end_month=12&amp;end_day=31&amp;end_year=2014","Tigray")</f>
        <v>Tigray</v>
      </c>
      <c r="G1225" s="28" t="str">
        <f>HYPERLINK("http://api.nsgreg.nga.mil/geo-division/GENC/6/ed3/ET-TI","as:GENC:6:ed3:ET-TI")</f>
        <v>as:GENC:6:ed3:ET-TI</v>
      </c>
    </row>
    <row r="1226" spans="1:7" x14ac:dyDescent="0.2">
      <c r="A1226" s="86"/>
      <c r="B1226" s="29" t="s">
        <v>4179</v>
      </c>
      <c r="C1226" s="29" t="s">
        <v>4185</v>
      </c>
      <c r="D1226" s="29" t="s">
        <v>2113</v>
      </c>
      <c r="E1226" s="30" t="b">
        <v>1</v>
      </c>
      <c r="F1226" s="31" t="str">
        <f>HYPERLINK("http://nsgreg.nga.mil/genc/view?v=211639&amp;end_month=12&amp;end_day=31&amp;end_year=2014","YeDebub Bihēroch Bihēreseboch na Hizboch")</f>
        <v>YeDebub Bihēroch Bihēreseboch na Hizboch</v>
      </c>
      <c r="G1226" s="32" t="str">
        <f>HYPERLINK("http://api.nsgreg.nga.mil/geo-division/GENC/6/ed3/ET-SN","as:GENC:6:ed3:ET-SN")</f>
        <v>as:GENC:6:ed3:ET-SN</v>
      </c>
    </row>
    <row r="1227" spans="1:7" x14ac:dyDescent="0.2">
      <c r="A1227" s="84" t="str">
        <f>HYPERLINK("[#]Codes_for_GE_Names!A92:I92","FIJI")</f>
        <v>FIJI</v>
      </c>
      <c r="B1227" s="33" t="s">
        <v>12338</v>
      </c>
      <c r="C1227" s="33" t="s">
        <v>12339</v>
      </c>
      <c r="D1227" s="33" t="s">
        <v>1719</v>
      </c>
      <c r="E1227" s="34" t="b">
        <v>1</v>
      </c>
      <c r="F1227" s="35" t="str">
        <f>HYPERLINK("http://nsgreg.nga.mil/genc/view?v=119057&amp;gencs=T&amp;end_month=12&amp;end_day=31&amp;end_year=2014","Ba")</f>
        <v>Ba</v>
      </c>
      <c r="G1227" s="36" t="str">
        <f>HYPERLINK("http://api.nsgreg.nga.mil/geo-division/GENC/6/ed3/FJ-01","as:GENC:6:ed3:FJ-01")</f>
        <v>as:GENC:6:ed3:FJ-01</v>
      </c>
    </row>
    <row r="1228" spans="1:7" x14ac:dyDescent="0.2">
      <c r="A1228" s="85"/>
      <c r="B1228" s="25" t="s">
        <v>12340</v>
      </c>
      <c r="C1228" s="25" t="s">
        <v>12341</v>
      </c>
      <c r="D1228" s="25" t="s">
        <v>1719</v>
      </c>
      <c r="E1228" s="26" t="b">
        <v>1</v>
      </c>
      <c r="F1228" s="27" t="str">
        <f>HYPERLINK("http://nsgreg.nga.mil/genc/view?v=119058&amp;gencs=T&amp;end_month=12&amp;end_day=31&amp;end_year=2014","Bua")</f>
        <v>Bua</v>
      </c>
      <c r="G1228" s="28" t="str">
        <f>HYPERLINK("http://api.nsgreg.nga.mil/geo-division/GENC/6/ed3/FJ-02","as:GENC:6:ed3:FJ-02")</f>
        <v>as:GENC:6:ed3:FJ-02</v>
      </c>
    </row>
    <row r="1229" spans="1:7" x14ac:dyDescent="0.2">
      <c r="A1229" s="85"/>
      <c r="B1229" s="25" t="s">
        <v>12342</v>
      </c>
      <c r="C1229" s="25" t="s">
        <v>12343</v>
      </c>
      <c r="D1229" s="25" t="s">
        <v>1719</v>
      </c>
      <c r="E1229" s="26" t="b">
        <v>1</v>
      </c>
      <c r="F1229" s="27" t="str">
        <f>HYPERLINK("http://nsgreg.nga.mil/genc/view?v=119059&amp;gencs=T&amp;end_month=12&amp;end_day=31&amp;end_year=2014","Cakaudrove")</f>
        <v>Cakaudrove</v>
      </c>
      <c r="G1229" s="28" t="str">
        <f>HYPERLINK("http://api.nsgreg.nga.mil/geo-division/GENC/6/ed3/FJ-03","as:GENC:6:ed3:FJ-03")</f>
        <v>as:GENC:6:ed3:FJ-03</v>
      </c>
    </row>
    <row r="1230" spans="1:7" x14ac:dyDescent="0.2">
      <c r="A1230" s="85"/>
      <c r="B1230" s="25" t="s">
        <v>4189</v>
      </c>
      <c r="C1230" s="25" t="s">
        <v>2720</v>
      </c>
      <c r="D1230" s="37" t="s">
        <v>2383</v>
      </c>
      <c r="E1230" s="38" t="b">
        <v>0</v>
      </c>
      <c r="F1230" s="27" t="str">
        <f>HYPERLINK("http://nsgreg.nga.mil/genc/view?v=119071&amp;gencs=T&amp;end_month=12&amp;end_day=31&amp;end_year=2014","Central")</f>
        <v>Central</v>
      </c>
      <c r="G1230" s="28" t="str">
        <f>HYPERLINK("http://api.nsgreg.nga.mil/geo-division/GENC/6/ed3/FJ-C","as:GENC:6:ed3:FJ-C")</f>
        <v>as:GENC:6:ed3:FJ-C</v>
      </c>
    </row>
    <row r="1231" spans="1:7" x14ac:dyDescent="0.2">
      <c r="A1231" s="85"/>
      <c r="B1231" s="25" t="s">
        <v>4190</v>
      </c>
      <c r="C1231" s="25" t="s">
        <v>4191</v>
      </c>
      <c r="D1231" s="37" t="s">
        <v>2383</v>
      </c>
      <c r="E1231" s="38" t="b">
        <v>0</v>
      </c>
      <c r="F1231" s="27" t="str">
        <f>HYPERLINK("http://nsgreg.nga.mil/genc/view?v=119072&amp;gencs=T&amp;end_month=12&amp;end_day=31&amp;end_year=2014","Eastern")</f>
        <v>Eastern</v>
      </c>
      <c r="G1231" s="28" t="str">
        <f>HYPERLINK("http://api.nsgreg.nga.mil/geo-division/GENC/6/ed3/FJ-E","as:GENC:6:ed3:FJ-E")</f>
        <v>as:GENC:6:ed3:FJ-E</v>
      </c>
    </row>
    <row r="1232" spans="1:7" x14ac:dyDescent="0.2">
      <c r="A1232" s="85"/>
      <c r="B1232" s="25" t="s">
        <v>12344</v>
      </c>
      <c r="C1232" s="25" t="s">
        <v>12345</v>
      </c>
      <c r="D1232" s="25" t="s">
        <v>1719</v>
      </c>
      <c r="E1232" s="26" t="b">
        <v>1</v>
      </c>
      <c r="F1232" s="27" t="str">
        <f>HYPERLINK("http://nsgreg.nga.mil/genc/view?v=119060&amp;gencs=T&amp;end_month=12&amp;end_day=31&amp;end_year=2014","Kadavu")</f>
        <v>Kadavu</v>
      </c>
      <c r="G1232" s="28" t="str">
        <f>HYPERLINK("http://api.nsgreg.nga.mil/geo-division/GENC/6/ed3/FJ-04","as:GENC:6:ed3:FJ-04")</f>
        <v>as:GENC:6:ed3:FJ-04</v>
      </c>
    </row>
    <row r="1233" spans="1:7" x14ac:dyDescent="0.2">
      <c r="A1233" s="85"/>
      <c r="B1233" s="25" t="s">
        <v>12346</v>
      </c>
      <c r="C1233" s="25" t="s">
        <v>12347</v>
      </c>
      <c r="D1233" s="25" t="s">
        <v>1719</v>
      </c>
      <c r="E1233" s="26" t="b">
        <v>1</v>
      </c>
      <c r="F1233" s="27" t="str">
        <f>HYPERLINK("http://nsgreg.nga.mil/genc/view?v=119061&amp;gencs=T&amp;end_month=12&amp;end_day=31&amp;end_year=2014","Lau")</f>
        <v>Lau</v>
      </c>
      <c r="G1233" s="28" t="str">
        <f>HYPERLINK("http://api.nsgreg.nga.mil/geo-division/GENC/6/ed3/FJ-05","as:GENC:6:ed3:FJ-05")</f>
        <v>as:GENC:6:ed3:FJ-05</v>
      </c>
    </row>
    <row r="1234" spans="1:7" x14ac:dyDescent="0.2">
      <c r="A1234" s="85"/>
      <c r="B1234" s="25" t="s">
        <v>12348</v>
      </c>
      <c r="C1234" s="25" t="s">
        <v>12349</v>
      </c>
      <c r="D1234" s="25" t="s">
        <v>1719</v>
      </c>
      <c r="E1234" s="26" t="b">
        <v>1</v>
      </c>
      <c r="F1234" s="27" t="str">
        <f>HYPERLINK("http://nsgreg.nga.mil/genc/view?v=119062&amp;gencs=T&amp;end_month=12&amp;end_day=31&amp;end_year=2014","Lomaiviti")</f>
        <v>Lomaiviti</v>
      </c>
      <c r="G1234" s="28" t="str">
        <f>HYPERLINK("http://api.nsgreg.nga.mil/geo-division/GENC/6/ed3/FJ-06","as:GENC:6:ed3:FJ-06")</f>
        <v>as:GENC:6:ed3:FJ-06</v>
      </c>
    </row>
    <row r="1235" spans="1:7" x14ac:dyDescent="0.2">
      <c r="A1235" s="85"/>
      <c r="B1235" s="25" t="s">
        <v>12350</v>
      </c>
      <c r="C1235" s="25" t="s">
        <v>12351</v>
      </c>
      <c r="D1235" s="25" t="s">
        <v>1719</v>
      </c>
      <c r="E1235" s="26" t="b">
        <v>1</v>
      </c>
      <c r="F1235" s="27" t="str">
        <f>HYPERLINK("http://nsgreg.nga.mil/genc/view?v=119063&amp;gencs=T&amp;end_month=12&amp;end_day=31&amp;end_year=2014","Macuata")</f>
        <v>Macuata</v>
      </c>
      <c r="G1235" s="28" t="str">
        <f>HYPERLINK("http://api.nsgreg.nga.mil/geo-division/GENC/6/ed3/FJ-07","as:GENC:6:ed3:FJ-07")</f>
        <v>as:GENC:6:ed3:FJ-07</v>
      </c>
    </row>
    <row r="1236" spans="1:7" x14ac:dyDescent="0.2">
      <c r="A1236" s="85"/>
      <c r="B1236" s="25" t="s">
        <v>12352</v>
      </c>
      <c r="C1236" s="25" t="s">
        <v>12353</v>
      </c>
      <c r="D1236" s="25" t="s">
        <v>1719</v>
      </c>
      <c r="E1236" s="26" t="b">
        <v>1</v>
      </c>
      <c r="F1236" s="27" t="str">
        <f>HYPERLINK("http://nsgreg.nga.mil/genc/view?v=119064&amp;gencs=T&amp;end_month=12&amp;end_day=31&amp;end_year=2014","Nadroga and Navosa")</f>
        <v>Nadroga and Navosa</v>
      </c>
      <c r="G1236" s="28" t="str">
        <f>HYPERLINK("http://api.nsgreg.nga.mil/geo-division/GENC/6/ed3/FJ-08","as:GENC:6:ed3:FJ-08")</f>
        <v>as:GENC:6:ed3:FJ-08</v>
      </c>
    </row>
    <row r="1237" spans="1:7" x14ac:dyDescent="0.2">
      <c r="A1237" s="85"/>
      <c r="B1237" s="25" t="s">
        <v>12354</v>
      </c>
      <c r="C1237" s="25" t="s">
        <v>12355</v>
      </c>
      <c r="D1237" s="25" t="s">
        <v>1719</v>
      </c>
      <c r="E1237" s="26" t="b">
        <v>1</v>
      </c>
      <c r="F1237" s="27" t="str">
        <f>HYPERLINK("http://nsgreg.nga.mil/genc/view?v=119065&amp;gencs=T&amp;end_month=12&amp;end_day=31&amp;end_year=2014","Naitasiri")</f>
        <v>Naitasiri</v>
      </c>
      <c r="G1237" s="28" t="str">
        <f>HYPERLINK("http://api.nsgreg.nga.mil/geo-division/GENC/6/ed3/FJ-09","as:GENC:6:ed3:FJ-09")</f>
        <v>as:GENC:6:ed3:FJ-09</v>
      </c>
    </row>
    <row r="1238" spans="1:7" x14ac:dyDescent="0.2">
      <c r="A1238" s="85"/>
      <c r="B1238" s="25" t="s">
        <v>12356</v>
      </c>
      <c r="C1238" s="25" t="s">
        <v>12357</v>
      </c>
      <c r="D1238" s="25" t="s">
        <v>1719</v>
      </c>
      <c r="E1238" s="26" t="b">
        <v>1</v>
      </c>
      <c r="F1238" s="27" t="str">
        <f>HYPERLINK("http://nsgreg.nga.mil/genc/view?v=119066&amp;gencs=T&amp;end_month=12&amp;end_day=31&amp;end_year=2014","Namosi")</f>
        <v>Namosi</v>
      </c>
      <c r="G1238" s="28" t="str">
        <f>HYPERLINK("http://api.nsgreg.nga.mil/geo-division/GENC/6/ed3/FJ-10","as:GENC:6:ed3:FJ-10")</f>
        <v>as:GENC:6:ed3:FJ-10</v>
      </c>
    </row>
    <row r="1239" spans="1:7" x14ac:dyDescent="0.2">
      <c r="A1239" s="85"/>
      <c r="B1239" s="25" t="s">
        <v>4192</v>
      </c>
      <c r="C1239" s="25" t="s">
        <v>4193</v>
      </c>
      <c r="D1239" s="37" t="s">
        <v>2383</v>
      </c>
      <c r="E1239" s="38" t="b">
        <v>0</v>
      </c>
      <c r="F1239" s="27" t="str">
        <f>HYPERLINK("http://nsgreg.nga.mil/genc/view?v=119073&amp;gencs=T&amp;end_month=12&amp;end_day=31&amp;end_year=2014","Northern")</f>
        <v>Northern</v>
      </c>
      <c r="G1239" s="28" t="str">
        <f>HYPERLINK("http://api.nsgreg.nga.mil/geo-division/GENC/6/ed3/FJ-N","as:GENC:6:ed3:FJ-N")</f>
        <v>as:GENC:6:ed3:FJ-N</v>
      </c>
    </row>
    <row r="1240" spans="1:7" x14ac:dyDescent="0.2">
      <c r="A1240" s="85"/>
      <c r="B1240" s="25" t="s">
        <v>12358</v>
      </c>
      <c r="C1240" s="25" t="s">
        <v>12359</v>
      </c>
      <c r="D1240" s="25" t="s">
        <v>1719</v>
      </c>
      <c r="E1240" s="26" t="b">
        <v>1</v>
      </c>
      <c r="F1240" s="27" t="str">
        <f>HYPERLINK("http://nsgreg.nga.mil/genc/view?v=119067&amp;gencs=T&amp;end_month=12&amp;end_day=31&amp;end_year=2014","Ra")</f>
        <v>Ra</v>
      </c>
      <c r="G1240" s="28" t="str">
        <f>HYPERLINK("http://api.nsgreg.nga.mil/geo-division/GENC/6/ed3/FJ-11","as:GENC:6:ed3:FJ-11")</f>
        <v>as:GENC:6:ed3:FJ-11</v>
      </c>
    </row>
    <row r="1241" spans="1:7" x14ac:dyDescent="0.2">
      <c r="A1241" s="85"/>
      <c r="B1241" s="25" t="s">
        <v>12360</v>
      </c>
      <c r="C1241" s="25" t="s">
        <v>12361</v>
      </c>
      <c r="D1241" s="25" t="s">
        <v>1719</v>
      </c>
      <c r="E1241" s="26" t="b">
        <v>1</v>
      </c>
      <c r="F1241" s="27" t="str">
        <f>HYPERLINK("http://nsgreg.nga.mil/genc/view?v=119068&amp;gencs=T&amp;end_month=12&amp;end_day=31&amp;end_year=2014","Rewa")</f>
        <v>Rewa</v>
      </c>
      <c r="G1241" s="28" t="str">
        <f>HYPERLINK("http://api.nsgreg.nga.mil/geo-division/GENC/6/ed3/FJ-12","as:GENC:6:ed3:FJ-12")</f>
        <v>as:GENC:6:ed3:FJ-12</v>
      </c>
    </row>
    <row r="1242" spans="1:7" x14ac:dyDescent="0.2">
      <c r="A1242" s="85"/>
      <c r="B1242" s="25" t="s">
        <v>4194</v>
      </c>
      <c r="C1242" s="25" t="s">
        <v>4195</v>
      </c>
      <c r="D1242" s="25" t="s">
        <v>2021</v>
      </c>
      <c r="E1242" s="26" t="b">
        <v>1</v>
      </c>
      <c r="F1242" s="27" t="str">
        <f>HYPERLINK("http://nsgreg.nga.mil/genc/view?v=119074&amp;gencs=T&amp;end_month=12&amp;end_day=31&amp;end_year=2014","Rotuma")</f>
        <v>Rotuma</v>
      </c>
      <c r="G1242" s="28" t="str">
        <f>HYPERLINK("http://api.nsgreg.nga.mil/geo-division/GENC/6/ed3/FJ-R","as:GENC:6:ed3:FJ-R")</f>
        <v>as:GENC:6:ed3:FJ-R</v>
      </c>
    </row>
    <row r="1243" spans="1:7" x14ac:dyDescent="0.2">
      <c r="A1243" s="85"/>
      <c r="B1243" s="25" t="s">
        <v>12362</v>
      </c>
      <c r="C1243" s="25" t="s">
        <v>12363</v>
      </c>
      <c r="D1243" s="25" t="s">
        <v>1719</v>
      </c>
      <c r="E1243" s="26" t="b">
        <v>1</v>
      </c>
      <c r="F1243" s="27" t="str">
        <f>HYPERLINK("http://nsgreg.nga.mil/genc/view?v=119069&amp;gencs=T&amp;end_month=12&amp;end_day=31&amp;end_year=2014","Serua")</f>
        <v>Serua</v>
      </c>
      <c r="G1243" s="28" t="str">
        <f>HYPERLINK("http://api.nsgreg.nga.mil/geo-division/GENC/6/ed3/FJ-13","as:GENC:6:ed3:FJ-13")</f>
        <v>as:GENC:6:ed3:FJ-13</v>
      </c>
    </row>
    <row r="1244" spans="1:7" x14ac:dyDescent="0.2">
      <c r="A1244" s="85"/>
      <c r="B1244" s="25" t="s">
        <v>12364</v>
      </c>
      <c r="C1244" s="25" t="s">
        <v>12365</v>
      </c>
      <c r="D1244" s="25" t="s">
        <v>1719</v>
      </c>
      <c r="E1244" s="26" t="b">
        <v>1</v>
      </c>
      <c r="F1244" s="27" t="str">
        <f>HYPERLINK("http://nsgreg.nga.mil/genc/view?v=119070&amp;gencs=T&amp;end_month=12&amp;end_day=31&amp;end_year=2014","Tailevu")</f>
        <v>Tailevu</v>
      </c>
      <c r="G1244" s="28" t="str">
        <f>HYPERLINK("http://api.nsgreg.nga.mil/geo-division/GENC/6/ed3/FJ-14","as:GENC:6:ed3:FJ-14")</f>
        <v>as:GENC:6:ed3:FJ-14</v>
      </c>
    </row>
    <row r="1245" spans="1:7" x14ac:dyDescent="0.2">
      <c r="A1245" s="86"/>
      <c r="B1245" s="29" t="s">
        <v>4196</v>
      </c>
      <c r="C1245" s="29" t="s">
        <v>4197</v>
      </c>
      <c r="D1245" s="39" t="s">
        <v>2383</v>
      </c>
      <c r="E1245" s="40" t="b">
        <v>0</v>
      </c>
      <c r="F1245" s="31" t="str">
        <f>HYPERLINK("http://nsgreg.nga.mil/genc/view?v=119075&amp;gencs=T&amp;end_month=12&amp;end_day=31&amp;end_year=2014","Western")</f>
        <v>Western</v>
      </c>
      <c r="G1245" s="32" t="str">
        <f>HYPERLINK("http://api.nsgreg.nga.mil/geo-division/GENC/6/ed3/FJ-W","as:GENC:6:ed3:FJ-W")</f>
        <v>as:GENC:6:ed3:FJ-W</v>
      </c>
    </row>
    <row r="1246" spans="1:7" x14ac:dyDescent="0.2">
      <c r="A1246" s="84" t="str">
        <f>HYPERLINK("[#]Codes_for_GE_Names!A93:I93","FINLAND")</f>
        <v>FINLAND</v>
      </c>
      <c r="B1246" s="33" t="s">
        <v>4198</v>
      </c>
      <c r="C1246" s="33" t="s">
        <v>12366</v>
      </c>
      <c r="D1246" s="33" t="s">
        <v>2087</v>
      </c>
      <c r="E1246" s="34" t="b">
        <v>1</v>
      </c>
      <c r="F1246" s="35" t="str">
        <f>HYPERLINK("http://nsgreg.nga.mil/genc/view?v=211642&amp;end_month=12&amp;end_day=31&amp;end_year=2014","Ahvenanmaa")</f>
        <v>Ahvenanmaa</v>
      </c>
      <c r="G1246" s="36" t="str">
        <f>HYPERLINK("http://api.nsgreg.nga.mil/geo-division/GENC/6/ed3/FI-01","as:GENC:6:ed3:FI-01")</f>
        <v>as:GENC:6:ed3:FI-01</v>
      </c>
    </row>
    <row r="1247" spans="1:7" x14ac:dyDescent="0.2">
      <c r="A1247" s="85"/>
      <c r="B1247" s="25" t="s">
        <v>4206</v>
      </c>
      <c r="C1247" s="25" t="s">
        <v>4207</v>
      </c>
      <c r="D1247" s="25" t="s">
        <v>2087</v>
      </c>
      <c r="E1247" s="26" t="b">
        <v>1</v>
      </c>
      <c r="F1247" s="27" t="str">
        <f>HYPERLINK("http://nsgreg.nga.mil/genc/view?v=119039&amp;gencs=T&amp;end_month=12&amp;end_day=31&amp;end_year=2014","Etelä-Karjala")</f>
        <v>Etelä-Karjala</v>
      </c>
      <c r="G1247" s="28" t="str">
        <f>HYPERLINK("http://api.nsgreg.nga.mil/geo-division/GENC/6/ed3/FI-02","as:GENC:6:ed3:FI-02")</f>
        <v>as:GENC:6:ed3:FI-02</v>
      </c>
    </row>
    <row r="1248" spans="1:7" x14ac:dyDescent="0.2">
      <c r="A1248" s="85"/>
      <c r="B1248" s="25" t="s">
        <v>4208</v>
      </c>
      <c r="C1248" s="25" t="s">
        <v>4209</v>
      </c>
      <c r="D1248" s="25" t="s">
        <v>2087</v>
      </c>
      <c r="E1248" s="26" t="b">
        <v>1</v>
      </c>
      <c r="F1248" s="27" t="str">
        <f>HYPERLINK("http://nsgreg.nga.mil/genc/view?v=119040&amp;gencs=T&amp;end_month=12&amp;end_day=31&amp;end_year=2014","Etelä-Pohjanmaa")</f>
        <v>Etelä-Pohjanmaa</v>
      </c>
      <c r="G1248" s="28" t="str">
        <f>HYPERLINK("http://api.nsgreg.nga.mil/geo-division/GENC/6/ed3/FI-03","as:GENC:6:ed3:FI-03")</f>
        <v>as:GENC:6:ed3:FI-03</v>
      </c>
    </row>
    <row r="1249" spans="1:7" x14ac:dyDescent="0.2">
      <c r="A1249" s="85"/>
      <c r="B1249" s="25" t="s">
        <v>4210</v>
      </c>
      <c r="C1249" s="25" t="s">
        <v>4211</v>
      </c>
      <c r="D1249" s="25" t="s">
        <v>2087</v>
      </c>
      <c r="E1249" s="26" t="b">
        <v>1</v>
      </c>
      <c r="F1249" s="27" t="str">
        <f>HYPERLINK("http://nsgreg.nga.mil/genc/view?v=119041&amp;gencs=T&amp;end_month=12&amp;end_day=31&amp;end_year=2014","Etelä-Savo")</f>
        <v>Etelä-Savo</v>
      </c>
      <c r="G1249" s="28" t="str">
        <f>HYPERLINK("http://api.nsgreg.nga.mil/geo-division/GENC/6/ed3/FI-04","as:GENC:6:ed3:FI-04")</f>
        <v>as:GENC:6:ed3:FI-04</v>
      </c>
    </row>
    <row r="1250" spans="1:7" x14ac:dyDescent="0.2">
      <c r="A1250" s="85"/>
      <c r="B1250" s="25" t="s">
        <v>4212</v>
      </c>
      <c r="C1250" s="25" t="s">
        <v>4213</v>
      </c>
      <c r="D1250" s="25" t="s">
        <v>2087</v>
      </c>
      <c r="E1250" s="26" t="b">
        <v>1</v>
      </c>
      <c r="F1250" s="27" t="str">
        <f>HYPERLINK("http://nsgreg.nga.mil/genc/view?v=119042&amp;gencs=T&amp;end_month=12&amp;end_day=31&amp;end_year=2014","Kainuu")</f>
        <v>Kainuu</v>
      </c>
      <c r="G1250" s="28" t="str">
        <f>HYPERLINK("http://api.nsgreg.nga.mil/geo-division/GENC/6/ed3/FI-05","as:GENC:6:ed3:FI-05")</f>
        <v>as:GENC:6:ed3:FI-05</v>
      </c>
    </row>
    <row r="1251" spans="1:7" x14ac:dyDescent="0.2">
      <c r="A1251" s="85"/>
      <c r="B1251" s="25" t="s">
        <v>4204</v>
      </c>
      <c r="C1251" s="25" t="s">
        <v>4215</v>
      </c>
      <c r="D1251" s="25" t="s">
        <v>2087</v>
      </c>
      <c r="E1251" s="26" t="b">
        <v>1</v>
      </c>
      <c r="F1251" s="27" t="str">
        <f>HYPERLINK("http://nsgreg.nga.mil/genc/view?v=119043&amp;gencs=T&amp;end_month=12&amp;end_day=31&amp;end_year=2014","Kanta-Häme")</f>
        <v>Kanta-Häme</v>
      </c>
      <c r="G1251" s="28" t="str">
        <f>HYPERLINK("http://api.nsgreg.nga.mil/geo-division/GENC/6/ed3/FI-06","as:GENC:6:ed3:FI-06")</f>
        <v>as:GENC:6:ed3:FI-06</v>
      </c>
    </row>
    <row r="1252" spans="1:7" x14ac:dyDescent="0.2">
      <c r="A1252" s="85"/>
      <c r="B1252" s="25" t="s">
        <v>4216</v>
      </c>
      <c r="C1252" s="25" t="s">
        <v>4217</v>
      </c>
      <c r="D1252" s="25" t="s">
        <v>2087</v>
      </c>
      <c r="E1252" s="26" t="b">
        <v>1</v>
      </c>
      <c r="F1252" s="27" t="str">
        <f>HYPERLINK("http://nsgreg.nga.mil/genc/view?v=119044&amp;gencs=T&amp;end_month=12&amp;end_day=31&amp;end_year=2014","Keski-Pohjanmaa")</f>
        <v>Keski-Pohjanmaa</v>
      </c>
      <c r="G1252" s="28" t="str">
        <f>HYPERLINK("http://api.nsgreg.nga.mil/geo-division/GENC/6/ed3/FI-07","as:GENC:6:ed3:FI-07")</f>
        <v>as:GENC:6:ed3:FI-07</v>
      </c>
    </row>
    <row r="1253" spans="1:7" x14ac:dyDescent="0.2">
      <c r="A1253" s="85"/>
      <c r="B1253" s="25" t="s">
        <v>4218</v>
      </c>
      <c r="C1253" s="25" t="s">
        <v>4219</v>
      </c>
      <c r="D1253" s="25" t="s">
        <v>2087</v>
      </c>
      <c r="E1253" s="26" t="b">
        <v>1</v>
      </c>
      <c r="F1253" s="27" t="str">
        <f>HYPERLINK("http://nsgreg.nga.mil/genc/view?v=119045&amp;gencs=T&amp;end_month=12&amp;end_day=31&amp;end_year=2014","Keski-Suomi")</f>
        <v>Keski-Suomi</v>
      </c>
      <c r="G1253" s="28" t="str">
        <f>HYPERLINK("http://api.nsgreg.nga.mil/geo-division/GENC/6/ed3/FI-08","as:GENC:6:ed3:FI-08")</f>
        <v>as:GENC:6:ed3:FI-08</v>
      </c>
    </row>
    <row r="1254" spans="1:7" x14ac:dyDescent="0.2">
      <c r="A1254" s="85"/>
      <c r="B1254" s="25" t="s">
        <v>4220</v>
      </c>
      <c r="C1254" s="25" t="s">
        <v>4221</v>
      </c>
      <c r="D1254" s="25" t="s">
        <v>2087</v>
      </c>
      <c r="E1254" s="26" t="b">
        <v>1</v>
      </c>
      <c r="F1254" s="27" t="str">
        <f>HYPERLINK("http://nsgreg.nga.mil/genc/view?v=119046&amp;gencs=T&amp;end_month=12&amp;end_day=31&amp;end_year=2014","Kymenlaakso")</f>
        <v>Kymenlaakso</v>
      </c>
      <c r="G1254" s="28" t="str">
        <f>HYPERLINK("http://api.nsgreg.nga.mil/geo-division/GENC/6/ed3/FI-09","as:GENC:6:ed3:FI-09")</f>
        <v>as:GENC:6:ed3:FI-09</v>
      </c>
    </row>
    <row r="1255" spans="1:7" x14ac:dyDescent="0.2">
      <c r="A1255" s="85"/>
      <c r="B1255" s="25" t="s">
        <v>4224</v>
      </c>
      <c r="C1255" s="25" t="s">
        <v>4225</v>
      </c>
      <c r="D1255" s="25" t="s">
        <v>2087</v>
      </c>
      <c r="E1255" s="26" t="b">
        <v>1</v>
      </c>
      <c r="F1255" s="27" t="str">
        <f>HYPERLINK("http://nsgreg.nga.mil/genc/view?v=119047&amp;gencs=T&amp;end_month=12&amp;end_day=31&amp;end_year=2014","Lappi")</f>
        <v>Lappi</v>
      </c>
      <c r="G1255" s="28" t="str">
        <f>HYPERLINK("http://api.nsgreg.nga.mil/geo-division/GENC/6/ed3/FI-10","as:GENC:6:ed3:FI-10")</f>
        <v>as:GENC:6:ed3:FI-10</v>
      </c>
    </row>
    <row r="1256" spans="1:7" x14ac:dyDescent="0.2">
      <c r="A1256" s="85"/>
      <c r="B1256" s="25" t="s">
        <v>4243</v>
      </c>
      <c r="C1256" s="25" t="s">
        <v>4245</v>
      </c>
      <c r="D1256" s="25" t="s">
        <v>2087</v>
      </c>
      <c r="E1256" s="26" t="b">
        <v>1</v>
      </c>
      <c r="F1256" s="27" t="str">
        <f>HYPERLINK("http://nsgreg.nga.mil/genc/view?v=119053&amp;gencs=T&amp;end_month=12&amp;end_day=31&amp;end_year=2014","Päijät-Häme")</f>
        <v>Päijät-Häme</v>
      </c>
      <c r="G1256" s="28" t="str">
        <f>HYPERLINK("http://api.nsgreg.nga.mil/geo-division/GENC/6/ed3/FI-16","as:GENC:6:ed3:FI-16")</f>
        <v>as:GENC:6:ed3:FI-16</v>
      </c>
    </row>
    <row r="1257" spans="1:7" x14ac:dyDescent="0.2">
      <c r="A1257" s="85"/>
      <c r="B1257" s="25" t="s">
        <v>4200</v>
      </c>
      <c r="C1257" s="25" t="s">
        <v>4237</v>
      </c>
      <c r="D1257" s="25" t="s">
        <v>2087</v>
      </c>
      <c r="E1257" s="26" t="b">
        <v>1</v>
      </c>
      <c r="F1257" s="27" t="str">
        <f>HYPERLINK("http://nsgreg.nga.mil/genc/view?v=119048&amp;gencs=T&amp;end_month=12&amp;end_day=31&amp;end_year=2014","Pirkanmaa")</f>
        <v>Pirkanmaa</v>
      </c>
      <c r="G1257" s="28" t="str">
        <f>HYPERLINK("http://api.nsgreg.nga.mil/geo-division/GENC/6/ed3/FI-11","as:GENC:6:ed3:FI-11")</f>
        <v>as:GENC:6:ed3:FI-11</v>
      </c>
    </row>
    <row r="1258" spans="1:7" x14ac:dyDescent="0.2">
      <c r="A1258" s="85"/>
      <c r="B1258" s="25" t="s">
        <v>4238</v>
      </c>
      <c r="C1258" s="25" t="s">
        <v>4239</v>
      </c>
      <c r="D1258" s="25" t="s">
        <v>2087</v>
      </c>
      <c r="E1258" s="26" t="b">
        <v>1</v>
      </c>
      <c r="F1258" s="27" t="str">
        <f>HYPERLINK("http://nsgreg.nga.mil/genc/view?v=119049&amp;gencs=T&amp;end_month=12&amp;end_day=31&amp;end_year=2014","Pohjanmaa")</f>
        <v>Pohjanmaa</v>
      </c>
      <c r="G1258" s="28" t="str">
        <f>HYPERLINK("http://api.nsgreg.nga.mil/geo-division/GENC/6/ed3/FI-12","as:GENC:6:ed3:FI-12")</f>
        <v>as:GENC:6:ed3:FI-12</v>
      </c>
    </row>
    <row r="1259" spans="1:7" x14ac:dyDescent="0.2">
      <c r="A1259" s="85"/>
      <c r="B1259" s="25" t="s">
        <v>4229</v>
      </c>
      <c r="C1259" s="25" t="s">
        <v>4240</v>
      </c>
      <c r="D1259" s="25" t="s">
        <v>2087</v>
      </c>
      <c r="E1259" s="26" t="b">
        <v>1</v>
      </c>
      <c r="F1259" s="27" t="str">
        <f>HYPERLINK("http://nsgreg.nga.mil/genc/view?v=119050&amp;gencs=T&amp;end_month=12&amp;end_day=31&amp;end_year=2014","Pohjois-Karjala")</f>
        <v>Pohjois-Karjala</v>
      </c>
      <c r="G1259" s="28" t="str">
        <f>HYPERLINK("http://api.nsgreg.nga.mil/geo-division/GENC/6/ed3/FI-13","as:GENC:6:ed3:FI-13")</f>
        <v>as:GENC:6:ed3:FI-13</v>
      </c>
    </row>
    <row r="1260" spans="1:7" x14ac:dyDescent="0.2">
      <c r="A1260" s="85"/>
      <c r="B1260" s="25" t="s">
        <v>4233</v>
      </c>
      <c r="C1260" s="25" t="s">
        <v>4241</v>
      </c>
      <c r="D1260" s="25" t="s">
        <v>2087</v>
      </c>
      <c r="E1260" s="26" t="b">
        <v>1</v>
      </c>
      <c r="F1260" s="27" t="str">
        <f>HYPERLINK("http://nsgreg.nga.mil/genc/view?v=119051&amp;gencs=T&amp;end_month=12&amp;end_day=31&amp;end_year=2014","Pohjois-Pohjanmaa")</f>
        <v>Pohjois-Pohjanmaa</v>
      </c>
      <c r="G1260" s="28" t="str">
        <f>HYPERLINK("http://api.nsgreg.nga.mil/geo-division/GENC/6/ed3/FI-14","as:GENC:6:ed3:FI-14")</f>
        <v>as:GENC:6:ed3:FI-14</v>
      </c>
    </row>
    <row r="1261" spans="1:7" x14ac:dyDescent="0.2">
      <c r="A1261" s="85"/>
      <c r="B1261" s="25" t="s">
        <v>4231</v>
      </c>
      <c r="C1261" s="25" t="s">
        <v>4242</v>
      </c>
      <c r="D1261" s="25" t="s">
        <v>2087</v>
      </c>
      <c r="E1261" s="26" t="b">
        <v>1</v>
      </c>
      <c r="F1261" s="27" t="str">
        <f>HYPERLINK("http://nsgreg.nga.mil/genc/view?v=119052&amp;gencs=T&amp;end_month=12&amp;end_day=31&amp;end_year=2014","Pohjois-Savo")</f>
        <v>Pohjois-Savo</v>
      </c>
      <c r="G1261" s="28" t="str">
        <f>HYPERLINK("http://api.nsgreg.nga.mil/geo-division/GENC/6/ed3/FI-15","as:GENC:6:ed3:FI-15")</f>
        <v>as:GENC:6:ed3:FI-15</v>
      </c>
    </row>
    <row r="1262" spans="1:7" x14ac:dyDescent="0.2">
      <c r="A1262" s="85"/>
      <c r="B1262" s="25" t="s">
        <v>4246</v>
      </c>
      <c r="C1262" s="25" t="s">
        <v>4248</v>
      </c>
      <c r="D1262" s="25" t="s">
        <v>2087</v>
      </c>
      <c r="E1262" s="26" t="b">
        <v>1</v>
      </c>
      <c r="F1262" s="27" t="str">
        <f>HYPERLINK("http://nsgreg.nga.mil/genc/view?v=211643&amp;end_month=12&amp;end_day=31&amp;end_year=2014","Satakunta")</f>
        <v>Satakunta</v>
      </c>
      <c r="G1262" s="28" t="str">
        <f>HYPERLINK("http://api.nsgreg.nga.mil/geo-division/GENC/6/ed3/FI-17","as:GENC:6:ed3:FI-17")</f>
        <v>as:GENC:6:ed3:FI-17</v>
      </c>
    </row>
    <row r="1263" spans="1:7" x14ac:dyDescent="0.2">
      <c r="A1263" s="85"/>
      <c r="B1263" s="25" t="s">
        <v>4235</v>
      </c>
      <c r="C1263" s="25" t="s">
        <v>4252</v>
      </c>
      <c r="D1263" s="25" t="s">
        <v>2087</v>
      </c>
      <c r="E1263" s="26" t="b">
        <v>1</v>
      </c>
      <c r="F1263" s="27" t="str">
        <f>HYPERLINK("http://nsgreg.nga.mil/genc/view?v=119055&amp;gencs=T&amp;end_month=12&amp;end_day=31&amp;end_year=2014","Uusimaa")</f>
        <v>Uusimaa</v>
      </c>
      <c r="G1263" s="28" t="str">
        <f>HYPERLINK("http://api.nsgreg.nga.mil/geo-division/GENC/6/ed3/FI-18","as:GENC:6:ed3:FI-18")</f>
        <v>as:GENC:6:ed3:FI-18</v>
      </c>
    </row>
    <row r="1264" spans="1:7" x14ac:dyDescent="0.2">
      <c r="A1264" s="86"/>
      <c r="B1264" s="29" t="s">
        <v>4202</v>
      </c>
      <c r="C1264" s="29" t="s">
        <v>4253</v>
      </c>
      <c r="D1264" s="29" t="s">
        <v>2087</v>
      </c>
      <c r="E1264" s="30" t="b">
        <v>1</v>
      </c>
      <c r="F1264" s="31" t="str">
        <f>HYPERLINK("http://nsgreg.nga.mil/genc/view?v=119056&amp;gencs=T&amp;end_month=12&amp;end_day=31&amp;end_year=2014","Varsinais-Suomi")</f>
        <v>Varsinais-Suomi</v>
      </c>
      <c r="G1264" s="32" t="str">
        <f>HYPERLINK("http://api.nsgreg.nga.mil/geo-division/GENC/6/ed3/FI-19","as:GENC:6:ed3:FI-19")</f>
        <v>as:GENC:6:ed3:FI-19</v>
      </c>
    </row>
    <row r="1265" spans="1:7" x14ac:dyDescent="0.2">
      <c r="A1265" s="84" t="str">
        <f>HYPERLINK("[#]Codes_for_GE_Names!A94:I94","FRANCE")</f>
        <v>FRANCE</v>
      </c>
      <c r="B1265" s="33" t="s">
        <v>4255</v>
      </c>
      <c r="C1265" s="33" t="s">
        <v>4256</v>
      </c>
      <c r="D1265" s="41" t="s">
        <v>4257</v>
      </c>
      <c r="E1265" s="42" t="b">
        <v>0</v>
      </c>
      <c r="F1265" s="35" t="str">
        <f>HYPERLINK("http://nsgreg.nga.mil/genc/view?v=119080&amp;gencs=T&amp;end_month=12&amp;end_day=31&amp;end_year=2014","Ain")</f>
        <v>Ain</v>
      </c>
      <c r="G1265" s="36" t="str">
        <f>HYPERLINK("http://api.nsgreg.nga.mil/geo-division/GENC/6/ed3/FR-01","as:GENC:6:ed3:FR-01")</f>
        <v>as:GENC:6:ed3:FR-01</v>
      </c>
    </row>
    <row r="1266" spans="1:7" x14ac:dyDescent="0.2">
      <c r="A1266" s="85"/>
      <c r="B1266" s="25" t="s">
        <v>4258</v>
      </c>
      <c r="C1266" s="25" t="s">
        <v>4259</v>
      </c>
      <c r="D1266" s="37" t="s">
        <v>4257</v>
      </c>
      <c r="E1266" s="38" t="b">
        <v>0</v>
      </c>
      <c r="F1266" s="27" t="str">
        <f>HYPERLINK("http://nsgreg.nga.mil/genc/view?v=119081&amp;gencs=T&amp;end_month=12&amp;end_day=31&amp;end_year=2014","Aisne")</f>
        <v>Aisne</v>
      </c>
      <c r="G1266" s="28" t="str">
        <f>HYPERLINK("http://api.nsgreg.nga.mil/geo-division/GENC/6/ed3/FR-02","as:GENC:6:ed3:FR-02")</f>
        <v>as:GENC:6:ed3:FR-02</v>
      </c>
    </row>
    <row r="1267" spans="1:7" x14ac:dyDescent="0.2">
      <c r="A1267" s="85"/>
      <c r="B1267" s="25" t="s">
        <v>4260</v>
      </c>
      <c r="C1267" s="25" t="s">
        <v>4261</v>
      </c>
      <c r="D1267" s="37" t="s">
        <v>4257</v>
      </c>
      <c r="E1267" s="38" t="b">
        <v>0</v>
      </c>
      <c r="F1267" s="27" t="str">
        <f>HYPERLINK("http://nsgreg.nga.mil/genc/view?v=119082&amp;gencs=T&amp;end_month=12&amp;end_day=31&amp;end_year=2014","Allier")</f>
        <v>Allier</v>
      </c>
      <c r="G1267" s="28" t="str">
        <f>HYPERLINK("http://api.nsgreg.nga.mil/geo-division/GENC/6/ed3/FR-03","as:GENC:6:ed3:FR-03")</f>
        <v>as:GENC:6:ed3:FR-03</v>
      </c>
    </row>
    <row r="1268" spans="1:7" x14ac:dyDescent="0.2">
      <c r="A1268" s="85"/>
      <c r="B1268" s="25" t="s">
        <v>4264</v>
      </c>
      <c r="C1268" s="25" t="s">
        <v>4265</v>
      </c>
      <c r="D1268" s="37" t="s">
        <v>4257</v>
      </c>
      <c r="E1268" s="38" t="b">
        <v>0</v>
      </c>
      <c r="F1268" s="27" t="str">
        <f>HYPERLINK("http://nsgreg.nga.mil/genc/view?v=119083&amp;gencs=T&amp;end_month=12&amp;end_day=31&amp;end_year=2014","Alpes-de-Haute-Provence")</f>
        <v>Alpes-de-Haute-Provence</v>
      </c>
      <c r="G1268" s="28" t="str">
        <f>HYPERLINK("http://api.nsgreg.nga.mil/geo-division/GENC/6/ed3/FR-04","as:GENC:6:ed3:FR-04")</f>
        <v>as:GENC:6:ed3:FR-04</v>
      </c>
    </row>
    <row r="1269" spans="1:7" x14ac:dyDescent="0.2">
      <c r="A1269" s="85"/>
      <c r="B1269" s="25" t="s">
        <v>4262</v>
      </c>
      <c r="C1269" s="25" t="s">
        <v>4263</v>
      </c>
      <c r="D1269" s="37" t="s">
        <v>4257</v>
      </c>
      <c r="E1269" s="38" t="b">
        <v>0</v>
      </c>
      <c r="F1269" s="27" t="str">
        <f>HYPERLINK("http://nsgreg.nga.mil/genc/view?v=119085&amp;gencs=T&amp;end_month=12&amp;end_day=31&amp;end_year=2014","Alpes-Maritimes")</f>
        <v>Alpes-Maritimes</v>
      </c>
      <c r="G1269" s="28" t="str">
        <f>HYPERLINK("http://api.nsgreg.nga.mil/geo-division/GENC/6/ed3/FR-06","as:GENC:6:ed3:FR-06")</f>
        <v>as:GENC:6:ed3:FR-06</v>
      </c>
    </row>
    <row r="1270" spans="1:7" x14ac:dyDescent="0.2">
      <c r="A1270" s="85"/>
      <c r="B1270" s="25" t="s">
        <v>4266</v>
      </c>
      <c r="C1270" s="25" t="s">
        <v>4267</v>
      </c>
      <c r="D1270" s="25" t="s">
        <v>2087</v>
      </c>
      <c r="E1270" s="26" t="b">
        <v>1</v>
      </c>
      <c r="F1270" s="27" t="str">
        <f>HYPERLINK("http://nsgreg.nga.mil/genc/view?v=211648&amp;end_month=12&amp;end_day=31&amp;end_year=2014","Alsace")</f>
        <v>Alsace</v>
      </c>
      <c r="G1270" s="28" t="str">
        <f>HYPERLINK("http://api.nsgreg.nga.mil/geo-division/GENC/6/ed3/FR-A","as:GENC:6:ed3:FR-A")</f>
        <v>as:GENC:6:ed3:FR-A</v>
      </c>
    </row>
    <row r="1271" spans="1:7" x14ac:dyDescent="0.2">
      <c r="A1271" s="85"/>
      <c r="B1271" s="25" t="s">
        <v>4269</v>
      </c>
      <c r="C1271" s="25" t="s">
        <v>4270</v>
      </c>
      <c r="D1271" s="25" t="s">
        <v>2087</v>
      </c>
      <c r="E1271" s="26" t="b">
        <v>1</v>
      </c>
      <c r="F1271" s="27" t="str">
        <f>HYPERLINK("http://nsgreg.nga.mil/genc/view?v=211649&amp;end_month=12&amp;end_day=31&amp;end_year=2014","Aquitaine")</f>
        <v>Aquitaine</v>
      </c>
      <c r="G1271" s="28" t="str">
        <f>HYPERLINK("http://api.nsgreg.nga.mil/geo-division/GENC/6/ed3/FR-B","as:GENC:6:ed3:FR-B")</f>
        <v>as:GENC:6:ed3:FR-B</v>
      </c>
    </row>
    <row r="1272" spans="1:7" x14ac:dyDescent="0.2">
      <c r="A1272" s="85"/>
      <c r="B1272" s="25" t="s">
        <v>4273</v>
      </c>
      <c r="C1272" s="25" t="s">
        <v>4274</v>
      </c>
      <c r="D1272" s="37" t="s">
        <v>4257</v>
      </c>
      <c r="E1272" s="38" t="b">
        <v>0</v>
      </c>
      <c r="F1272" s="27" t="str">
        <f>HYPERLINK("http://nsgreg.nga.mil/genc/view?v=119086&amp;gencs=T&amp;end_month=12&amp;end_day=31&amp;end_year=2014","Ardèche")</f>
        <v>Ardèche</v>
      </c>
      <c r="G1272" s="28" t="str">
        <f>HYPERLINK("http://api.nsgreg.nga.mil/geo-division/GENC/6/ed3/FR-07","as:GENC:6:ed3:FR-07")</f>
        <v>as:GENC:6:ed3:FR-07</v>
      </c>
    </row>
    <row r="1273" spans="1:7" x14ac:dyDescent="0.2">
      <c r="A1273" s="85"/>
      <c r="B1273" s="25" t="s">
        <v>4271</v>
      </c>
      <c r="C1273" s="25" t="s">
        <v>4272</v>
      </c>
      <c r="D1273" s="37" t="s">
        <v>4257</v>
      </c>
      <c r="E1273" s="38" t="b">
        <v>0</v>
      </c>
      <c r="F1273" s="27" t="str">
        <f>HYPERLINK("http://nsgreg.nga.mil/genc/view?v=119087&amp;gencs=T&amp;end_month=12&amp;end_day=31&amp;end_year=2014","Ardennes")</f>
        <v>Ardennes</v>
      </c>
      <c r="G1273" s="28" t="str">
        <f>HYPERLINK("http://api.nsgreg.nga.mil/geo-division/GENC/6/ed3/FR-08","as:GENC:6:ed3:FR-08")</f>
        <v>as:GENC:6:ed3:FR-08</v>
      </c>
    </row>
    <row r="1274" spans="1:7" x14ac:dyDescent="0.2">
      <c r="A1274" s="85"/>
      <c r="B1274" s="25" t="s">
        <v>4275</v>
      </c>
      <c r="C1274" s="25" t="s">
        <v>4276</v>
      </c>
      <c r="D1274" s="37" t="s">
        <v>4257</v>
      </c>
      <c r="E1274" s="38" t="b">
        <v>0</v>
      </c>
      <c r="F1274" s="27" t="str">
        <f>HYPERLINK("http://nsgreg.nga.mil/genc/view?v=119088&amp;gencs=T&amp;end_month=12&amp;end_day=31&amp;end_year=2014","Ariège")</f>
        <v>Ariège</v>
      </c>
      <c r="G1274" s="28" t="str">
        <f>HYPERLINK("http://api.nsgreg.nga.mil/geo-division/GENC/6/ed3/FR-09","as:GENC:6:ed3:FR-09")</f>
        <v>as:GENC:6:ed3:FR-09</v>
      </c>
    </row>
    <row r="1275" spans="1:7" x14ac:dyDescent="0.2">
      <c r="A1275" s="85"/>
      <c r="B1275" s="25" t="s">
        <v>4277</v>
      </c>
      <c r="C1275" s="25" t="s">
        <v>4278</v>
      </c>
      <c r="D1275" s="37" t="s">
        <v>4257</v>
      </c>
      <c r="E1275" s="38" t="b">
        <v>0</v>
      </c>
      <c r="F1275" s="27" t="str">
        <f>HYPERLINK("http://nsgreg.nga.mil/genc/view?v=119089&amp;gencs=T&amp;end_month=12&amp;end_day=31&amp;end_year=2014","Aube")</f>
        <v>Aube</v>
      </c>
      <c r="G1275" s="28" t="str">
        <f>HYPERLINK("http://api.nsgreg.nga.mil/geo-division/GENC/6/ed3/FR-10","as:GENC:6:ed3:FR-10")</f>
        <v>as:GENC:6:ed3:FR-10</v>
      </c>
    </row>
    <row r="1276" spans="1:7" x14ac:dyDescent="0.2">
      <c r="A1276" s="85"/>
      <c r="B1276" s="25" t="s">
        <v>4279</v>
      </c>
      <c r="C1276" s="25" t="s">
        <v>4280</v>
      </c>
      <c r="D1276" s="37" t="s">
        <v>4257</v>
      </c>
      <c r="E1276" s="38" t="b">
        <v>0</v>
      </c>
      <c r="F1276" s="27" t="str">
        <f>HYPERLINK("http://nsgreg.nga.mil/genc/view?v=119090&amp;gencs=T&amp;end_month=12&amp;end_day=31&amp;end_year=2014","Aude")</f>
        <v>Aude</v>
      </c>
      <c r="G1276" s="28" t="str">
        <f>HYPERLINK("http://api.nsgreg.nga.mil/geo-division/GENC/6/ed3/FR-11","as:GENC:6:ed3:FR-11")</f>
        <v>as:GENC:6:ed3:FR-11</v>
      </c>
    </row>
    <row r="1277" spans="1:7" x14ac:dyDescent="0.2">
      <c r="A1277" s="85"/>
      <c r="B1277" s="25" t="s">
        <v>4281</v>
      </c>
      <c r="C1277" s="25" t="s">
        <v>4282</v>
      </c>
      <c r="D1277" s="25" t="s">
        <v>2087</v>
      </c>
      <c r="E1277" s="26" t="b">
        <v>1</v>
      </c>
      <c r="F1277" s="27" t="str">
        <f>HYPERLINK("http://nsgreg.nga.mil/genc/view?v=211651&amp;end_month=12&amp;end_day=31&amp;end_year=2014","Auvergne")</f>
        <v>Auvergne</v>
      </c>
      <c r="G1277" s="28" t="str">
        <f>HYPERLINK("http://api.nsgreg.nga.mil/geo-division/GENC/6/ed3/FR-C","as:GENC:6:ed3:FR-C")</f>
        <v>as:GENC:6:ed3:FR-C</v>
      </c>
    </row>
    <row r="1278" spans="1:7" x14ac:dyDescent="0.2">
      <c r="A1278" s="85"/>
      <c r="B1278" s="25" t="s">
        <v>4283</v>
      </c>
      <c r="C1278" s="25" t="s">
        <v>4284</v>
      </c>
      <c r="D1278" s="37" t="s">
        <v>4257</v>
      </c>
      <c r="E1278" s="38" t="b">
        <v>0</v>
      </c>
      <c r="F1278" s="27" t="str">
        <f>HYPERLINK("http://nsgreg.nga.mil/genc/view?v=119091&amp;gencs=T&amp;end_month=12&amp;end_day=31&amp;end_year=2014","Aveyron")</f>
        <v>Aveyron</v>
      </c>
      <c r="G1278" s="28" t="str">
        <f>HYPERLINK("http://api.nsgreg.nga.mil/geo-division/GENC/6/ed3/FR-12","as:GENC:6:ed3:FR-12")</f>
        <v>as:GENC:6:ed3:FR-12</v>
      </c>
    </row>
    <row r="1279" spans="1:7" x14ac:dyDescent="0.2">
      <c r="A1279" s="85"/>
      <c r="B1279" s="25" t="s">
        <v>4285</v>
      </c>
      <c r="C1279" s="25" t="s">
        <v>4286</v>
      </c>
      <c r="D1279" s="37" t="s">
        <v>4257</v>
      </c>
      <c r="E1279" s="38" t="b">
        <v>0</v>
      </c>
      <c r="F1279" s="27" t="str">
        <f>HYPERLINK("http://nsgreg.nga.mil/genc/view?v=119147&amp;gencs=T&amp;end_month=12&amp;end_day=31&amp;end_year=2014","Bas-Rhin")</f>
        <v>Bas-Rhin</v>
      </c>
      <c r="G1279" s="28" t="str">
        <f>HYPERLINK("http://api.nsgreg.nga.mil/geo-division/GENC/6/ed3/FR-67","as:GENC:6:ed3:FR-67")</f>
        <v>as:GENC:6:ed3:FR-67</v>
      </c>
    </row>
    <row r="1280" spans="1:7" x14ac:dyDescent="0.2">
      <c r="A1280" s="85"/>
      <c r="B1280" s="25" t="s">
        <v>4287</v>
      </c>
      <c r="C1280" s="25" t="s">
        <v>4288</v>
      </c>
      <c r="D1280" s="25" t="s">
        <v>2087</v>
      </c>
      <c r="E1280" s="26" t="b">
        <v>1</v>
      </c>
      <c r="F1280" s="27" t="str">
        <f>HYPERLINK("http://nsgreg.nga.mil/genc/view?v=211670&amp;end_month=12&amp;end_day=31&amp;end_year=2014","Basse-Normandie")</f>
        <v>Basse-Normandie</v>
      </c>
      <c r="G1280" s="28" t="str">
        <f>HYPERLINK("http://api.nsgreg.nga.mil/geo-division/GENC/6/ed3/FR-P","as:GENC:6:ed3:FR-P")</f>
        <v>as:GENC:6:ed3:FR-P</v>
      </c>
    </row>
    <row r="1281" spans="1:7" x14ac:dyDescent="0.2">
      <c r="A1281" s="85"/>
      <c r="B1281" s="25" t="s">
        <v>4495</v>
      </c>
      <c r="C1281" s="25" t="s">
        <v>12367</v>
      </c>
      <c r="D1281" s="37" t="s">
        <v>4257</v>
      </c>
      <c r="E1281" s="38" t="b">
        <v>0</v>
      </c>
      <c r="F1281" s="27" t="str">
        <f>HYPERLINK("http://nsgreg.nga.mil/genc/view?v=211646&amp;end_month=12&amp;end_day=31&amp;end_year=2014","Belfort")</f>
        <v>Belfort</v>
      </c>
      <c r="G1281" s="28" t="str">
        <f>HYPERLINK("http://api.nsgreg.nga.mil/geo-division/GENC/6/ed3/FR-90","as:GENC:6:ed3:FR-90")</f>
        <v>as:GENC:6:ed3:FR-90</v>
      </c>
    </row>
    <row r="1282" spans="1:7" x14ac:dyDescent="0.2">
      <c r="A1282" s="85"/>
      <c r="B1282" s="25" t="s">
        <v>4289</v>
      </c>
      <c r="C1282" s="25" t="s">
        <v>4290</v>
      </c>
      <c r="D1282" s="37" t="s">
        <v>4257</v>
      </c>
      <c r="E1282" s="38" t="b">
        <v>0</v>
      </c>
      <c r="F1282" s="27" t="str">
        <f>HYPERLINK("http://nsgreg.nga.mil/genc/view?v=119092&amp;gencs=T&amp;end_month=12&amp;end_day=31&amp;end_year=2014","Bouches-du-Rhône")</f>
        <v>Bouches-du-Rhône</v>
      </c>
      <c r="G1282" s="28" t="str">
        <f>HYPERLINK("http://api.nsgreg.nga.mil/geo-division/GENC/6/ed3/FR-13","as:GENC:6:ed3:FR-13")</f>
        <v>as:GENC:6:ed3:FR-13</v>
      </c>
    </row>
    <row r="1283" spans="1:7" x14ac:dyDescent="0.2">
      <c r="A1283" s="85"/>
      <c r="B1283" s="25" t="s">
        <v>4291</v>
      </c>
      <c r="C1283" s="25" t="s">
        <v>4292</v>
      </c>
      <c r="D1283" s="25" t="s">
        <v>2087</v>
      </c>
      <c r="E1283" s="26" t="b">
        <v>1</v>
      </c>
      <c r="F1283" s="27" t="str">
        <f>HYPERLINK("http://nsgreg.nga.mil/genc/view?v=211653&amp;end_month=12&amp;end_day=31&amp;end_year=2014","Bourgogne")</f>
        <v>Bourgogne</v>
      </c>
      <c r="G1283" s="28" t="str">
        <f>HYPERLINK("http://api.nsgreg.nga.mil/geo-division/GENC/6/ed3/FR-D","as:GENC:6:ed3:FR-D")</f>
        <v>as:GENC:6:ed3:FR-D</v>
      </c>
    </row>
    <row r="1284" spans="1:7" x14ac:dyDescent="0.2">
      <c r="A1284" s="85"/>
      <c r="B1284" s="25" t="s">
        <v>4293</v>
      </c>
      <c r="C1284" s="25" t="s">
        <v>4294</v>
      </c>
      <c r="D1284" s="25" t="s">
        <v>2087</v>
      </c>
      <c r="E1284" s="26" t="b">
        <v>1</v>
      </c>
      <c r="F1284" s="27" t="str">
        <f>HYPERLINK("http://nsgreg.nga.mil/genc/view?v=211654&amp;end_month=12&amp;end_day=31&amp;end_year=2014","Bretagne")</f>
        <v>Bretagne</v>
      </c>
      <c r="G1284" s="28" t="str">
        <f>HYPERLINK("http://api.nsgreg.nga.mil/geo-division/GENC/6/ed3/FR-E","as:GENC:6:ed3:FR-E")</f>
        <v>as:GENC:6:ed3:FR-E</v>
      </c>
    </row>
    <row r="1285" spans="1:7" x14ac:dyDescent="0.2">
      <c r="A1285" s="85"/>
      <c r="B1285" s="25" t="s">
        <v>4295</v>
      </c>
      <c r="C1285" s="25" t="s">
        <v>4296</v>
      </c>
      <c r="D1285" s="37" t="s">
        <v>4257</v>
      </c>
      <c r="E1285" s="38" t="b">
        <v>0</v>
      </c>
      <c r="F1285" s="27" t="str">
        <f>HYPERLINK("http://nsgreg.nga.mil/genc/view?v=119093&amp;gencs=T&amp;end_month=12&amp;end_day=31&amp;end_year=2014","Calvados")</f>
        <v>Calvados</v>
      </c>
      <c r="G1285" s="28" t="str">
        <f>HYPERLINK("http://api.nsgreg.nga.mil/geo-division/GENC/6/ed3/FR-14","as:GENC:6:ed3:FR-14")</f>
        <v>as:GENC:6:ed3:FR-14</v>
      </c>
    </row>
    <row r="1286" spans="1:7" x14ac:dyDescent="0.2">
      <c r="A1286" s="85"/>
      <c r="B1286" s="25" t="s">
        <v>4297</v>
      </c>
      <c r="C1286" s="25" t="s">
        <v>4298</v>
      </c>
      <c r="D1286" s="37" t="s">
        <v>4257</v>
      </c>
      <c r="E1286" s="38" t="b">
        <v>0</v>
      </c>
      <c r="F1286" s="27" t="str">
        <f>HYPERLINK("http://nsgreg.nga.mil/genc/view?v=119094&amp;gencs=T&amp;end_month=12&amp;end_day=31&amp;end_year=2014","Cantal")</f>
        <v>Cantal</v>
      </c>
      <c r="G1286" s="28" t="str">
        <f>HYPERLINK("http://api.nsgreg.nga.mil/geo-division/GENC/6/ed3/FR-15","as:GENC:6:ed3:FR-15")</f>
        <v>as:GENC:6:ed3:FR-15</v>
      </c>
    </row>
    <row r="1287" spans="1:7" x14ac:dyDescent="0.2">
      <c r="A1287" s="85"/>
      <c r="B1287" s="25" t="s">
        <v>4299</v>
      </c>
      <c r="C1287" s="25" t="s">
        <v>2875</v>
      </c>
      <c r="D1287" s="25" t="s">
        <v>2087</v>
      </c>
      <c r="E1287" s="26" t="b">
        <v>1</v>
      </c>
      <c r="F1287" s="27" t="str">
        <f>HYPERLINK("http://nsgreg.nga.mil/genc/view?v=211655&amp;end_month=12&amp;end_day=31&amp;end_year=2014","Centre")</f>
        <v>Centre</v>
      </c>
      <c r="G1287" s="28" t="str">
        <f>HYPERLINK("http://api.nsgreg.nga.mil/geo-division/GENC/6/ed3/FR-F","as:GENC:6:ed3:FR-F")</f>
        <v>as:GENC:6:ed3:FR-F</v>
      </c>
    </row>
    <row r="1288" spans="1:7" x14ac:dyDescent="0.2">
      <c r="A1288" s="85"/>
      <c r="B1288" s="25" t="s">
        <v>4300</v>
      </c>
      <c r="C1288" s="25" t="s">
        <v>4301</v>
      </c>
      <c r="D1288" s="25" t="s">
        <v>2087</v>
      </c>
      <c r="E1288" s="26" t="b">
        <v>1</v>
      </c>
      <c r="F1288" s="27" t="str">
        <f>HYPERLINK("http://nsgreg.nga.mil/genc/view?v=211656&amp;end_month=12&amp;end_day=31&amp;end_year=2014","Champagne-Ardenne")</f>
        <v>Champagne-Ardenne</v>
      </c>
      <c r="G1288" s="28" t="str">
        <f>HYPERLINK("http://api.nsgreg.nga.mil/geo-division/GENC/6/ed3/FR-G","as:GENC:6:ed3:FR-G")</f>
        <v>as:GENC:6:ed3:FR-G</v>
      </c>
    </row>
    <row r="1289" spans="1:7" x14ac:dyDescent="0.2">
      <c r="A1289" s="85"/>
      <c r="B1289" s="25" t="s">
        <v>4302</v>
      </c>
      <c r="C1289" s="25" t="s">
        <v>4303</v>
      </c>
      <c r="D1289" s="37" t="s">
        <v>4257</v>
      </c>
      <c r="E1289" s="38" t="b">
        <v>0</v>
      </c>
      <c r="F1289" s="27" t="str">
        <f>HYPERLINK("http://nsgreg.nga.mil/genc/view?v=119095&amp;gencs=T&amp;end_month=12&amp;end_day=31&amp;end_year=2014","Charente")</f>
        <v>Charente</v>
      </c>
      <c r="G1289" s="28" t="str">
        <f>HYPERLINK("http://api.nsgreg.nga.mil/geo-division/GENC/6/ed3/FR-16","as:GENC:6:ed3:FR-16")</f>
        <v>as:GENC:6:ed3:FR-16</v>
      </c>
    </row>
    <row r="1290" spans="1:7" x14ac:dyDescent="0.2">
      <c r="A1290" s="85"/>
      <c r="B1290" s="25" t="s">
        <v>4304</v>
      </c>
      <c r="C1290" s="25" t="s">
        <v>4305</v>
      </c>
      <c r="D1290" s="37" t="s">
        <v>4257</v>
      </c>
      <c r="E1290" s="38" t="b">
        <v>0</v>
      </c>
      <c r="F1290" s="27" t="str">
        <f>HYPERLINK("http://nsgreg.nga.mil/genc/view?v=119096&amp;gencs=T&amp;end_month=12&amp;end_day=31&amp;end_year=2014","Charente-Maritime")</f>
        <v>Charente-Maritime</v>
      </c>
      <c r="G1290" s="28" t="str">
        <f>HYPERLINK("http://api.nsgreg.nga.mil/geo-division/GENC/6/ed3/FR-17","as:GENC:6:ed3:FR-17")</f>
        <v>as:GENC:6:ed3:FR-17</v>
      </c>
    </row>
    <row r="1291" spans="1:7" x14ac:dyDescent="0.2">
      <c r="A1291" s="85"/>
      <c r="B1291" s="25" t="s">
        <v>4306</v>
      </c>
      <c r="C1291" s="25" t="s">
        <v>4307</v>
      </c>
      <c r="D1291" s="37" t="s">
        <v>4257</v>
      </c>
      <c r="E1291" s="38" t="b">
        <v>0</v>
      </c>
      <c r="F1291" s="27" t="str">
        <f>HYPERLINK("http://nsgreg.nga.mil/genc/view?v=119097&amp;gencs=T&amp;end_month=12&amp;end_day=31&amp;end_year=2014","Cher")</f>
        <v>Cher</v>
      </c>
      <c r="G1291" s="28" t="str">
        <f>HYPERLINK("http://api.nsgreg.nga.mil/geo-division/GENC/6/ed3/FR-18","as:GENC:6:ed3:FR-18")</f>
        <v>as:GENC:6:ed3:FR-18</v>
      </c>
    </row>
    <row r="1292" spans="1:7" x14ac:dyDescent="0.2">
      <c r="A1292" s="85"/>
      <c r="B1292" s="25" t="s">
        <v>4310</v>
      </c>
      <c r="C1292" s="25" t="s">
        <v>4311</v>
      </c>
      <c r="D1292" s="37" t="s">
        <v>4257</v>
      </c>
      <c r="E1292" s="38" t="b">
        <v>0</v>
      </c>
      <c r="F1292" s="27" t="str">
        <f>HYPERLINK("http://nsgreg.nga.mil/genc/view?v=119098&amp;gencs=T&amp;end_month=12&amp;end_day=31&amp;end_year=2014","Corrèze")</f>
        <v>Corrèze</v>
      </c>
      <c r="G1292" s="28" t="str">
        <f>HYPERLINK("http://api.nsgreg.nga.mil/geo-division/GENC/6/ed3/FR-19","as:GENC:6:ed3:FR-19")</f>
        <v>as:GENC:6:ed3:FR-19</v>
      </c>
    </row>
    <row r="1293" spans="1:7" x14ac:dyDescent="0.2">
      <c r="A1293" s="85"/>
      <c r="B1293" s="25" t="s">
        <v>4314</v>
      </c>
      <c r="C1293" s="25" t="s">
        <v>4315</v>
      </c>
      <c r="D1293" s="37" t="s">
        <v>4257</v>
      </c>
      <c r="E1293" s="38" t="b">
        <v>0</v>
      </c>
      <c r="F1293" s="27" t="str">
        <f>HYPERLINK("http://nsgreg.nga.mil/genc/view?v=119108&amp;gencs=T&amp;end_month=12&amp;end_day=31&amp;end_year=2014","Corse-du-Sud")</f>
        <v>Corse-du-Sud</v>
      </c>
      <c r="G1293" s="28" t="str">
        <f>HYPERLINK("http://api.nsgreg.nga.mil/geo-division/GENC/6/ed3/FR-2A","as:GENC:6:ed3:FR-2A")</f>
        <v>as:GENC:6:ed3:FR-2A</v>
      </c>
    </row>
    <row r="1294" spans="1:7" x14ac:dyDescent="0.2">
      <c r="A1294" s="85"/>
      <c r="B1294" s="25" t="s">
        <v>4312</v>
      </c>
      <c r="C1294" s="25" t="s">
        <v>12368</v>
      </c>
      <c r="D1294" s="25" t="s">
        <v>2087</v>
      </c>
      <c r="E1294" s="26" t="b">
        <v>1</v>
      </c>
      <c r="F1294" s="27" t="str">
        <f>HYPERLINK("http://nsgreg.nga.mil/genc/view?v=211659&amp;end_month=12&amp;end_day=31&amp;end_year=2014","Corsica")</f>
        <v>Corsica</v>
      </c>
      <c r="G1294" s="28" t="str">
        <f>HYPERLINK("http://api.nsgreg.nga.mil/geo-division/GENC/6/ed3/FR-H","as:GENC:6:ed3:FR-H")</f>
        <v>as:GENC:6:ed3:FR-H</v>
      </c>
    </row>
    <row r="1295" spans="1:7" x14ac:dyDescent="0.2">
      <c r="A1295" s="85"/>
      <c r="B1295" s="25" t="s">
        <v>4318</v>
      </c>
      <c r="C1295" s="25" t="s">
        <v>12369</v>
      </c>
      <c r="D1295" s="37" t="s">
        <v>4257</v>
      </c>
      <c r="E1295" s="38" t="b">
        <v>0</v>
      </c>
      <c r="F1295" s="27" t="str">
        <f>HYPERLINK("http://nsgreg.nga.mil/genc/view?v=211644&amp;end_month=12&amp;end_day=31&amp;end_year=2014","Côte-d’Or")</f>
        <v>Côte-d’Or</v>
      </c>
      <c r="G1295" s="28" t="str">
        <f>HYPERLINK("http://api.nsgreg.nga.mil/geo-division/GENC/6/ed3/FR-21","as:GENC:6:ed3:FR-21")</f>
        <v>as:GENC:6:ed3:FR-21</v>
      </c>
    </row>
    <row r="1296" spans="1:7" x14ac:dyDescent="0.2">
      <c r="A1296" s="85"/>
      <c r="B1296" s="25" t="s">
        <v>4320</v>
      </c>
      <c r="C1296" s="25" t="s">
        <v>12370</v>
      </c>
      <c r="D1296" s="37" t="s">
        <v>4257</v>
      </c>
      <c r="E1296" s="38" t="b">
        <v>0</v>
      </c>
      <c r="F1296" s="27" t="str">
        <f>HYPERLINK("http://nsgreg.nga.mil/genc/view?v=211645&amp;end_month=12&amp;end_day=31&amp;end_year=2014","Côtes-d’Armor")</f>
        <v>Côtes-d’Armor</v>
      </c>
      <c r="G1296" s="28" t="str">
        <f>HYPERLINK("http://api.nsgreg.nga.mil/geo-division/GENC/6/ed3/FR-22","as:GENC:6:ed3:FR-22")</f>
        <v>as:GENC:6:ed3:FR-22</v>
      </c>
    </row>
    <row r="1297" spans="1:7" x14ac:dyDescent="0.2">
      <c r="A1297" s="85"/>
      <c r="B1297" s="25" t="s">
        <v>4316</v>
      </c>
      <c r="C1297" s="25" t="s">
        <v>4317</v>
      </c>
      <c r="D1297" s="37" t="s">
        <v>4257</v>
      </c>
      <c r="E1297" s="38" t="b">
        <v>0</v>
      </c>
      <c r="F1297" s="27" t="str">
        <f>HYPERLINK("http://nsgreg.nga.mil/genc/view?v=119101&amp;gencs=T&amp;end_month=12&amp;end_day=31&amp;end_year=2014","Creuse")</f>
        <v>Creuse</v>
      </c>
      <c r="G1297" s="28" t="str">
        <f>HYPERLINK("http://api.nsgreg.nga.mil/geo-division/GENC/6/ed3/FR-23","as:GENC:6:ed3:FR-23")</f>
        <v>as:GENC:6:ed3:FR-23</v>
      </c>
    </row>
    <row r="1298" spans="1:7" x14ac:dyDescent="0.2">
      <c r="A1298" s="85"/>
      <c r="B1298" s="25" t="s">
        <v>4322</v>
      </c>
      <c r="C1298" s="25" t="s">
        <v>4323</v>
      </c>
      <c r="D1298" s="37" t="s">
        <v>4257</v>
      </c>
      <c r="E1298" s="38" t="b">
        <v>0</v>
      </c>
      <c r="F1298" s="27" t="str">
        <f>HYPERLINK("http://nsgreg.nga.mil/genc/view?v=119159&amp;gencs=T&amp;end_month=12&amp;end_day=31&amp;end_year=2014","Deux-Sèvres")</f>
        <v>Deux-Sèvres</v>
      </c>
      <c r="G1298" s="28" t="str">
        <f>HYPERLINK("http://api.nsgreg.nga.mil/geo-division/GENC/6/ed3/FR-79","as:GENC:6:ed3:FR-79")</f>
        <v>as:GENC:6:ed3:FR-79</v>
      </c>
    </row>
    <row r="1299" spans="1:7" x14ac:dyDescent="0.2">
      <c r="A1299" s="85"/>
      <c r="B1299" s="25" t="s">
        <v>4324</v>
      </c>
      <c r="C1299" s="25" t="s">
        <v>4325</v>
      </c>
      <c r="D1299" s="37" t="s">
        <v>4257</v>
      </c>
      <c r="E1299" s="38" t="b">
        <v>0</v>
      </c>
      <c r="F1299" s="27" t="str">
        <f>HYPERLINK("http://nsgreg.nga.mil/genc/view?v=119102&amp;gencs=T&amp;end_month=12&amp;end_day=31&amp;end_year=2014","Dordogne")</f>
        <v>Dordogne</v>
      </c>
      <c r="G1299" s="28" t="str">
        <f>HYPERLINK("http://api.nsgreg.nga.mil/geo-division/GENC/6/ed3/FR-24","as:GENC:6:ed3:FR-24")</f>
        <v>as:GENC:6:ed3:FR-24</v>
      </c>
    </row>
    <row r="1300" spans="1:7" x14ac:dyDescent="0.2">
      <c r="A1300" s="85"/>
      <c r="B1300" s="25" t="s">
        <v>4326</v>
      </c>
      <c r="C1300" s="25" t="s">
        <v>4327</v>
      </c>
      <c r="D1300" s="37" t="s">
        <v>4257</v>
      </c>
      <c r="E1300" s="38" t="b">
        <v>0</v>
      </c>
      <c r="F1300" s="27" t="str">
        <f>HYPERLINK("http://nsgreg.nga.mil/genc/view?v=119103&amp;gencs=T&amp;end_month=12&amp;end_day=31&amp;end_year=2014","Doubs")</f>
        <v>Doubs</v>
      </c>
      <c r="G1300" s="28" t="str">
        <f>HYPERLINK("http://api.nsgreg.nga.mil/geo-division/GENC/6/ed3/FR-25","as:GENC:6:ed3:FR-25")</f>
        <v>as:GENC:6:ed3:FR-25</v>
      </c>
    </row>
    <row r="1301" spans="1:7" x14ac:dyDescent="0.2">
      <c r="A1301" s="85"/>
      <c r="B1301" s="25" t="s">
        <v>4328</v>
      </c>
      <c r="C1301" s="25" t="s">
        <v>4329</v>
      </c>
      <c r="D1301" s="37" t="s">
        <v>4257</v>
      </c>
      <c r="E1301" s="38" t="b">
        <v>0</v>
      </c>
      <c r="F1301" s="27" t="str">
        <f>HYPERLINK("http://nsgreg.nga.mil/genc/view?v=119104&amp;gencs=T&amp;end_month=12&amp;end_day=31&amp;end_year=2014","Drôme")</f>
        <v>Drôme</v>
      </c>
      <c r="G1301" s="28" t="str">
        <f>HYPERLINK("http://api.nsgreg.nga.mil/geo-division/GENC/6/ed3/FR-26","as:GENC:6:ed3:FR-26")</f>
        <v>as:GENC:6:ed3:FR-26</v>
      </c>
    </row>
    <row r="1302" spans="1:7" x14ac:dyDescent="0.2">
      <c r="A1302" s="85"/>
      <c r="B1302" s="25" t="s">
        <v>4330</v>
      </c>
      <c r="C1302" s="25" t="s">
        <v>4331</v>
      </c>
      <c r="D1302" s="37" t="s">
        <v>4257</v>
      </c>
      <c r="E1302" s="38" t="b">
        <v>0</v>
      </c>
      <c r="F1302" s="27" t="str">
        <f>HYPERLINK("http://nsgreg.nga.mil/genc/view?v=119171&amp;gencs=T&amp;end_month=12&amp;end_day=31&amp;end_year=2014","Essonne")</f>
        <v>Essonne</v>
      </c>
      <c r="G1302" s="28" t="str">
        <f>HYPERLINK("http://api.nsgreg.nga.mil/geo-division/GENC/6/ed3/FR-91","as:GENC:6:ed3:FR-91")</f>
        <v>as:GENC:6:ed3:FR-91</v>
      </c>
    </row>
    <row r="1303" spans="1:7" x14ac:dyDescent="0.2">
      <c r="A1303" s="85"/>
      <c r="B1303" s="25" t="s">
        <v>4332</v>
      </c>
      <c r="C1303" s="25" t="s">
        <v>4333</v>
      </c>
      <c r="D1303" s="37" t="s">
        <v>4257</v>
      </c>
      <c r="E1303" s="38" t="b">
        <v>0</v>
      </c>
      <c r="F1303" s="27" t="str">
        <f>HYPERLINK("http://nsgreg.nga.mil/genc/view?v=119105&amp;gencs=T&amp;end_month=12&amp;end_day=31&amp;end_year=2014","Eure")</f>
        <v>Eure</v>
      </c>
      <c r="G1303" s="28" t="str">
        <f>HYPERLINK("http://api.nsgreg.nga.mil/geo-division/GENC/6/ed3/FR-27","as:GENC:6:ed3:FR-27")</f>
        <v>as:GENC:6:ed3:FR-27</v>
      </c>
    </row>
    <row r="1304" spans="1:7" x14ac:dyDescent="0.2">
      <c r="A1304" s="85"/>
      <c r="B1304" s="25" t="s">
        <v>4334</v>
      </c>
      <c r="C1304" s="25" t="s">
        <v>4335</v>
      </c>
      <c r="D1304" s="37" t="s">
        <v>4257</v>
      </c>
      <c r="E1304" s="38" t="b">
        <v>0</v>
      </c>
      <c r="F1304" s="27" t="str">
        <f>HYPERLINK("http://nsgreg.nga.mil/genc/view?v=119106&amp;gencs=T&amp;end_month=12&amp;end_day=31&amp;end_year=2014","Eure-et-Loir")</f>
        <v>Eure-et-Loir</v>
      </c>
      <c r="G1304" s="28" t="str">
        <f>HYPERLINK("http://api.nsgreg.nga.mil/geo-division/GENC/6/ed3/FR-28","as:GENC:6:ed3:FR-28")</f>
        <v>as:GENC:6:ed3:FR-28</v>
      </c>
    </row>
    <row r="1305" spans="1:7" x14ac:dyDescent="0.2">
      <c r="A1305" s="85"/>
      <c r="B1305" s="25" t="s">
        <v>4336</v>
      </c>
      <c r="C1305" s="25" t="s">
        <v>4337</v>
      </c>
      <c r="D1305" s="37" t="s">
        <v>4257</v>
      </c>
      <c r="E1305" s="38" t="b">
        <v>0</v>
      </c>
      <c r="F1305" s="27" t="str">
        <f>HYPERLINK("http://nsgreg.nga.mil/genc/view?v=119107&amp;gencs=T&amp;end_month=12&amp;end_day=31&amp;end_year=2014","Finistère")</f>
        <v>Finistère</v>
      </c>
      <c r="G1305" s="28" t="str">
        <f>HYPERLINK("http://api.nsgreg.nga.mil/geo-division/GENC/6/ed3/FR-29","as:GENC:6:ed3:FR-29")</f>
        <v>as:GENC:6:ed3:FR-29</v>
      </c>
    </row>
    <row r="1306" spans="1:7" x14ac:dyDescent="0.2">
      <c r="A1306" s="85"/>
      <c r="B1306" s="25" t="s">
        <v>4338</v>
      </c>
      <c r="C1306" s="25" t="s">
        <v>4339</v>
      </c>
      <c r="D1306" s="25" t="s">
        <v>2087</v>
      </c>
      <c r="E1306" s="26" t="b">
        <v>1</v>
      </c>
      <c r="F1306" s="27" t="str">
        <f>HYPERLINK("http://nsgreg.nga.mil/genc/view?v=211660&amp;end_month=12&amp;end_day=31&amp;end_year=2014","Franche-Comté")</f>
        <v>Franche-Comté</v>
      </c>
      <c r="G1306" s="28" t="str">
        <f>HYPERLINK("http://api.nsgreg.nga.mil/geo-division/GENC/6/ed3/FR-I","as:GENC:6:ed3:FR-I")</f>
        <v>as:GENC:6:ed3:FR-I</v>
      </c>
    </row>
    <row r="1307" spans="1:7" x14ac:dyDescent="0.2">
      <c r="A1307" s="85"/>
      <c r="B1307" s="25" t="s">
        <v>4340</v>
      </c>
      <c r="C1307" s="25" t="s">
        <v>4341</v>
      </c>
      <c r="D1307" s="37" t="s">
        <v>4257</v>
      </c>
      <c r="E1307" s="38" t="b">
        <v>0</v>
      </c>
      <c r="F1307" s="27" t="str">
        <f>HYPERLINK("http://nsgreg.nga.mil/genc/view?v=119110&amp;gencs=T&amp;end_month=12&amp;end_day=31&amp;end_year=2014","Gard")</f>
        <v>Gard</v>
      </c>
      <c r="G1307" s="28" t="str">
        <f>HYPERLINK("http://api.nsgreg.nga.mil/geo-division/GENC/6/ed3/FR-30","as:GENC:6:ed3:FR-30")</f>
        <v>as:GENC:6:ed3:FR-30</v>
      </c>
    </row>
    <row r="1308" spans="1:7" x14ac:dyDescent="0.2">
      <c r="A1308" s="85"/>
      <c r="B1308" s="25" t="s">
        <v>4342</v>
      </c>
      <c r="C1308" s="25" t="s">
        <v>4343</v>
      </c>
      <c r="D1308" s="37" t="s">
        <v>4257</v>
      </c>
      <c r="E1308" s="38" t="b">
        <v>0</v>
      </c>
      <c r="F1308" s="27" t="str">
        <f>HYPERLINK("http://nsgreg.nga.mil/genc/view?v=119112&amp;gencs=T&amp;end_month=12&amp;end_day=31&amp;end_year=2014","Gers")</f>
        <v>Gers</v>
      </c>
      <c r="G1308" s="28" t="str">
        <f>HYPERLINK("http://api.nsgreg.nga.mil/geo-division/GENC/6/ed3/FR-32","as:GENC:6:ed3:FR-32")</f>
        <v>as:GENC:6:ed3:FR-32</v>
      </c>
    </row>
    <row r="1309" spans="1:7" x14ac:dyDescent="0.2">
      <c r="A1309" s="85"/>
      <c r="B1309" s="25" t="s">
        <v>4344</v>
      </c>
      <c r="C1309" s="25" t="s">
        <v>4345</v>
      </c>
      <c r="D1309" s="37" t="s">
        <v>4257</v>
      </c>
      <c r="E1309" s="38" t="b">
        <v>0</v>
      </c>
      <c r="F1309" s="27" t="str">
        <f>HYPERLINK("http://nsgreg.nga.mil/genc/view?v=119113&amp;gencs=T&amp;end_month=12&amp;end_day=31&amp;end_year=2014","Gironde")</f>
        <v>Gironde</v>
      </c>
      <c r="G1309" s="28" t="str">
        <f>HYPERLINK("http://api.nsgreg.nga.mil/geo-division/GENC/6/ed3/FR-33","as:GENC:6:ed3:FR-33")</f>
        <v>as:GENC:6:ed3:FR-33</v>
      </c>
    </row>
    <row r="1310" spans="1:7" x14ac:dyDescent="0.2">
      <c r="A1310" s="85"/>
      <c r="B1310" s="25" t="s">
        <v>4353</v>
      </c>
      <c r="C1310" s="25" t="s">
        <v>4354</v>
      </c>
      <c r="D1310" s="37" t="s">
        <v>4257</v>
      </c>
      <c r="E1310" s="38" t="b">
        <v>0</v>
      </c>
      <c r="F1310" s="27" t="str">
        <f>HYPERLINK("http://nsgreg.nga.mil/genc/view?v=119109&amp;gencs=T&amp;end_month=12&amp;end_day=31&amp;end_year=2014","Haute-Corse")</f>
        <v>Haute-Corse</v>
      </c>
      <c r="G1310" s="28" t="str">
        <f>HYPERLINK("http://api.nsgreg.nga.mil/geo-division/GENC/6/ed3/FR-2B","as:GENC:6:ed3:FR-2B")</f>
        <v>as:GENC:6:ed3:FR-2B</v>
      </c>
    </row>
    <row r="1311" spans="1:7" x14ac:dyDescent="0.2">
      <c r="A1311" s="85"/>
      <c r="B1311" s="25" t="s">
        <v>4355</v>
      </c>
      <c r="C1311" s="25" t="s">
        <v>4356</v>
      </c>
      <c r="D1311" s="37" t="s">
        <v>4257</v>
      </c>
      <c r="E1311" s="38" t="b">
        <v>0</v>
      </c>
      <c r="F1311" s="27" t="str">
        <f>HYPERLINK("http://nsgreg.nga.mil/genc/view?v=119111&amp;gencs=T&amp;end_month=12&amp;end_day=31&amp;end_year=2014","Haute-Garonne")</f>
        <v>Haute-Garonne</v>
      </c>
      <c r="G1311" s="28" t="str">
        <f>HYPERLINK("http://api.nsgreg.nga.mil/geo-division/GENC/6/ed3/FR-31","as:GENC:6:ed3:FR-31")</f>
        <v>as:GENC:6:ed3:FR-31</v>
      </c>
    </row>
    <row r="1312" spans="1:7" x14ac:dyDescent="0.2">
      <c r="A1312" s="85"/>
      <c r="B1312" s="25" t="s">
        <v>4357</v>
      </c>
      <c r="C1312" s="25" t="s">
        <v>4358</v>
      </c>
      <c r="D1312" s="37" t="s">
        <v>4257</v>
      </c>
      <c r="E1312" s="38" t="b">
        <v>0</v>
      </c>
      <c r="F1312" s="27" t="str">
        <f>HYPERLINK("http://nsgreg.nga.mil/genc/view?v=119123&amp;gencs=T&amp;end_month=12&amp;end_day=31&amp;end_year=2014","Haute-Loire")</f>
        <v>Haute-Loire</v>
      </c>
      <c r="G1312" s="28" t="str">
        <f>HYPERLINK("http://api.nsgreg.nga.mil/geo-division/GENC/6/ed3/FR-43","as:GENC:6:ed3:FR-43")</f>
        <v>as:GENC:6:ed3:FR-43</v>
      </c>
    </row>
    <row r="1313" spans="1:7" x14ac:dyDescent="0.2">
      <c r="A1313" s="85"/>
      <c r="B1313" s="25" t="s">
        <v>4359</v>
      </c>
      <c r="C1313" s="25" t="s">
        <v>4360</v>
      </c>
      <c r="D1313" s="37" t="s">
        <v>4257</v>
      </c>
      <c r="E1313" s="38" t="b">
        <v>0</v>
      </c>
      <c r="F1313" s="27" t="str">
        <f>HYPERLINK("http://nsgreg.nga.mil/genc/view?v=119132&amp;gencs=T&amp;end_month=12&amp;end_day=31&amp;end_year=2014","Haute-Marne")</f>
        <v>Haute-Marne</v>
      </c>
      <c r="G1313" s="28" t="str">
        <f>HYPERLINK("http://api.nsgreg.nga.mil/geo-division/GENC/6/ed3/FR-52","as:GENC:6:ed3:FR-52")</f>
        <v>as:GENC:6:ed3:FR-52</v>
      </c>
    </row>
    <row r="1314" spans="1:7" x14ac:dyDescent="0.2">
      <c r="A1314" s="85"/>
      <c r="B1314" s="25" t="s">
        <v>4361</v>
      </c>
      <c r="C1314" s="25" t="s">
        <v>4362</v>
      </c>
      <c r="D1314" s="25" t="s">
        <v>2087</v>
      </c>
      <c r="E1314" s="26" t="b">
        <v>1</v>
      </c>
      <c r="F1314" s="27" t="str">
        <f>HYPERLINK("http://nsgreg.nga.mil/genc/view?v=211673&amp;end_month=12&amp;end_day=31&amp;end_year=2014","Haute-Normandie")</f>
        <v>Haute-Normandie</v>
      </c>
      <c r="G1314" s="28" t="str">
        <f>HYPERLINK("http://api.nsgreg.nga.mil/geo-division/GENC/6/ed3/FR-Q","as:GENC:6:ed3:FR-Q")</f>
        <v>as:GENC:6:ed3:FR-Q</v>
      </c>
    </row>
    <row r="1315" spans="1:7" x14ac:dyDescent="0.2">
      <c r="A1315" s="85"/>
      <c r="B1315" s="25" t="s">
        <v>4369</v>
      </c>
      <c r="C1315" s="25" t="s">
        <v>4370</v>
      </c>
      <c r="D1315" s="37" t="s">
        <v>4257</v>
      </c>
      <c r="E1315" s="38" t="b">
        <v>0</v>
      </c>
      <c r="F1315" s="27" t="str">
        <f>HYPERLINK("http://nsgreg.nga.mil/genc/view?v=119084&amp;gencs=T&amp;end_month=12&amp;end_day=31&amp;end_year=2014","Hautes-Alpes")</f>
        <v>Hautes-Alpes</v>
      </c>
      <c r="G1315" s="28" t="str">
        <f>HYPERLINK("http://api.nsgreg.nga.mil/geo-division/GENC/6/ed3/FR-05","as:GENC:6:ed3:FR-05")</f>
        <v>as:GENC:6:ed3:FR-05</v>
      </c>
    </row>
    <row r="1316" spans="1:7" x14ac:dyDescent="0.2">
      <c r="A1316" s="85"/>
      <c r="B1316" s="25" t="s">
        <v>4365</v>
      </c>
      <c r="C1316" s="25" t="s">
        <v>4366</v>
      </c>
      <c r="D1316" s="37" t="s">
        <v>4257</v>
      </c>
      <c r="E1316" s="38" t="b">
        <v>0</v>
      </c>
      <c r="F1316" s="27" t="str">
        <f>HYPERLINK("http://nsgreg.nga.mil/genc/view?v=119150&amp;gencs=T&amp;end_month=12&amp;end_day=31&amp;end_year=2014","Haute-Saône")</f>
        <v>Haute-Saône</v>
      </c>
      <c r="G1316" s="28" t="str">
        <f>HYPERLINK("http://api.nsgreg.nga.mil/geo-division/GENC/6/ed3/FR-70","as:GENC:6:ed3:FR-70")</f>
        <v>as:GENC:6:ed3:FR-70</v>
      </c>
    </row>
    <row r="1317" spans="1:7" x14ac:dyDescent="0.2">
      <c r="A1317" s="85"/>
      <c r="B1317" s="25" t="s">
        <v>4363</v>
      </c>
      <c r="C1317" s="25" t="s">
        <v>4364</v>
      </c>
      <c r="D1317" s="37" t="s">
        <v>4257</v>
      </c>
      <c r="E1317" s="38" t="b">
        <v>0</v>
      </c>
      <c r="F1317" s="27" t="str">
        <f>HYPERLINK("http://nsgreg.nga.mil/genc/view?v=119154&amp;gencs=T&amp;end_month=12&amp;end_day=31&amp;end_year=2014","Haute-Savoie")</f>
        <v>Haute-Savoie</v>
      </c>
      <c r="G1317" s="28" t="str">
        <f>HYPERLINK("http://api.nsgreg.nga.mil/geo-division/GENC/6/ed3/FR-74","as:GENC:6:ed3:FR-74")</f>
        <v>as:GENC:6:ed3:FR-74</v>
      </c>
    </row>
    <row r="1318" spans="1:7" x14ac:dyDescent="0.2">
      <c r="A1318" s="85"/>
      <c r="B1318" s="25" t="s">
        <v>4371</v>
      </c>
      <c r="C1318" s="25" t="s">
        <v>4372</v>
      </c>
      <c r="D1318" s="37" t="s">
        <v>4257</v>
      </c>
      <c r="E1318" s="38" t="b">
        <v>0</v>
      </c>
      <c r="F1318" s="27" t="str">
        <f>HYPERLINK("http://nsgreg.nga.mil/genc/view?v=119145&amp;gencs=T&amp;end_month=12&amp;end_day=31&amp;end_year=2014","Hautes-Pyrénées")</f>
        <v>Hautes-Pyrénées</v>
      </c>
      <c r="G1318" s="28" t="str">
        <f>HYPERLINK("http://api.nsgreg.nga.mil/geo-division/GENC/6/ed3/FR-65","as:GENC:6:ed3:FR-65")</f>
        <v>as:GENC:6:ed3:FR-65</v>
      </c>
    </row>
    <row r="1319" spans="1:7" x14ac:dyDescent="0.2">
      <c r="A1319" s="85"/>
      <c r="B1319" s="25" t="s">
        <v>4367</v>
      </c>
      <c r="C1319" s="25" t="s">
        <v>4368</v>
      </c>
      <c r="D1319" s="37" t="s">
        <v>4257</v>
      </c>
      <c r="E1319" s="38" t="b">
        <v>0</v>
      </c>
      <c r="F1319" s="27" t="str">
        <f>HYPERLINK("http://nsgreg.nga.mil/genc/view?v=119167&amp;gencs=T&amp;end_month=12&amp;end_day=31&amp;end_year=2014","Haute-Vienne")</f>
        <v>Haute-Vienne</v>
      </c>
      <c r="G1319" s="28" t="str">
        <f>HYPERLINK("http://api.nsgreg.nga.mil/geo-division/GENC/6/ed3/FR-87","as:GENC:6:ed3:FR-87")</f>
        <v>as:GENC:6:ed3:FR-87</v>
      </c>
    </row>
    <row r="1320" spans="1:7" x14ac:dyDescent="0.2">
      <c r="A1320" s="85"/>
      <c r="B1320" s="25" t="s">
        <v>4351</v>
      </c>
      <c r="C1320" s="25" t="s">
        <v>4352</v>
      </c>
      <c r="D1320" s="37" t="s">
        <v>4257</v>
      </c>
      <c r="E1320" s="38" t="b">
        <v>0</v>
      </c>
      <c r="F1320" s="27" t="str">
        <f>HYPERLINK("http://nsgreg.nga.mil/genc/view?v=119148&amp;gencs=T&amp;end_month=12&amp;end_day=31&amp;end_year=2014","Haut-Rhin")</f>
        <v>Haut-Rhin</v>
      </c>
      <c r="G1320" s="28" t="str">
        <f>HYPERLINK("http://api.nsgreg.nga.mil/geo-division/GENC/6/ed3/FR-68","as:GENC:6:ed3:FR-68")</f>
        <v>as:GENC:6:ed3:FR-68</v>
      </c>
    </row>
    <row r="1321" spans="1:7" x14ac:dyDescent="0.2">
      <c r="A1321" s="85"/>
      <c r="B1321" s="25" t="s">
        <v>4373</v>
      </c>
      <c r="C1321" s="25" t="s">
        <v>4374</v>
      </c>
      <c r="D1321" s="37" t="s">
        <v>4257</v>
      </c>
      <c r="E1321" s="38" t="b">
        <v>0</v>
      </c>
      <c r="F1321" s="27" t="str">
        <f>HYPERLINK("http://nsgreg.nga.mil/genc/view?v=119172&amp;gencs=T&amp;end_month=12&amp;end_day=31&amp;end_year=2014","Hauts-de-Seine")</f>
        <v>Hauts-de-Seine</v>
      </c>
      <c r="G1321" s="28" t="str">
        <f>HYPERLINK("http://api.nsgreg.nga.mil/geo-division/GENC/6/ed3/FR-92","as:GENC:6:ed3:FR-92")</f>
        <v>as:GENC:6:ed3:FR-92</v>
      </c>
    </row>
    <row r="1322" spans="1:7" x14ac:dyDescent="0.2">
      <c r="A1322" s="85"/>
      <c r="B1322" s="25" t="s">
        <v>4375</v>
      </c>
      <c r="C1322" s="25" t="s">
        <v>4376</v>
      </c>
      <c r="D1322" s="37" t="s">
        <v>4257</v>
      </c>
      <c r="E1322" s="38" t="b">
        <v>0</v>
      </c>
      <c r="F1322" s="27" t="str">
        <f>HYPERLINK("http://nsgreg.nga.mil/genc/view?v=119114&amp;gencs=T&amp;end_month=12&amp;end_day=31&amp;end_year=2014","Hérault")</f>
        <v>Hérault</v>
      </c>
      <c r="G1322" s="28" t="str">
        <f>HYPERLINK("http://api.nsgreg.nga.mil/geo-division/GENC/6/ed3/FR-34","as:GENC:6:ed3:FR-34")</f>
        <v>as:GENC:6:ed3:FR-34</v>
      </c>
    </row>
    <row r="1323" spans="1:7" x14ac:dyDescent="0.2">
      <c r="A1323" s="85"/>
      <c r="B1323" s="25" t="s">
        <v>4517</v>
      </c>
      <c r="C1323" s="25" t="s">
        <v>4518</v>
      </c>
      <c r="D1323" s="25" t="s">
        <v>2087</v>
      </c>
      <c r="E1323" s="26" t="b">
        <v>1</v>
      </c>
      <c r="F1323" s="27" t="str">
        <f>HYPERLINK("http://nsgreg.nga.mil/genc/view?v=211661&amp;end_month=12&amp;end_day=31&amp;end_year=2014","Île-de-France")</f>
        <v>Île-de-France</v>
      </c>
      <c r="G1323" s="28" t="str">
        <f>HYPERLINK("http://api.nsgreg.nga.mil/geo-division/GENC/6/ed3/FR-J","as:GENC:6:ed3:FR-J")</f>
        <v>as:GENC:6:ed3:FR-J</v>
      </c>
    </row>
    <row r="1324" spans="1:7" x14ac:dyDescent="0.2">
      <c r="A1324" s="85"/>
      <c r="B1324" s="25" t="s">
        <v>4377</v>
      </c>
      <c r="C1324" s="25" t="s">
        <v>4378</v>
      </c>
      <c r="D1324" s="37" t="s">
        <v>4257</v>
      </c>
      <c r="E1324" s="38" t="b">
        <v>0</v>
      </c>
      <c r="F1324" s="27" t="str">
        <f>HYPERLINK("http://nsgreg.nga.mil/genc/view?v=119115&amp;gencs=T&amp;end_month=12&amp;end_day=31&amp;end_year=2014","Ille-et-Vilaine")</f>
        <v>Ille-et-Vilaine</v>
      </c>
      <c r="G1324" s="28" t="str">
        <f>HYPERLINK("http://api.nsgreg.nga.mil/geo-division/GENC/6/ed3/FR-35","as:GENC:6:ed3:FR-35")</f>
        <v>as:GENC:6:ed3:FR-35</v>
      </c>
    </row>
    <row r="1325" spans="1:7" x14ac:dyDescent="0.2">
      <c r="A1325" s="85"/>
      <c r="B1325" s="25" t="s">
        <v>4379</v>
      </c>
      <c r="C1325" s="25" t="s">
        <v>4380</v>
      </c>
      <c r="D1325" s="37" t="s">
        <v>4257</v>
      </c>
      <c r="E1325" s="38" t="b">
        <v>0</v>
      </c>
      <c r="F1325" s="27" t="str">
        <f>HYPERLINK("http://nsgreg.nga.mil/genc/view?v=119116&amp;gencs=T&amp;end_month=12&amp;end_day=31&amp;end_year=2014","Indre")</f>
        <v>Indre</v>
      </c>
      <c r="G1325" s="28" t="str">
        <f>HYPERLINK("http://api.nsgreg.nga.mil/geo-division/GENC/6/ed3/FR-36","as:GENC:6:ed3:FR-36")</f>
        <v>as:GENC:6:ed3:FR-36</v>
      </c>
    </row>
    <row r="1326" spans="1:7" x14ac:dyDescent="0.2">
      <c r="A1326" s="85"/>
      <c r="B1326" s="25" t="s">
        <v>4381</v>
      </c>
      <c r="C1326" s="25" t="s">
        <v>4382</v>
      </c>
      <c r="D1326" s="37" t="s">
        <v>4257</v>
      </c>
      <c r="E1326" s="38" t="b">
        <v>0</v>
      </c>
      <c r="F1326" s="27" t="str">
        <f>HYPERLINK("http://nsgreg.nga.mil/genc/view?v=119117&amp;gencs=T&amp;end_month=12&amp;end_day=31&amp;end_year=2014","Indre-et-Loire")</f>
        <v>Indre-et-Loire</v>
      </c>
      <c r="G1326" s="28" t="str">
        <f>HYPERLINK("http://api.nsgreg.nga.mil/geo-division/GENC/6/ed3/FR-37","as:GENC:6:ed3:FR-37")</f>
        <v>as:GENC:6:ed3:FR-37</v>
      </c>
    </row>
    <row r="1327" spans="1:7" x14ac:dyDescent="0.2">
      <c r="A1327" s="85"/>
      <c r="B1327" s="25" t="s">
        <v>4383</v>
      </c>
      <c r="C1327" s="25" t="s">
        <v>4384</v>
      </c>
      <c r="D1327" s="37" t="s">
        <v>4257</v>
      </c>
      <c r="E1327" s="38" t="b">
        <v>0</v>
      </c>
      <c r="F1327" s="27" t="str">
        <f>HYPERLINK("http://nsgreg.nga.mil/genc/view?v=119118&amp;gencs=T&amp;end_month=12&amp;end_day=31&amp;end_year=2014","Isère")</f>
        <v>Isère</v>
      </c>
      <c r="G1327" s="28" t="str">
        <f>HYPERLINK("http://api.nsgreg.nga.mil/geo-division/GENC/6/ed3/FR-38","as:GENC:6:ed3:FR-38")</f>
        <v>as:GENC:6:ed3:FR-38</v>
      </c>
    </row>
    <row r="1328" spans="1:7" x14ac:dyDescent="0.2">
      <c r="A1328" s="85"/>
      <c r="B1328" s="25" t="s">
        <v>4385</v>
      </c>
      <c r="C1328" s="25" t="s">
        <v>4386</v>
      </c>
      <c r="D1328" s="37" t="s">
        <v>4257</v>
      </c>
      <c r="E1328" s="38" t="b">
        <v>0</v>
      </c>
      <c r="F1328" s="27" t="str">
        <f>HYPERLINK("http://nsgreg.nga.mil/genc/view?v=119119&amp;gencs=T&amp;end_month=12&amp;end_day=31&amp;end_year=2014","Jura")</f>
        <v>Jura</v>
      </c>
      <c r="G1328" s="28" t="str">
        <f>HYPERLINK("http://api.nsgreg.nga.mil/geo-division/GENC/6/ed3/FR-39","as:GENC:6:ed3:FR-39")</f>
        <v>as:GENC:6:ed3:FR-39</v>
      </c>
    </row>
    <row r="1329" spans="1:7" x14ac:dyDescent="0.2">
      <c r="A1329" s="85"/>
      <c r="B1329" s="25" t="s">
        <v>4389</v>
      </c>
      <c r="C1329" s="25" t="s">
        <v>4390</v>
      </c>
      <c r="D1329" s="37" t="s">
        <v>4257</v>
      </c>
      <c r="E1329" s="38" t="b">
        <v>0</v>
      </c>
      <c r="F1329" s="27" t="str">
        <f>HYPERLINK("http://nsgreg.nga.mil/genc/view?v=119120&amp;gencs=T&amp;end_month=12&amp;end_day=31&amp;end_year=2014","Landes")</f>
        <v>Landes</v>
      </c>
      <c r="G1329" s="28" t="str">
        <f>HYPERLINK("http://api.nsgreg.nga.mil/geo-division/GENC/6/ed3/FR-40","as:GENC:6:ed3:FR-40")</f>
        <v>as:GENC:6:ed3:FR-40</v>
      </c>
    </row>
    <row r="1330" spans="1:7" x14ac:dyDescent="0.2">
      <c r="A1330" s="85"/>
      <c r="B1330" s="25" t="s">
        <v>4391</v>
      </c>
      <c r="C1330" s="25" t="s">
        <v>4392</v>
      </c>
      <c r="D1330" s="25" t="s">
        <v>2087</v>
      </c>
      <c r="E1330" s="26" t="b">
        <v>1</v>
      </c>
      <c r="F1330" s="27" t="str">
        <f>HYPERLINK("http://nsgreg.nga.mil/genc/view?v=211662&amp;end_month=12&amp;end_day=31&amp;end_year=2014","Languedoc-Roussillon")</f>
        <v>Languedoc-Roussillon</v>
      </c>
      <c r="G1330" s="28" t="str">
        <f>HYPERLINK("http://api.nsgreg.nga.mil/geo-division/GENC/6/ed3/FR-K","as:GENC:6:ed3:FR-K")</f>
        <v>as:GENC:6:ed3:FR-K</v>
      </c>
    </row>
    <row r="1331" spans="1:7" x14ac:dyDescent="0.2">
      <c r="A1331" s="85"/>
      <c r="B1331" s="25" t="s">
        <v>4393</v>
      </c>
      <c r="C1331" s="25" t="s">
        <v>4394</v>
      </c>
      <c r="D1331" s="25" t="s">
        <v>2087</v>
      </c>
      <c r="E1331" s="26" t="b">
        <v>1</v>
      </c>
      <c r="F1331" s="27" t="str">
        <f>HYPERLINK("http://nsgreg.nga.mil/genc/view?v=211663&amp;end_month=12&amp;end_day=31&amp;end_year=2014","Limousin")</f>
        <v>Limousin</v>
      </c>
      <c r="G1331" s="28" t="str">
        <f>HYPERLINK("http://api.nsgreg.nga.mil/geo-division/GENC/6/ed3/FR-L","as:GENC:6:ed3:FR-L")</f>
        <v>as:GENC:6:ed3:FR-L</v>
      </c>
    </row>
    <row r="1332" spans="1:7" x14ac:dyDescent="0.2">
      <c r="A1332" s="85"/>
      <c r="B1332" s="25" t="s">
        <v>4397</v>
      </c>
      <c r="C1332" s="25" t="s">
        <v>4398</v>
      </c>
      <c r="D1332" s="37" t="s">
        <v>4257</v>
      </c>
      <c r="E1332" s="38" t="b">
        <v>0</v>
      </c>
      <c r="F1332" s="27" t="str">
        <f>HYPERLINK("http://nsgreg.nga.mil/genc/view?v=119122&amp;gencs=T&amp;end_month=12&amp;end_day=31&amp;end_year=2014","Loire")</f>
        <v>Loire</v>
      </c>
      <c r="G1332" s="28" t="str">
        <f>HYPERLINK("http://api.nsgreg.nga.mil/geo-division/GENC/6/ed3/FR-42","as:GENC:6:ed3:FR-42")</f>
        <v>as:GENC:6:ed3:FR-42</v>
      </c>
    </row>
    <row r="1333" spans="1:7" x14ac:dyDescent="0.2">
      <c r="A1333" s="85"/>
      <c r="B1333" s="25" t="s">
        <v>4399</v>
      </c>
      <c r="C1333" s="25" t="s">
        <v>4400</v>
      </c>
      <c r="D1333" s="37" t="s">
        <v>4257</v>
      </c>
      <c r="E1333" s="38" t="b">
        <v>0</v>
      </c>
      <c r="F1333" s="27" t="str">
        <f>HYPERLINK("http://nsgreg.nga.mil/genc/view?v=119124&amp;gencs=T&amp;end_month=12&amp;end_day=31&amp;end_year=2014","Loire-Atlantique")</f>
        <v>Loire-Atlantique</v>
      </c>
      <c r="G1333" s="28" t="str">
        <f>HYPERLINK("http://api.nsgreg.nga.mil/geo-division/GENC/6/ed3/FR-44","as:GENC:6:ed3:FR-44")</f>
        <v>as:GENC:6:ed3:FR-44</v>
      </c>
    </row>
    <row r="1334" spans="1:7" x14ac:dyDescent="0.2">
      <c r="A1334" s="85"/>
      <c r="B1334" s="25" t="s">
        <v>4401</v>
      </c>
      <c r="C1334" s="25" t="s">
        <v>4402</v>
      </c>
      <c r="D1334" s="37" t="s">
        <v>4257</v>
      </c>
      <c r="E1334" s="38" t="b">
        <v>0</v>
      </c>
      <c r="F1334" s="27" t="str">
        <f>HYPERLINK("http://nsgreg.nga.mil/genc/view?v=119125&amp;gencs=T&amp;end_month=12&amp;end_day=31&amp;end_year=2014","Loiret")</f>
        <v>Loiret</v>
      </c>
      <c r="G1334" s="28" t="str">
        <f>HYPERLINK("http://api.nsgreg.nga.mil/geo-division/GENC/6/ed3/FR-45","as:GENC:6:ed3:FR-45")</f>
        <v>as:GENC:6:ed3:FR-45</v>
      </c>
    </row>
    <row r="1335" spans="1:7" x14ac:dyDescent="0.2">
      <c r="A1335" s="85"/>
      <c r="B1335" s="25" t="s">
        <v>4395</v>
      </c>
      <c r="C1335" s="25" t="s">
        <v>4396</v>
      </c>
      <c r="D1335" s="37" t="s">
        <v>4257</v>
      </c>
      <c r="E1335" s="38" t="b">
        <v>0</v>
      </c>
      <c r="F1335" s="27" t="str">
        <f>HYPERLINK("http://nsgreg.nga.mil/genc/view?v=119121&amp;gencs=T&amp;end_month=12&amp;end_day=31&amp;end_year=2014","Loir-et-Cher")</f>
        <v>Loir-et-Cher</v>
      </c>
      <c r="G1335" s="28" t="str">
        <f>HYPERLINK("http://api.nsgreg.nga.mil/geo-division/GENC/6/ed3/FR-41","as:GENC:6:ed3:FR-41")</f>
        <v>as:GENC:6:ed3:FR-41</v>
      </c>
    </row>
    <row r="1336" spans="1:7" x14ac:dyDescent="0.2">
      <c r="A1336" s="85"/>
      <c r="B1336" s="25" t="s">
        <v>4403</v>
      </c>
      <c r="C1336" s="25" t="s">
        <v>4404</v>
      </c>
      <c r="D1336" s="25" t="s">
        <v>2087</v>
      </c>
      <c r="E1336" s="26" t="b">
        <v>1</v>
      </c>
      <c r="F1336" s="27" t="str">
        <f>HYPERLINK("http://nsgreg.nga.mil/genc/view?v=211664&amp;end_month=12&amp;end_day=31&amp;end_year=2014","Lorraine")</f>
        <v>Lorraine</v>
      </c>
      <c r="G1336" s="28" t="str">
        <f>HYPERLINK("http://api.nsgreg.nga.mil/geo-division/GENC/6/ed3/FR-M","as:GENC:6:ed3:FR-M")</f>
        <v>as:GENC:6:ed3:FR-M</v>
      </c>
    </row>
    <row r="1337" spans="1:7" x14ac:dyDescent="0.2">
      <c r="A1337" s="85"/>
      <c r="B1337" s="25" t="s">
        <v>4405</v>
      </c>
      <c r="C1337" s="25" t="s">
        <v>4406</v>
      </c>
      <c r="D1337" s="37" t="s">
        <v>4257</v>
      </c>
      <c r="E1337" s="38" t="b">
        <v>0</v>
      </c>
      <c r="F1337" s="27" t="str">
        <f>HYPERLINK("http://nsgreg.nga.mil/genc/view?v=119126&amp;gencs=T&amp;end_month=12&amp;end_day=31&amp;end_year=2014","Lot")</f>
        <v>Lot</v>
      </c>
      <c r="G1337" s="28" t="str">
        <f>HYPERLINK("http://api.nsgreg.nga.mil/geo-division/GENC/6/ed3/FR-46","as:GENC:6:ed3:FR-46")</f>
        <v>as:GENC:6:ed3:FR-46</v>
      </c>
    </row>
    <row r="1338" spans="1:7" x14ac:dyDescent="0.2">
      <c r="A1338" s="85"/>
      <c r="B1338" s="25" t="s">
        <v>4407</v>
      </c>
      <c r="C1338" s="25" t="s">
        <v>4408</v>
      </c>
      <c r="D1338" s="37" t="s">
        <v>4257</v>
      </c>
      <c r="E1338" s="38" t="b">
        <v>0</v>
      </c>
      <c r="F1338" s="27" t="str">
        <f>HYPERLINK("http://nsgreg.nga.mil/genc/view?v=119127&amp;gencs=T&amp;end_month=12&amp;end_day=31&amp;end_year=2014","Lot-et-Garonne")</f>
        <v>Lot-et-Garonne</v>
      </c>
      <c r="G1338" s="28" t="str">
        <f>HYPERLINK("http://api.nsgreg.nga.mil/geo-division/GENC/6/ed3/FR-47","as:GENC:6:ed3:FR-47")</f>
        <v>as:GENC:6:ed3:FR-47</v>
      </c>
    </row>
    <row r="1339" spans="1:7" x14ac:dyDescent="0.2">
      <c r="A1339" s="85"/>
      <c r="B1339" s="25" t="s">
        <v>4409</v>
      </c>
      <c r="C1339" s="25" t="s">
        <v>4410</v>
      </c>
      <c r="D1339" s="37" t="s">
        <v>4257</v>
      </c>
      <c r="E1339" s="38" t="b">
        <v>0</v>
      </c>
      <c r="F1339" s="27" t="str">
        <f>HYPERLINK("http://nsgreg.nga.mil/genc/view?v=119128&amp;gencs=T&amp;end_month=12&amp;end_day=31&amp;end_year=2014","Lozère")</f>
        <v>Lozère</v>
      </c>
      <c r="G1339" s="28" t="str">
        <f>HYPERLINK("http://api.nsgreg.nga.mil/geo-division/GENC/6/ed3/FR-48","as:GENC:6:ed3:FR-48")</f>
        <v>as:GENC:6:ed3:FR-48</v>
      </c>
    </row>
    <row r="1340" spans="1:7" x14ac:dyDescent="0.2">
      <c r="A1340" s="85"/>
      <c r="B1340" s="25" t="s">
        <v>4411</v>
      </c>
      <c r="C1340" s="25" t="s">
        <v>4412</v>
      </c>
      <c r="D1340" s="37" t="s">
        <v>4257</v>
      </c>
      <c r="E1340" s="38" t="b">
        <v>0</v>
      </c>
      <c r="F1340" s="27" t="str">
        <f>HYPERLINK("http://nsgreg.nga.mil/genc/view?v=119129&amp;gencs=T&amp;end_month=12&amp;end_day=31&amp;end_year=2014","Maine-et-Loire")</f>
        <v>Maine-et-Loire</v>
      </c>
      <c r="G1340" s="28" t="str">
        <f>HYPERLINK("http://api.nsgreg.nga.mil/geo-division/GENC/6/ed3/FR-49","as:GENC:6:ed3:FR-49")</f>
        <v>as:GENC:6:ed3:FR-49</v>
      </c>
    </row>
    <row r="1341" spans="1:7" x14ac:dyDescent="0.2">
      <c r="A1341" s="85"/>
      <c r="B1341" s="25" t="s">
        <v>4413</v>
      </c>
      <c r="C1341" s="25" t="s">
        <v>4414</v>
      </c>
      <c r="D1341" s="37" t="s">
        <v>4257</v>
      </c>
      <c r="E1341" s="38" t="b">
        <v>0</v>
      </c>
      <c r="F1341" s="27" t="str">
        <f>HYPERLINK("http://nsgreg.nga.mil/genc/view?v=119130&amp;gencs=T&amp;end_month=12&amp;end_day=31&amp;end_year=2014","Manche")</f>
        <v>Manche</v>
      </c>
      <c r="G1341" s="28" t="str">
        <f>HYPERLINK("http://api.nsgreg.nga.mil/geo-division/GENC/6/ed3/FR-50","as:GENC:6:ed3:FR-50")</f>
        <v>as:GENC:6:ed3:FR-50</v>
      </c>
    </row>
    <row r="1342" spans="1:7" x14ac:dyDescent="0.2">
      <c r="A1342" s="85"/>
      <c r="B1342" s="25" t="s">
        <v>4415</v>
      </c>
      <c r="C1342" s="25" t="s">
        <v>4416</v>
      </c>
      <c r="D1342" s="37" t="s">
        <v>4257</v>
      </c>
      <c r="E1342" s="38" t="b">
        <v>0</v>
      </c>
      <c r="F1342" s="27" t="str">
        <f>HYPERLINK("http://nsgreg.nga.mil/genc/view?v=119131&amp;gencs=T&amp;end_month=12&amp;end_day=31&amp;end_year=2014","Marne")</f>
        <v>Marne</v>
      </c>
      <c r="G1342" s="28" t="str">
        <f>HYPERLINK("http://api.nsgreg.nga.mil/geo-division/GENC/6/ed3/FR-51","as:GENC:6:ed3:FR-51")</f>
        <v>as:GENC:6:ed3:FR-51</v>
      </c>
    </row>
    <row r="1343" spans="1:7" x14ac:dyDescent="0.2">
      <c r="A1343" s="85"/>
      <c r="B1343" s="25" t="s">
        <v>4419</v>
      </c>
      <c r="C1343" s="25" t="s">
        <v>4420</v>
      </c>
      <c r="D1343" s="37" t="s">
        <v>4257</v>
      </c>
      <c r="E1343" s="38" t="b">
        <v>0</v>
      </c>
      <c r="F1343" s="27" t="str">
        <f>HYPERLINK("http://nsgreg.nga.mil/genc/view?v=119133&amp;gencs=T&amp;end_month=12&amp;end_day=31&amp;end_year=2014","Mayenne")</f>
        <v>Mayenne</v>
      </c>
      <c r="G1343" s="28" t="str">
        <f>HYPERLINK("http://api.nsgreg.nga.mil/geo-division/GENC/6/ed3/FR-53","as:GENC:6:ed3:FR-53")</f>
        <v>as:GENC:6:ed3:FR-53</v>
      </c>
    </row>
    <row r="1344" spans="1:7" x14ac:dyDescent="0.2">
      <c r="A1344" s="85"/>
      <c r="B1344" s="25" t="s">
        <v>4423</v>
      </c>
      <c r="C1344" s="25" t="s">
        <v>4424</v>
      </c>
      <c r="D1344" s="37" t="s">
        <v>4257</v>
      </c>
      <c r="E1344" s="38" t="b">
        <v>0</v>
      </c>
      <c r="F1344" s="27" t="str">
        <f>HYPERLINK("http://nsgreg.nga.mil/genc/view?v=119134&amp;gencs=T&amp;end_month=12&amp;end_day=31&amp;end_year=2014","Meurthe-et-Moselle")</f>
        <v>Meurthe-et-Moselle</v>
      </c>
      <c r="G1344" s="28" t="str">
        <f>HYPERLINK("http://api.nsgreg.nga.mil/geo-division/GENC/6/ed3/FR-54","as:GENC:6:ed3:FR-54")</f>
        <v>as:GENC:6:ed3:FR-54</v>
      </c>
    </row>
    <row r="1345" spans="1:7" x14ac:dyDescent="0.2">
      <c r="A1345" s="85"/>
      <c r="B1345" s="25" t="s">
        <v>4425</v>
      </c>
      <c r="C1345" s="25" t="s">
        <v>4426</v>
      </c>
      <c r="D1345" s="37" t="s">
        <v>4257</v>
      </c>
      <c r="E1345" s="38" t="b">
        <v>0</v>
      </c>
      <c r="F1345" s="27" t="str">
        <f>HYPERLINK("http://nsgreg.nga.mil/genc/view?v=119135&amp;gencs=T&amp;end_month=12&amp;end_day=31&amp;end_year=2014","Meuse")</f>
        <v>Meuse</v>
      </c>
      <c r="G1345" s="28" t="str">
        <f>HYPERLINK("http://api.nsgreg.nga.mil/geo-division/GENC/6/ed3/FR-55","as:GENC:6:ed3:FR-55")</f>
        <v>as:GENC:6:ed3:FR-55</v>
      </c>
    </row>
    <row r="1346" spans="1:7" x14ac:dyDescent="0.2">
      <c r="A1346" s="85"/>
      <c r="B1346" s="25" t="s">
        <v>4427</v>
      </c>
      <c r="C1346" s="25" t="s">
        <v>4428</v>
      </c>
      <c r="D1346" s="25" t="s">
        <v>2087</v>
      </c>
      <c r="E1346" s="26" t="b">
        <v>1</v>
      </c>
      <c r="F1346" s="27" t="str">
        <f>HYPERLINK("http://nsgreg.nga.mil/genc/view?v=211667&amp;end_month=12&amp;end_day=31&amp;end_year=2014","Midi-Pyrénées")</f>
        <v>Midi-Pyrénées</v>
      </c>
      <c r="G1346" s="28" t="str">
        <f>HYPERLINK("http://api.nsgreg.nga.mil/geo-division/GENC/6/ed3/FR-N","as:GENC:6:ed3:FR-N")</f>
        <v>as:GENC:6:ed3:FR-N</v>
      </c>
    </row>
    <row r="1347" spans="1:7" x14ac:dyDescent="0.2">
      <c r="A1347" s="85"/>
      <c r="B1347" s="25" t="s">
        <v>4429</v>
      </c>
      <c r="C1347" s="25" t="s">
        <v>4430</v>
      </c>
      <c r="D1347" s="37" t="s">
        <v>4257</v>
      </c>
      <c r="E1347" s="38" t="b">
        <v>0</v>
      </c>
      <c r="F1347" s="27" t="str">
        <f>HYPERLINK("http://nsgreg.nga.mil/genc/view?v=119136&amp;gencs=T&amp;end_month=12&amp;end_day=31&amp;end_year=2014","Morbihan")</f>
        <v>Morbihan</v>
      </c>
      <c r="G1347" s="28" t="str">
        <f>HYPERLINK("http://api.nsgreg.nga.mil/geo-division/GENC/6/ed3/FR-56","as:GENC:6:ed3:FR-56")</f>
        <v>as:GENC:6:ed3:FR-56</v>
      </c>
    </row>
    <row r="1348" spans="1:7" x14ac:dyDescent="0.2">
      <c r="A1348" s="85"/>
      <c r="B1348" s="25" t="s">
        <v>4431</v>
      </c>
      <c r="C1348" s="25" t="s">
        <v>4432</v>
      </c>
      <c r="D1348" s="37" t="s">
        <v>4257</v>
      </c>
      <c r="E1348" s="38" t="b">
        <v>0</v>
      </c>
      <c r="F1348" s="27" t="str">
        <f>HYPERLINK("http://nsgreg.nga.mil/genc/view?v=119137&amp;gencs=T&amp;end_month=12&amp;end_day=31&amp;end_year=2014","Moselle")</f>
        <v>Moselle</v>
      </c>
      <c r="G1348" s="28" t="str">
        <f>HYPERLINK("http://api.nsgreg.nga.mil/geo-division/GENC/6/ed3/FR-57","as:GENC:6:ed3:FR-57")</f>
        <v>as:GENC:6:ed3:FR-57</v>
      </c>
    </row>
    <row r="1349" spans="1:7" x14ac:dyDescent="0.2">
      <c r="A1349" s="85"/>
      <c r="B1349" s="25" t="s">
        <v>4433</v>
      </c>
      <c r="C1349" s="25" t="s">
        <v>4434</v>
      </c>
      <c r="D1349" s="37" t="s">
        <v>4257</v>
      </c>
      <c r="E1349" s="38" t="b">
        <v>0</v>
      </c>
      <c r="F1349" s="27" t="str">
        <f>HYPERLINK("http://nsgreg.nga.mil/genc/view?v=119138&amp;gencs=T&amp;end_month=12&amp;end_day=31&amp;end_year=2014","Nièvre")</f>
        <v>Nièvre</v>
      </c>
      <c r="G1349" s="28" t="str">
        <f>HYPERLINK("http://api.nsgreg.nga.mil/geo-division/GENC/6/ed3/FR-58","as:GENC:6:ed3:FR-58")</f>
        <v>as:GENC:6:ed3:FR-58</v>
      </c>
    </row>
    <row r="1350" spans="1:7" x14ac:dyDescent="0.2">
      <c r="A1350" s="85"/>
      <c r="B1350" s="25" t="s">
        <v>4435</v>
      </c>
      <c r="C1350" s="25" t="s">
        <v>2929</v>
      </c>
      <c r="D1350" s="37" t="s">
        <v>4257</v>
      </c>
      <c r="E1350" s="38" t="b">
        <v>0</v>
      </c>
      <c r="F1350" s="27" t="str">
        <f>HYPERLINK("http://nsgreg.nga.mil/genc/view?v=119139&amp;gencs=T&amp;end_month=12&amp;end_day=31&amp;end_year=2014","Nord")</f>
        <v>Nord</v>
      </c>
      <c r="G1350" s="28" t="str">
        <f>HYPERLINK("http://api.nsgreg.nga.mil/geo-division/GENC/6/ed3/FR-59","as:GENC:6:ed3:FR-59")</f>
        <v>as:GENC:6:ed3:FR-59</v>
      </c>
    </row>
    <row r="1351" spans="1:7" x14ac:dyDescent="0.2">
      <c r="A1351" s="85"/>
      <c r="B1351" s="25" t="s">
        <v>4436</v>
      </c>
      <c r="C1351" s="25" t="s">
        <v>4437</v>
      </c>
      <c r="D1351" s="25" t="s">
        <v>2087</v>
      </c>
      <c r="E1351" s="26" t="b">
        <v>1</v>
      </c>
      <c r="F1351" s="27" t="str">
        <f>HYPERLINK("http://nsgreg.nga.mil/genc/view?v=211669&amp;end_month=12&amp;end_day=31&amp;end_year=2014","Nord-Pas-de-Calais")</f>
        <v>Nord-Pas-de-Calais</v>
      </c>
      <c r="G1351" s="28" t="str">
        <f>HYPERLINK("http://api.nsgreg.nga.mil/geo-division/GENC/6/ed3/FR-O","as:GENC:6:ed3:FR-O")</f>
        <v>as:GENC:6:ed3:FR-O</v>
      </c>
    </row>
    <row r="1352" spans="1:7" x14ac:dyDescent="0.2">
      <c r="A1352" s="85"/>
      <c r="B1352" s="25" t="s">
        <v>4441</v>
      </c>
      <c r="C1352" s="25" t="s">
        <v>4442</v>
      </c>
      <c r="D1352" s="37" t="s">
        <v>4257</v>
      </c>
      <c r="E1352" s="38" t="b">
        <v>0</v>
      </c>
      <c r="F1352" s="27" t="str">
        <f>HYPERLINK("http://nsgreg.nga.mil/genc/view?v=119140&amp;gencs=T&amp;end_month=12&amp;end_day=31&amp;end_year=2014","Oise")</f>
        <v>Oise</v>
      </c>
      <c r="G1352" s="28" t="str">
        <f>HYPERLINK("http://api.nsgreg.nga.mil/geo-division/GENC/6/ed3/FR-60","as:GENC:6:ed3:FR-60")</f>
        <v>as:GENC:6:ed3:FR-60</v>
      </c>
    </row>
    <row r="1353" spans="1:7" x14ac:dyDescent="0.2">
      <c r="A1353" s="85"/>
      <c r="B1353" s="25" t="s">
        <v>4443</v>
      </c>
      <c r="C1353" s="25" t="s">
        <v>4444</v>
      </c>
      <c r="D1353" s="37" t="s">
        <v>4257</v>
      </c>
      <c r="E1353" s="38" t="b">
        <v>0</v>
      </c>
      <c r="F1353" s="27" t="str">
        <f>HYPERLINK("http://nsgreg.nga.mil/genc/view?v=119141&amp;gencs=T&amp;end_month=12&amp;end_day=31&amp;end_year=2014","Orne")</f>
        <v>Orne</v>
      </c>
      <c r="G1353" s="28" t="str">
        <f>HYPERLINK("http://api.nsgreg.nga.mil/geo-division/GENC/6/ed3/FR-61","as:GENC:6:ed3:FR-61")</f>
        <v>as:GENC:6:ed3:FR-61</v>
      </c>
    </row>
    <row r="1354" spans="1:7" x14ac:dyDescent="0.2">
      <c r="A1354" s="85"/>
      <c r="B1354" s="25" t="s">
        <v>4445</v>
      </c>
      <c r="C1354" s="25" t="s">
        <v>4446</v>
      </c>
      <c r="D1354" s="37" t="s">
        <v>4257</v>
      </c>
      <c r="E1354" s="38" t="b">
        <v>0</v>
      </c>
      <c r="F1354" s="27" t="str">
        <f>HYPERLINK("http://nsgreg.nga.mil/genc/view?v=119155&amp;gencs=T&amp;end_month=12&amp;end_day=31&amp;end_year=2014","Paris")</f>
        <v>Paris</v>
      </c>
      <c r="G1354" s="28" t="str">
        <f>HYPERLINK("http://api.nsgreg.nga.mil/geo-division/GENC/6/ed3/FR-75","as:GENC:6:ed3:FR-75")</f>
        <v>as:GENC:6:ed3:FR-75</v>
      </c>
    </row>
    <row r="1355" spans="1:7" x14ac:dyDescent="0.2">
      <c r="A1355" s="85"/>
      <c r="B1355" s="25" t="s">
        <v>4447</v>
      </c>
      <c r="C1355" s="25" t="s">
        <v>4448</v>
      </c>
      <c r="D1355" s="37" t="s">
        <v>4257</v>
      </c>
      <c r="E1355" s="38" t="b">
        <v>0</v>
      </c>
      <c r="F1355" s="27" t="str">
        <f>HYPERLINK("http://nsgreg.nga.mil/genc/view?v=119142&amp;gencs=T&amp;end_month=12&amp;end_day=31&amp;end_year=2014","Pas-de-Calais")</f>
        <v>Pas-de-Calais</v>
      </c>
      <c r="G1355" s="28" t="str">
        <f>HYPERLINK("http://api.nsgreg.nga.mil/geo-division/GENC/6/ed3/FR-62","as:GENC:6:ed3:FR-62")</f>
        <v>as:GENC:6:ed3:FR-62</v>
      </c>
    </row>
    <row r="1356" spans="1:7" x14ac:dyDescent="0.2">
      <c r="A1356" s="85"/>
      <c r="B1356" s="25" t="s">
        <v>4449</v>
      </c>
      <c r="C1356" s="25" t="s">
        <v>12371</v>
      </c>
      <c r="D1356" s="25" t="s">
        <v>2087</v>
      </c>
      <c r="E1356" s="26" t="b">
        <v>1</v>
      </c>
      <c r="F1356" s="27" t="str">
        <f>HYPERLINK("http://nsgreg.nga.mil/genc/view?v=211674&amp;end_month=12&amp;end_day=31&amp;end_year=2014","Pays de la Loire")</f>
        <v>Pays de la Loire</v>
      </c>
      <c r="G1356" s="28" t="str">
        <f>HYPERLINK("http://api.nsgreg.nga.mil/geo-division/GENC/6/ed3/FR-R","as:GENC:6:ed3:FR-R")</f>
        <v>as:GENC:6:ed3:FR-R</v>
      </c>
    </row>
    <row r="1357" spans="1:7" x14ac:dyDescent="0.2">
      <c r="A1357" s="85"/>
      <c r="B1357" s="25" t="s">
        <v>4451</v>
      </c>
      <c r="C1357" s="25" t="s">
        <v>4452</v>
      </c>
      <c r="D1357" s="25" t="s">
        <v>2087</v>
      </c>
      <c r="E1357" s="26" t="b">
        <v>1</v>
      </c>
      <c r="F1357" s="27" t="str">
        <f>HYPERLINK("http://nsgreg.nga.mil/genc/view?v=211676&amp;end_month=12&amp;end_day=31&amp;end_year=2014","Picardie")</f>
        <v>Picardie</v>
      </c>
      <c r="G1357" s="28" t="str">
        <f>HYPERLINK("http://api.nsgreg.nga.mil/geo-division/GENC/6/ed3/FR-S","as:GENC:6:ed3:FR-S")</f>
        <v>as:GENC:6:ed3:FR-S</v>
      </c>
    </row>
    <row r="1358" spans="1:7" x14ac:dyDescent="0.2">
      <c r="A1358" s="85"/>
      <c r="B1358" s="25" t="s">
        <v>4453</v>
      </c>
      <c r="C1358" s="25" t="s">
        <v>4454</v>
      </c>
      <c r="D1358" s="25" t="s">
        <v>2087</v>
      </c>
      <c r="E1358" s="26" t="b">
        <v>1</v>
      </c>
      <c r="F1358" s="27" t="str">
        <f>HYPERLINK("http://nsgreg.nga.mil/genc/view?v=211677&amp;end_month=12&amp;end_day=31&amp;end_year=2014","Poitou-Charentes")</f>
        <v>Poitou-Charentes</v>
      </c>
      <c r="G1358" s="28" t="str">
        <f>HYPERLINK("http://api.nsgreg.nga.mil/geo-division/GENC/6/ed3/FR-T","as:GENC:6:ed3:FR-T")</f>
        <v>as:GENC:6:ed3:FR-T</v>
      </c>
    </row>
    <row r="1359" spans="1:7" x14ac:dyDescent="0.2">
      <c r="A1359" s="85"/>
      <c r="B1359" s="25" t="s">
        <v>4457</v>
      </c>
      <c r="C1359" s="25" t="s">
        <v>12372</v>
      </c>
      <c r="D1359" s="25" t="s">
        <v>2087</v>
      </c>
      <c r="E1359" s="26" t="b">
        <v>1</v>
      </c>
      <c r="F1359" s="27" t="str">
        <f>HYPERLINK("http://nsgreg.nga.mil/genc/view?v=211679&amp;end_month=12&amp;end_day=31&amp;end_year=2014","Provence-Alpes-Côte d’Azur")</f>
        <v>Provence-Alpes-Côte d’Azur</v>
      </c>
      <c r="G1359" s="28" t="str">
        <f>HYPERLINK("http://api.nsgreg.nga.mil/geo-division/GENC/6/ed3/FR-U","as:GENC:6:ed3:FR-U")</f>
        <v>as:GENC:6:ed3:FR-U</v>
      </c>
    </row>
    <row r="1360" spans="1:7" x14ac:dyDescent="0.2">
      <c r="A1360" s="85"/>
      <c r="B1360" s="25" t="s">
        <v>4459</v>
      </c>
      <c r="C1360" s="25" t="s">
        <v>4460</v>
      </c>
      <c r="D1360" s="37" t="s">
        <v>4257</v>
      </c>
      <c r="E1360" s="38" t="b">
        <v>0</v>
      </c>
      <c r="F1360" s="27" t="str">
        <f>HYPERLINK("http://nsgreg.nga.mil/genc/view?v=119143&amp;gencs=T&amp;end_month=12&amp;end_day=31&amp;end_year=2014","Puy-de-Dôme")</f>
        <v>Puy-de-Dôme</v>
      </c>
      <c r="G1360" s="28" t="str">
        <f>HYPERLINK("http://api.nsgreg.nga.mil/geo-division/GENC/6/ed3/FR-63","as:GENC:6:ed3:FR-63")</f>
        <v>as:GENC:6:ed3:FR-63</v>
      </c>
    </row>
    <row r="1361" spans="1:7" x14ac:dyDescent="0.2">
      <c r="A1361" s="85"/>
      <c r="B1361" s="25" t="s">
        <v>4461</v>
      </c>
      <c r="C1361" s="25" t="s">
        <v>4462</v>
      </c>
      <c r="D1361" s="37" t="s">
        <v>4257</v>
      </c>
      <c r="E1361" s="38" t="b">
        <v>0</v>
      </c>
      <c r="F1361" s="27" t="str">
        <f>HYPERLINK("http://nsgreg.nga.mil/genc/view?v=119144&amp;gencs=T&amp;end_month=12&amp;end_day=31&amp;end_year=2014","Pyrénées-Atlantiques")</f>
        <v>Pyrénées-Atlantiques</v>
      </c>
      <c r="G1361" s="28" t="str">
        <f>HYPERLINK("http://api.nsgreg.nga.mil/geo-division/GENC/6/ed3/FR-64","as:GENC:6:ed3:FR-64")</f>
        <v>as:GENC:6:ed3:FR-64</v>
      </c>
    </row>
    <row r="1362" spans="1:7" x14ac:dyDescent="0.2">
      <c r="A1362" s="85"/>
      <c r="B1362" s="25" t="s">
        <v>4463</v>
      </c>
      <c r="C1362" s="25" t="s">
        <v>4464</v>
      </c>
      <c r="D1362" s="37" t="s">
        <v>4257</v>
      </c>
      <c r="E1362" s="38" t="b">
        <v>0</v>
      </c>
      <c r="F1362" s="27" t="str">
        <f>HYPERLINK("http://nsgreg.nga.mil/genc/view?v=119146&amp;gencs=T&amp;end_month=12&amp;end_day=31&amp;end_year=2014","Pyrénées-Orientales")</f>
        <v>Pyrénées-Orientales</v>
      </c>
      <c r="G1362" s="28" t="str">
        <f>HYPERLINK("http://api.nsgreg.nga.mil/geo-division/GENC/6/ed3/FR-66","as:GENC:6:ed3:FR-66")</f>
        <v>as:GENC:6:ed3:FR-66</v>
      </c>
    </row>
    <row r="1363" spans="1:7" x14ac:dyDescent="0.2">
      <c r="A1363" s="85"/>
      <c r="B1363" s="25" t="s">
        <v>4465</v>
      </c>
      <c r="C1363" s="25" t="s">
        <v>4466</v>
      </c>
      <c r="D1363" s="37" t="s">
        <v>4257</v>
      </c>
      <c r="E1363" s="38" t="b">
        <v>0</v>
      </c>
      <c r="F1363" s="27" t="str">
        <f>HYPERLINK("http://nsgreg.nga.mil/genc/view?v=119149&amp;gencs=T&amp;end_month=12&amp;end_day=31&amp;end_year=2014","Rhône")</f>
        <v>Rhône</v>
      </c>
      <c r="G1363" s="28" t="str">
        <f>HYPERLINK("http://api.nsgreg.nga.mil/geo-division/GENC/6/ed3/FR-69","as:GENC:6:ed3:FR-69")</f>
        <v>as:GENC:6:ed3:FR-69</v>
      </c>
    </row>
    <row r="1364" spans="1:7" x14ac:dyDescent="0.2">
      <c r="A1364" s="85"/>
      <c r="B1364" s="25" t="s">
        <v>4467</v>
      </c>
      <c r="C1364" s="25" t="s">
        <v>4468</v>
      </c>
      <c r="D1364" s="25" t="s">
        <v>2087</v>
      </c>
      <c r="E1364" s="26" t="b">
        <v>1</v>
      </c>
      <c r="F1364" s="27" t="str">
        <f>HYPERLINK("http://nsgreg.nga.mil/genc/view?v=211680&amp;end_month=12&amp;end_day=31&amp;end_year=2014","Rhône-Alpes")</f>
        <v>Rhône-Alpes</v>
      </c>
      <c r="G1364" s="28" t="str">
        <f>HYPERLINK("http://api.nsgreg.nga.mil/geo-division/GENC/6/ed3/FR-V","as:GENC:6:ed3:FR-V")</f>
        <v>as:GENC:6:ed3:FR-V</v>
      </c>
    </row>
    <row r="1365" spans="1:7" x14ac:dyDescent="0.2">
      <c r="A1365" s="85"/>
      <c r="B1365" s="25" t="s">
        <v>4479</v>
      </c>
      <c r="C1365" s="25" t="s">
        <v>4480</v>
      </c>
      <c r="D1365" s="37" t="s">
        <v>4257</v>
      </c>
      <c r="E1365" s="38" t="b">
        <v>0</v>
      </c>
      <c r="F1365" s="27" t="str">
        <f>HYPERLINK("http://nsgreg.nga.mil/genc/view?v=119151&amp;gencs=T&amp;end_month=12&amp;end_day=31&amp;end_year=2014","Saône-et-Loire")</f>
        <v>Saône-et-Loire</v>
      </c>
      <c r="G1365" s="28" t="str">
        <f>HYPERLINK("http://api.nsgreg.nga.mil/geo-division/GENC/6/ed3/FR-71","as:GENC:6:ed3:FR-71")</f>
        <v>as:GENC:6:ed3:FR-71</v>
      </c>
    </row>
    <row r="1366" spans="1:7" x14ac:dyDescent="0.2">
      <c r="A1366" s="85"/>
      <c r="B1366" s="25" t="s">
        <v>4475</v>
      </c>
      <c r="C1366" s="25" t="s">
        <v>4476</v>
      </c>
      <c r="D1366" s="37" t="s">
        <v>4257</v>
      </c>
      <c r="E1366" s="38" t="b">
        <v>0</v>
      </c>
      <c r="F1366" s="27" t="str">
        <f>HYPERLINK("http://nsgreg.nga.mil/genc/view?v=119152&amp;gencs=T&amp;end_month=12&amp;end_day=31&amp;end_year=2014","Sarthe")</f>
        <v>Sarthe</v>
      </c>
      <c r="G1366" s="28" t="str">
        <f>HYPERLINK("http://api.nsgreg.nga.mil/geo-division/GENC/6/ed3/FR-72","as:GENC:6:ed3:FR-72")</f>
        <v>as:GENC:6:ed3:FR-72</v>
      </c>
    </row>
    <row r="1367" spans="1:7" x14ac:dyDescent="0.2">
      <c r="A1367" s="85"/>
      <c r="B1367" s="25" t="s">
        <v>4477</v>
      </c>
      <c r="C1367" s="25" t="s">
        <v>4478</v>
      </c>
      <c r="D1367" s="37" t="s">
        <v>4257</v>
      </c>
      <c r="E1367" s="38" t="b">
        <v>0</v>
      </c>
      <c r="F1367" s="27" t="str">
        <f>HYPERLINK("http://nsgreg.nga.mil/genc/view?v=119153&amp;gencs=T&amp;end_month=12&amp;end_day=31&amp;end_year=2014","Savoie")</f>
        <v>Savoie</v>
      </c>
      <c r="G1367" s="28" t="str">
        <f>HYPERLINK("http://api.nsgreg.nga.mil/geo-division/GENC/6/ed3/FR-73","as:GENC:6:ed3:FR-73")</f>
        <v>as:GENC:6:ed3:FR-73</v>
      </c>
    </row>
    <row r="1368" spans="1:7" x14ac:dyDescent="0.2">
      <c r="A1368" s="85"/>
      <c r="B1368" s="25" t="s">
        <v>4485</v>
      </c>
      <c r="C1368" s="25" t="s">
        <v>4486</v>
      </c>
      <c r="D1368" s="37" t="s">
        <v>4257</v>
      </c>
      <c r="E1368" s="38" t="b">
        <v>0</v>
      </c>
      <c r="F1368" s="27" t="str">
        <f>HYPERLINK("http://nsgreg.nga.mil/genc/view?v=119157&amp;gencs=T&amp;end_month=12&amp;end_day=31&amp;end_year=2014","Seine-et-Marne")</f>
        <v>Seine-et-Marne</v>
      </c>
      <c r="G1368" s="28" t="str">
        <f>HYPERLINK("http://api.nsgreg.nga.mil/geo-division/GENC/6/ed3/FR-77","as:GENC:6:ed3:FR-77")</f>
        <v>as:GENC:6:ed3:FR-77</v>
      </c>
    </row>
    <row r="1369" spans="1:7" x14ac:dyDescent="0.2">
      <c r="A1369" s="85"/>
      <c r="B1369" s="25" t="s">
        <v>4481</v>
      </c>
      <c r="C1369" s="25" t="s">
        <v>4482</v>
      </c>
      <c r="D1369" s="37" t="s">
        <v>4257</v>
      </c>
      <c r="E1369" s="38" t="b">
        <v>0</v>
      </c>
      <c r="F1369" s="27" t="str">
        <f>HYPERLINK("http://nsgreg.nga.mil/genc/view?v=119156&amp;gencs=T&amp;end_month=12&amp;end_day=31&amp;end_year=2014","Seine-Maritime")</f>
        <v>Seine-Maritime</v>
      </c>
      <c r="G1369" s="28" t="str">
        <f>HYPERLINK("http://api.nsgreg.nga.mil/geo-division/GENC/6/ed3/FR-76","as:GENC:6:ed3:FR-76")</f>
        <v>as:GENC:6:ed3:FR-76</v>
      </c>
    </row>
    <row r="1370" spans="1:7" x14ac:dyDescent="0.2">
      <c r="A1370" s="85"/>
      <c r="B1370" s="25" t="s">
        <v>4483</v>
      </c>
      <c r="C1370" s="25" t="s">
        <v>4484</v>
      </c>
      <c r="D1370" s="37" t="s">
        <v>4257</v>
      </c>
      <c r="E1370" s="38" t="b">
        <v>0</v>
      </c>
      <c r="F1370" s="27" t="str">
        <f>HYPERLINK("http://nsgreg.nga.mil/genc/view?v=119173&amp;gencs=T&amp;end_month=12&amp;end_day=31&amp;end_year=2014","Seine-Saint-Denis")</f>
        <v>Seine-Saint-Denis</v>
      </c>
      <c r="G1370" s="28" t="str">
        <f>HYPERLINK("http://api.nsgreg.nga.mil/geo-division/GENC/6/ed3/FR-93","as:GENC:6:ed3:FR-93")</f>
        <v>as:GENC:6:ed3:FR-93</v>
      </c>
    </row>
    <row r="1371" spans="1:7" x14ac:dyDescent="0.2">
      <c r="A1371" s="85"/>
      <c r="B1371" s="25" t="s">
        <v>4487</v>
      </c>
      <c r="C1371" s="25" t="s">
        <v>4488</v>
      </c>
      <c r="D1371" s="37" t="s">
        <v>4257</v>
      </c>
      <c r="E1371" s="38" t="b">
        <v>0</v>
      </c>
      <c r="F1371" s="27" t="str">
        <f>HYPERLINK("http://nsgreg.nga.mil/genc/view?v=119160&amp;gencs=T&amp;end_month=12&amp;end_day=31&amp;end_year=2014","Somme")</f>
        <v>Somme</v>
      </c>
      <c r="G1371" s="28" t="str">
        <f>HYPERLINK("http://api.nsgreg.nga.mil/geo-division/GENC/6/ed3/FR-80","as:GENC:6:ed3:FR-80")</f>
        <v>as:GENC:6:ed3:FR-80</v>
      </c>
    </row>
    <row r="1372" spans="1:7" x14ac:dyDescent="0.2">
      <c r="A1372" s="85"/>
      <c r="B1372" s="25" t="s">
        <v>4489</v>
      </c>
      <c r="C1372" s="25" t="s">
        <v>4490</v>
      </c>
      <c r="D1372" s="37" t="s">
        <v>4257</v>
      </c>
      <c r="E1372" s="38" t="b">
        <v>0</v>
      </c>
      <c r="F1372" s="27" t="str">
        <f>HYPERLINK("http://nsgreg.nga.mil/genc/view?v=119161&amp;gencs=T&amp;end_month=12&amp;end_day=31&amp;end_year=2014","Tarn")</f>
        <v>Tarn</v>
      </c>
      <c r="G1372" s="28" t="str">
        <f>HYPERLINK("http://api.nsgreg.nga.mil/geo-division/GENC/6/ed3/FR-81","as:GENC:6:ed3:FR-81")</f>
        <v>as:GENC:6:ed3:FR-81</v>
      </c>
    </row>
    <row r="1373" spans="1:7" x14ac:dyDescent="0.2">
      <c r="A1373" s="85"/>
      <c r="B1373" s="25" t="s">
        <v>4491</v>
      </c>
      <c r="C1373" s="25" t="s">
        <v>4492</v>
      </c>
      <c r="D1373" s="37" t="s">
        <v>4257</v>
      </c>
      <c r="E1373" s="38" t="b">
        <v>0</v>
      </c>
      <c r="F1373" s="27" t="str">
        <f>HYPERLINK("http://nsgreg.nga.mil/genc/view?v=119162&amp;gencs=T&amp;end_month=12&amp;end_day=31&amp;end_year=2014","Tarn-et-Garonne")</f>
        <v>Tarn-et-Garonne</v>
      </c>
      <c r="G1373" s="28" t="str">
        <f>HYPERLINK("http://api.nsgreg.nga.mil/geo-division/GENC/6/ed3/FR-82","as:GENC:6:ed3:FR-82")</f>
        <v>as:GENC:6:ed3:FR-82</v>
      </c>
    </row>
    <row r="1374" spans="1:7" x14ac:dyDescent="0.2">
      <c r="A1374" s="85"/>
      <c r="B1374" s="25" t="s">
        <v>4499</v>
      </c>
      <c r="C1374" s="25" t="s">
        <v>4500</v>
      </c>
      <c r="D1374" s="37" t="s">
        <v>4257</v>
      </c>
      <c r="E1374" s="38" t="b">
        <v>0</v>
      </c>
      <c r="F1374" s="27" t="str">
        <f>HYPERLINK("http://nsgreg.nga.mil/genc/view?v=119174&amp;gencs=T&amp;end_month=12&amp;end_day=31&amp;end_year=2014","Val-de-Marne")</f>
        <v>Val-de-Marne</v>
      </c>
      <c r="G1374" s="28" t="str">
        <f>HYPERLINK("http://api.nsgreg.nga.mil/geo-division/GENC/6/ed3/FR-94","as:GENC:6:ed3:FR-94")</f>
        <v>as:GENC:6:ed3:FR-94</v>
      </c>
    </row>
    <row r="1375" spans="1:7" x14ac:dyDescent="0.2">
      <c r="A1375" s="85"/>
      <c r="B1375" s="25" t="s">
        <v>4497</v>
      </c>
      <c r="C1375" s="25" t="s">
        <v>12373</v>
      </c>
      <c r="D1375" s="37" t="s">
        <v>4257</v>
      </c>
      <c r="E1375" s="38" t="b">
        <v>0</v>
      </c>
      <c r="F1375" s="27" t="str">
        <f>HYPERLINK("http://nsgreg.nga.mil/genc/view?v=211647&amp;end_month=12&amp;end_day=31&amp;end_year=2014","Val-d’Oise")</f>
        <v>Val-d’Oise</v>
      </c>
      <c r="G1375" s="28" t="str">
        <f>HYPERLINK("http://api.nsgreg.nga.mil/geo-division/GENC/6/ed3/FR-95","as:GENC:6:ed3:FR-95")</f>
        <v>as:GENC:6:ed3:FR-95</v>
      </c>
    </row>
    <row r="1376" spans="1:7" x14ac:dyDescent="0.2">
      <c r="A1376" s="85"/>
      <c r="B1376" s="25" t="s">
        <v>4501</v>
      </c>
      <c r="C1376" s="25" t="s">
        <v>4502</v>
      </c>
      <c r="D1376" s="37" t="s">
        <v>4257</v>
      </c>
      <c r="E1376" s="38" t="b">
        <v>0</v>
      </c>
      <c r="F1376" s="27" t="str">
        <f>HYPERLINK("http://nsgreg.nga.mil/genc/view?v=119163&amp;gencs=T&amp;end_month=12&amp;end_day=31&amp;end_year=2014","Var")</f>
        <v>Var</v>
      </c>
      <c r="G1376" s="28" t="str">
        <f>HYPERLINK("http://api.nsgreg.nga.mil/geo-division/GENC/6/ed3/FR-83","as:GENC:6:ed3:FR-83")</f>
        <v>as:GENC:6:ed3:FR-83</v>
      </c>
    </row>
    <row r="1377" spans="1:7" x14ac:dyDescent="0.2">
      <c r="A1377" s="85"/>
      <c r="B1377" s="25" t="s">
        <v>4503</v>
      </c>
      <c r="C1377" s="25" t="s">
        <v>4504</v>
      </c>
      <c r="D1377" s="37" t="s">
        <v>4257</v>
      </c>
      <c r="E1377" s="38" t="b">
        <v>0</v>
      </c>
      <c r="F1377" s="27" t="str">
        <f>HYPERLINK("http://nsgreg.nga.mil/genc/view?v=119164&amp;gencs=T&amp;end_month=12&amp;end_day=31&amp;end_year=2014","Vaucluse")</f>
        <v>Vaucluse</v>
      </c>
      <c r="G1377" s="28" t="str">
        <f>HYPERLINK("http://api.nsgreg.nga.mil/geo-division/GENC/6/ed3/FR-84","as:GENC:6:ed3:FR-84")</f>
        <v>as:GENC:6:ed3:FR-84</v>
      </c>
    </row>
    <row r="1378" spans="1:7" x14ac:dyDescent="0.2">
      <c r="A1378" s="85"/>
      <c r="B1378" s="25" t="s">
        <v>4505</v>
      </c>
      <c r="C1378" s="25" t="s">
        <v>4506</v>
      </c>
      <c r="D1378" s="37" t="s">
        <v>4257</v>
      </c>
      <c r="E1378" s="38" t="b">
        <v>0</v>
      </c>
      <c r="F1378" s="27" t="str">
        <f>HYPERLINK("http://nsgreg.nga.mil/genc/view?v=119165&amp;gencs=T&amp;end_month=12&amp;end_day=31&amp;end_year=2014","Vendée")</f>
        <v>Vendée</v>
      </c>
      <c r="G1378" s="28" t="str">
        <f>HYPERLINK("http://api.nsgreg.nga.mil/geo-division/GENC/6/ed3/FR-85","as:GENC:6:ed3:FR-85")</f>
        <v>as:GENC:6:ed3:FR-85</v>
      </c>
    </row>
    <row r="1379" spans="1:7" x14ac:dyDescent="0.2">
      <c r="A1379" s="85"/>
      <c r="B1379" s="25" t="s">
        <v>4507</v>
      </c>
      <c r="C1379" s="25" t="s">
        <v>4508</v>
      </c>
      <c r="D1379" s="37" t="s">
        <v>4257</v>
      </c>
      <c r="E1379" s="38" t="b">
        <v>0</v>
      </c>
      <c r="F1379" s="27" t="str">
        <f>HYPERLINK("http://nsgreg.nga.mil/genc/view?v=119166&amp;gencs=T&amp;end_month=12&amp;end_day=31&amp;end_year=2014","Vienne")</f>
        <v>Vienne</v>
      </c>
      <c r="G1379" s="28" t="str">
        <f>HYPERLINK("http://api.nsgreg.nga.mil/geo-division/GENC/6/ed3/FR-86","as:GENC:6:ed3:FR-86")</f>
        <v>as:GENC:6:ed3:FR-86</v>
      </c>
    </row>
    <row r="1380" spans="1:7" x14ac:dyDescent="0.2">
      <c r="A1380" s="85"/>
      <c r="B1380" s="25" t="s">
        <v>4509</v>
      </c>
      <c r="C1380" s="25" t="s">
        <v>4510</v>
      </c>
      <c r="D1380" s="37" t="s">
        <v>4257</v>
      </c>
      <c r="E1380" s="38" t="b">
        <v>0</v>
      </c>
      <c r="F1380" s="27" t="str">
        <f>HYPERLINK("http://nsgreg.nga.mil/genc/view?v=119168&amp;gencs=T&amp;end_month=12&amp;end_day=31&amp;end_year=2014","Vosges")</f>
        <v>Vosges</v>
      </c>
      <c r="G1380" s="28" t="str">
        <f>HYPERLINK("http://api.nsgreg.nga.mil/geo-division/GENC/6/ed3/FR-88","as:GENC:6:ed3:FR-88")</f>
        <v>as:GENC:6:ed3:FR-88</v>
      </c>
    </row>
    <row r="1381" spans="1:7" x14ac:dyDescent="0.2">
      <c r="A1381" s="85"/>
      <c r="B1381" s="25" t="s">
        <v>4513</v>
      </c>
      <c r="C1381" s="25" t="s">
        <v>4514</v>
      </c>
      <c r="D1381" s="37" t="s">
        <v>4257</v>
      </c>
      <c r="E1381" s="38" t="b">
        <v>0</v>
      </c>
      <c r="F1381" s="27" t="str">
        <f>HYPERLINK("http://nsgreg.nga.mil/genc/view?v=119169&amp;gencs=T&amp;end_month=12&amp;end_day=31&amp;end_year=2014","Yonne")</f>
        <v>Yonne</v>
      </c>
      <c r="G1381" s="28" t="str">
        <f>HYPERLINK("http://api.nsgreg.nga.mil/geo-division/GENC/6/ed3/FR-89","as:GENC:6:ed3:FR-89")</f>
        <v>as:GENC:6:ed3:FR-89</v>
      </c>
    </row>
    <row r="1382" spans="1:7" x14ac:dyDescent="0.2">
      <c r="A1382" s="86"/>
      <c r="B1382" s="29" t="s">
        <v>4515</v>
      </c>
      <c r="C1382" s="29" t="s">
        <v>4516</v>
      </c>
      <c r="D1382" s="39" t="s">
        <v>4257</v>
      </c>
      <c r="E1382" s="40" t="b">
        <v>0</v>
      </c>
      <c r="F1382" s="31" t="str">
        <f>HYPERLINK("http://nsgreg.nga.mil/genc/view?v=119158&amp;gencs=T&amp;end_month=12&amp;end_day=31&amp;end_year=2014","Yvelines")</f>
        <v>Yvelines</v>
      </c>
      <c r="G1382" s="32" t="str">
        <f>HYPERLINK("http://api.nsgreg.nga.mil/geo-division/GENC/6/ed3/FR-78","as:GENC:6:ed3:FR-78")</f>
        <v>as:GENC:6:ed3:FR-78</v>
      </c>
    </row>
    <row r="1383" spans="1:7" x14ac:dyDescent="0.2">
      <c r="A1383" s="84" t="str">
        <f>HYPERLINK("[#]Codes_for_GE_Names!A98:I98","GABON")</f>
        <v>GABON</v>
      </c>
      <c r="B1383" s="33" t="s">
        <v>4519</v>
      </c>
      <c r="C1383" s="33" t="s">
        <v>4520</v>
      </c>
      <c r="D1383" s="33" t="s">
        <v>1719</v>
      </c>
      <c r="E1383" s="34" t="b">
        <v>1</v>
      </c>
      <c r="F1383" s="35" t="str">
        <f>HYPERLINK("http://nsgreg.nga.mil/genc/view?v=119211&amp;gencs=T&amp;end_month=12&amp;end_day=31&amp;end_year=2014","Estuaire")</f>
        <v>Estuaire</v>
      </c>
      <c r="G1383" s="36" t="str">
        <f>HYPERLINK("http://api.nsgreg.nga.mil/geo-division/GENC/6/ed3/GA-1","as:GENC:6:ed3:GA-1")</f>
        <v>as:GENC:6:ed3:GA-1</v>
      </c>
    </row>
    <row r="1384" spans="1:7" x14ac:dyDescent="0.2">
      <c r="A1384" s="85"/>
      <c r="B1384" s="25" t="s">
        <v>4521</v>
      </c>
      <c r="C1384" s="25" t="s">
        <v>4522</v>
      </c>
      <c r="D1384" s="25" t="s">
        <v>1719</v>
      </c>
      <c r="E1384" s="26" t="b">
        <v>1</v>
      </c>
      <c r="F1384" s="27" t="str">
        <f>HYPERLINK("http://nsgreg.nga.mil/genc/view?v=119212&amp;gencs=T&amp;end_month=12&amp;end_day=31&amp;end_year=2014","Haut-Ogooué")</f>
        <v>Haut-Ogooué</v>
      </c>
      <c r="G1384" s="28" t="str">
        <f>HYPERLINK("http://api.nsgreg.nga.mil/geo-division/GENC/6/ed3/GA-2","as:GENC:6:ed3:GA-2")</f>
        <v>as:GENC:6:ed3:GA-2</v>
      </c>
    </row>
    <row r="1385" spans="1:7" x14ac:dyDescent="0.2">
      <c r="A1385" s="85"/>
      <c r="B1385" s="25" t="s">
        <v>4523</v>
      </c>
      <c r="C1385" s="25" t="s">
        <v>4524</v>
      </c>
      <c r="D1385" s="25" t="s">
        <v>1719</v>
      </c>
      <c r="E1385" s="26" t="b">
        <v>1</v>
      </c>
      <c r="F1385" s="27" t="str">
        <f>HYPERLINK("http://nsgreg.nga.mil/genc/view?v=119213&amp;gencs=T&amp;end_month=12&amp;end_day=31&amp;end_year=2014","Moyen-Ogooué")</f>
        <v>Moyen-Ogooué</v>
      </c>
      <c r="G1385" s="28" t="str">
        <f>HYPERLINK("http://api.nsgreg.nga.mil/geo-division/GENC/6/ed3/GA-3","as:GENC:6:ed3:GA-3")</f>
        <v>as:GENC:6:ed3:GA-3</v>
      </c>
    </row>
    <row r="1386" spans="1:7" x14ac:dyDescent="0.2">
      <c r="A1386" s="85"/>
      <c r="B1386" s="25" t="s">
        <v>4525</v>
      </c>
      <c r="C1386" s="25" t="s">
        <v>4526</v>
      </c>
      <c r="D1386" s="25" t="s">
        <v>1719</v>
      </c>
      <c r="E1386" s="26" t="b">
        <v>1</v>
      </c>
      <c r="F1386" s="27" t="str">
        <f>HYPERLINK("http://nsgreg.nga.mil/genc/view?v=119214&amp;gencs=T&amp;end_month=12&amp;end_day=31&amp;end_year=2014","Ngounié")</f>
        <v>Ngounié</v>
      </c>
      <c r="G1386" s="28" t="str">
        <f>HYPERLINK("http://api.nsgreg.nga.mil/geo-division/GENC/6/ed3/GA-4","as:GENC:6:ed3:GA-4")</f>
        <v>as:GENC:6:ed3:GA-4</v>
      </c>
    </row>
    <row r="1387" spans="1:7" x14ac:dyDescent="0.2">
      <c r="A1387" s="85"/>
      <c r="B1387" s="25" t="s">
        <v>4527</v>
      </c>
      <c r="C1387" s="25" t="s">
        <v>4528</v>
      </c>
      <c r="D1387" s="25" t="s">
        <v>1719</v>
      </c>
      <c r="E1387" s="26" t="b">
        <v>1</v>
      </c>
      <c r="F1387" s="27" t="str">
        <f>HYPERLINK("http://nsgreg.nga.mil/genc/view?v=119215&amp;gencs=T&amp;end_month=12&amp;end_day=31&amp;end_year=2014","Nyanga")</f>
        <v>Nyanga</v>
      </c>
      <c r="G1387" s="28" t="str">
        <f>HYPERLINK("http://api.nsgreg.nga.mil/geo-division/GENC/6/ed3/GA-5","as:GENC:6:ed3:GA-5")</f>
        <v>as:GENC:6:ed3:GA-5</v>
      </c>
    </row>
    <row r="1388" spans="1:7" x14ac:dyDescent="0.2">
      <c r="A1388" s="85"/>
      <c r="B1388" s="25" t="s">
        <v>4529</v>
      </c>
      <c r="C1388" s="25" t="s">
        <v>4530</v>
      </c>
      <c r="D1388" s="25" t="s">
        <v>1719</v>
      </c>
      <c r="E1388" s="26" t="b">
        <v>1</v>
      </c>
      <c r="F1388" s="27" t="str">
        <f>HYPERLINK("http://nsgreg.nga.mil/genc/view?v=119216&amp;gencs=T&amp;end_month=12&amp;end_day=31&amp;end_year=2014","Ogooué-Ivindo")</f>
        <v>Ogooué-Ivindo</v>
      </c>
      <c r="G1388" s="28" t="str">
        <f>HYPERLINK("http://api.nsgreg.nga.mil/geo-division/GENC/6/ed3/GA-6","as:GENC:6:ed3:GA-6")</f>
        <v>as:GENC:6:ed3:GA-6</v>
      </c>
    </row>
    <row r="1389" spans="1:7" x14ac:dyDescent="0.2">
      <c r="A1389" s="85"/>
      <c r="B1389" s="25" t="s">
        <v>4531</v>
      </c>
      <c r="C1389" s="25" t="s">
        <v>4532</v>
      </c>
      <c r="D1389" s="25" t="s">
        <v>1719</v>
      </c>
      <c r="E1389" s="26" t="b">
        <v>1</v>
      </c>
      <c r="F1389" s="27" t="str">
        <f>HYPERLINK("http://nsgreg.nga.mil/genc/view?v=119217&amp;gencs=T&amp;end_month=12&amp;end_day=31&amp;end_year=2014","Ogooué-Lolo")</f>
        <v>Ogooué-Lolo</v>
      </c>
      <c r="G1389" s="28" t="str">
        <f>HYPERLINK("http://api.nsgreg.nga.mil/geo-division/GENC/6/ed3/GA-7","as:GENC:6:ed3:GA-7")</f>
        <v>as:GENC:6:ed3:GA-7</v>
      </c>
    </row>
    <row r="1390" spans="1:7" x14ac:dyDescent="0.2">
      <c r="A1390" s="85"/>
      <c r="B1390" s="25" t="s">
        <v>4533</v>
      </c>
      <c r="C1390" s="25" t="s">
        <v>4534</v>
      </c>
      <c r="D1390" s="25" t="s">
        <v>1719</v>
      </c>
      <c r="E1390" s="26" t="b">
        <v>1</v>
      </c>
      <c r="F1390" s="27" t="str">
        <f>HYPERLINK("http://nsgreg.nga.mil/genc/view?v=119218&amp;gencs=T&amp;end_month=12&amp;end_day=31&amp;end_year=2014","Ogooué-Maritime")</f>
        <v>Ogooué-Maritime</v>
      </c>
      <c r="G1390" s="28" t="str">
        <f>HYPERLINK("http://api.nsgreg.nga.mil/geo-division/GENC/6/ed3/GA-8","as:GENC:6:ed3:GA-8")</f>
        <v>as:GENC:6:ed3:GA-8</v>
      </c>
    </row>
    <row r="1391" spans="1:7" x14ac:dyDescent="0.2">
      <c r="A1391" s="86"/>
      <c r="B1391" s="29" t="s">
        <v>4535</v>
      </c>
      <c r="C1391" s="29" t="s">
        <v>4536</v>
      </c>
      <c r="D1391" s="29" t="s">
        <v>1719</v>
      </c>
      <c r="E1391" s="30" t="b">
        <v>1</v>
      </c>
      <c r="F1391" s="31" t="str">
        <f>HYPERLINK("http://nsgreg.nga.mil/genc/view?v=119219&amp;gencs=T&amp;end_month=12&amp;end_day=31&amp;end_year=2014","Woleu-Ntem")</f>
        <v>Woleu-Ntem</v>
      </c>
      <c r="G1391" s="32" t="str">
        <f>HYPERLINK("http://api.nsgreg.nga.mil/geo-division/GENC/6/ed3/GA-9","as:GENC:6:ed3:GA-9")</f>
        <v>as:GENC:6:ed3:GA-9</v>
      </c>
    </row>
    <row r="1392" spans="1:7" x14ac:dyDescent="0.2">
      <c r="A1392" s="84" t="str">
        <f>HYPERLINK("[#]Codes_for_GE_Names!A99:I99","GAMBIA, THE")</f>
        <v>GAMBIA, THE</v>
      </c>
      <c r="B1392" s="33" t="s">
        <v>4537</v>
      </c>
      <c r="C1392" s="33" t="s">
        <v>4538</v>
      </c>
      <c r="D1392" s="33" t="s">
        <v>2046</v>
      </c>
      <c r="E1392" s="34" t="b">
        <v>1</v>
      </c>
      <c r="F1392" s="35" t="str">
        <f>HYPERLINK("http://nsgreg.nga.mil/genc/view?v=119489&amp;gencs=T&amp;end_month=12&amp;end_day=31&amp;end_year=2014","Banjul")</f>
        <v>Banjul</v>
      </c>
      <c r="G1392" s="36" t="str">
        <f>HYPERLINK("http://api.nsgreg.nga.mil/geo-division/GENC/6/ed3/GM-B","as:GENC:6:ed3:GM-B")</f>
        <v>as:GENC:6:ed3:GM-B</v>
      </c>
    </row>
    <row r="1393" spans="1:7" x14ac:dyDescent="0.2">
      <c r="A1393" s="85"/>
      <c r="B1393" s="25" t="s">
        <v>4539</v>
      </c>
      <c r="C1393" s="25" t="s">
        <v>4540</v>
      </c>
      <c r="D1393" s="25" t="s">
        <v>2383</v>
      </c>
      <c r="E1393" s="26" t="b">
        <v>1</v>
      </c>
      <c r="F1393" s="27" t="str">
        <f>HYPERLINK("http://nsgreg.nga.mil/genc/view?v=119491&amp;gencs=T&amp;end_month=12&amp;end_day=31&amp;end_year=2014","Central River")</f>
        <v>Central River</v>
      </c>
      <c r="G1393" s="28" t="str">
        <f>HYPERLINK("http://api.nsgreg.nga.mil/geo-division/GENC/6/ed3/GM-M","as:GENC:6:ed3:GM-M")</f>
        <v>as:GENC:6:ed3:GM-M</v>
      </c>
    </row>
    <row r="1394" spans="1:7" x14ac:dyDescent="0.2">
      <c r="A1394" s="85"/>
      <c r="B1394" s="25" t="s">
        <v>4541</v>
      </c>
      <c r="C1394" s="25" t="s">
        <v>4542</v>
      </c>
      <c r="D1394" s="25" t="s">
        <v>2383</v>
      </c>
      <c r="E1394" s="26" t="b">
        <v>1</v>
      </c>
      <c r="F1394" s="27" t="str">
        <f>HYPERLINK("http://nsgreg.nga.mil/genc/view?v=119490&amp;gencs=T&amp;end_month=12&amp;end_day=31&amp;end_year=2014","Lower River")</f>
        <v>Lower River</v>
      </c>
      <c r="G1394" s="28" t="str">
        <f>HYPERLINK("http://api.nsgreg.nga.mil/geo-division/GENC/6/ed3/GM-L","as:GENC:6:ed3:GM-L")</f>
        <v>as:GENC:6:ed3:GM-L</v>
      </c>
    </row>
    <row r="1395" spans="1:7" x14ac:dyDescent="0.2">
      <c r="A1395" s="85"/>
      <c r="B1395" s="25" t="s">
        <v>4543</v>
      </c>
      <c r="C1395" s="25" t="s">
        <v>4544</v>
      </c>
      <c r="D1395" s="25" t="s">
        <v>2383</v>
      </c>
      <c r="E1395" s="26" t="b">
        <v>1</v>
      </c>
      <c r="F1395" s="27" t="str">
        <f>HYPERLINK("http://nsgreg.nga.mil/genc/view?v=119492&amp;gencs=T&amp;end_month=12&amp;end_day=31&amp;end_year=2014","North Bank")</f>
        <v>North Bank</v>
      </c>
      <c r="G1395" s="28" t="str">
        <f>HYPERLINK("http://api.nsgreg.nga.mil/geo-division/GENC/6/ed3/GM-N","as:GENC:6:ed3:GM-N")</f>
        <v>as:GENC:6:ed3:GM-N</v>
      </c>
    </row>
    <row r="1396" spans="1:7" x14ac:dyDescent="0.2">
      <c r="A1396" s="85"/>
      <c r="B1396" s="25" t="s">
        <v>4545</v>
      </c>
      <c r="C1396" s="25" t="s">
        <v>4546</v>
      </c>
      <c r="D1396" s="25" t="s">
        <v>2383</v>
      </c>
      <c r="E1396" s="26" t="b">
        <v>1</v>
      </c>
      <c r="F1396" s="27" t="str">
        <f>HYPERLINK("http://nsgreg.nga.mil/genc/view?v=119493&amp;gencs=T&amp;end_month=12&amp;end_day=31&amp;end_year=2014","Upper River")</f>
        <v>Upper River</v>
      </c>
      <c r="G1396" s="28" t="str">
        <f>HYPERLINK("http://api.nsgreg.nga.mil/geo-division/GENC/6/ed3/GM-U","as:GENC:6:ed3:GM-U")</f>
        <v>as:GENC:6:ed3:GM-U</v>
      </c>
    </row>
    <row r="1397" spans="1:7" x14ac:dyDescent="0.2">
      <c r="A1397" s="86"/>
      <c r="B1397" s="29" t="s">
        <v>4547</v>
      </c>
      <c r="C1397" s="29" t="s">
        <v>4197</v>
      </c>
      <c r="D1397" s="29" t="s">
        <v>2383</v>
      </c>
      <c r="E1397" s="30" t="b">
        <v>1</v>
      </c>
      <c r="F1397" s="31" t="str">
        <f>HYPERLINK("http://nsgreg.nga.mil/genc/view?v=119494&amp;gencs=T&amp;end_month=12&amp;end_day=31&amp;end_year=2014","Western")</f>
        <v>Western</v>
      </c>
      <c r="G1397" s="32" t="str">
        <f>HYPERLINK("http://api.nsgreg.nga.mil/geo-division/GENC/6/ed3/GM-W","as:GENC:6:ed3:GM-W")</f>
        <v>as:GENC:6:ed3:GM-W</v>
      </c>
    </row>
    <row r="1398" spans="1:7" x14ac:dyDescent="0.2">
      <c r="A1398" s="84" t="str">
        <f>HYPERLINK("[#]Codes_for_GE_Names!A101:I101","GEORGIA")</f>
        <v>GEORGIA</v>
      </c>
      <c r="B1398" s="33" t="s">
        <v>4548</v>
      </c>
      <c r="C1398" s="33" t="s">
        <v>4549</v>
      </c>
      <c r="D1398" s="33" t="s">
        <v>2218</v>
      </c>
      <c r="E1398" s="34" t="b">
        <v>1</v>
      </c>
      <c r="F1398" s="35" t="str">
        <f>HYPERLINK("http://nsgreg.nga.mil/genc/view?v=211814&amp;end_month=12&amp;end_day=31&amp;end_year=2014","Abkhazia")</f>
        <v>Abkhazia</v>
      </c>
      <c r="G1398" s="36" t="str">
        <f>HYPERLINK("http://api.nsgreg.nga.mil/geo-division/GENC/6/ed3/GE-AB","as:GENC:6:ed3:GE-AB")</f>
        <v>as:GENC:6:ed3:GE-AB</v>
      </c>
    </row>
    <row r="1399" spans="1:7" x14ac:dyDescent="0.2">
      <c r="A1399" s="85"/>
      <c r="B1399" s="25" t="s">
        <v>4550</v>
      </c>
      <c r="C1399" s="25" t="s">
        <v>4551</v>
      </c>
      <c r="D1399" s="25" t="s">
        <v>2218</v>
      </c>
      <c r="E1399" s="26" t="b">
        <v>1</v>
      </c>
      <c r="F1399" s="27" t="str">
        <f>HYPERLINK("http://nsgreg.nga.mil/genc/view?v=211815&amp;end_month=12&amp;end_day=31&amp;end_year=2014","Ajaria")</f>
        <v>Ajaria</v>
      </c>
      <c r="G1399" s="28" t="str">
        <f>HYPERLINK("http://api.nsgreg.nga.mil/geo-division/GENC/6/ed3/GE-AJ","as:GENC:6:ed3:GE-AJ")</f>
        <v>as:GENC:6:ed3:GE-AJ</v>
      </c>
    </row>
    <row r="1400" spans="1:7" x14ac:dyDescent="0.2">
      <c r="A1400" s="85"/>
      <c r="B1400" s="25" t="s">
        <v>4552</v>
      </c>
      <c r="C1400" s="25" t="s">
        <v>4553</v>
      </c>
      <c r="D1400" s="25" t="s">
        <v>2087</v>
      </c>
      <c r="E1400" s="26" t="b">
        <v>1</v>
      </c>
      <c r="F1400" s="27" t="str">
        <f>HYPERLINK("http://nsgreg.nga.mil/genc/view?v=119465&amp;gencs=T&amp;end_month=12&amp;end_day=31&amp;end_year=2014","Guria")</f>
        <v>Guria</v>
      </c>
      <c r="G1400" s="28" t="str">
        <f>HYPERLINK("http://api.nsgreg.nga.mil/geo-division/GENC/6/ed3/GE-GU","as:GENC:6:ed3:GE-GU")</f>
        <v>as:GENC:6:ed3:GE-GU</v>
      </c>
    </row>
    <row r="1401" spans="1:7" x14ac:dyDescent="0.2">
      <c r="A1401" s="85"/>
      <c r="B1401" s="25" t="s">
        <v>4554</v>
      </c>
      <c r="C1401" s="25" t="s">
        <v>12374</v>
      </c>
      <c r="D1401" s="25" t="s">
        <v>2087</v>
      </c>
      <c r="E1401" s="26" t="b">
        <v>1</v>
      </c>
      <c r="F1401" s="27" t="str">
        <f>HYPERLINK("http://nsgreg.nga.mil/genc/view?v=119466&amp;gencs=T&amp;end_month=12&amp;end_day=31&amp;end_year=2014","Imereti")</f>
        <v>Imereti</v>
      </c>
      <c r="G1401" s="28" t="str">
        <f>HYPERLINK("http://api.nsgreg.nga.mil/geo-division/GENC/6/ed3/GE-IM","as:GENC:6:ed3:GE-IM")</f>
        <v>as:GENC:6:ed3:GE-IM</v>
      </c>
    </row>
    <row r="1402" spans="1:7" x14ac:dyDescent="0.2">
      <c r="A1402" s="85"/>
      <c r="B1402" s="25" t="s">
        <v>4558</v>
      </c>
      <c r="C1402" s="25" t="s">
        <v>12375</v>
      </c>
      <c r="D1402" s="25" t="s">
        <v>2087</v>
      </c>
      <c r="E1402" s="26" t="b">
        <v>1</v>
      </c>
      <c r="F1402" s="27" t="str">
        <f>HYPERLINK("http://nsgreg.nga.mil/genc/view?v=211816&amp;end_month=12&amp;end_day=31&amp;end_year=2014","K’akheti")</f>
        <v>K’akheti</v>
      </c>
      <c r="G1402" s="28" t="str">
        <f>HYPERLINK("http://api.nsgreg.nga.mil/geo-division/GENC/6/ed3/GE-KA","as:GENC:6:ed3:GE-KA")</f>
        <v>as:GENC:6:ed3:GE-KA</v>
      </c>
    </row>
    <row r="1403" spans="1:7" x14ac:dyDescent="0.2">
      <c r="A1403" s="85"/>
      <c r="B1403" s="25" t="s">
        <v>4556</v>
      </c>
      <c r="C1403" s="25" t="s">
        <v>12376</v>
      </c>
      <c r="D1403" s="25" t="s">
        <v>2087</v>
      </c>
      <c r="E1403" s="26" t="b">
        <v>1</v>
      </c>
      <c r="F1403" s="27" t="str">
        <f>HYPERLINK("http://nsgreg.nga.mil/genc/view?v=119468&amp;gencs=T&amp;end_month=12&amp;end_day=31&amp;end_year=2014","Kvemo Kartli")</f>
        <v>Kvemo Kartli</v>
      </c>
      <c r="G1403" s="28" t="str">
        <f>HYPERLINK("http://api.nsgreg.nga.mil/geo-division/GENC/6/ed3/GE-KK","as:GENC:6:ed3:GE-KK")</f>
        <v>as:GENC:6:ed3:GE-KK</v>
      </c>
    </row>
    <row r="1404" spans="1:7" x14ac:dyDescent="0.2">
      <c r="A1404" s="85"/>
      <c r="B1404" s="25" t="s">
        <v>4560</v>
      </c>
      <c r="C1404" s="25" t="s">
        <v>12377</v>
      </c>
      <c r="D1404" s="25" t="s">
        <v>2087</v>
      </c>
      <c r="E1404" s="26" t="b">
        <v>1</v>
      </c>
      <c r="F1404" s="27" t="str">
        <f>HYPERLINK("http://nsgreg.nga.mil/genc/view?v=211817&amp;end_month=12&amp;end_day=31&amp;end_year=2014","Mtskheta Mtianeti")</f>
        <v>Mtskheta Mtianeti</v>
      </c>
      <c r="G1404" s="28" t="str">
        <f>HYPERLINK("http://api.nsgreg.nga.mil/geo-division/GENC/6/ed3/GE-MM","as:GENC:6:ed3:GE-MM")</f>
        <v>as:GENC:6:ed3:GE-MM</v>
      </c>
    </row>
    <row r="1405" spans="1:7" x14ac:dyDescent="0.2">
      <c r="A1405" s="85"/>
      <c r="B1405" s="25" t="s">
        <v>4562</v>
      </c>
      <c r="C1405" s="25" t="s">
        <v>12378</v>
      </c>
      <c r="D1405" s="25" t="s">
        <v>2087</v>
      </c>
      <c r="E1405" s="26" t="b">
        <v>1</v>
      </c>
      <c r="F1405" s="27" t="str">
        <f>HYPERLINK("http://nsgreg.nga.mil/genc/view?v=211818&amp;end_month=12&amp;end_day=31&amp;end_year=2014","Rach’a-Lechkhumi da Kvemo Svaneti")</f>
        <v>Rach’a-Lechkhumi da Kvemo Svaneti</v>
      </c>
      <c r="G1405" s="28" t="str">
        <f>HYPERLINK("http://api.nsgreg.nga.mil/geo-division/GENC/6/ed3/GE-RL","as:GENC:6:ed3:GE-RL")</f>
        <v>as:GENC:6:ed3:GE-RL</v>
      </c>
    </row>
    <row r="1406" spans="1:7" x14ac:dyDescent="0.2">
      <c r="A1406" s="85"/>
      <c r="B1406" s="25" t="s">
        <v>4564</v>
      </c>
      <c r="C1406" s="25" t="s">
        <v>12379</v>
      </c>
      <c r="D1406" s="25" t="s">
        <v>2087</v>
      </c>
      <c r="E1406" s="26" t="b">
        <v>1</v>
      </c>
      <c r="F1406" s="27" t="str">
        <f>HYPERLINK("http://nsgreg.nga.mil/genc/view?v=119473&amp;gencs=T&amp;end_month=12&amp;end_day=31&amp;end_year=2014","Samegrelo-Zemo Svaneti")</f>
        <v>Samegrelo-Zemo Svaneti</v>
      </c>
      <c r="G1406" s="28" t="str">
        <f>HYPERLINK("http://api.nsgreg.nga.mil/geo-division/GENC/6/ed3/GE-SZ","as:GENC:6:ed3:GE-SZ")</f>
        <v>as:GENC:6:ed3:GE-SZ</v>
      </c>
    </row>
    <row r="1407" spans="1:7" x14ac:dyDescent="0.2">
      <c r="A1407" s="85"/>
      <c r="B1407" s="25" t="s">
        <v>4566</v>
      </c>
      <c r="C1407" s="25" t="s">
        <v>12380</v>
      </c>
      <c r="D1407" s="25" t="s">
        <v>2087</v>
      </c>
      <c r="E1407" s="26" t="b">
        <v>1</v>
      </c>
      <c r="F1407" s="27" t="str">
        <f>HYPERLINK("http://nsgreg.nga.mil/genc/view?v=119471&amp;gencs=T&amp;end_month=12&amp;end_day=31&amp;end_year=2014","Samtskhe-Javakheti")</f>
        <v>Samtskhe-Javakheti</v>
      </c>
      <c r="G1407" s="28" t="str">
        <f>HYPERLINK("http://api.nsgreg.nga.mil/geo-division/GENC/6/ed3/GE-SJ","as:GENC:6:ed3:GE-SJ")</f>
        <v>as:GENC:6:ed3:GE-SJ</v>
      </c>
    </row>
    <row r="1408" spans="1:7" x14ac:dyDescent="0.2">
      <c r="A1408" s="85"/>
      <c r="B1408" s="25" t="s">
        <v>4568</v>
      </c>
      <c r="C1408" s="25" t="s">
        <v>12381</v>
      </c>
      <c r="D1408" s="25" t="s">
        <v>2087</v>
      </c>
      <c r="E1408" s="26" t="b">
        <v>1</v>
      </c>
      <c r="F1408" s="27" t="str">
        <f>HYPERLINK("http://nsgreg.nga.mil/genc/view?v=119472&amp;gencs=T&amp;end_month=12&amp;end_day=31&amp;end_year=2014","Shida Kartli")</f>
        <v>Shida Kartli</v>
      </c>
      <c r="G1408" s="28" t="str">
        <f>HYPERLINK("http://api.nsgreg.nga.mil/geo-division/GENC/6/ed3/GE-SK","as:GENC:6:ed3:GE-SK")</f>
        <v>as:GENC:6:ed3:GE-SK</v>
      </c>
    </row>
    <row r="1409" spans="1:7" x14ac:dyDescent="0.2">
      <c r="A1409" s="86"/>
      <c r="B1409" s="29" t="s">
        <v>4570</v>
      </c>
      <c r="C1409" s="29" t="s">
        <v>12382</v>
      </c>
      <c r="D1409" s="29" t="s">
        <v>2046</v>
      </c>
      <c r="E1409" s="30" t="b">
        <v>1</v>
      </c>
      <c r="F1409" s="31" t="str">
        <f>HYPERLINK("http://nsgreg.nga.mil/genc/view?v=211819&amp;end_month=12&amp;end_day=31&amp;end_year=2014","Tbilisi")</f>
        <v>Tbilisi</v>
      </c>
      <c r="G1409" s="32" t="str">
        <f>HYPERLINK("http://api.nsgreg.nga.mil/geo-division/GENC/6/ed3/GE-TB","as:GENC:6:ed3:GE-TB")</f>
        <v>as:GENC:6:ed3:GE-TB</v>
      </c>
    </row>
    <row r="1410" spans="1:7" x14ac:dyDescent="0.2">
      <c r="A1410" s="84" t="str">
        <f>HYPERLINK("[#]Codes_for_GE_Names!A102:I102","GERMANY")</f>
        <v>GERMANY</v>
      </c>
      <c r="B1410" s="33" t="s">
        <v>4572</v>
      </c>
      <c r="C1410" s="33" t="s">
        <v>4573</v>
      </c>
      <c r="D1410" s="33" t="s">
        <v>2113</v>
      </c>
      <c r="E1410" s="34" t="b">
        <v>1</v>
      </c>
      <c r="F1410" s="35" t="str">
        <f>HYPERLINK("http://nsgreg.nga.mil/genc/view?v=211546&amp;end_month=12&amp;end_day=31&amp;end_year=2014","Baden-Württemberg")</f>
        <v>Baden-Württemberg</v>
      </c>
      <c r="G1410" s="36" t="str">
        <f>HYPERLINK("http://api.nsgreg.nga.mil/geo-division/GENC/6/ed3/DE-BW","as:GENC:6:ed3:DE-BW")</f>
        <v>as:GENC:6:ed3:DE-BW</v>
      </c>
    </row>
    <row r="1411" spans="1:7" x14ac:dyDescent="0.2">
      <c r="A1411" s="85"/>
      <c r="B1411" s="25" t="s">
        <v>4575</v>
      </c>
      <c r="C1411" s="25" t="s">
        <v>12383</v>
      </c>
      <c r="D1411" s="25" t="s">
        <v>2113</v>
      </c>
      <c r="E1411" s="26" t="b">
        <v>1</v>
      </c>
      <c r="F1411" s="27" t="str">
        <f>HYPERLINK("http://nsgreg.nga.mil/genc/view?v=211547&amp;end_month=12&amp;end_day=31&amp;end_year=2014","Bavaria")</f>
        <v>Bavaria</v>
      </c>
      <c r="G1411" s="28" t="str">
        <f>HYPERLINK("http://api.nsgreg.nga.mil/geo-division/GENC/6/ed3/DE-BY","as:GENC:6:ed3:DE-BY")</f>
        <v>as:GENC:6:ed3:DE-BY</v>
      </c>
    </row>
    <row r="1412" spans="1:7" x14ac:dyDescent="0.2">
      <c r="A1412" s="85"/>
      <c r="B1412" s="25" t="s">
        <v>4577</v>
      </c>
      <c r="C1412" s="25" t="s">
        <v>4578</v>
      </c>
      <c r="D1412" s="25" t="s">
        <v>2113</v>
      </c>
      <c r="E1412" s="26" t="b">
        <v>1</v>
      </c>
      <c r="F1412" s="27" t="str">
        <f>HYPERLINK("http://nsgreg.nga.mil/genc/view?v=211545&amp;end_month=12&amp;end_day=31&amp;end_year=2014","Berlin")</f>
        <v>Berlin</v>
      </c>
      <c r="G1412" s="28" t="str">
        <f>HYPERLINK("http://api.nsgreg.nga.mil/geo-division/GENC/6/ed3/DE-BE","as:GENC:6:ed3:DE-BE")</f>
        <v>as:GENC:6:ed3:DE-BE</v>
      </c>
    </row>
    <row r="1413" spans="1:7" x14ac:dyDescent="0.2">
      <c r="A1413" s="85"/>
      <c r="B1413" s="25" t="s">
        <v>4579</v>
      </c>
      <c r="C1413" s="25" t="s">
        <v>4580</v>
      </c>
      <c r="D1413" s="25" t="s">
        <v>2113</v>
      </c>
      <c r="E1413" s="26" t="b">
        <v>1</v>
      </c>
      <c r="F1413" s="27" t="str">
        <f>HYPERLINK("http://nsgreg.nga.mil/genc/view?v=211544&amp;end_month=12&amp;end_day=31&amp;end_year=2014","Brandenburg")</f>
        <v>Brandenburg</v>
      </c>
      <c r="G1413" s="28" t="str">
        <f>HYPERLINK("http://api.nsgreg.nga.mil/geo-division/GENC/6/ed3/DE-BB","as:GENC:6:ed3:DE-BB")</f>
        <v>as:GENC:6:ed3:DE-BB</v>
      </c>
    </row>
    <row r="1414" spans="1:7" x14ac:dyDescent="0.2">
      <c r="A1414" s="85"/>
      <c r="B1414" s="25" t="s">
        <v>4581</v>
      </c>
      <c r="C1414" s="25" t="s">
        <v>4582</v>
      </c>
      <c r="D1414" s="25" t="s">
        <v>2113</v>
      </c>
      <c r="E1414" s="26" t="b">
        <v>1</v>
      </c>
      <c r="F1414" s="27" t="str">
        <f>HYPERLINK("http://nsgreg.nga.mil/genc/view?v=211548&amp;end_month=12&amp;end_day=31&amp;end_year=2014","Bremen")</f>
        <v>Bremen</v>
      </c>
      <c r="G1414" s="28" t="str">
        <f>HYPERLINK("http://api.nsgreg.nga.mil/geo-division/GENC/6/ed3/DE-HB","as:GENC:6:ed3:DE-HB")</f>
        <v>as:GENC:6:ed3:DE-HB</v>
      </c>
    </row>
    <row r="1415" spans="1:7" x14ac:dyDescent="0.2">
      <c r="A1415" s="85"/>
      <c r="B1415" s="25" t="s">
        <v>4583</v>
      </c>
      <c r="C1415" s="25" t="s">
        <v>4584</v>
      </c>
      <c r="D1415" s="25" t="s">
        <v>2113</v>
      </c>
      <c r="E1415" s="26" t="b">
        <v>1</v>
      </c>
      <c r="F1415" s="27" t="str">
        <f>HYPERLINK("http://nsgreg.nga.mil/genc/view?v=211550&amp;end_month=12&amp;end_day=31&amp;end_year=2014","Hamburg")</f>
        <v>Hamburg</v>
      </c>
      <c r="G1415" s="28" t="str">
        <f>HYPERLINK("http://api.nsgreg.nga.mil/geo-division/GENC/6/ed3/DE-HH","as:GENC:6:ed3:DE-HH")</f>
        <v>as:GENC:6:ed3:DE-HH</v>
      </c>
    </row>
    <row r="1416" spans="1:7" x14ac:dyDescent="0.2">
      <c r="A1416" s="85"/>
      <c r="B1416" s="25" t="s">
        <v>4585</v>
      </c>
      <c r="C1416" s="25" t="s">
        <v>12384</v>
      </c>
      <c r="D1416" s="25" t="s">
        <v>2113</v>
      </c>
      <c r="E1416" s="26" t="b">
        <v>1</v>
      </c>
      <c r="F1416" s="27" t="str">
        <f>HYPERLINK("http://nsgreg.nga.mil/genc/view?v=211549&amp;end_month=12&amp;end_day=31&amp;end_year=2014","Hesse")</f>
        <v>Hesse</v>
      </c>
      <c r="G1416" s="28" t="str">
        <f>HYPERLINK("http://api.nsgreg.nga.mil/geo-division/GENC/6/ed3/DE-HE","as:GENC:6:ed3:DE-HE")</f>
        <v>as:GENC:6:ed3:DE-HE</v>
      </c>
    </row>
    <row r="1417" spans="1:7" x14ac:dyDescent="0.2">
      <c r="A1417" s="85"/>
      <c r="B1417" s="25" t="s">
        <v>4589</v>
      </c>
      <c r="C1417" s="25" t="s">
        <v>12385</v>
      </c>
      <c r="D1417" s="25" t="s">
        <v>2113</v>
      </c>
      <c r="E1417" s="26" t="b">
        <v>1</v>
      </c>
      <c r="F1417" s="27" t="str">
        <f>HYPERLINK("http://nsgreg.nga.mil/genc/view?v=211552&amp;end_month=12&amp;end_day=31&amp;end_year=2014","Lower Saxony")</f>
        <v>Lower Saxony</v>
      </c>
      <c r="G1417" s="28" t="str">
        <f>HYPERLINK("http://api.nsgreg.nga.mil/geo-division/GENC/6/ed3/DE-NI","as:GENC:6:ed3:DE-NI")</f>
        <v>as:GENC:6:ed3:DE-NI</v>
      </c>
    </row>
    <row r="1418" spans="1:7" x14ac:dyDescent="0.2">
      <c r="A1418" s="85"/>
      <c r="B1418" s="25" t="s">
        <v>4587</v>
      </c>
      <c r="C1418" s="25" t="s">
        <v>12386</v>
      </c>
      <c r="D1418" s="25" t="s">
        <v>2113</v>
      </c>
      <c r="E1418" s="26" t="b">
        <v>1</v>
      </c>
      <c r="F1418" s="27" t="str">
        <f>HYPERLINK("http://nsgreg.nga.mil/genc/view?v=211551&amp;end_month=12&amp;end_day=31&amp;end_year=2014","Mecklenburg-Western Pomerania")</f>
        <v>Mecklenburg-Western Pomerania</v>
      </c>
      <c r="G1418" s="28" t="str">
        <f>HYPERLINK("http://api.nsgreg.nga.mil/geo-division/GENC/6/ed3/DE-MV","as:GENC:6:ed3:DE-MV")</f>
        <v>as:GENC:6:ed3:DE-MV</v>
      </c>
    </row>
    <row r="1419" spans="1:7" x14ac:dyDescent="0.2">
      <c r="A1419" s="85"/>
      <c r="B1419" s="25" t="s">
        <v>4591</v>
      </c>
      <c r="C1419" s="25" t="s">
        <v>12387</v>
      </c>
      <c r="D1419" s="25" t="s">
        <v>2113</v>
      </c>
      <c r="E1419" s="26" t="b">
        <v>1</v>
      </c>
      <c r="F1419" s="27" t="str">
        <f>HYPERLINK("http://nsgreg.nga.mil/genc/view?v=211553&amp;end_month=12&amp;end_day=31&amp;end_year=2014","North Rhine-Westphalia")</f>
        <v>North Rhine-Westphalia</v>
      </c>
      <c r="G1419" s="28" t="str">
        <f>HYPERLINK("http://api.nsgreg.nga.mil/geo-division/GENC/6/ed3/DE-NW","as:GENC:6:ed3:DE-NW")</f>
        <v>as:GENC:6:ed3:DE-NW</v>
      </c>
    </row>
    <row r="1420" spans="1:7" x14ac:dyDescent="0.2">
      <c r="A1420" s="85"/>
      <c r="B1420" s="25" t="s">
        <v>4593</v>
      </c>
      <c r="C1420" s="25" t="s">
        <v>12388</v>
      </c>
      <c r="D1420" s="25" t="s">
        <v>2113</v>
      </c>
      <c r="E1420" s="26" t="b">
        <v>1</v>
      </c>
      <c r="F1420" s="27" t="str">
        <f>HYPERLINK("http://nsgreg.nga.mil/genc/view?v=211554&amp;end_month=12&amp;end_day=31&amp;end_year=2014","Rhineland-Palatinate")</f>
        <v>Rhineland-Palatinate</v>
      </c>
      <c r="G1420" s="28" t="str">
        <f>HYPERLINK("http://api.nsgreg.nga.mil/geo-division/GENC/6/ed3/DE-RP","as:GENC:6:ed3:DE-RP")</f>
        <v>as:GENC:6:ed3:DE-RP</v>
      </c>
    </row>
    <row r="1421" spans="1:7" x14ac:dyDescent="0.2">
      <c r="A1421" s="85"/>
      <c r="B1421" s="25" t="s">
        <v>4595</v>
      </c>
      <c r="C1421" s="25" t="s">
        <v>4596</v>
      </c>
      <c r="D1421" s="25" t="s">
        <v>2113</v>
      </c>
      <c r="E1421" s="26" t="b">
        <v>1</v>
      </c>
      <c r="F1421" s="27" t="str">
        <f>HYPERLINK("http://nsgreg.nga.mil/genc/view?v=211556&amp;end_month=12&amp;end_day=31&amp;end_year=2014","Saarland")</f>
        <v>Saarland</v>
      </c>
      <c r="G1421" s="28" t="str">
        <f>HYPERLINK("http://api.nsgreg.nga.mil/geo-division/GENC/6/ed3/DE-SL","as:GENC:6:ed3:DE-SL")</f>
        <v>as:GENC:6:ed3:DE-SL</v>
      </c>
    </row>
    <row r="1422" spans="1:7" x14ac:dyDescent="0.2">
      <c r="A1422" s="85"/>
      <c r="B1422" s="25" t="s">
        <v>4597</v>
      </c>
      <c r="C1422" s="25" t="s">
        <v>12389</v>
      </c>
      <c r="D1422" s="25" t="s">
        <v>2113</v>
      </c>
      <c r="E1422" s="26" t="b">
        <v>1</v>
      </c>
      <c r="F1422" s="27" t="str">
        <f>HYPERLINK("http://nsgreg.nga.mil/genc/view?v=211557&amp;end_month=12&amp;end_day=31&amp;end_year=2014","Saxony")</f>
        <v>Saxony</v>
      </c>
      <c r="G1422" s="28" t="str">
        <f>HYPERLINK("http://api.nsgreg.nga.mil/geo-division/GENC/6/ed3/DE-SN","as:GENC:6:ed3:DE-SN")</f>
        <v>as:GENC:6:ed3:DE-SN</v>
      </c>
    </row>
    <row r="1423" spans="1:7" x14ac:dyDescent="0.2">
      <c r="A1423" s="85"/>
      <c r="B1423" s="25" t="s">
        <v>4599</v>
      </c>
      <c r="C1423" s="25" t="s">
        <v>12390</v>
      </c>
      <c r="D1423" s="25" t="s">
        <v>2113</v>
      </c>
      <c r="E1423" s="26" t="b">
        <v>1</v>
      </c>
      <c r="F1423" s="27" t="str">
        <f>HYPERLINK("http://nsgreg.nga.mil/genc/view?v=211558&amp;end_month=12&amp;end_day=31&amp;end_year=2014","Saxony-Anhalt")</f>
        <v>Saxony-Anhalt</v>
      </c>
      <c r="G1423" s="28" t="str">
        <f>HYPERLINK("http://api.nsgreg.nga.mil/geo-division/GENC/6/ed3/DE-ST","as:GENC:6:ed3:DE-ST")</f>
        <v>as:GENC:6:ed3:DE-ST</v>
      </c>
    </row>
    <row r="1424" spans="1:7" x14ac:dyDescent="0.2">
      <c r="A1424" s="85"/>
      <c r="B1424" s="25" t="s">
        <v>4601</v>
      </c>
      <c r="C1424" s="25" t="s">
        <v>4602</v>
      </c>
      <c r="D1424" s="25" t="s">
        <v>2113</v>
      </c>
      <c r="E1424" s="26" t="b">
        <v>1</v>
      </c>
      <c r="F1424" s="27" t="str">
        <f>HYPERLINK("http://nsgreg.nga.mil/genc/view?v=211555&amp;end_month=12&amp;end_day=31&amp;end_year=2014","Schleswig-Holstein")</f>
        <v>Schleswig-Holstein</v>
      </c>
      <c r="G1424" s="28" t="str">
        <f>HYPERLINK("http://api.nsgreg.nga.mil/geo-division/GENC/6/ed3/DE-SH","as:GENC:6:ed3:DE-SH")</f>
        <v>as:GENC:6:ed3:DE-SH</v>
      </c>
    </row>
    <row r="1425" spans="1:7" x14ac:dyDescent="0.2">
      <c r="A1425" s="86"/>
      <c r="B1425" s="29" t="s">
        <v>4603</v>
      </c>
      <c r="C1425" s="29" t="s">
        <v>12391</v>
      </c>
      <c r="D1425" s="29" t="s">
        <v>2113</v>
      </c>
      <c r="E1425" s="30" t="b">
        <v>1</v>
      </c>
      <c r="F1425" s="31" t="str">
        <f>HYPERLINK("http://nsgreg.nga.mil/genc/view?v=211559&amp;end_month=12&amp;end_day=31&amp;end_year=2014","Thuringia")</f>
        <v>Thuringia</v>
      </c>
      <c r="G1425" s="32" t="str">
        <f>HYPERLINK("http://api.nsgreg.nga.mil/geo-division/GENC/6/ed3/DE-TH","as:GENC:6:ed3:DE-TH")</f>
        <v>as:GENC:6:ed3:DE-TH</v>
      </c>
    </row>
    <row r="1426" spans="1:7" x14ac:dyDescent="0.2">
      <c r="A1426" s="84" t="str">
        <f>HYPERLINK("[#]Codes_for_GE_Names!A103:I103","GHANA")</f>
        <v>GHANA</v>
      </c>
      <c r="B1426" s="33" t="s">
        <v>4605</v>
      </c>
      <c r="C1426" s="33" t="s">
        <v>4606</v>
      </c>
      <c r="D1426" s="33" t="s">
        <v>2087</v>
      </c>
      <c r="E1426" s="34" t="b">
        <v>1</v>
      </c>
      <c r="F1426" s="35" t="str">
        <f>HYPERLINK("http://nsgreg.nga.mil/genc/view?v=119476&amp;gencs=T&amp;end_month=12&amp;end_day=31&amp;end_year=2014","Ashanti")</f>
        <v>Ashanti</v>
      </c>
      <c r="G1426" s="36" t="str">
        <f>HYPERLINK("http://api.nsgreg.nga.mil/geo-division/GENC/6/ed3/GH-AH","as:GENC:6:ed3:GH-AH")</f>
        <v>as:GENC:6:ed3:GH-AH</v>
      </c>
    </row>
    <row r="1427" spans="1:7" x14ac:dyDescent="0.2">
      <c r="A1427" s="85"/>
      <c r="B1427" s="25" t="s">
        <v>4607</v>
      </c>
      <c r="C1427" s="25" t="s">
        <v>4608</v>
      </c>
      <c r="D1427" s="25" t="s">
        <v>2087</v>
      </c>
      <c r="E1427" s="26" t="b">
        <v>1</v>
      </c>
      <c r="F1427" s="27" t="str">
        <f>HYPERLINK("http://nsgreg.nga.mil/genc/view?v=119477&amp;gencs=T&amp;end_month=12&amp;end_day=31&amp;end_year=2014","Brong-Ahafo")</f>
        <v>Brong-Ahafo</v>
      </c>
      <c r="G1427" s="28" t="str">
        <f>HYPERLINK("http://api.nsgreg.nga.mil/geo-division/GENC/6/ed3/GH-BA","as:GENC:6:ed3:GH-BA")</f>
        <v>as:GENC:6:ed3:GH-BA</v>
      </c>
    </row>
    <row r="1428" spans="1:7" x14ac:dyDescent="0.2">
      <c r="A1428" s="85"/>
      <c r="B1428" s="25" t="s">
        <v>4609</v>
      </c>
      <c r="C1428" s="25" t="s">
        <v>2720</v>
      </c>
      <c r="D1428" s="25" t="s">
        <v>2087</v>
      </c>
      <c r="E1428" s="26" t="b">
        <v>1</v>
      </c>
      <c r="F1428" s="27" t="str">
        <f>HYPERLINK("http://nsgreg.nga.mil/genc/view?v=119478&amp;gencs=T&amp;end_month=12&amp;end_day=31&amp;end_year=2014","Central")</f>
        <v>Central</v>
      </c>
      <c r="G1428" s="28" t="str">
        <f>HYPERLINK("http://api.nsgreg.nga.mil/geo-division/GENC/6/ed3/GH-CP","as:GENC:6:ed3:GH-CP")</f>
        <v>as:GENC:6:ed3:GH-CP</v>
      </c>
    </row>
    <row r="1429" spans="1:7" x14ac:dyDescent="0.2">
      <c r="A1429" s="85"/>
      <c r="B1429" s="25" t="s">
        <v>4610</v>
      </c>
      <c r="C1429" s="25" t="s">
        <v>4191</v>
      </c>
      <c r="D1429" s="25" t="s">
        <v>2087</v>
      </c>
      <c r="E1429" s="26" t="b">
        <v>1</v>
      </c>
      <c r="F1429" s="27" t="str">
        <f>HYPERLINK("http://nsgreg.nga.mil/genc/view?v=119479&amp;gencs=T&amp;end_month=12&amp;end_day=31&amp;end_year=2014","Eastern")</f>
        <v>Eastern</v>
      </c>
      <c r="G1429" s="28" t="str">
        <f>HYPERLINK("http://api.nsgreg.nga.mil/geo-division/GENC/6/ed3/GH-EP","as:GENC:6:ed3:GH-EP")</f>
        <v>as:GENC:6:ed3:GH-EP</v>
      </c>
    </row>
    <row r="1430" spans="1:7" x14ac:dyDescent="0.2">
      <c r="A1430" s="85"/>
      <c r="B1430" s="25" t="s">
        <v>4611</v>
      </c>
      <c r="C1430" s="25" t="s">
        <v>4612</v>
      </c>
      <c r="D1430" s="25" t="s">
        <v>2087</v>
      </c>
      <c r="E1430" s="26" t="b">
        <v>1</v>
      </c>
      <c r="F1430" s="27" t="str">
        <f>HYPERLINK("http://nsgreg.nga.mil/genc/view?v=119475&amp;gencs=T&amp;end_month=12&amp;end_day=31&amp;end_year=2014","Greater Accra")</f>
        <v>Greater Accra</v>
      </c>
      <c r="G1430" s="28" t="str">
        <f>HYPERLINK("http://api.nsgreg.nga.mil/geo-division/GENC/6/ed3/GH-AA","as:GENC:6:ed3:GH-AA")</f>
        <v>as:GENC:6:ed3:GH-AA</v>
      </c>
    </row>
    <row r="1431" spans="1:7" x14ac:dyDescent="0.2">
      <c r="A1431" s="85"/>
      <c r="B1431" s="25" t="s">
        <v>4613</v>
      </c>
      <c r="C1431" s="25" t="s">
        <v>4193</v>
      </c>
      <c r="D1431" s="25" t="s">
        <v>2087</v>
      </c>
      <c r="E1431" s="26" t="b">
        <v>1</v>
      </c>
      <c r="F1431" s="27" t="str">
        <f>HYPERLINK("http://nsgreg.nga.mil/genc/view?v=119480&amp;gencs=T&amp;end_month=12&amp;end_day=31&amp;end_year=2014","Northern")</f>
        <v>Northern</v>
      </c>
      <c r="G1431" s="28" t="str">
        <f>HYPERLINK("http://api.nsgreg.nga.mil/geo-division/GENC/6/ed3/GH-NP","as:GENC:6:ed3:GH-NP")</f>
        <v>as:GENC:6:ed3:GH-NP</v>
      </c>
    </row>
    <row r="1432" spans="1:7" x14ac:dyDescent="0.2">
      <c r="A1432" s="85"/>
      <c r="B1432" s="25" t="s">
        <v>4614</v>
      </c>
      <c r="C1432" s="25" t="s">
        <v>4615</v>
      </c>
      <c r="D1432" s="25" t="s">
        <v>2087</v>
      </c>
      <c r="E1432" s="26" t="b">
        <v>1</v>
      </c>
      <c r="F1432" s="27" t="str">
        <f>HYPERLINK("http://nsgreg.nga.mil/genc/view?v=119482&amp;gencs=T&amp;end_month=12&amp;end_day=31&amp;end_year=2014","Upper East")</f>
        <v>Upper East</v>
      </c>
      <c r="G1432" s="28" t="str">
        <f>HYPERLINK("http://api.nsgreg.nga.mil/geo-division/GENC/6/ed3/GH-UE","as:GENC:6:ed3:GH-UE")</f>
        <v>as:GENC:6:ed3:GH-UE</v>
      </c>
    </row>
    <row r="1433" spans="1:7" x14ac:dyDescent="0.2">
      <c r="A1433" s="85"/>
      <c r="B1433" s="25" t="s">
        <v>4616</v>
      </c>
      <c r="C1433" s="25" t="s">
        <v>4617</v>
      </c>
      <c r="D1433" s="25" t="s">
        <v>2087</v>
      </c>
      <c r="E1433" s="26" t="b">
        <v>1</v>
      </c>
      <c r="F1433" s="27" t="str">
        <f>HYPERLINK("http://nsgreg.nga.mil/genc/view?v=119483&amp;gencs=T&amp;end_month=12&amp;end_day=31&amp;end_year=2014","Upper West")</f>
        <v>Upper West</v>
      </c>
      <c r="G1433" s="28" t="str">
        <f>HYPERLINK("http://api.nsgreg.nga.mil/geo-division/GENC/6/ed3/GH-UW","as:GENC:6:ed3:GH-UW")</f>
        <v>as:GENC:6:ed3:GH-UW</v>
      </c>
    </row>
    <row r="1434" spans="1:7" x14ac:dyDescent="0.2">
      <c r="A1434" s="85"/>
      <c r="B1434" s="25" t="s">
        <v>4618</v>
      </c>
      <c r="C1434" s="25" t="s">
        <v>4619</v>
      </c>
      <c r="D1434" s="25" t="s">
        <v>2087</v>
      </c>
      <c r="E1434" s="26" t="b">
        <v>1</v>
      </c>
      <c r="F1434" s="27" t="str">
        <f>HYPERLINK("http://nsgreg.nga.mil/genc/view?v=119481&amp;gencs=T&amp;end_month=12&amp;end_day=31&amp;end_year=2014","Volta")</f>
        <v>Volta</v>
      </c>
      <c r="G1434" s="28" t="str">
        <f>HYPERLINK("http://api.nsgreg.nga.mil/geo-division/GENC/6/ed3/GH-TV","as:GENC:6:ed3:GH-TV")</f>
        <v>as:GENC:6:ed3:GH-TV</v>
      </c>
    </row>
    <row r="1435" spans="1:7" x14ac:dyDescent="0.2">
      <c r="A1435" s="86"/>
      <c r="B1435" s="29" t="s">
        <v>4620</v>
      </c>
      <c r="C1435" s="29" t="s">
        <v>4197</v>
      </c>
      <c r="D1435" s="29" t="s">
        <v>2087</v>
      </c>
      <c r="E1435" s="30" t="b">
        <v>1</v>
      </c>
      <c r="F1435" s="31" t="str">
        <f>HYPERLINK("http://nsgreg.nga.mil/genc/view?v=119484&amp;gencs=T&amp;end_month=12&amp;end_day=31&amp;end_year=2014","Western")</f>
        <v>Western</v>
      </c>
      <c r="G1435" s="32" t="str">
        <f>HYPERLINK("http://api.nsgreg.nga.mil/geo-division/GENC/6/ed3/GH-WP","as:GENC:6:ed3:GH-WP")</f>
        <v>as:GENC:6:ed3:GH-WP</v>
      </c>
    </row>
    <row r="1436" spans="1:7" x14ac:dyDescent="0.2">
      <c r="A1436" s="84" t="str">
        <f>HYPERLINK("[#]Codes_for_GE_Names!A106:I106","GREECE")</f>
        <v>GREECE</v>
      </c>
      <c r="B1436" s="33" t="s">
        <v>4621</v>
      </c>
      <c r="C1436" s="33" t="s">
        <v>12392</v>
      </c>
      <c r="D1436" s="41" t="s">
        <v>2590</v>
      </c>
      <c r="E1436" s="42" t="b">
        <v>0</v>
      </c>
      <c r="F1436" s="35" t="str">
        <f>HYPERLINK("http://nsgreg.nga.mil/genc/view?v=119553&amp;gencs=T&amp;end_month=12&amp;end_day=31&amp;end_year=2014","Achaḯa")</f>
        <v>Achaḯa</v>
      </c>
      <c r="G1436" s="36" t="str">
        <f>HYPERLINK("http://api.nsgreg.nga.mil/geo-division/GENC/6/ed3/GR-13","as:GENC:6:ed3:GR-13")</f>
        <v>as:GENC:6:ed3:GR-13</v>
      </c>
    </row>
    <row r="1437" spans="1:7" x14ac:dyDescent="0.2">
      <c r="A1437" s="85"/>
      <c r="B1437" s="25" t="s">
        <v>4623</v>
      </c>
      <c r="C1437" s="25" t="s">
        <v>12393</v>
      </c>
      <c r="D1437" s="25" t="s">
        <v>12394</v>
      </c>
      <c r="E1437" s="26" t="b">
        <v>1</v>
      </c>
      <c r="F1437" s="27" t="str">
        <f>HYPERLINK("http://nsgreg.nga.mil/genc/view?v=211871&amp;end_month=12&amp;end_day=31&amp;end_year=2014","Ágion Óros")</f>
        <v>Ágion Óros</v>
      </c>
      <c r="G1437" s="28" t="str">
        <f>HYPERLINK("http://api.nsgreg.nga.mil/geo-division/GENC/6/ed3/GR-69","as:GENC:6:ed3:GR-69")</f>
        <v>as:GENC:6:ed3:GR-69</v>
      </c>
    </row>
    <row r="1438" spans="1:7" x14ac:dyDescent="0.2">
      <c r="A1438" s="85"/>
      <c r="B1438" s="25" t="s">
        <v>4626</v>
      </c>
      <c r="C1438" s="25" t="s">
        <v>12395</v>
      </c>
      <c r="D1438" s="37" t="s">
        <v>2590</v>
      </c>
      <c r="E1438" s="38" t="b">
        <v>0</v>
      </c>
      <c r="F1438" s="27" t="str">
        <f>HYPERLINK("http://nsgreg.nga.mil/genc/view?v=211834&amp;end_month=12&amp;end_day=31&amp;end_year=2014","Aitoloakarnanía")</f>
        <v>Aitoloakarnanía</v>
      </c>
      <c r="G1438" s="28" t="str">
        <f>HYPERLINK("http://api.nsgreg.nga.mil/geo-division/GENC/6/ed3/GR-01","as:GENC:6:ed3:GR-01")</f>
        <v>as:GENC:6:ed3:GR-01</v>
      </c>
    </row>
    <row r="1439" spans="1:7" x14ac:dyDescent="0.2">
      <c r="A1439" s="85"/>
      <c r="B1439" s="25" t="s">
        <v>4628</v>
      </c>
      <c r="C1439" s="25" t="s">
        <v>12396</v>
      </c>
      <c r="D1439" s="25" t="s">
        <v>2087</v>
      </c>
      <c r="E1439" s="26" t="b">
        <v>1</v>
      </c>
      <c r="F1439" s="27" t="str">
        <f>HYPERLINK("http://nsgreg.nga.mil/genc/view?v=211884&amp;end_month=12&amp;end_day=31&amp;end_year=2014","Anatolikí Makedonía kai Thráki")</f>
        <v>Anatolikí Makedonía kai Thráki</v>
      </c>
      <c r="G1439" s="28" t="str">
        <f>HYPERLINK("http://api.nsgreg.nga.mil/geo-division/GENC/6/ed3/GR-A","as:GENC:6:ed3:GR-A")</f>
        <v>as:GENC:6:ed3:GR-A</v>
      </c>
    </row>
    <row r="1440" spans="1:7" x14ac:dyDescent="0.2">
      <c r="A1440" s="85"/>
      <c r="B1440" s="25" t="s">
        <v>4631</v>
      </c>
      <c r="C1440" s="25" t="s">
        <v>12397</v>
      </c>
      <c r="D1440" s="37" t="s">
        <v>2590</v>
      </c>
      <c r="E1440" s="38" t="b">
        <v>0</v>
      </c>
      <c r="F1440" s="27" t="str">
        <f>HYPERLINK("http://nsgreg.nga.mil/genc/view?v=211840&amp;end_month=12&amp;end_day=31&amp;end_year=2014","Argolída")</f>
        <v>Argolída</v>
      </c>
      <c r="G1440" s="28" t="str">
        <f>HYPERLINK("http://api.nsgreg.nga.mil/geo-division/GENC/6/ed3/GR-11","as:GENC:6:ed3:GR-11")</f>
        <v>as:GENC:6:ed3:GR-11</v>
      </c>
    </row>
    <row r="1441" spans="1:7" x14ac:dyDescent="0.2">
      <c r="A1441" s="85"/>
      <c r="B1441" s="25" t="s">
        <v>4633</v>
      </c>
      <c r="C1441" s="25" t="s">
        <v>12398</v>
      </c>
      <c r="D1441" s="37" t="s">
        <v>2590</v>
      </c>
      <c r="E1441" s="38" t="b">
        <v>0</v>
      </c>
      <c r="F1441" s="27" t="str">
        <f>HYPERLINK("http://nsgreg.nga.mil/genc/view?v=211841&amp;end_month=12&amp;end_day=31&amp;end_year=2014","Arkadía")</f>
        <v>Arkadía</v>
      </c>
      <c r="G1441" s="28" t="str">
        <f>HYPERLINK("http://api.nsgreg.nga.mil/geo-division/GENC/6/ed3/GR-12","as:GENC:6:ed3:GR-12")</f>
        <v>as:GENC:6:ed3:GR-12</v>
      </c>
    </row>
    <row r="1442" spans="1:7" x14ac:dyDescent="0.2">
      <c r="A1442" s="85"/>
      <c r="B1442" s="25" t="s">
        <v>4635</v>
      </c>
      <c r="C1442" s="25" t="s">
        <v>12399</v>
      </c>
      <c r="D1442" s="37" t="s">
        <v>2590</v>
      </c>
      <c r="E1442" s="38" t="b">
        <v>0</v>
      </c>
      <c r="F1442" s="27" t="str">
        <f>HYPERLINK("http://nsgreg.nga.mil/genc/view?v=211850&amp;end_month=12&amp;end_day=31&amp;end_year=2014","Árta")</f>
        <v>Árta</v>
      </c>
      <c r="G1442" s="28" t="str">
        <f>HYPERLINK("http://api.nsgreg.nga.mil/geo-division/GENC/6/ed3/GR-31","as:GENC:6:ed3:GR-31")</f>
        <v>as:GENC:6:ed3:GR-31</v>
      </c>
    </row>
    <row r="1443" spans="1:7" x14ac:dyDescent="0.2">
      <c r="A1443" s="85"/>
      <c r="B1443" s="25" t="s">
        <v>4636</v>
      </c>
      <c r="C1443" s="25" t="s">
        <v>12400</v>
      </c>
      <c r="D1443" s="37" t="s">
        <v>2590</v>
      </c>
      <c r="E1443" s="38" t="b">
        <v>0</v>
      </c>
      <c r="F1443" s="27" t="str">
        <f>HYPERLINK("http://nsgreg.nga.mil/genc/view?v=211885&amp;end_month=12&amp;end_day=31&amp;end_year=2014","Attikí")</f>
        <v>Attikí</v>
      </c>
      <c r="G1443" s="28" t="str">
        <f>HYPERLINK("http://api.nsgreg.nga.mil/geo-division/GENC/6/ed3/GR-A1","as:GENC:6:ed3:GR-A1")</f>
        <v>as:GENC:6:ed3:GR-A1</v>
      </c>
    </row>
    <row r="1444" spans="1:7" x14ac:dyDescent="0.2">
      <c r="A1444" s="85"/>
      <c r="B1444" s="25" t="s">
        <v>4638</v>
      </c>
      <c r="C1444" s="25" t="s">
        <v>12400</v>
      </c>
      <c r="D1444" s="25" t="s">
        <v>2087</v>
      </c>
      <c r="E1444" s="26" t="b">
        <v>1</v>
      </c>
      <c r="F1444" s="27" t="str">
        <f>HYPERLINK("http://nsgreg.nga.mil/genc/view?v=211893&amp;end_month=12&amp;end_day=31&amp;end_year=2014","Attikí")</f>
        <v>Attikí</v>
      </c>
      <c r="G1444" s="28" t="str">
        <f>HYPERLINK("http://api.nsgreg.nga.mil/geo-division/GENC/6/ed3/GR-I","as:GENC:6:ed3:GR-I")</f>
        <v>as:GENC:6:ed3:GR-I</v>
      </c>
    </row>
    <row r="1445" spans="1:7" x14ac:dyDescent="0.2">
      <c r="A1445" s="85"/>
      <c r="B1445" s="25" t="s">
        <v>4639</v>
      </c>
      <c r="C1445" s="25" t="s">
        <v>12401</v>
      </c>
      <c r="D1445" s="37" t="s">
        <v>2590</v>
      </c>
      <c r="E1445" s="38" t="b">
        <v>0</v>
      </c>
      <c r="F1445" s="27" t="str">
        <f>HYPERLINK("http://nsgreg.nga.mil/genc/view?v=211870&amp;end_month=12&amp;end_day=31&amp;end_year=2014","Chalkidikí")</f>
        <v>Chalkidikí</v>
      </c>
      <c r="G1445" s="28" t="str">
        <f>HYPERLINK("http://api.nsgreg.nga.mil/geo-division/GENC/6/ed3/GR-64","as:GENC:6:ed3:GR-64")</f>
        <v>as:GENC:6:ed3:GR-64</v>
      </c>
    </row>
    <row r="1446" spans="1:7" x14ac:dyDescent="0.2">
      <c r="A1446" s="85"/>
      <c r="B1446" s="25" t="s">
        <v>4641</v>
      </c>
      <c r="C1446" s="25" t="s">
        <v>12402</v>
      </c>
      <c r="D1446" s="37" t="s">
        <v>2590</v>
      </c>
      <c r="E1446" s="38" t="b">
        <v>0</v>
      </c>
      <c r="F1446" s="27" t="str">
        <f>HYPERLINK("http://nsgreg.nga.mil/genc/view?v=211883&amp;end_month=12&amp;end_day=31&amp;end_year=2014","Chaniá")</f>
        <v>Chaniá</v>
      </c>
      <c r="G1446" s="28" t="str">
        <f>HYPERLINK("http://api.nsgreg.nga.mil/geo-division/GENC/6/ed3/GR-94","as:GENC:6:ed3:GR-94")</f>
        <v>as:GENC:6:ed3:GR-94</v>
      </c>
    </row>
    <row r="1447" spans="1:7" x14ac:dyDescent="0.2">
      <c r="A1447" s="85"/>
      <c r="B1447" s="25" t="s">
        <v>4643</v>
      </c>
      <c r="C1447" s="25" t="s">
        <v>12403</v>
      </c>
      <c r="D1447" s="37" t="s">
        <v>2590</v>
      </c>
      <c r="E1447" s="38" t="b">
        <v>0</v>
      </c>
      <c r="F1447" s="27" t="str">
        <f>HYPERLINK("http://nsgreg.nga.mil/genc/view?v=211879&amp;end_month=12&amp;end_day=31&amp;end_year=2014","Chíos")</f>
        <v>Chíos</v>
      </c>
      <c r="G1447" s="28" t="str">
        <f>HYPERLINK("http://api.nsgreg.nga.mil/geo-division/GENC/6/ed3/GR-85","as:GENC:6:ed3:GR-85")</f>
        <v>as:GENC:6:ed3:GR-85</v>
      </c>
    </row>
    <row r="1448" spans="1:7" x14ac:dyDescent="0.2">
      <c r="A1448" s="85"/>
      <c r="B1448" s="25" t="s">
        <v>4645</v>
      </c>
      <c r="C1448" s="25" t="s">
        <v>12404</v>
      </c>
      <c r="D1448" s="37" t="s">
        <v>2590</v>
      </c>
      <c r="E1448" s="38" t="b">
        <v>0</v>
      </c>
      <c r="F1448" s="27" t="str">
        <f>HYPERLINK("http://nsgreg.nga.mil/genc/view?v=211875&amp;end_month=12&amp;end_day=31&amp;end_year=2014","Dodekánisa")</f>
        <v>Dodekánisa</v>
      </c>
      <c r="G1448" s="28" t="str">
        <f>HYPERLINK("http://api.nsgreg.nga.mil/geo-division/GENC/6/ed3/GR-81","as:GENC:6:ed3:GR-81")</f>
        <v>as:GENC:6:ed3:GR-81</v>
      </c>
    </row>
    <row r="1449" spans="1:7" x14ac:dyDescent="0.2">
      <c r="A1449" s="85"/>
      <c r="B1449" s="25" t="s">
        <v>4647</v>
      </c>
      <c r="C1449" s="25" t="s">
        <v>12405</v>
      </c>
      <c r="D1449" s="37" t="s">
        <v>2590</v>
      </c>
      <c r="E1449" s="38" t="b">
        <v>0</v>
      </c>
      <c r="F1449" s="27" t="str">
        <f>HYPERLINK("http://nsgreg.nga.mil/genc/view?v=211859&amp;end_month=12&amp;end_day=31&amp;end_year=2014","Dráma")</f>
        <v>Dráma</v>
      </c>
      <c r="G1449" s="28" t="str">
        <f>HYPERLINK("http://api.nsgreg.nga.mil/geo-division/GENC/6/ed3/GR-52","as:GENC:6:ed3:GR-52")</f>
        <v>as:GENC:6:ed3:GR-52</v>
      </c>
    </row>
    <row r="1450" spans="1:7" x14ac:dyDescent="0.2">
      <c r="A1450" s="85"/>
      <c r="B1450" s="25" t="s">
        <v>4649</v>
      </c>
      <c r="C1450" s="25" t="s">
        <v>12406</v>
      </c>
      <c r="D1450" s="25" t="s">
        <v>2087</v>
      </c>
      <c r="E1450" s="26" t="b">
        <v>1</v>
      </c>
      <c r="F1450" s="27" t="str">
        <f>HYPERLINK("http://nsgreg.nga.mil/genc/view?v=211891&amp;end_month=12&amp;end_day=31&amp;end_year=2014","Dytikí Elláda")</f>
        <v>Dytikí Elláda</v>
      </c>
      <c r="G1450" s="28" t="str">
        <f>HYPERLINK("http://api.nsgreg.nga.mil/geo-division/GENC/6/ed3/GR-G","as:GENC:6:ed3:GR-G")</f>
        <v>as:GENC:6:ed3:GR-G</v>
      </c>
    </row>
    <row r="1451" spans="1:7" x14ac:dyDescent="0.2">
      <c r="A1451" s="85"/>
      <c r="B1451" s="25" t="s">
        <v>4651</v>
      </c>
      <c r="C1451" s="25" t="s">
        <v>12407</v>
      </c>
      <c r="D1451" s="25" t="s">
        <v>2087</v>
      </c>
      <c r="E1451" s="26" t="b">
        <v>1</v>
      </c>
      <c r="F1451" s="27" t="str">
        <f>HYPERLINK("http://nsgreg.nga.mil/genc/view?v=211887&amp;end_month=12&amp;end_day=31&amp;end_year=2014","Dytikí Makedonía")</f>
        <v>Dytikí Makedonía</v>
      </c>
      <c r="G1451" s="28" t="str">
        <f>HYPERLINK("http://api.nsgreg.nga.mil/geo-division/GENC/6/ed3/GR-C","as:GENC:6:ed3:GR-C")</f>
        <v>as:GENC:6:ed3:GR-C</v>
      </c>
    </row>
    <row r="1452" spans="1:7" x14ac:dyDescent="0.2">
      <c r="A1452" s="85"/>
      <c r="B1452" s="25" t="s">
        <v>4653</v>
      </c>
      <c r="C1452" s="25" t="s">
        <v>12408</v>
      </c>
      <c r="D1452" s="37" t="s">
        <v>2590</v>
      </c>
      <c r="E1452" s="38" t="b">
        <v>0</v>
      </c>
      <c r="F1452" s="27" t="str">
        <f>HYPERLINK("http://nsgreg.nga.mil/genc/view?v=211872&amp;end_month=12&amp;end_day=31&amp;end_year=2014","Évros")</f>
        <v>Évros</v>
      </c>
      <c r="G1452" s="28" t="str">
        <f>HYPERLINK("http://api.nsgreg.nga.mil/geo-division/GENC/6/ed3/GR-71","as:GENC:6:ed3:GR-71")</f>
        <v>as:GENC:6:ed3:GR-71</v>
      </c>
    </row>
    <row r="1453" spans="1:7" x14ac:dyDescent="0.2">
      <c r="A1453" s="85"/>
      <c r="B1453" s="25" t="s">
        <v>4655</v>
      </c>
      <c r="C1453" s="25" t="s">
        <v>12409</v>
      </c>
      <c r="D1453" s="37" t="s">
        <v>2590</v>
      </c>
      <c r="E1453" s="38" t="b">
        <v>0</v>
      </c>
      <c r="F1453" s="27" t="str">
        <f>HYPERLINK("http://nsgreg.nga.mil/genc/view?v=211837&amp;end_month=12&amp;end_day=31&amp;end_year=2014","Evrytanía")</f>
        <v>Evrytanía</v>
      </c>
      <c r="G1453" s="28" t="str">
        <f>HYPERLINK("http://api.nsgreg.nga.mil/geo-division/GENC/6/ed3/GR-05","as:GENC:6:ed3:GR-05")</f>
        <v>as:GENC:6:ed3:GR-05</v>
      </c>
    </row>
    <row r="1454" spans="1:7" x14ac:dyDescent="0.2">
      <c r="A1454" s="85"/>
      <c r="B1454" s="25" t="s">
        <v>4657</v>
      </c>
      <c r="C1454" s="25" t="s">
        <v>12410</v>
      </c>
      <c r="D1454" s="37" t="s">
        <v>2590</v>
      </c>
      <c r="E1454" s="38" t="b">
        <v>0</v>
      </c>
      <c r="F1454" s="27" t="str">
        <f>HYPERLINK("http://nsgreg.nga.mil/genc/view?v=211836&amp;end_month=12&amp;end_day=31&amp;end_year=2014","Évvoia")</f>
        <v>Évvoia</v>
      </c>
      <c r="G1454" s="28" t="str">
        <f>HYPERLINK("http://api.nsgreg.nga.mil/geo-division/GENC/6/ed3/GR-04","as:GENC:6:ed3:GR-04")</f>
        <v>as:GENC:6:ed3:GR-04</v>
      </c>
    </row>
    <row r="1455" spans="1:7" x14ac:dyDescent="0.2">
      <c r="A1455" s="85"/>
      <c r="B1455" s="25" t="s">
        <v>4659</v>
      </c>
      <c r="C1455" s="25" t="s">
        <v>12411</v>
      </c>
      <c r="D1455" s="37" t="s">
        <v>2590</v>
      </c>
      <c r="E1455" s="38" t="b">
        <v>0</v>
      </c>
      <c r="F1455" s="27" t="str">
        <f>HYPERLINK("http://nsgreg.nga.mil/genc/view?v=211869&amp;end_month=12&amp;end_day=31&amp;end_year=2014","Flórina")</f>
        <v>Flórina</v>
      </c>
      <c r="G1455" s="28" t="str">
        <f>HYPERLINK("http://api.nsgreg.nga.mil/geo-division/GENC/6/ed3/GR-63","as:GENC:6:ed3:GR-63")</f>
        <v>as:GENC:6:ed3:GR-63</v>
      </c>
    </row>
    <row r="1456" spans="1:7" x14ac:dyDescent="0.2">
      <c r="A1456" s="85"/>
      <c r="B1456" s="25" t="s">
        <v>4661</v>
      </c>
      <c r="C1456" s="25" t="s">
        <v>12412</v>
      </c>
      <c r="D1456" s="37" t="s">
        <v>2590</v>
      </c>
      <c r="E1456" s="38" t="b">
        <v>0</v>
      </c>
      <c r="F1456" s="27" t="str">
        <f>HYPERLINK("http://nsgreg.nga.mil/genc/view?v=211839&amp;end_month=12&amp;end_day=31&amp;end_year=2014","Fokída")</f>
        <v>Fokída</v>
      </c>
      <c r="G1456" s="28" t="str">
        <f>HYPERLINK("http://api.nsgreg.nga.mil/geo-division/GENC/6/ed3/GR-07","as:GENC:6:ed3:GR-07")</f>
        <v>as:GENC:6:ed3:GR-07</v>
      </c>
    </row>
    <row r="1457" spans="1:7" x14ac:dyDescent="0.2">
      <c r="A1457" s="85"/>
      <c r="B1457" s="25" t="s">
        <v>4663</v>
      </c>
      <c r="C1457" s="25" t="s">
        <v>12413</v>
      </c>
      <c r="D1457" s="37" t="s">
        <v>2590</v>
      </c>
      <c r="E1457" s="38" t="b">
        <v>0</v>
      </c>
      <c r="F1457" s="27" t="str">
        <f>HYPERLINK("http://nsgreg.nga.mil/genc/view?v=211838&amp;end_month=12&amp;end_day=31&amp;end_year=2014","Fthiótida")</f>
        <v>Fthiótida</v>
      </c>
      <c r="G1457" s="28" t="str">
        <f>HYPERLINK("http://api.nsgreg.nga.mil/geo-division/GENC/6/ed3/GR-06","as:GENC:6:ed3:GR-06")</f>
        <v>as:GENC:6:ed3:GR-06</v>
      </c>
    </row>
    <row r="1458" spans="1:7" x14ac:dyDescent="0.2">
      <c r="A1458" s="85"/>
      <c r="B1458" s="25" t="s">
        <v>4665</v>
      </c>
      <c r="C1458" s="25" t="s">
        <v>12414</v>
      </c>
      <c r="D1458" s="37" t="s">
        <v>2590</v>
      </c>
      <c r="E1458" s="38" t="b">
        <v>0</v>
      </c>
      <c r="F1458" s="27" t="str">
        <f>HYPERLINK("http://nsgreg.nga.mil/genc/view?v=211858&amp;end_month=12&amp;end_day=31&amp;end_year=2014","Grevená")</f>
        <v>Grevená</v>
      </c>
      <c r="G1458" s="28" t="str">
        <f>HYPERLINK("http://api.nsgreg.nga.mil/geo-division/GENC/6/ed3/GR-51","as:GENC:6:ed3:GR-51")</f>
        <v>as:GENC:6:ed3:GR-51</v>
      </c>
    </row>
    <row r="1459" spans="1:7" x14ac:dyDescent="0.2">
      <c r="A1459" s="85"/>
      <c r="B1459" s="25" t="s">
        <v>4667</v>
      </c>
      <c r="C1459" s="25" t="s">
        <v>12415</v>
      </c>
      <c r="D1459" s="37" t="s">
        <v>2590</v>
      </c>
      <c r="E1459" s="38" t="b">
        <v>0</v>
      </c>
      <c r="F1459" s="27" t="str">
        <f>HYPERLINK("http://nsgreg.nga.mil/genc/view?v=211842&amp;end_month=12&amp;end_day=31&amp;end_year=2014","Ileía")</f>
        <v>Ileía</v>
      </c>
      <c r="G1459" s="28" t="str">
        <f>HYPERLINK("http://api.nsgreg.nga.mil/geo-division/GENC/6/ed3/GR-14","as:GENC:6:ed3:GR-14")</f>
        <v>as:GENC:6:ed3:GR-14</v>
      </c>
    </row>
    <row r="1460" spans="1:7" x14ac:dyDescent="0.2">
      <c r="A1460" s="85"/>
      <c r="B1460" s="25" t="s">
        <v>4669</v>
      </c>
      <c r="C1460" s="25" t="s">
        <v>12416</v>
      </c>
      <c r="D1460" s="37" t="s">
        <v>2590</v>
      </c>
      <c r="E1460" s="38" t="b">
        <v>0</v>
      </c>
      <c r="F1460" s="27" t="str">
        <f>HYPERLINK("http://nsgreg.nga.mil/genc/view?v=211860&amp;end_month=12&amp;end_day=31&amp;end_year=2014","Imathía")</f>
        <v>Imathía</v>
      </c>
      <c r="G1460" s="28" t="str">
        <f>HYPERLINK("http://api.nsgreg.nga.mil/geo-division/GENC/6/ed3/GR-53","as:GENC:6:ed3:GR-53")</f>
        <v>as:GENC:6:ed3:GR-53</v>
      </c>
    </row>
    <row r="1461" spans="1:7" x14ac:dyDescent="0.2">
      <c r="A1461" s="85"/>
      <c r="B1461" s="25" t="s">
        <v>4671</v>
      </c>
      <c r="C1461" s="25" t="s">
        <v>12417</v>
      </c>
      <c r="D1461" s="37" t="s">
        <v>2590</v>
      </c>
      <c r="E1461" s="38" t="b">
        <v>0</v>
      </c>
      <c r="F1461" s="27" t="str">
        <f>HYPERLINK("http://nsgreg.nga.mil/genc/view?v=211852&amp;end_month=12&amp;end_day=31&amp;end_year=2014","Ioánnina")</f>
        <v>Ioánnina</v>
      </c>
      <c r="G1461" s="28" t="str">
        <f>HYPERLINK("http://api.nsgreg.nga.mil/geo-division/GENC/6/ed3/GR-33","as:GENC:6:ed3:GR-33")</f>
        <v>as:GENC:6:ed3:GR-33</v>
      </c>
    </row>
    <row r="1462" spans="1:7" x14ac:dyDescent="0.2">
      <c r="A1462" s="85"/>
      <c r="B1462" s="25" t="s">
        <v>4673</v>
      </c>
      <c r="C1462" s="25" t="s">
        <v>12418</v>
      </c>
      <c r="D1462" s="25" t="s">
        <v>2087</v>
      </c>
      <c r="E1462" s="26" t="b">
        <v>1</v>
      </c>
      <c r="F1462" s="27" t="str">
        <f>HYPERLINK("http://nsgreg.nga.mil/genc/view?v=211890&amp;end_month=12&amp;end_day=31&amp;end_year=2014","Ionía Nísia")</f>
        <v>Ionía Nísia</v>
      </c>
      <c r="G1462" s="28" t="str">
        <f>HYPERLINK("http://api.nsgreg.nga.mil/geo-division/GENC/6/ed3/GR-F","as:GENC:6:ed3:GR-F")</f>
        <v>as:GENC:6:ed3:GR-F</v>
      </c>
    </row>
    <row r="1463" spans="1:7" x14ac:dyDescent="0.2">
      <c r="A1463" s="85"/>
      <c r="B1463" s="25" t="s">
        <v>4675</v>
      </c>
      <c r="C1463" s="25" t="s">
        <v>12419</v>
      </c>
      <c r="D1463" s="25" t="s">
        <v>2087</v>
      </c>
      <c r="E1463" s="26" t="b">
        <v>1</v>
      </c>
      <c r="F1463" s="27" t="str">
        <f>HYPERLINK("http://nsgreg.nga.mil/genc/view?v=211888&amp;end_month=12&amp;end_day=31&amp;end_year=2014","Ípeiros")</f>
        <v>Ípeiros</v>
      </c>
      <c r="G1463" s="28" t="str">
        <f>HYPERLINK("http://api.nsgreg.nga.mil/geo-division/GENC/6/ed3/GR-D","as:GENC:6:ed3:GR-D")</f>
        <v>as:GENC:6:ed3:GR-D</v>
      </c>
    </row>
    <row r="1464" spans="1:7" x14ac:dyDescent="0.2">
      <c r="A1464" s="85"/>
      <c r="B1464" s="25" t="s">
        <v>4677</v>
      </c>
      <c r="C1464" s="25" t="s">
        <v>12420</v>
      </c>
      <c r="D1464" s="37" t="s">
        <v>2590</v>
      </c>
      <c r="E1464" s="38" t="b">
        <v>0</v>
      </c>
      <c r="F1464" s="27" t="str">
        <f>HYPERLINK("http://nsgreg.nga.mil/genc/view?v=211880&amp;end_month=12&amp;end_day=31&amp;end_year=2014","Irakleío")</f>
        <v>Irakleío</v>
      </c>
      <c r="G1464" s="28" t="str">
        <f>HYPERLINK("http://api.nsgreg.nga.mil/geo-division/GENC/6/ed3/GR-91","as:GENC:6:ed3:GR-91")</f>
        <v>as:GENC:6:ed3:GR-91</v>
      </c>
    </row>
    <row r="1465" spans="1:7" x14ac:dyDescent="0.2">
      <c r="A1465" s="85"/>
      <c r="B1465" s="25" t="s">
        <v>4679</v>
      </c>
      <c r="C1465" s="25" t="s">
        <v>12421</v>
      </c>
      <c r="D1465" s="37" t="s">
        <v>2590</v>
      </c>
      <c r="E1465" s="38" t="b">
        <v>0</v>
      </c>
      <c r="F1465" s="27" t="str">
        <f>HYPERLINK("http://nsgreg.nga.mil/genc/view?v=211854&amp;end_month=12&amp;end_day=31&amp;end_year=2014","Kardítsa")</f>
        <v>Kardítsa</v>
      </c>
      <c r="G1465" s="28" t="str">
        <f>HYPERLINK("http://api.nsgreg.nga.mil/geo-division/GENC/6/ed3/GR-41","as:GENC:6:ed3:GR-41")</f>
        <v>as:GENC:6:ed3:GR-41</v>
      </c>
    </row>
    <row r="1466" spans="1:7" x14ac:dyDescent="0.2">
      <c r="A1466" s="85"/>
      <c r="B1466" s="25" t="s">
        <v>4681</v>
      </c>
      <c r="C1466" s="25" t="s">
        <v>12422</v>
      </c>
      <c r="D1466" s="37" t="s">
        <v>2590</v>
      </c>
      <c r="E1466" s="38" t="b">
        <v>0</v>
      </c>
      <c r="F1466" s="27" t="str">
        <f>HYPERLINK("http://nsgreg.nga.mil/genc/view?v=211863&amp;end_month=12&amp;end_day=31&amp;end_year=2014","Kastoriá")</f>
        <v>Kastoriá</v>
      </c>
      <c r="G1466" s="28" t="str">
        <f>HYPERLINK("http://api.nsgreg.nga.mil/geo-division/GENC/6/ed3/GR-56","as:GENC:6:ed3:GR-56")</f>
        <v>as:GENC:6:ed3:GR-56</v>
      </c>
    </row>
    <row r="1467" spans="1:7" x14ac:dyDescent="0.2">
      <c r="A1467" s="85"/>
      <c r="B1467" s="25" t="s">
        <v>4683</v>
      </c>
      <c r="C1467" s="25" t="s">
        <v>12423</v>
      </c>
      <c r="D1467" s="37" t="s">
        <v>2590</v>
      </c>
      <c r="E1467" s="38" t="b">
        <v>0</v>
      </c>
      <c r="F1467" s="27" t="str">
        <f>HYPERLINK("http://nsgreg.nga.mil/genc/view?v=211862&amp;end_month=12&amp;end_day=31&amp;end_year=2014","Kavála")</f>
        <v>Kavála</v>
      </c>
      <c r="G1467" s="28" t="str">
        <f>HYPERLINK("http://api.nsgreg.nga.mil/geo-division/GENC/6/ed3/GR-55","as:GENC:6:ed3:GR-55")</f>
        <v>as:GENC:6:ed3:GR-55</v>
      </c>
    </row>
    <row r="1468" spans="1:7" x14ac:dyDescent="0.2">
      <c r="A1468" s="85"/>
      <c r="B1468" s="25" t="s">
        <v>4685</v>
      </c>
      <c r="C1468" s="25" t="s">
        <v>12424</v>
      </c>
      <c r="D1468" s="37" t="s">
        <v>2590</v>
      </c>
      <c r="E1468" s="38" t="b">
        <v>0</v>
      </c>
      <c r="F1468" s="27" t="str">
        <f>HYPERLINK("http://nsgreg.nga.mil/genc/view?v=211848&amp;end_month=12&amp;end_day=31&amp;end_year=2014","Kefallinía")</f>
        <v>Kefallinía</v>
      </c>
      <c r="G1468" s="28" t="str">
        <f>HYPERLINK("http://api.nsgreg.nga.mil/geo-division/GENC/6/ed3/GR-23","as:GENC:6:ed3:GR-23")</f>
        <v>as:GENC:6:ed3:GR-23</v>
      </c>
    </row>
    <row r="1469" spans="1:7" x14ac:dyDescent="0.2">
      <c r="A1469" s="85"/>
      <c r="B1469" s="25" t="s">
        <v>4687</v>
      </c>
      <c r="C1469" s="25" t="s">
        <v>12425</v>
      </c>
      <c r="D1469" s="25" t="s">
        <v>2087</v>
      </c>
      <c r="E1469" s="26" t="b">
        <v>1</v>
      </c>
      <c r="F1469" s="27" t="str">
        <f>HYPERLINK("http://nsgreg.nga.mil/genc/view?v=211886&amp;end_month=12&amp;end_day=31&amp;end_year=2014","Kentrikí Makedonía")</f>
        <v>Kentrikí Makedonía</v>
      </c>
      <c r="G1469" s="28" t="str">
        <f>HYPERLINK("http://api.nsgreg.nga.mil/geo-division/GENC/6/ed3/GR-B","as:GENC:6:ed3:GR-B")</f>
        <v>as:GENC:6:ed3:GR-B</v>
      </c>
    </row>
    <row r="1470" spans="1:7" x14ac:dyDescent="0.2">
      <c r="A1470" s="85"/>
      <c r="B1470" s="25" t="s">
        <v>4689</v>
      </c>
      <c r="C1470" s="25" t="s">
        <v>12426</v>
      </c>
      <c r="D1470" s="37" t="s">
        <v>2590</v>
      </c>
      <c r="E1470" s="38" t="b">
        <v>0</v>
      </c>
      <c r="F1470" s="27" t="str">
        <f>HYPERLINK("http://nsgreg.nga.mil/genc/view?v=211847&amp;end_month=12&amp;end_day=31&amp;end_year=2014","Kérkyra")</f>
        <v>Kérkyra</v>
      </c>
      <c r="G1470" s="28" t="str">
        <f>HYPERLINK("http://api.nsgreg.nga.mil/geo-division/GENC/6/ed3/GR-22","as:GENC:6:ed3:GR-22")</f>
        <v>as:GENC:6:ed3:GR-22</v>
      </c>
    </row>
    <row r="1471" spans="1:7" x14ac:dyDescent="0.2">
      <c r="A1471" s="85"/>
      <c r="B1471" s="25" t="s">
        <v>4691</v>
      </c>
      <c r="C1471" s="25" t="s">
        <v>12427</v>
      </c>
      <c r="D1471" s="37" t="s">
        <v>2590</v>
      </c>
      <c r="E1471" s="38" t="b">
        <v>0</v>
      </c>
      <c r="F1471" s="27" t="str">
        <f>HYPERLINK("http://nsgreg.nga.mil/genc/view?v=211864&amp;end_month=12&amp;end_day=31&amp;end_year=2014","Kilkís")</f>
        <v>Kilkís</v>
      </c>
      <c r="G1471" s="28" t="str">
        <f>HYPERLINK("http://api.nsgreg.nga.mil/geo-division/GENC/6/ed3/GR-57","as:GENC:6:ed3:GR-57")</f>
        <v>as:GENC:6:ed3:GR-57</v>
      </c>
    </row>
    <row r="1472" spans="1:7" x14ac:dyDescent="0.2">
      <c r="A1472" s="85"/>
      <c r="B1472" s="25" t="s">
        <v>4693</v>
      </c>
      <c r="C1472" s="25" t="s">
        <v>12428</v>
      </c>
      <c r="D1472" s="37" t="s">
        <v>2590</v>
      </c>
      <c r="E1472" s="38" t="b">
        <v>0</v>
      </c>
      <c r="F1472" s="27" t="str">
        <f>HYPERLINK("http://nsgreg.nga.mil/genc/view?v=211843&amp;end_month=12&amp;end_day=31&amp;end_year=2014","Korinthía")</f>
        <v>Korinthía</v>
      </c>
      <c r="G1472" s="28" t="str">
        <f>HYPERLINK("http://api.nsgreg.nga.mil/geo-division/GENC/6/ed3/GR-15","as:GENC:6:ed3:GR-15")</f>
        <v>as:GENC:6:ed3:GR-15</v>
      </c>
    </row>
    <row r="1473" spans="1:7" x14ac:dyDescent="0.2">
      <c r="A1473" s="85"/>
      <c r="B1473" s="25" t="s">
        <v>4695</v>
      </c>
      <c r="C1473" s="25" t="s">
        <v>12429</v>
      </c>
      <c r="D1473" s="37" t="s">
        <v>2590</v>
      </c>
      <c r="E1473" s="38" t="b">
        <v>0</v>
      </c>
      <c r="F1473" s="27" t="str">
        <f>HYPERLINK("http://nsgreg.nga.mil/genc/view?v=211865&amp;end_month=12&amp;end_day=31&amp;end_year=2014","Kozáni")</f>
        <v>Kozáni</v>
      </c>
      <c r="G1473" s="28" t="str">
        <f>HYPERLINK("http://api.nsgreg.nga.mil/geo-division/GENC/6/ed3/GR-58","as:GENC:6:ed3:GR-58")</f>
        <v>as:GENC:6:ed3:GR-58</v>
      </c>
    </row>
    <row r="1474" spans="1:7" x14ac:dyDescent="0.2">
      <c r="A1474" s="85"/>
      <c r="B1474" s="25" t="s">
        <v>4697</v>
      </c>
      <c r="C1474" s="25" t="s">
        <v>12430</v>
      </c>
      <c r="D1474" s="25" t="s">
        <v>2087</v>
      </c>
      <c r="E1474" s="26" t="b">
        <v>1</v>
      </c>
      <c r="F1474" s="27" t="str">
        <f>HYPERLINK("http://nsgreg.nga.mil/genc/view?v=211897&amp;end_month=12&amp;end_day=31&amp;end_year=2014","Kríti")</f>
        <v>Kríti</v>
      </c>
      <c r="G1474" s="28" t="str">
        <f>HYPERLINK("http://api.nsgreg.nga.mil/geo-division/GENC/6/ed3/GR-M","as:GENC:6:ed3:GR-M")</f>
        <v>as:GENC:6:ed3:GR-M</v>
      </c>
    </row>
    <row r="1475" spans="1:7" x14ac:dyDescent="0.2">
      <c r="A1475" s="85"/>
      <c r="B1475" s="25" t="s">
        <v>4699</v>
      </c>
      <c r="C1475" s="25" t="s">
        <v>12431</v>
      </c>
      <c r="D1475" s="37" t="s">
        <v>2590</v>
      </c>
      <c r="E1475" s="38" t="b">
        <v>0</v>
      </c>
      <c r="F1475" s="27" t="str">
        <f>HYPERLINK("http://nsgreg.nga.mil/genc/view?v=211876&amp;end_month=12&amp;end_day=31&amp;end_year=2014","Kykládes")</f>
        <v>Kykládes</v>
      </c>
      <c r="G1475" s="28" t="str">
        <f>HYPERLINK("http://api.nsgreg.nga.mil/geo-division/GENC/6/ed3/GR-82","as:GENC:6:ed3:GR-82")</f>
        <v>as:GENC:6:ed3:GR-82</v>
      </c>
    </row>
    <row r="1476" spans="1:7" x14ac:dyDescent="0.2">
      <c r="A1476" s="85"/>
      <c r="B1476" s="25" t="s">
        <v>4701</v>
      </c>
      <c r="C1476" s="25" t="s">
        <v>12432</v>
      </c>
      <c r="D1476" s="37" t="s">
        <v>2590</v>
      </c>
      <c r="E1476" s="38" t="b">
        <v>0</v>
      </c>
      <c r="F1476" s="27" t="str">
        <f>HYPERLINK("http://nsgreg.nga.mil/genc/view?v=211844&amp;end_month=12&amp;end_day=31&amp;end_year=2014","Lakonía")</f>
        <v>Lakonía</v>
      </c>
      <c r="G1476" s="28" t="str">
        <f>HYPERLINK("http://api.nsgreg.nga.mil/geo-division/GENC/6/ed3/GR-16","as:GENC:6:ed3:GR-16")</f>
        <v>as:GENC:6:ed3:GR-16</v>
      </c>
    </row>
    <row r="1477" spans="1:7" x14ac:dyDescent="0.2">
      <c r="A1477" s="85"/>
      <c r="B1477" s="25" t="s">
        <v>4703</v>
      </c>
      <c r="C1477" s="25" t="s">
        <v>12433</v>
      </c>
      <c r="D1477" s="37" t="s">
        <v>2590</v>
      </c>
      <c r="E1477" s="38" t="b">
        <v>0</v>
      </c>
      <c r="F1477" s="27" t="str">
        <f>HYPERLINK("http://nsgreg.nga.mil/genc/view?v=211855&amp;end_month=12&amp;end_day=31&amp;end_year=2014","Lárisa")</f>
        <v>Lárisa</v>
      </c>
      <c r="G1477" s="28" t="str">
        <f>HYPERLINK("http://api.nsgreg.nga.mil/geo-division/GENC/6/ed3/GR-42","as:GENC:6:ed3:GR-42")</f>
        <v>as:GENC:6:ed3:GR-42</v>
      </c>
    </row>
    <row r="1478" spans="1:7" x14ac:dyDescent="0.2">
      <c r="A1478" s="85"/>
      <c r="B1478" s="25" t="s">
        <v>4705</v>
      </c>
      <c r="C1478" s="25" t="s">
        <v>12434</v>
      </c>
      <c r="D1478" s="37" t="s">
        <v>2590</v>
      </c>
      <c r="E1478" s="38" t="b">
        <v>0</v>
      </c>
      <c r="F1478" s="27" t="str">
        <f>HYPERLINK("http://nsgreg.nga.mil/genc/view?v=211881&amp;end_month=12&amp;end_day=31&amp;end_year=2014","Lasíthi")</f>
        <v>Lasíthi</v>
      </c>
      <c r="G1478" s="28" t="str">
        <f>HYPERLINK("http://api.nsgreg.nga.mil/geo-division/GENC/6/ed3/GR-92","as:GENC:6:ed3:GR-92")</f>
        <v>as:GENC:6:ed3:GR-92</v>
      </c>
    </row>
    <row r="1479" spans="1:7" x14ac:dyDescent="0.2">
      <c r="A1479" s="85"/>
      <c r="B1479" s="25" t="s">
        <v>4707</v>
      </c>
      <c r="C1479" s="25" t="s">
        <v>12435</v>
      </c>
      <c r="D1479" s="37" t="s">
        <v>2590</v>
      </c>
      <c r="E1479" s="38" t="b">
        <v>0</v>
      </c>
      <c r="F1479" s="27" t="str">
        <f>HYPERLINK("http://nsgreg.nga.mil/genc/view?v=211849&amp;end_month=12&amp;end_day=31&amp;end_year=2014","Lefkáda")</f>
        <v>Lefkáda</v>
      </c>
      <c r="G1479" s="28" t="str">
        <f>HYPERLINK("http://api.nsgreg.nga.mil/geo-division/GENC/6/ed3/GR-24","as:GENC:6:ed3:GR-24")</f>
        <v>as:GENC:6:ed3:GR-24</v>
      </c>
    </row>
    <row r="1480" spans="1:7" x14ac:dyDescent="0.2">
      <c r="A1480" s="85"/>
      <c r="B1480" s="25" t="s">
        <v>4709</v>
      </c>
      <c r="C1480" s="25" t="s">
        <v>12436</v>
      </c>
      <c r="D1480" s="37" t="s">
        <v>2590</v>
      </c>
      <c r="E1480" s="38" t="b">
        <v>0</v>
      </c>
      <c r="F1480" s="27" t="str">
        <f>HYPERLINK("http://nsgreg.nga.mil/genc/view?v=211877&amp;end_month=12&amp;end_day=31&amp;end_year=2014","Lésvos")</f>
        <v>Lésvos</v>
      </c>
      <c r="G1480" s="28" t="str">
        <f>HYPERLINK("http://api.nsgreg.nga.mil/geo-division/GENC/6/ed3/GR-83","as:GENC:6:ed3:GR-83")</f>
        <v>as:GENC:6:ed3:GR-83</v>
      </c>
    </row>
    <row r="1481" spans="1:7" x14ac:dyDescent="0.2">
      <c r="A1481" s="85"/>
      <c r="B1481" s="25" t="s">
        <v>4711</v>
      </c>
      <c r="C1481" s="25" t="s">
        <v>12437</v>
      </c>
      <c r="D1481" s="37" t="s">
        <v>2590</v>
      </c>
      <c r="E1481" s="38" t="b">
        <v>0</v>
      </c>
      <c r="F1481" s="27" t="str">
        <f>HYPERLINK("http://nsgreg.nga.mil/genc/view?v=211856&amp;end_month=12&amp;end_day=31&amp;end_year=2014","Magnisía")</f>
        <v>Magnisía</v>
      </c>
      <c r="G1481" s="28" t="str">
        <f>HYPERLINK("http://api.nsgreg.nga.mil/geo-division/GENC/6/ed3/GR-43","as:GENC:6:ed3:GR-43")</f>
        <v>as:GENC:6:ed3:GR-43</v>
      </c>
    </row>
    <row r="1482" spans="1:7" x14ac:dyDescent="0.2">
      <c r="A1482" s="85"/>
      <c r="B1482" s="25" t="s">
        <v>4713</v>
      </c>
      <c r="C1482" s="25" t="s">
        <v>12438</v>
      </c>
      <c r="D1482" s="37" t="s">
        <v>2590</v>
      </c>
      <c r="E1482" s="38" t="b">
        <v>0</v>
      </c>
      <c r="F1482" s="27" t="str">
        <f>HYPERLINK("http://nsgreg.nga.mil/genc/view?v=211845&amp;end_month=12&amp;end_day=31&amp;end_year=2014","Messinía")</f>
        <v>Messinía</v>
      </c>
      <c r="G1482" s="28" t="str">
        <f>HYPERLINK("http://api.nsgreg.nga.mil/geo-division/GENC/6/ed3/GR-17","as:GENC:6:ed3:GR-17")</f>
        <v>as:GENC:6:ed3:GR-17</v>
      </c>
    </row>
    <row r="1483" spans="1:7" x14ac:dyDescent="0.2">
      <c r="A1483" s="85"/>
      <c r="B1483" s="25" t="s">
        <v>4715</v>
      </c>
      <c r="C1483" s="25" t="s">
        <v>12439</v>
      </c>
      <c r="D1483" s="25" t="s">
        <v>2087</v>
      </c>
      <c r="E1483" s="26" t="b">
        <v>1</v>
      </c>
      <c r="F1483" s="27" t="str">
        <f>HYPERLINK("http://nsgreg.nga.mil/genc/view?v=211896&amp;end_month=12&amp;end_day=31&amp;end_year=2014","Notío Aigaío")</f>
        <v>Notío Aigaío</v>
      </c>
      <c r="G1483" s="28" t="str">
        <f>HYPERLINK("http://api.nsgreg.nga.mil/geo-division/GENC/6/ed3/GR-L","as:GENC:6:ed3:GR-L")</f>
        <v>as:GENC:6:ed3:GR-L</v>
      </c>
    </row>
    <row r="1484" spans="1:7" x14ac:dyDescent="0.2">
      <c r="A1484" s="85"/>
      <c r="B1484" s="25" t="s">
        <v>4717</v>
      </c>
      <c r="C1484" s="25" t="s">
        <v>12440</v>
      </c>
      <c r="D1484" s="37" t="s">
        <v>2590</v>
      </c>
      <c r="E1484" s="38" t="b">
        <v>0</v>
      </c>
      <c r="F1484" s="27" t="str">
        <f>HYPERLINK("http://nsgreg.nga.mil/genc/view?v=211866&amp;end_month=12&amp;end_day=31&amp;end_year=2014","Pélla")</f>
        <v>Pélla</v>
      </c>
      <c r="G1484" s="28" t="str">
        <f>HYPERLINK("http://api.nsgreg.nga.mil/geo-division/GENC/6/ed3/GR-59","as:GENC:6:ed3:GR-59")</f>
        <v>as:GENC:6:ed3:GR-59</v>
      </c>
    </row>
    <row r="1485" spans="1:7" x14ac:dyDescent="0.2">
      <c r="A1485" s="85"/>
      <c r="B1485" s="25" t="s">
        <v>4719</v>
      </c>
      <c r="C1485" s="25" t="s">
        <v>12441</v>
      </c>
      <c r="D1485" s="25" t="s">
        <v>2087</v>
      </c>
      <c r="E1485" s="26" t="b">
        <v>1</v>
      </c>
      <c r="F1485" s="27" t="str">
        <f>HYPERLINK("http://nsgreg.nga.mil/genc/view?v=211894&amp;end_month=12&amp;end_day=31&amp;end_year=2014","Peloponnísos")</f>
        <v>Peloponnísos</v>
      </c>
      <c r="G1485" s="28" t="str">
        <f>HYPERLINK("http://api.nsgreg.nga.mil/geo-division/GENC/6/ed3/GR-J","as:GENC:6:ed3:GR-J")</f>
        <v>as:GENC:6:ed3:GR-J</v>
      </c>
    </row>
    <row r="1486" spans="1:7" x14ac:dyDescent="0.2">
      <c r="A1486" s="85"/>
      <c r="B1486" s="25" t="s">
        <v>4721</v>
      </c>
      <c r="C1486" s="25" t="s">
        <v>12442</v>
      </c>
      <c r="D1486" s="37" t="s">
        <v>2590</v>
      </c>
      <c r="E1486" s="38" t="b">
        <v>0</v>
      </c>
      <c r="F1486" s="27" t="str">
        <f>HYPERLINK("http://nsgreg.nga.mil/genc/view?v=211867&amp;end_month=12&amp;end_day=31&amp;end_year=2014","Piería")</f>
        <v>Piería</v>
      </c>
      <c r="G1486" s="28" t="str">
        <f>HYPERLINK("http://api.nsgreg.nga.mil/geo-division/GENC/6/ed3/GR-61","as:GENC:6:ed3:GR-61")</f>
        <v>as:GENC:6:ed3:GR-61</v>
      </c>
    </row>
    <row r="1487" spans="1:7" x14ac:dyDescent="0.2">
      <c r="A1487" s="85"/>
      <c r="B1487" s="25" t="s">
        <v>4723</v>
      </c>
      <c r="C1487" s="25" t="s">
        <v>12443</v>
      </c>
      <c r="D1487" s="37" t="s">
        <v>2590</v>
      </c>
      <c r="E1487" s="38" t="b">
        <v>0</v>
      </c>
      <c r="F1487" s="27" t="str">
        <f>HYPERLINK("http://nsgreg.nga.mil/genc/view?v=211853&amp;end_month=12&amp;end_day=31&amp;end_year=2014","Préveza")</f>
        <v>Préveza</v>
      </c>
      <c r="G1487" s="28" t="str">
        <f>HYPERLINK("http://api.nsgreg.nga.mil/geo-division/GENC/6/ed3/GR-34","as:GENC:6:ed3:GR-34")</f>
        <v>as:GENC:6:ed3:GR-34</v>
      </c>
    </row>
    <row r="1488" spans="1:7" x14ac:dyDescent="0.2">
      <c r="A1488" s="85"/>
      <c r="B1488" s="25" t="s">
        <v>4725</v>
      </c>
      <c r="C1488" s="25" t="s">
        <v>12444</v>
      </c>
      <c r="D1488" s="37" t="s">
        <v>2590</v>
      </c>
      <c r="E1488" s="38" t="b">
        <v>0</v>
      </c>
      <c r="F1488" s="27" t="str">
        <f>HYPERLINK("http://nsgreg.nga.mil/genc/view?v=211882&amp;end_month=12&amp;end_day=31&amp;end_year=2014","Rethýmnis")</f>
        <v>Rethýmnis</v>
      </c>
      <c r="G1488" s="28" t="str">
        <f>HYPERLINK("http://api.nsgreg.nga.mil/geo-division/GENC/6/ed3/GR-93","as:GENC:6:ed3:GR-93")</f>
        <v>as:GENC:6:ed3:GR-93</v>
      </c>
    </row>
    <row r="1489" spans="1:7" x14ac:dyDescent="0.2">
      <c r="A1489" s="85"/>
      <c r="B1489" s="25" t="s">
        <v>4727</v>
      </c>
      <c r="C1489" s="25" t="s">
        <v>12445</v>
      </c>
      <c r="D1489" s="37" t="s">
        <v>2590</v>
      </c>
      <c r="E1489" s="38" t="b">
        <v>0</v>
      </c>
      <c r="F1489" s="27" t="str">
        <f>HYPERLINK("http://nsgreg.nga.mil/genc/view?v=211874&amp;end_month=12&amp;end_day=31&amp;end_year=2014","Rodópi")</f>
        <v>Rodópi</v>
      </c>
      <c r="G1489" s="28" t="str">
        <f>HYPERLINK("http://api.nsgreg.nga.mil/geo-division/GENC/6/ed3/GR-73","as:GENC:6:ed3:GR-73")</f>
        <v>as:GENC:6:ed3:GR-73</v>
      </c>
    </row>
    <row r="1490" spans="1:7" x14ac:dyDescent="0.2">
      <c r="A1490" s="85"/>
      <c r="B1490" s="25" t="s">
        <v>4729</v>
      </c>
      <c r="C1490" s="25" t="s">
        <v>12446</v>
      </c>
      <c r="D1490" s="37" t="s">
        <v>2590</v>
      </c>
      <c r="E1490" s="38" t="b">
        <v>0</v>
      </c>
      <c r="F1490" s="27" t="str">
        <f>HYPERLINK("http://nsgreg.nga.mil/genc/view?v=211878&amp;end_month=12&amp;end_day=31&amp;end_year=2014","Sámos")</f>
        <v>Sámos</v>
      </c>
      <c r="G1490" s="28" t="str">
        <f>HYPERLINK("http://api.nsgreg.nga.mil/geo-division/GENC/6/ed3/GR-84","as:GENC:6:ed3:GR-84")</f>
        <v>as:GENC:6:ed3:GR-84</v>
      </c>
    </row>
    <row r="1491" spans="1:7" x14ac:dyDescent="0.2">
      <c r="A1491" s="85"/>
      <c r="B1491" s="25" t="s">
        <v>4731</v>
      </c>
      <c r="C1491" s="25" t="s">
        <v>12447</v>
      </c>
      <c r="D1491" s="37" t="s">
        <v>2590</v>
      </c>
      <c r="E1491" s="38" t="b">
        <v>0</v>
      </c>
      <c r="F1491" s="27" t="str">
        <f>HYPERLINK("http://nsgreg.nga.mil/genc/view?v=211868&amp;end_month=12&amp;end_day=31&amp;end_year=2014","Sérres")</f>
        <v>Sérres</v>
      </c>
      <c r="G1491" s="28" t="str">
        <f>HYPERLINK("http://api.nsgreg.nga.mil/geo-division/GENC/6/ed3/GR-62","as:GENC:6:ed3:GR-62")</f>
        <v>as:GENC:6:ed3:GR-62</v>
      </c>
    </row>
    <row r="1492" spans="1:7" x14ac:dyDescent="0.2">
      <c r="A1492" s="85"/>
      <c r="B1492" s="25" t="s">
        <v>4733</v>
      </c>
      <c r="C1492" s="25" t="s">
        <v>12448</v>
      </c>
      <c r="D1492" s="25" t="s">
        <v>2087</v>
      </c>
      <c r="E1492" s="26" t="b">
        <v>1</v>
      </c>
      <c r="F1492" s="27" t="str">
        <f>HYPERLINK("http://nsgreg.nga.mil/genc/view?v=211892&amp;end_month=12&amp;end_day=31&amp;end_year=2014","Stereá Elláda")</f>
        <v>Stereá Elláda</v>
      </c>
      <c r="G1492" s="28" t="str">
        <f>HYPERLINK("http://api.nsgreg.nga.mil/geo-division/GENC/6/ed3/GR-H","as:GENC:6:ed3:GR-H")</f>
        <v>as:GENC:6:ed3:GR-H</v>
      </c>
    </row>
    <row r="1493" spans="1:7" x14ac:dyDescent="0.2">
      <c r="A1493" s="85"/>
      <c r="B1493" s="25" t="s">
        <v>4735</v>
      </c>
      <c r="C1493" s="25" t="s">
        <v>12449</v>
      </c>
      <c r="D1493" s="37" t="s">
        <v>2590</v>
      </c>
      <c r="E1493" s="38" t="b">
        <v>0</v>
      </c>
      <c r="F1493" s="27" t="str">
        <f>HYPERLINK("http://nsgreg.nga.mil/genc/view?v=211851&amp;end_month=12&amp;end_day=31&amp;end_year=2014","Thesprotía")</f>
        <v>Thesprotía</v>
      </c>
      <c r="G1493" s="28" t="str">
        <f>HYPERLINK("http://api.nsgreg.nga.mil/geo-division/GENC/6/ed3/GR-32","as:GENC:6:ed3:GR-32")</f>
        <v>as:GENC:6:ed3:GR-32</v>
      </c>
    </row>
    <row r="1494" spans="1:7" x14ac:dyDescent="0.2">
      <c r="A1494" s="85"/>
      <c r="B1494" s="25" t="s">
        <v>4737</v>
      </c>
      <c r="C1494" s="25" t="s">
        <v>12450</v>
      </c>
      <c r="D1494" s="25" t="s">
        <v>2087</v>
      </c>
      <c r="E1494" s="26" t="b">
        <v>1</v>
      </c>
      <c r="F1494" s="27" t="str">
        <f>HYPERLINK("http://nsgreg.nga.mil/genc/view?v=211889&amp;end_month=12&amp;end_day=31&amp;end_year=2014","Thessalía")</f>
        <v>Thessalía</v>
      </c>
      <c r="G1494" s="28" t="str">
        <f>HYPERLINK("http://api.nsgreg.nga.mil/geo-division/GENC/6/ed3/GR-E","as:GENC:6:ed3:GR-E")</f>
        <v>as:GENC:6:ed3:GR-E</v>
      </c>
    </row>
    <row r="1495" spans="1:7" x14ac:dyDescent="0.2">
      <c r="A1495" s="85"/>
      <c r="B1495" s="25" t="s">
        <v>4739</v>
      </c>
      <c r="C1495" s="25" t="s">
        <v>12451</v>
      </c>
      <c r="D1495" s="37" t="s">
        <v>2590</v>
      </c>
      <c r="E1495" s="38" t="b">
        <v>0</v>
      </c>
      <c r="F1495" s="27" t="str">
        <f>HYPERLINK("http://nsgreg.nga.mil/genc/view?v=211861&amp;end_month=12&amp;end_day=31&amp;end_year=2014","Thessaloníki")</f>
        <v>Thessaloníki</v>
      </c>
      <c r="G1495" s="28" t="str">
        <f>HYPERLINK("http://api.nsgreg.nga.mil/geo-division/GENC/6/ed3/GR-54","as:GENC:6:ed3:GR-54")</f>
        <v>as:GENC:6:ed3:GR-54</v>
      </c>
    </row>
    <row r="1496" spans="1:7" x14ac:dyDescent="0.2">
      <c r="A1496" s="85"/>
      <c r="B1496" s="25" t="s">
        <v>4741</v>
      </c>
      <c r="C1496" s="25" t="s">
        <v>12452</v>
      </c>
      <c r="D1496" s="37" t="s">
        <v>2590</v>
      </c>
      <c r="E1496" s="38" t="b">
        <v>0</v>
      </c>
      <c r="F1496" s="27" t="str">
        <f>HYPERLINK("http://nsgreg.nga.mil/genc/view?v=211857&amp;end_month=12&amp;end_day=31&amp;end_year=2014","Tríkala")</f>
        <v>Tríkala</v>
      </c>
      <c r="G1496" s="28" t="str">
        <f>HYPERLINK("http://api.nsgreg.nga.mil/geo-division/GENC/6/ed3/GR-44","as:GENC:6:ed3:GR-44")</f>
        <v>as:GENC:6:ed3:GR-44</v>
      </c>
    </row>
    <row r="1497" spans="1:7" x14ac:dyDescent="0.2">
      <c r="A1497" s="85"/>
      <c r="B1497" s="25" t="s">
        <v>4743</v>
      </c>
      <c r="C1497" s="25" t="s">
        <v>12453</v>
      </c>
      <c r="D1497" s="37" t="s">
        <v>2590</v>
      </c>
      <c r="E1497" s="38" t="b">
        <v>0</v>
      </c>
      <c r="F1497" s="27" t="str">
        <f>HYPERLINK("http://nsgreg.nga.mil/genc/view?v=211835&amp;end_month=12&amp;end_day=31&amp;end_year=2014","Voiotía")</f>
        <v>Voiotía</v>
      </c>
      <c r="G1497" s="28" t="str">
        <f>HYPERLINK("http://api.nsgreg.nga.mil/geo-division/GENC/6/ed3/GR-03","as:GENC:6:ed3:GR-03")</f>
        <v>as:GENC:6:ed3:GR-03</v>
      </c>
    </row>
    <row r="1498" spans="1:7" x14ac:dyDescent="0.2">
      <c r="A1498" s="85"/>
      <c r="B1498" s="25" t="s">
        <v>4745</v>
      </c>
      <c r="C1498" s="25" t="s">
        <v>12454</v>
      </c>
      <c r="D1498" s="25" t="s">
        <v>2087</v>
      </c>
      <c r="E1498" s="26" t="b">
        <v>1</v>
      </c>
      <c r="F1498" s="27" t="str">
        <f>HYPERLINK("http://nsgreg.nga.mil/genc/view?v=211895&amp;end_month=12&amp;end_day=31&amp;end_year=2014","Voreío Aigaío")</f>
        <v>Voreío Aigaío</v>
      </c>
      <c r="G1498" s="28" t="str">
        <f>HYPERLINK("http://api.nsgreg.nga.mil/geo-division/GENC/6/ed3/GR-K","as:GENC:6:ed3:GR-K")</f>
        <v>as:GENC:6:ed3:GR-K</v>
      </c>
    </row>
    <row r="1499" spans="1:7" x14ac:dyDescent="0.2">
      <c r="A1499" s="85"/>
      <c r="B1499" s="25" t="s">
        <v>4747</v>
      </c>
      <c r="C1499" s="25" t="s">
        <v>12455</v>
      </c>
      <c r="D1499" s="37" t="s">
        <v>2590</v>
      </c>
      <c r="E1499" s="38" t="b">
        <v>0</v>
      </c>
      <c r="F1499" s="27" t="str">
        <f>HYPERLINK("http://nsgreg.nga.mil/genc/view?v=211873&amp;end_month=12&amp;end_day=31&amp;end_year=2014","Xánthi")</f>
        <v>Xánthi</v>
      </c>
      <c r="G1499" s="28" t="str">
        <f>HYPERLINK("http://api.nsgreg.nga.mil/geo-division/GENC/6/ed3/GR-72","as:GENC:6:ed3:GR-72")</f>
        <v>as:GENC:6:ed3:GR-72</v>
      </c>
    </row>
    <row r="1500" spans="1:7" x14ac:dyDescent="0.2">
      <c r="A1500" s="86"/>
      <c r="B1500" s="29" t="s">
        <v>4749</v>
      </c>
      <c r="C1500" s="29" t="s">
        <v>12456</v>
      </c>
      <c r="D1500" s="39" t="s">
        <v>2590</v>
      </c>
      <c r="E1500" s="40" t="b">
        <v>0</v>
      </c>
      <c r="F1500" s="31" t="str">
        <f>HYPERLINK("http://nsgreg.nga.mil/genc/view?v=211846&amp;end_month=12&amp;end_day=31&amp;end_year=2014","Zakyýnthos")</f>
        <v>Zakyýnthos</v>
      </c>
      <c r="G1500" s="32" t="str">
        <f>HYPERLINK("http://api.nsgreg.nga.mil/geo-division/GENC/6/ed3/GR-21","as:GENC:6:ed3:GR-21")</f>
        <v>as:GENC:6:ed3:GR-21</v>
      </c>
    </row>
    <row r="1501" spans="1:7" x14ac:dyDescent="0.2">
      <c r="A1501" s="84" t="str">
        <f>HYPERLINK("[#]Codes_for_GE_Names!A107:I107","GREENLAND")</f>
        <v>GREENLAND</v>
      </c>
      <c r="B1501" s="33" t="s">
        <v>4751</v>
      </c>
      <c r="C1501" s="33" t="s">
        <v>12457</v>
      </c>
      <c r="D1501" s="33" t="s">
        <v>2164</v>
      </c>
      <c r="E1501" s="34" t="b">
        <v>1</v>
      </c>
      <c r="F1501" s="35" t="str">
        <f>HYPERLINK("http://nsgreg.nga.mil/genc/view?v=211820&amp;end_month=12&amp;end_day=31&amp;end_year=2014","Kujalleq")</f>
        <v>Kujalleq</v>
      </c>
      <c r="G1501" s="36" t="str">
        <f>HYPERLINK("http://api.nsgreg.nga.mil/geo-division/GENC/6/ed3/GL-KU","as:GENC:6:ed3:GL-KU")</f>
        <v>as:GENC:6:ed3:GL-KU</v>
      </c>
    </row>
    <row r="1502" spans="1:7" x14ac:dyDescent="0.2">
      <c r="A1502" s="85"/>
      <c r="B1502" s="25" t="s">
        <v>4755</v>
      </c>
      <c r="C1502" s="25" t="s">
        <v>12458</v>
      </c>
      <c r="D1502" s="25" t="s">
        <v>2164</v>
      </c>
      <c r="E1502" s="26" t="b">
        <v>1</v>
      </c>
      <c r="F1502" s="27" t="str">
        <f>HYPERLINK("http://nsgreg.nga.mil/genc/view?v=211821&amp;end_month=12&amp;end_day=31&amp;end_year=2014","Qaasuitsup")</f>
        <v>Qaasuitsup</v>
      </c>
      <c r="G1502" s="28" t="str">
        <f>HYPERLINK("http://api.nsgreg.nga.mil/geo-division/GENC/6/ed3/GL-QA","as:GENC:6:ed3:GL-QA")</f>
        <v>as:GENC:6:ed3:GL-QA</v>
      </c>
    </row>
    <row r="1503" spans="1:7" x14ac:dyDescent="0.2">
      <c r="A1503" s="85"/>
      <c r="B1503" s="25" t="s">
        <v>4757</v>
      </c>
      <c r="C1503" s="25" t="s">
        <v>12459</v>
      </c>
      <c r="D1503" s="25" t="s">
        <v>2164</v>
      </c>
      <c r="E1503" s="26" t="b">
        <v>1</v>
      </c>
      <c r="F1503" s="27" t="str">
        <f>HYPERLINK("http://nsgreg.nga.mil/genc/view?v=211822&amp;end_month=12&amp;end_day=31&amp;end_year=2014","Qeqqata")</f>
        <v>Qeqqata</v>
      </c>
      <c r="G1503" s="28" t="str">
        <f>HYPERLINK("http://api.nsgreg.nga.mil/geo-division/GENC/6/ed3/GL-QE","as:GENC:6:ed3:GL-QE")</f>
        <v>as:GENC:6:ed3:GL-QE</v>
      </c>
    </row>
    <row r="1504" spans="1:7" x14ac:dyDescent="0.2">
      <c r="A1504" s="86"/>
      <c r="B1504" s="29" t="s">
        <v>4753</v>
      </c>
      <c r="C1504" s="29" t="s">
        <v>12460</v>
      </c>
      <c r="D1504" s="29" t="s">
        <v>2164</v>
      </c>
      <c r="E1504" s="30" t="b">
        <v>1</v>
      </c>
      <c r="F1504" s="31" t="str">
        <f>HYPERLINK("http://nsgreg.nga.mil/genc/view?v=211823&amp;end_month=12&amp;end_day=31&amp;end_year=2014","Sermersooq")</f>
        <v>Sermersooq</v>
      </c>
      <c r="G1504" s="32" t="str">
        <f>HYPERLINK("http://api.nsgreg.nga.mil/geo-division/GENC/6/ed3/GL-SM","as:GENC:6:ed3:GL-SM")</f>
        <v>as:GENC:6:ed3:GL-SM</v>
      </c>
    </row>
    <row r="1505" spans="1:7" x14ac:dyDescent="0.2">
      <c r="A1505" s="84" t="str">
        <f>HYPERLINK("[#]Codes_for_GE_Names!A108:I108","GRENADA")</f>
        <v>GRENADA</v>
      </c>
      <c r="B1505" s="33" t="s">
        <v>4759</v>
      </c>
      <c r="C1505" s="33" t="s">
        <v>2513</v>
      </c>
      <c r="D1505" s="33" t="s">
        <v>1970</v>
      </c>
      <c r="E1505" s="34" t="b">
        <v>1</v>
      </c>
      <c r="F1505" s="35" t="str">
        <f>HYPERLINK("http://nsgreg.nga.mil/genc/view?v=119456&amp;gencs=T&amp;end_month=12&amp;end_day=31&amp;end_year=2014","Saint Andrew")</f>
        <v>Saint Andrew</v>
      </c>
      <c r="G1505" s="36" t="str">
        <f>HYPERLINK("http://api.nsgreg.nga.mil/geo-division/GENC/6/ed3/GD-01","as:GENC:6:ed3:GD-01")</f>
        <v>as:GENC:6:ed3:GD-01</v>
      </c>
    </row>
    <row r="1506" spans="1:7" x14ac:dyDescent="0.2">
      <c r="A1506" s="85"/>
      <c r="B1506" s="25" t="s">
        <v>4760</v>
      </c>
      <c r="C1506" s="25" t="s">
        <v>3878</v>
      </c>
      <c r="D1506" s="25" t="s">
        <v>1970</v>
      </c>
      <c r="E1506" s="26" t="b">
        <v>1</v>
      </c>
      <c r="F1506" s="27" t="str">
        <f>HYPERLINK("http://nsgreg.nga.mil/genc/view?v=119457&amp;gencs=T&amp;end_month=12&amp;end_day=31&amp;end_year=2014","Saint David")</f>
        <v>Saint David</v>
      </c>
      <c r="G1506" s="28" t="str">
        <f>HYPERLINK("http://api.nsgreg.nga.mil/geo-division/GENC/6/ed3/GD-02","as:GENC:6:ed3:GD-02")</f>
        <v>as:GENC:6:ed3:GD-02</v>
      </c>
    </row>
    <row r="1507" spans="1:7" x14ac:dyDescent="0.2">
      <c r="A1507" s="85"/>
      <c r="B1507" s="25" t="s">
        <v>4761</v>
      </c>
      <c r="C1507" s="25" t="s">
        <v>2025</v>
      </c>
      <c r="D1507" s="25" t="s">
        <v>1970</v>
      </c>
      <c r="E1507" s="26" t="b">
        <v>1</v>
      </c>
      <c r="F1507" s="27" t="str">
        <f>HYPERLINK("http://nsgreg.nga.mil/genc/view?v=119458&amp;gencs=T&amp;end_month=12&amp;end_day=31&amp;end_year=2014","Saint George")</f>
        <v>Saint George</v>
      </c>
      <c r="G1507" s="28" t="str">
        <f>HYPERLINK("http://api.nsgreg.nga.mil/geo-division/GENC/6/ed3/GD-03","as:GENC:6:ed3:GD-03")</f>
        <v>as:GENC:6:ed3:GD-03</v>
      </c>
    </row>
    <row r="1508" spans="1:7" x14ac:dyDescent="0.2">
      <c r="A1508" s="85"/>
      <c r="B1508" s="25" t="s">
        <v>4762</v>
      </c>
      <c r="C1508" s="25" t="s">
        <v>2518</v>
      </c>
      <c r="D1508" s="25" t="s">
        <v>1970</v>
      </c>
      <c r="E1508" s="26" t="b">
        <v>1</v>
      </c>
      <c r="F1508" s="27" t="str">
        <f>HYPERLINK("http://nsgreg.nga.mil/genc/view?v=119459&amp;gencs=T&amp;end_month=12&amp;end_day=31&amp;end_year=2014","Saint John")</f>
        <v>Saint John</v>
      </c>
      <c r="G1508" s="28" t="str">
        <f>HYPERLINK("http://api.nsgreg.nga.mil/geo-division/GENC/6/ed3/GD-04","as:GENC:6:ed3:GD-04")</f>
        <v>as:GENC:6:ed3:GD-04</v>
      </c>
    </row>
    <row r="1509" spans="1:7" x14ac:dyDescent="0.2">
      <c r="A1509" s="85"/>
      <c r="B1509" s="25" t="s">
        <v>4763</v>
      </c>
      <c r="C1509" s="25" t="s">
        <v>3885</v>
      </c>
      <c r="D1509" s="25" t="s">
        <v>1970</v>
      </c>
      <c r="E1509" s="26" t="b">
        <v>1</v>
      </c>
      <c r="F1509" s="27" t="str">
        <f>HYPERLINK("http://nsgreg.nga.mil/genc/view?v=119460&amp;gencs=T&amp;end_month=12&amp;end_day=31&amp;end_year=2014","Saint Mark")</f>
        <v>Saint Mark</v>
      </c>
      <c r="G1509" s="28" t="str">
        <f>HYPERLINK("http://api.nsgreg.nga.mil/geo-division/GENC/6/ed3/GD-05","as:GENC:6:ed3:GD-05")</f>
        <v>as:GENC:6:ed3:GD-05</v>
      </c>
    </row>
    <row r="1510" spans="1:7" x14ac:dyDescent="0.2">
      <c r="A1510" s="85"/>
      <c r="B1510" s="25" t="s">
        <v>4764</v>
      </c>
      <c r="C1510" s="25" t="s">
        <v>3887</v>
      </c>
      <c r="D1510" s="25" t="s">
        <v>1970</v>
      </c>
      <c r="E1510" s="26" t="b">
        <v>1</v>
      </c>
      <c r="F1510" s="27" t="str">
        <f>HYPERLINK("http://nsgreg.nga.mil/genc/view?v=119461&amp;gencs=T&amp;end_month=12&amp;end_day=31&amp;end_year=2014","Saint Patrick")</f>
        <v>Saint Patrick</v>
      </c>
      <c r="G1510" s="28" t="str">
        <f>HYPERLINK("http://api.nsgreg.nga.mil/geo-division/GENC/6/ed3/GD-06","as:GENC:6:ed3:GD-06")</f>
        <v>as:GENC:6:ed3:GD-06</v>
      </c>
    </row>
    <row r="1511" spans="1:7" x14ac:dyDescent="0.2">
      <c r="A1511" s="86"/>
      <c r="B1511" s="29" t="s">
        <v>4765</v>
      </c>
      <c r="C1511" s="29" t="s">
        <v>4766</v>
      </c>
      <c r="D1511" s="39" t="s">
        <v>2021</v>
      </c>
      <c r="E1511" s="40" t="b">
        <v>0</v>
      </c>
      <c r="F1511" s="31" t="str">
        <f>HYPERLINK("http://nsgreg.nga.mil/genc/view?v=119462&amp;gencs=T&amp;end_month=12&amp;end_day=31&amp;end_year=2014","Southern Grenadine Islands")</f>
        <v>Southern Grenadine Islands</v>
      </c>
      <c r="G1511" s="32" t="str">
        <f>HYPERLINK("http://api.nsgreg.nga.mil/geo-division/GENC/6/ed3/GD-10","as:GENC:6:ed3:GD-10")</f>
        <v>as:GENC:6:ed3:GD-10</v>
      </c>
    </row>
    <row r="1512" spans="1:7" x14ac:dyDescent="0.2">
      <c r="A1512" s="84" t="str">
        <f>HYPERLINK("[#]Codes_for_GE_Names!A112:I112","GUATEMALA")</f>
        <v>GUATEMALA</v>
      </c>
      <c r="B1512" s="33" t="s">
        <v>4767</v>
      </c>
      <c r="C1512" s="33" t="s">
        <v>4768</v>
      </c>
      <c r="D1512" s="33" t="s">
        <v>2590</v>
      </c>
      <c r="E1512" s="34" t="b">
        <v>1</v>
      </c>
      <c r="F1512" s="35" t="str">
        <f>HYPERLINK("http://nsgreg.nga.mil/genc/view?v=119610&amp;gencs=T&amp;end_month=12&amp;end_day=31&amp;end_year=2014","Alta Verapaz")</f>
        <v>Alta Verapaz</v>
      </c>
      <c r="G1512" s="36" t="str">
        <f>HYPERLINK("http://api.nsgreg.nga.mil/geo-division/GENC/6/ed3/GT-AV","as:GENC:6:ed3:GT-AV")</f>
        <v>as:GENC:6:ed3:GT-AV</v>
      </c>
    </row>
    <row r="1513" spans="1:7" x14ac:dyDescent="0.2">
      <c r="A1513" s="85"/>
      <c r="B1513" s="25" t="s">
        <v>4769</v>
      </c>
      <c r="C1513" s="25" t="s">
        <v>4770</v>
      </c>
      <c r="D1513" s="25" t="s">
        <v>2590</v>
      </c>
      <c r="E1513" s="26" t="b">
        <v>1</v>
      </c>
      <c r="F1513" s="27" t="str">
        <f>HYPERLINK("http://nsgreg.nga.mil/genc/view?v=119611&amp;gencs=T&amp;end_month=12&amp;end_day=31&amp;end_year=2014","Baja Verapaz")</f>
        <v>Baja Verapaz</v>
      </c>
      <c r="G1513" s="28" t="str">
        <f>HYPERLINK("http://api.nsgreg.nga.mil/geo-division/GENC/6/ed3/GT-BV","as:GENC:6:ed3:GT-BV")</f>
        <v>as:GENC:6:ed3:GT-BV</v>
      </c>
    </row>
    <row r="1514" spans="1:7" x14ac:dyDescent="0.2">
      <c r="A1514" s="85"/>
      <c r="B1514" s="25" t="s">
        <v>4771</v>
      </c>
      <c r="C1514" s="25" t="s">
        <v>4772</v>
      </c>
      <c r="D1514" s="25" t="s">
        <v>2590</v>
      </c>
      <c r="E1514" s="26" t="b">
        <v>1</v>
      </c>
      <c r="F1514" s="27" t="str">
        <f>HYPERLINK("http://nsgreg.nga.mil/genc/view?v=119612&amp;gencs=T&amp;end_month=12&amp;end_day=31&amp;end_year=2014","Chimaltenango")</f>
        <v>Chimaltenango</v>
      </c>
      <c r="G1514" s="28" t="str">
        <f>HYPERLINK("http://api.nsgreg.nga.mil/geo-division/GENC/6/ed3/GT-CM","as:GENC:6:ed3:GT-CM")</f>
        <v>as:GENC:6:ed3:GT-CM</v>
      </c>
    </row>
    <row r="1515" spans="1:7" x14ac:dyDescent="0.2">
      <c r="A1515" s="85"/>
      <c r="B1515" s="25" t="s">
        <v>4773</v>
      </c>
      <c r="C1515" s="25" t="s">
        <v>4774</v>
      </c>
      <c r="D1515" s="25" t="s">
        <v>2590</v>
      </c>
      <c r="E1515" s="26" t="b">
        <v>1</v>
      </c>
      <c r="F1515" s="27" t="str">
        <f>HYPERLINK("http://nsgreg.nga.mil/genc/view?v=119613&amp;gencs=T&amp;end_month=12&amp;end_day=31&amp;end_year=2014","Chiquimula")</f>
        <v>Chiquimula</v>
      </c>
      <c r="G1515" s="28" t="str">
        <f>HYPERLINK("http://api.nsgreg.nga.mil/geo-division/GENC/6/ed3/GT-CQ","as:GENC:6:ed3:GT-CQ")</f>
        <v>as:GENC:6:ed3:GT-CQ</v>
      </c>
    </row>
    <row r="1516" spans="1:7" x14ac:dyDescent="0.2">
      <c r="A1516" s="85"/>
      <c r="B1516" s="25" t="s">
        <v>4775</v>
      </c>
      <c r="C1516" s="25" t="s">
        <v>4776</v>
      </c>
      <c r="D1516" s="25" t="s">
        <v>2590</v>
      </c>
      <c r="E1516" s="26" t="b">
        <v>1</v>
      </c>
      <c r="F1516" s="27" t="str">
        <f>HYPERLINK("http://nsgreg.nga.mil/genc/view?v=119621&amp;gencs=T&amp;end_month=12&amp;end_day=31&amp;end_year=2014","El Progreso")</f>
        <v>El Progreso</v>
      </c>
      <c r="G1516" s="28" t="str">
        <f>HYPERLINK("http://api.nsgreg.nga.mil/geo-division/GENC/6/ed3/GT-PR","as:GENC:6:ed3:GT-PR")</f>
        <v>as:GENC:6:ed3:GT-PR</v>
      </c>
    </row>
    <row r="1517" spans="1:7" x14ac:dyDescent="0.2">
      <c r="A1517" s="85"/>
      <c r="B1517" s="25" t="s">
        <v>4777</v>
      </c>
      <c r="C1517" s="25" t="s">
        <v>4778</v>
      </c>
      <c r="D1517" s="25" t="s">
        <v>2590</v>
      </c>
      <c r="E1517" s="26" t="b">
        <v>1</v>
      </c>
      <c r="F1517" s="27" t="str">
        <f>HYPERLINK("http://nsgreg.nga.mil/genc/view?v=119614&amp;gencs=T&amp;end_month=12&amp;end_day=31&amp;end_year=2014","Escuintla")</f>
        <v>Escuintla</v>
      </c>
      <c r="G1517" s="28" t="str">
        <f>HYPERLINK("http://api.nsgreg.nga.mil/geo-division/GENC/6/ed3/GT-ES","as:GENC:6:ed3:GT-ES")</f>
        <v>as:GENC:6:ed3:GT-ES</v>
      </c>
    </row>
    <row r="1518" spans="1:7" x14ac:dyDescent="0.2">
      <c r="A1518" s="85"/>
      <c r="B1518" s="25" t="s">
        <v>4779</v>
      </c>
      <c r="C1518" s="25" t="s">
        <v>1577</v>
      </c>
      <c r="D1518" s="25" t="s">
        <v>2590</v>
      </c>
      <c r="E1518" s="26" t="b">
        <v>1</v>
      </c>
      <c r="F1518" s="27" t="str">
        <f>HYPERLINK("http://nsgreg.nga.mil/genc/view?v=119615&amp;gencs=T&amp;end_month=12&amp;end_day=31&amp;end_year=2014","Guatemala")</f>
        <v>Guatemala</v>
      </c>
      <c r="G1518" s="28" t="str">
        <f>HYPERLINK("http://api.nsgreg.nga.mil/geo-division/GENC/6/ed3/GT-GU","as:GENC:6:ed3:GT-GU")</f>
        <v>as:GENC:6:ed3:GT-GU</v>
      </c>
    </row>
    <row r="1519" spans="1:7" x14ac:dyDescent="0.2">
      <c r="A1519" s="85"/>
      <c r="B1519" s="25" t="s">
        <v>4780</v>
      </c>
      <c r="C1519" s="25" t="s">
        <v>4781</v>
      </c>
      <c r="D1519" s="25" t="s">
        <v>2590</v>
      </c>
      <c r="E1519" s="26" t="b">
        <v>1</v>
      </c>
      <c r="F1519" s="27" t="str">
        <f>HYPERLINK("http://nsgreg.nga.mil/genc/view?v=119616&amp;gencs=T&amp;end_month=12&amp;end_day=31&amp;end_year=2014","Huehuetenango")</f>
        <v>Huehuetenango</v>
      </c>
      <c r="G1519" s="28" t="str">
        <f>HYPERLINK("http://api.nsgreg.nga.mil/geo-division/GENC/6/ed3/GT-HU","as:GENC:6:ed3:GT-HU")</f>
        <v>as:GENC:6:ed3:GT-HU</v>
      </c>
    </row>
    <row r="1520" spans="1:7" x14ac:dyDescent="0.2">
      <c r="A1520" s="85"/>
      <c r="B1520" s="25" t="s">
        <v>4782</v>
      </c>
      <c r="C1520" s="25" t="s">
        <v>4783</v>
      </c>
      <c r="D1520" s="25" t="s">
        <v>2590</v>
      </c>
      <c r="E1520" s="26" t="b">
        <v>1</v>
      </c>
      <c r="F1520" s="27" t="str">
        <f>HYPERLINK("http://nsgreg.nga.mil/genc/view?v=119617&amp;gencs=T&amp;end_month=12&amp;end_day=31&amp;end_year=2014","Izabal")</f>
        <v>Izabal</v>
      </c>
      <c r="G1520" s="28" t="str">
        <f>HYPERLINK("http://api.nsgreg.nga.mil/geo-division/GENC/6/ed3/GT-IZ","as:GENC:6:ed3:GT-IZ")</f>
        <v>as:GENC:6:ed3:GT-IZ</v>
      </c>
    </row>
    <row r="1521" spans="1:7" x14ac:dyDescent="0.2">
      <c r="A1521" s="85"/>
      <c r="B1521" s="25" t="s">
        <v>4784</v>
      </c>
      <c r="C1521" s="25" t="s">
        <v>4785</v>
      </c>
      <c r="D1521" s="25" t="s">
        <v>2590</v>
      </c>
      <c r="E1521" s="26" t="b">
        <v>1</v>
      </c>
      <c r="F1521" s="27" t="str">
        <f>HYPERLINK("http://nsgreg.nga.mil/genc/view?v=119618&amp;gencs=T&amp;end_month=12&amp;end_day=31&amp;end_year=2014","Jalapa")</f>
        <v>Jalapa</v>
      </c>
      <c r="G1521" s="28" t="str">
        <f>HYPERLINK("http://api.nsgreg.nga.mil/geo-division/GENC/6/ed3/GT-JA","as:GENC:6:ed3:GT-JA")</f>
        <v>as:GENC:6:ed3:GT-JA</v>
      </c>
    </row>
    <row r="1522" spans="1:7" x14ac:dyDescent="0.2">
      <c r="A1522" s="85"/>
      <c r="B1522" s="25" t="s">
        <v>4786</v>
      </c>
      <c r="C1522" s="25" t="s">
        <v>4787</v>
      </c>
      <c r="D1522" s="25" t="s">
        <v>2590</v>
      </c>
      <c r="E1522" s="26" t="b">
        <v>1</v>
      </c>
      <c r="F1522" s="27" t="str">
        <f>HYPERLINK("http://nsgreg.nga.mil/genc/view?v=119619&amp;gencs=T&amp;end_month=12&amp;end_day=31&amp;end_year=2014","Jutiapa")</f>
        <v>Jutiapa</v>
      </c>
      <c r="G1522" s="28" t="str">
        <f>HYPERLINK("http://api.nsgreg.nga.mil/geo-division/GENC/6/ed3/GT-JU","as:GENC:6:ed3:GT-JU")</f>
        <v>as:GENC:6:ed3:GT-JU</v>
      </c>
    </row>
    <row r="1523" spans="1:7" x14ac:dyDescent="0.2">
      <c r="A1523" s="85"/>
      <c r="B1523" s="25" t="s">
        <v>4788</v>
      </c>
      <c r="C1523" s="25" t="s">
        <v>4789</v>
      </c>
      <c r="D1523" s="25" t="s">
        <v>2590</v>
      </c>
      <c r="E1523" s="26" t="b">
        <v>1</v>
      </c>
      <c r="F1523" s="27" t="str">
        <f>HYPERLINK("http://nsgreg.nga.mil/genc/view?v=119620&amp;gencs=T&amp;end_month=12&amp;end_day=31&amp;end_year=2014","Petén")</f>
        <v>Petén</v>
      </c>
      <c r="G1523" s="28" t="str">
        <f>HYPERLINK("http://api.nsgreg.nga.mil/geo-division/GENC/6/ed3/GT-PE","as:GENC:6:ed3:GT-PE")</f>
        <v>as:GENC:6:ed3:GT-PE</v>
      </c>
    </row>
    <row r="1524" spans="1:7" x14ac:dyDescent="0.2">
      <c r="A1524" s="85"/>
      <c r="B1524" s="25" t="s">
        <v>4790</v>
      </c>
      <c r="C1524" s="25" t="s">
        <v>4791</v>
      </c>
      <c r="D1524" s="25" t="s">
        <v>2590</v>
      </c>
      <c r="E1524" s="26" t="b">
        <v>1</v>
      </c>
      <c r="F1524" s="27" t="str">
        <f>HYPERLINK("http://nsgreg.nga.mil/genc/view?v=119623&amp;gencs=T&amp;end_month=12&amp;end_day=31&amp;end_year=2014","Quetzaltenango")</f>
        <v>Quetzaltenango</v>
      </c>
      <c r="G1524" s="28" t="str">
        <f>HYPERLINK("http://api.nsgreg.nga.mil/geo-division/GENC/6/ed3/GT-QZ","as:GENC:6:ed3:GT-QZ")</f>
        <v>as:GENC:6:ed3:GT-QZ</v>
      </c>
    </row>
    <row r="1525" spans="1:7" x14ac:dyDescent="0.2">
      <c r="A1525" s="85"/>
      <c r="B1525" s="25" t="s">
        <v>4792</v>
      </c>
      <c r="C1525" s="25" t="s">
        <v>4793</v>
      </c>
      <c r="D1525" s="25" t="s">
        <v>2590</v>
      </c>
      <c r="E1525" s="26" t="b">
        <v>1</v>
      </c>
      <c r="F1525" s="27" t="str">
        <f>HYPERLINK("http://nsgreg.nga.mil/genc/view?v=119622&amp;gencs=T&amp;end_month=12&amp;end_day=31&amp;end_year=2014","Quiché")</f>
        <v>Quiché</v>
      </c>
      <c r="G1525" s="28" t="str">
        <f>HYPERLINK("http://api.nsgreg.nga.mil/geo-division/GENC/6/ed3/GT-QC","as:GENC:6:ed3:GT-QC")</f>
        <v>as:GENC:6:ed3:GT-QC</v>
      </c>
    </row>
    <row r="1526" spans="1:7" x14ac:dyDescent="0.2">
      <c r="A1526" s="85"/>
      <c r="B1526" s="25" t="s">
        <v>4794</v>
      </c>
      <c r="C1526" s="25" t="s">
        <v>4795</v>
      </c>
      <c r="D1526" s="25" t="s">
        <v>2590</v>
      </c>
      <c r="E1526" s="26" t="b">
        <v>1</v>
      </c>
      <c r="F1526" s="27" t="str">
        <f>HYPERLINK("http://nsgreg.nga.mil/genc/view?v=119624&amp;gencs=T&amp;end_month=12&amp;end_day=31&amp;end_year=2014","Retalhuleu")</f>
        <v>Retalhuleu</v>
      </c>
      <c r="G1526" s="28" t="str">
        <f>HYPERLINK("http://api.nsgreg.nga.mil/geo-division/GENC/6/ed3/GT-RE","as:GENC:6:ed3:GT-RE")</f>
        <v>as:GENC:6:ed3:GT-RE</v>
      </c>
    </row>
    <row r="1527" spans="1:7" x14ac:dyDescent="0.2">
      <c r="A1527" s="85"/>
      <c r="B1527" s="25" t="s">
        <v>4796</v>
      </c>
      <c r="C1527" s="25" t="s">
        <v>4797</v>
      </c>
      <c r="D1527" s="25" t="s">
        <v>2590</v>
      </c>
      <c r="E1527" s="26" t="b">
        <v>1</v>
      </c>
      <c r="F1527" s="27" t="str">
        <f>HYPERLINK("http://nsgreg.nga.mil/genc/view?v=119625&amp;gencs=T&amp;end_month=12&amp;end_day=31&amp;end_year=2014","Sacatepéquez")</f>
        <v>Sacatepéquez</v>
      </c>
      <c r="G1527" s="28" t="str">
        <f>HYPERLINK("http://api.nsgreg.nga.mil/geo-division/GENC/6/ed3/GT-SA","as:GENC:6:ed3:GT-SA")</f>
        <v>as:GENC:6:ed3:GT-SA</v>
      </c>
    </row>
    <row r="1528" spans="1:7" x14ac:dyDescent="0.2">
      <c r="A1528" s="85"/>
      <c r="B1528" s="25" t="s">
        <v>4798</v>
      </c>
      <c r="C1528" s="25" t="s">
        <v>4799</v>
      </c>
      <c r="D1528" s="25" t="s">
        <v>2590</v>
      </c>
      <c r="E1528" s="26" t="b">
        <v>1</v>
      </c>
      <c r="F1528" s="27" t="str">
        <f>HYPERLINK("http://nsgreg.nga.mil/genc/view?v=119626&amp;gencs=T&amp;end_month=12&amp;end_day=31&amp;end_year=2014","San Marcos")</f>
        <v>San Marcos</v>
      </c>
      <c r="G1528" s="28" t="str">
        <f>HYPERLINK("http://api.nsgreg.nga.mil/geo-division/GENC/6/ed3/GT-SM","as:GENC:6:ed3:GT-SM")</f>
        <v>as:GENC:6:ed3:GT-SM</v>
      </c>
    </row>
    <row r="1529" spans="1:7" x14ac:dyDescent="0.2">
      <c r="A1529" s="85"/>
      <c r="B1529" s="25" t="s">
        <v>4800</v>
      </c>
      <c r="C1529" s="25" t="s">
        <v>4801</v>
      </c>
      <c r="D1529" s="25" t="s">
        <v>2590</v>
      </c>
      <c r="E1529" s="26" t="b">
        <v>1</v>
      </c>
      <c r="F1529" s="27" t="str">
        <f>HYPERLINK("http://nsgreg.nga.mil/genc/view?v=119628&amp;gencs=T&amp;end_month=12&amp;end_day=31&amp;end_year=2014","Santa Rosa")</f>
        <v>Santa Rosa</v>
      </c>
      <c r="G1529" s="28" t="str">
        <f>HYPERLINK("http://api.nsgreg.nga.mil/geo-division/GENC/6/ed3/GT-SR","as:GENC:6:ed3:GT-SR")</f>
        <v>as:GENC:6:ed3:GT-SR</v>
      </c>
    </row>
    <row r="1530" spans="1:7" x14ac:dyDescent="0.2">
      <c r="A1530" s="85"/>
      <c r="B1530" s="25" t="s">
        <v>4802</v>
      </c>
      <c r="C1530" s="25" t="s">
        <v>4803</v>
      </c>
      <c r="D1530" s="25" t="s">
        <v>2590</v>
      </c>
      <c r="E1530" s="26" t="b">
        <v>1</v>
      </c>
      <c r="F1530" s="27" t="str">
        <f>HYPERLINK("http://nsgreg.nga.mil/genc/view?v=119627&amp;gencs=T&amp;end_month=12&amp;end_day=31&amp;end_year=2014","Sololá")</f>
        <v>Sololá</v>
      </c>
      <c r="G1530" s="28" t="str">
        <f>HYPERLINK("http://api.nsgreg.nga.mil/geo-division/GENC/6/ed3/GT-SO","as:GENC:6:ed3:GT-SO")</f>
        <v>as:GENC:6:ed3:GT-SO</v>
      </c>
    </row>
    <row r="1531" spans="1:7" x14ac:dyDescent="0.2">
      <c r="A1531" s="85"/>
      <c r="B1531" s="25" t="s">
        <v>4804</v>
      </c>
      <c r="C1531" s="25" t="s">
        <v>4805</v>
      </c>
      <c r="D1531" s="25" t="s">
        <v>2590</v>
      </c>
      <c r="E1531" s="26" t="b">
        <v>1</v>
      </c>
      <c r="F1531" s="27" t="str">
        <f>HYPERLINK("http://nsgreg.nga.mil/genc/view?v=119629&amp;gencs=T&amp;end_month=12&amp;end_day=31&amp;end_year=2014","Suchitepéquez")</f>
        <v>Suchitepéquez</v>
      </c>
      <c r="G1531" s="28" t="str">
        <f>HYPERLINK("http://api.nsgreg.nga.mil/geo-division/GENC/6/ed3/GT-SU","as:GENC:6:ed3:GT-SU")</f>
        <v>as:GENC:6:ed3:GT-SU</v>
      </c>
    </row>
    <row r="1532" spans="1:7" x14ac:dyDescent="0.2">
      <c r="A1532" s="85"/>
      <c r="B1532" s="25" t="s">
        <v>4806</v>
      </c>
      <c r="C1532" s="25" t="s">
        <v>4807</v>
      </c>
      <c r="D1532" s="25" t="s">
        <v>2590</v>
      </c>
      <c r="E1532" s="26" t="b">
        <v>1</v>
      </c>
      <c r="F1532" s="27" t="str">
        <f>HYPERLINK("http://nsgreg.nga.mil/genc/view?v=119630&amp;gencs=T&amp;end_month=12&amp;end_day=31&amp;end_year=2014","Totonicapán")</f>
        <v>Totonicapán</v>
      </c>
      <c r="G1532" s="28" t="str">
        <f>HYPERLINK("http://api.nsgreg.nga.mil/geo-division/GENC/6/ed3/GT-TO","as:GENC:6:ed3:GT-TO")</f>
        <v>as:GENC:6:ed3:GT-TO</v>
      </c>
    </row>
    <row r="1533" spans="1:7" x14ac:dyDescent="0.2">
      <c r="A1533" s="86"/>
      <c r="B1533" s="29" t="s">
        <v>4808</v>
      </c>
      <c r="C1533" s="29" t="s">
        <v>4809</v>
      </c>
      <c r="D1533" s="29" t="s">
        <v>2590</v>
      </c>
      <c r="E1533" s="30" t="b">
        <v>1</v>
      </c>
      <c r="F1533" s="31" t="str">
        <f>HYPERLINK("http://nsgreg.nga.mil/genc/view?v=119631&amp;gencs=T&amp;end_month=12&amp;end_day=31&amp;end_year=2014","Zacapa")</f>
        <v>Zacapa</v>
      </c>
      <c r="G1533" s="32" t="str">
        <f>HYPERLINK("http://api.nsgreg.nga.mil/geo-division/GENC/6/ed3/GT-ZA","as:GENC:6:ed3:GT-ZA")</f>
        <v>as:GENC:6:ed3:GT-ZA</v>
      </c>
    </row>
    <row r="1534" spans="1:7" x14ac:dyDescent="0.2">
      <c r="A1534" s="84" t="str">
        <f>HYPERLINK("[#]Codes_for_GE_Names!A114:I114","GUINEA")</f>
        <v>GUINEA</v>
      </c>
      <c r="B1534" s="33" t="s">
        <v>4810</v>
      </c>
      <c r="C1534" s="33" t="s">
        <v>4811</v>
      </c>
      <c r="D1534" s="41" t="s">
        <v>3158</v>
      </c>
      <c r="E1534" s="42" t="b">
        <v>0</v>
      </c>
      <c r="F1534" s="35" t="str">
        <f>HYPERLINK("http://nsgreg.nga.mil/genc/view?v=119496&amp;gencs=T&amp;end_month=12&amp;end_day=31&amp;end_year=2014","Beyla")</f>
        <v>Beyla</v>
      </c>
      <c r="G1534" s="36" t="str">
        <f>HYPERLINK("http://api.nsgreg.nga.mil/geo-division/GENC/6/ed3/GN-BE","as:GENC:6:ed3:GN-BE")</f>
        <v>as:GENC:6:ed3:GN-BE</v>
      </c>
    </row>
    <row r="1535" spans="1:7" x14ac:dyDescent="0.2">
      <c r="A1535" s="85"/>
      <c r="B1535" s="25" t="s">
        <v>4812</v>
      </c>
      <c r="C1535" s="25" t="s">
        <v>4813</v>
      </c>
      <c r="D1535" s="37" t="s">
        <v>3158</v>
      </c>
      <c r="E1535" s="38" t="b">
        <v>0</v>
      </c>
      <c r="F1535" s="27" t="str">
        <f>HYPERLINK("http://nsgreg.nga.mil/genc/view?v=119497&amp;gencs=T&amp;end_month=12&amp;end_day=31&amp;end_year=2014","Boffa")</f>
        <v>Boffa</v>
      </c>
      <c r="G1535" s="28" t="str">
        <f>HYPERLINK("http://api.nsgreg.nga.mil/geo-division/GENC/6/ed3/GN-BF","as:GENC:6:ed3:GN-BF")</f>
        <v>as:GENC:6:ed3:GN-BF</v>
      </c>
    </row>
    <row r="1536" spans="1:7" x14ac:dyDescent="0.2">
      <c r="A1536" s="85"/>
      <c r="B1536" s="25" t="s">
        <v>4814</v>
      </c>
      <c r="C1536" s="25" t="s">
        <v>4815</v>
      </c>
      <c r="D1536" s="25" t="s">
        <v>4630</v>
      </c>
      <c r="E1536" s="26" t="b">
        <v>1</v>
      </c>
      <c r="F1536" s="27" t="str">
        <f>HYPERLINK("http://nsgreg.nga.mil/genc/view?v=119495&amp;gencs=T&amp;end_month=12&amp;end_day=31&amp;end_year=2014","Boké")</f>
        <v>Boké</v>
      </c>
      <c r="G1536" s="28" t="str">
        <f>HYPERLINK("http://api.nsgreg.nga.mil/geo-division/GENC/6/ed3/GN-B","as:GENC:6:ed3:GN-B")</f>
        <v>as:GENC:6:ed3:GN-B</v>
      </c>
    </row>
    <row r="1537" spans="1:7" x14ac:dyDescent="0.2">
      <c r="A1537" s="85"/>
      <c r="B1537" s="25" t="s">
        <v>4816</v>
      </c>
      <c r="C1537" s="25" t="s">
        <v>4815</v>
      </c>
      <c r="D1537" s="37" t="s">
        <v>3158</v>
      </c>
      <c r="E1537" s="38" t="b">
        <v>0</v>
      </c>
      <c r="F1537" s="27" t="str">
        <f>HYPERLINK("http://nsgreg.nga.mil/genc/view?v=119498&amp;gencs=T&amp;end_month=12&amp;end_day=31&amp;end_year=2014","Boké")</f>
        <v>Boké</v>
      </c>
      <c r="G1537" s="28" t="str">
        <f>HYPERLINK("http://api.nsgreg.nga.mil/geo-division/GENC/6/ed3/GN-BK","as:GENC:6:ed3:GN-BK")</f>
        <v>as:GENC:6:ed3:GN-BK</v>
      </c>
    </row>
    <row r="1538" spans="1:7" x14ac:dyDescent="0.2">
      <c r="A1538" s="85"/>
      <c r="B1538" s="25" t="s">
        <v>4817</v>
      </c>
      <c r="C1538" s="25" t="s">
        <v>4818</v>
      </c>
      <c r="D1538" s="25" t="s">
        <v>2365</v>
      </c>
      <c r="E1538" s="26" t="b">
        <v>1</v>
      </c>
      <c r="F1538" s="27" t="str">
        <f>HYPERLINK("http://nsgreg.nga.mil/genc/view?v=119499&amp;gencs=T&amp;end_month=12&amp;end_day=31&amp;end_year=2014","Conakry")</f>
        <v>Conakry</v>
      </c>
      <c r="G1538" s="28" t="str">
        <f>HYPERLINK("http://api.nsgreg.nga.mil/geo-division/GENC/6/ed3/GN-C","as:GENC:6:ed3:GN-C")</f>
        <v>as:GENC:6:ed3:GN-C</v>
      </c>
    </row>
    <row r="1539" spans="1:7" x14ac:dyDescent="0.2">
      <c r="A1539" s="85"/>
      <c r="B1539" s="25" t="s">
        <v>4820</v>
      </c>
      <c r="C1539" s="25" t="s">
        <v>4821</v>
      </c>
      <c r="D1539" s="37" t="s">
        <v>3158</v>
      </c>
      <c r="E1539" s="38" t="b">
        <v>0</v>
      </c>
      <c r="F1539" s="27" t="str">
        <f>HYPERLINK("http://nsgreg.nga.mil/genc/view?v=119500&amp;gencs=T&amp;end_month=12&amp;end_day=31&amp;end_year=2014","Coyah")</f>
        <v>Coyah</v>
      </c>
      <c r="G1539" s="28" t="str">
        <f>HYPERLINK("http://api.nsgreg.nga.mil/geo-division/GENC/6/ed3/GN-CO","as:GENC:6:ed3:GN-CO")</f>
        <v>as:GENC:6:ed3:GN-CO</v>
      </c>
    </row>
    <row r="1540" spans="1:7" x14ac:dyDescent="0.2">
      <c r="A1540" s="85"/>
      <c r="B1540" s="25" t="s">
        <v>4822</v>
      </c>
      <c r="C1540" s="25" t="s">
        <v>4823</v>
      </c>
      <c r="D1540" s="37" t="s">
        <v>3158</v>
      </c>
      <c r="E1540" s="38" t="b">
        <v>0</v>
      </c>
      <c r="F1540" s="27" t="str">
        <f>HYPERLINK("http://nsgreg.nga.mil/genc/view?v=119502&amp;gencs=T&amp;end_month=12&amp;end_day=31&amp;end_year=2014","Dabola")</f>
        <v>Dabola</v>
      </c>
      <c r="G1540" s="28" t="str">
        <f>HYPERLINK("http://api.nsgreg.nga.mil/geo-division/GENC/6/ed3/GN-DB","as:GENC:6:ed3:GN-DB")</f>
        <v>as:GENC:6:ed3:GN-DB</v>
      </c>
    </row>
    <row r="1541" spans="1:7" x14ac:dyDescent="0.2">
      <c r="A1541" s="85"/>
      <c r="B1541" s="25" t="s">
        <v>4824</v>
      </c>
      <c r="C1541" s="25" t="s">
        <v>4825</v>
      </c>
      <c r="D1541" s="37" t="s">
        <v>3158</v>
      </c>
      <c r="E1541" s="38" t="b">
        <v>0</v>
      </c>
      <c r="F1541" s="27" t="str">
        <f>HYPERLINK("http://nsgreg.nga.mil/genc/view?v=119504&amp;gencs=T&amp;end_month=12&amp;end_day=31&amp;end_year=2014","Dalaba")</f>
        <v>Dalaba</v>
      </c>
      <c r="G1541" s="28" t="str">
        <f>HYPERLINK("http://api.nsgreg.nga.mil/geo-division/GENC/6/ed3/GN-DL","as:GENC:6:ed3:GN-DL")</f>
        <v>as:GENC:6:ed3:GN-DL</v>
      </c>
    </row>
    <row r="1542" spans="1:7" x14ac:dyDescent="0.2">
      <c r="A1542" s="85"/>
      <c r="B1542" s="25" t="s">
        <v>4826</v>
      </c>
      <c r="C1542" s="25" t="s">
        <v>4827</v>
      </c>
      <c r="D1542" s="37" t="s">
        <v>3158</v>
      </c>
      <c r="E1542" s="38" t="b">
        <v>0</v>
      </c>
      <c r="F1542" s="27" t="str">
        <f>HYPERLINK("http://nsgreg.nga.mil/genc/view?v=119503&amp;gencs=T&amp;end_month=12&amp;end_day=31&amp;end_year=2014","Dinguiraye")</f>
        <v>Dinguiraye</v>
      </c>
      <c r="G1542" s="28" t="str">
        <f>HYPERLINK("http://api.nsgreg.nga.mil/geo-division/GENC/6/ed3/GN-DI","as:GENC:6:ed3:GN-DI")</f>
        <v>as:GENC:6:ed3:GN-DI</v>
      </c>
    </row>
    <row r="1543" spans="1:7" x14ac:dyDescent="0.2">
      <c r="A1543" s="85"/>
      <c r="B1543" s="25" t="s">
        <v>4828</v>
      </c>
      <c r="C1543" s="25" t="s">
        <v>4829</v>
      </c>
      <c r="D1543" s="37" t="s">
        <v>3158</v>
      </c>
      <c r="E1543" s="38" t="b">
        <v>0</v>
      </c>
      <c r="F1543" s="27" t="str">
        <f>HYPERLINK("http://nsgreg.nga.mil/genc/view?v=119505&amp;gencs=T&amp;end_month=12&amp;end_day=31&amp;end_year=2014","Dubréka")</f>
        <v>Dubréka</v>
      </c>
      <c r="G1543" s="28" t="str">
        <f>HYPERLINK("http://api.nsgreg.nga.mil/geo-division/GENC/6/ed3/GN-DU","as:GENC:6:ed3:GN-DU")</f>
        <v>as:GENC:6:ed3:GN-DU</v>
      </c>
    </row>
    <row r="1544" spans="1:7" x14ac:dyDescent="0.2">
      <c r="A1544" s="85"/>
      <c r="B1544" s="25" t="s">
        <v>4830</v>
      </c>
      <c r="C1544" s="25" t="s">
        <v>4831</v>
      </c>
      <c r="D1544" s="25" t="s">
        <v>4630</v>
      </c>
      <c r="E1544" s="26" t="b">
        <v>1</v>
      </c>
      <c r="F1544" s="27" t="str">
        <f>HYPERLINK("http://nsgreg.nga.mil/genc/view?v=119506&amp;gencs=T&amp;end_month=12&amp;end_day=31&amp;end_year=2014","Faranah")</f>
        <v>Faranah</v>
      </c>
      <c r="G1544" s="28" t="str">
        <f>HYPERLINK("http://api.nsgreg.nga.mil/geo-division/GENC/6/ed3/GN-F","as:GENC:6:ed3:GN-F")</f>
        <v>as:GENC:6:ed3:GN-F</v>
      </c>
    </row>
    <row r="1545" spans="1:7" x14ac:dyDescent="0.2">
      <c r="A1545" s="85"/>
      <c r="B1545" s="25" t="s">
        <v>4832</v>
      </c>
      <c r="C1545" s="25" t="s">
        <v>4831</v>
      </c>
      <c r="D1545" s="37" t="s">
        <v>3158</v>
      </c>
      <c r="E1545" s="38" t="b">
        <v>0</v>
      </c>
      <c r="F1545" s="27" t="str">
        <f>HYPERLINK("http://nsgreg.nga.mil/genc/view?v=119507&amp;gencs=T&amp;end_month=12&amp;end_day=31&amp;end_year=2014","Faranah")</f>
        <v>Faranah</v>
      </c>
      <c r="G1545" s="28" t="str">
        <f>HYPERLINK("http://api.nsgreg.nga.mil/geo-division/GENC/6/ed3/GN-FA","as:GENC:6:ed3:GN-FA")</f>
        <v>as:GENC:6:ed3:GN-FA</v>
      </c>
    </row>
    <row r="1546" spans="1:7" x14ac:dyDescent="0.2">
      <c r="A1546" s="85"/>
      <c r="B1546" s="25" t="s">
        <v>4833</v>
      </c>
      <c r="C1546" s="25" t="s">
        <v>4834</v>
      </c>
      <c r="D1546" s="37" t="s">
        <v>3158</v>
      </c>
      <c r="E1546" s="38" t="b">
        <v>0</v>
      </c>
      <c r="F1546" s="27" t="str">
        <f>HYPERLINK("http://nsgreg.nga.mil/genc/view?v=119508&amp;gencs=T&amp;end_month=12&amp;end_day=31&amp;end_year=2014","Forécariah")</f>
        <v>Forécariah</v>
      </c>
      <c r="G1546" s="28" t="str">
        <f>HYPERLINK("http://api.nsgreg.nga.mil/geo-division/GENC/6/ed3/GN-FO","as:GENC:6:ed3:GN-FO")</f>
        <v>as:GENC:6:ed3:GN-FO</v>
      </c>
    </row>
    <row r="1547" spans="1:7" x14ac:dyDescent="0.2">
      <c r="A1547" s="85"/>
      <c r="B1547" s="25" t="s">
        <v>4835</v>
      </c>
      <c r="C1547" s="25" t="s">
        <v>4836</v>
      </c>
      <c r="D1547" s="37" t="s">
        <v>3158</v>
      </c>
      <c r="E1547" s="38" t="b">
        <v>0</v>
      </c>
      <c r="F1547" s="27" t="str">
        <f>HYPERLINK("http://nsgreg.nga.mil/genc/view?v=119509&amp;gencs=T&amp;end_month=12&amp;end_day=31&amp;end_year=2014","Fria")</f>
        <v>Fria</v>
      </c>
      <c r="G1547" s="28" t="str">
        <f>HYPERLINK("http://api.nsgreg.nga.mil/geo-division/GENC/6/ed3/GN-FR","as:GENC:6:ed3:GN-FR")</f>
        <v>as:GENC:6:ed3:GN-FR</v>
      </c>
    </row>
    <row r="1548" spans="1:7" x14ac:dyDescent="0.2">
      <c r="A1548" s="85"/>
      <c r="B1548" s="25" t="s">
        <v>4837</v>
      </c>
      <c r="C1548" s="25" t="s">
        <v>4838</v>
      </c>
      <c r="D1548" s="37" t="s">
        <v>3158</v>
      </c>
      <c r="E1548" s="38" t="b">
        <v>0</v>
      </c>
      <c r="F1548" s="27" t="str">
        <f>HYPERLINK("http://nsgreg.nga.mil/genc/view?v=119510&amp;gencs=T&amp;end_month=12&amp;end_day=31&amp;end_year=2014","Gaoual")</f>
        <v>Gaoual</v>
      </c>
      <c r="G1548" s="28" t="str">
        <f>HYPERLINK("http://api.nsgreg.nga.mil/geo-division/GENC/6/ed3/GN-GA","as:GENC:6:ed3:GN-GA")</f>
        <v>as:GENC:6:ed3:GN-GA</v>
      </c>
    </row>
    <row r="1549" spans="1:7" x14ac:dyDescent="0.2">
      <c r="A1549" s="85"/>
      <c r="B1549" s="25" t="s">
        <v>4839</v>
      </c>
      <c r="C1549" s="25" t="s">
        <v>4840</v>
      </c>
      <c r="D1549" s="37" t="s">
        <v>3158</v>
      </c>
      <c r="E1549" s="38" t="b">
        <v>0</v>
      </c>
      <c r="F1549" s="27" t="str">
        <f>HYPERLINK("http://nsgreg.nga.mil/genc/view?v=119511&amp;gencs=T&amp;end_month=12&amp;end_day=31&amp;end_year=2014","Guékédou")</f>
        <v>Guékédou</v>
      </c>
      <c r="G1549" s="28" t="str">
        <f>HYPERLINK("http://api.nsgreg.nga.mil/geo-division/GENC/6/ed3/GN-GU","as:GENC:6:ed3:GN-GU")</f>
        <v>as:GENC:6:ed3:GN-GU</v>
      </c>
    </row>
    <row r="1550" spans="1:7" x14ac:dyDescent="0.2">
      <c r="A1550" s="85"/>
      <c r="B1550" s="25" t="s">
        <v>4841</v>
      </c>
      <c r="C1550" s="25" t="s">
        <v>4842</v>
      </c>
      <c r="D1550" s="25" t="s">
        <v>4630</v>
      </c>
      <c r="E1550" s="26" t="b">
        <v>1</v>
      </c>
      <c r="F1550" s="27" t="str">
        <f>HYPERLINK("http://nsgreg.nga.mil/genc/view?v=119512&amp;gencs=T&amp;end_month=12&amp;end_day=31&amp;end_year=2014","Kankan")</f>
        <v>Kankan</v>
      </c>
      <c r="G1550" s="28" t="str">
        <f>HYPERLINK("http://api.nsgreg.nga.mil/geo-division/GENC/6/ed3/GN-K","as:GENC:6:ed3:GN-K")</f>
        <v>as:GENC:6:ed3:GN-K</v>
      </c>
    </row>
    <row r="1551" spans="1:7" x14ac:dyDescent="0.2">
      <c r="A1551" s="85"/>
      <c r="B1551" s="25" t="s">
        <v>4843</v>
      </c>
      <c r="C1551" s="25" t="s">
        <v>4842</v>
      </c>
      <c r="D1551" s="37" t="s">
        <v>3158</v>
      </c>
      <c r="E1551" s="38" t="b">
        <v>0</v>
      </c>
      <c r="F1551" s="27" t="str">
        <f>HYPERLINK("http://nsgreg.nga.mil/genc/view?v=119513&amp;gencs=T&amp;end_month=12&amp;end_day=31&amp;end_year=2014","Kankan")</f>
        <v>Kankan</v>
      </c>
      <c r="G1551" s="28" t="str">
        <f>HYPERLINK("http://api.nsgreg.nga.mil/geo-division/GENC/6/ed3/GN-KA","as:GENC:6:ed3:GN-KA")</f>
        <v>as:GENC:6:ed3:GN-KA</v>
      </c>
    </row>
    <row r="1552" spans="1:7" x14ac:dyDescent="0.2">
      <c r="A1552" s="85"/>
      <c r="B1552" s="25" t="s">
        <v>4855</v>
      </c>
      <c r="C1552" s="25" t="s">
        <v>4856</v>
      </c>
      <c r="D1552" s="37" t="s">
        <v>3158</v>
      </c>
      <c r="E1552" s="38" t="b">
        <v>0</v>
      </c>
      <c r="F1552" s="27" t="str">
        <f>HYPERLINK("http://nsgreg.nga.mil/genc/view?v=119516&amp;gencs=T&amp;end_month=12&amp;end_day=31&amp;end_year=2014","Kérouané")</f>
        <v>Kérouané</v>
      </c>
      <c r="G1552" s="28" t="str">
        <f>HYPERLINK("http://api.nsgreg.nga.mil/geo-division/GENC/6/ed3/GN-KE","as:GENC:6:ed3:GN-KE")</f>
        <v>as:GENC:6:ed3:GN-KE</v>
      </c>
    </row>
    <row r="1553" spans="1:7" x14ac:dyDescent="0.2">
      <c r="A1553" s="85"/>
      <c r="B1553" s="25" t="s">
        <v>4844</v>
      </c>
      <c r="C1553" s="25" t="s">
        <v>4845</v>
      </c>
      <c r="D1553" s="25" t="s">
        <v>4630</v>
      </c>
      <c r="E1553" s="26" t="b">
        <v>1</v>
      </c>
      <c r="F1553" s="27" t="str">
        <f>HYPERLINK("http://nsgreg.nga.mil/genc/view?v=119501&amp;gencs=T&amp;end_month=12&amp;end_day=31&amp;end_year=2014","Kindia")</f>
        <v>Kindia</v>
      </c>
      <c r="G1553" s="28" t="str">
        <f>HYPERLINK("http://api.nsgreg.nga.mil/geo-division/GENC/6/ed3/GN-D","as:GENC:6:ed3:GN-D")</f>
        <v>as:GENC:6:ed3:GN-D</v>
      </c>
    </row>
    <row r="1554" spans="1:7" x14ac:dyDescent="0.2">
      <c r="A1554" s="85"/>
      <c r="B1554" s="25" t="s">
        <v>4846</v>
      </c>
      <c r="C1554" s="25" t="s">
        <v>4845</v>
      </c>
      <c r="D1554" s="37" t="s">
        <v>3158</v>
      </c>
      <c r="E1554" s="38" t="b">
        <v>0</v>
      </c>
      <c r="F1554" s="27" t="str">
        <f>HYPERLINK("http://nsgreg.nga.mil/genc/view?v=119515&amp;gencs=T&amp;end_month=12&amp;end_day=31&amp;end_year=2014","Kindia")</f>
        <v>Kindia</v>
      </c>
      <c r="G1554" s="28" t="str">
        <f>HYPERLINK("http://api.nsgreg.nga.mil/geo-division/GENC/6/ed3/GN-KD","as:GENC:6:ed3:GN-KD")</f>
        <v>as:GENC:6:ed3:GN-KD</v>
      </c>
    </row>
    <row r="1555" spans="1:7" x14ac:dyDescent="0.2">
      <c r="A1555" s="85"/>
      <c r="B1555" s="25" t="s">
        <v>4847</v>
      </c>
      <c r="C1555" s="25" t="s">
        <v>4848</v>
      </c>
      <c r="D1555" s="37" t="s">
        <v>3158</v>
      </c>
      <c r="E1555" s="38" t="b">
        <v>0</v>
      </c>
      <c r="F1555" s="27" t="str">
        <f>HYPERLINK("http://nsgreg.nga.mil/genc/view?v=119519&amp;gencs=T&amp;end_month=12&amp;end_day=31&amp;end_year=2014","Kissidougou")</f>
        <v>Kissidougou</v>
      </c>
      <c r="G1555" s="28" t="str">
        <f>HYPERLINK("http://api.nsgreg.nga.mil/geo-division/GENC/6/ed3/GN-KS","as:GENC:6:ed3:GN-KS")</f>
        <v>as:GENC:6:ed3:GN-KS</v>
      </c>
    </row>
    <row r="1556" spans="1:7" x14ac:dyDescent="0.2">
      <c r="A1556" s="85"/>
      <c r="B1556" s="25" t="s">
        <v>4849</v>
      </c>
      <c r="C1556" s="25" t="s">
        <v>4850</v>
      </c>
      <c r="D1556" s="37" t="s">
        <v>3158</v>
      </c>
      <c r="E1556" s="38" t="b">
        <v>0</v>
      </c>
      <c r="F1556" s="27" t="str">
        <f>HYPERLINK("http://nsgreg.nga.mil/genc/view?v=119514&amp;gencs=T&amp;end_month=12&amp;end_day=31&amp;end_year=2014","Koubia")</f>
        <v>Koubia</v>
      </c>
      <c r="G1556" s="28" t="str">
        <f>HYPERLINK("http://api.nsgreg.nga.mil/geo-division/GENC/6/ed3/GN-KB","as:GENC:6:ed3:GN-KB")</f>
        <v>as:GENC:6:ed3:GN-KB</v>
      </c>
    </row>
    <row r="1557" spans="1:7" x14ac:dyDescent="0.2">
      <c r="A1557" s="85"/>
      <c r="B1557" s="25" t="s">
        <v>4851</v>
      </c>
      <c r="C1557" s="25" t="s">
        <v>4852</v>
      </c>
      <c r="D1557" s="37" t="s">
        <v>3158</v>
      </c>
      <c r="E1557" s="38" t="b">
        <v>0</v>
      </c>
      <c r="F1557" s="27" t="str">
        <f>HYPERLINK("http://nsgreg.nga.mil/genc/view?v=119517&amp;gencs=T&amp;end_month=12&amp;end_day=31&amp;end_year=2014","Koundara")</f>
        <v>Koundara</v>
      </c>
      <c r="G1557" s="28" t="str">
        <f>HYPERLINK("http://api.nsgreg.nga.mil/geo-division/GENC/6/ed3/GN-KN","as:GENC:6:ed3:GN-KN")</f>
        <v>as:GENC:6:ed3:GN-KN</v>
      </c>
    </row>
    <row r="1558" spans="1:7" x14ac:dyDescent="0.2">
      <c r="A1558" s="85"/>
      <c r="B1558" s="25" t="s">
        <v>4853</v>
      </c>
      <c r="C1558" s="25" t="s">
        <v>4854</v>
      </c>
      <c r="D1558" s="37" t="s">
        <v>3158</v>
      </c>
      <c r="E1558" s="38" t="b">
        <v>0</v>
      </c>
      <c r="F1558" s="27" t="str">
        <f>HYPERLINK("http://nsgreg.nga.mil/genc/view?v=119518&amp;gencs=T&amp;end_month=12&amp;end_day=31&amp;end_year=2014","Kouroussa")</f>
        <v>Kouroussa</v>
      </c>
      <c r="G1558" s="28" t="str">
        <f>HYPERLINK("http://api.nsgreg.nga.mil/geo-division/GENC/6/ed3/GN-KO","as:GENC:6:ed3:GN-KO")</f>
        <v>as:GENC:6:ed3:GN-KO</v>
      </c>
    </row>
    <row r="1559" spans="1:7" x14ac:dyDescent="0.2">
      <c r="A1559" s="85"/>
      <c r="B1559" s="25" t="s">
        <v>4857</v>
      </c>
      <c r="C1559" s="25" t="s">
        <v>4858</v>
      </c>
      <c r="D1559" s="25" t="s">
        <v>4630</v>
      </c>
      <c r="E1559" s="26" t="b">
        <v>1</v>
      </c>
      <c r="F1559" s="27" t="str">
        <f>HYPERLINK("http://nsgreg.nga.mil/genc/view?v=119520&amp;gencs=T&amp;end_month=12&amp;end_day=31&amp;end_year=2014","Labé")</f>
        <v>Labé</v>
      </c>
      <c r="G1559" s="28" t="str">
        <f>HYPERLINK("http://api.nsgreg.nga.mil/geo-division/GENC/6/ed3/GN-L","as:GENC:6:ed3:GN-L")</f>
        <v>as:GENC:6:ed3:GN-L</v>
      </c>
    </row>
    <row r="1560" spans="1:7" x14ac:dyDescent="0.2">
      <c r="A1560" s="85"/>
      <c r="B1560" s="25" t="s">
        <v>4859</v>
      </c>
      <c r="C1560" s="25" t="s">
        <v>4858</v>
      </c>
      <c r="D1560" s="37" t="s">
        <v>3158</v>
      </c>
      <c r="E1560" s="38" t="b">
        <v>0</v>
      </c>
      <c r="F1560" s="27" t="str">
        <f>HYPERLINK("http://nsgreg.nga.mil/genc/view?v=119521&amp;gencs=T&amp;end_month=12&amp;end_day=31&amp;end_year=2014","Labé")</f>
        <v>Labé</v>
      </c>
      <c r="G1560" s="28" t="str">
        <f>HYPERLINK("http://api.nsgreg.nga.mil/geo-division/GENC/6/ed3/GN-LA","as:GENC:6:ed3:GN-LA")</f>
        <v>as:GENC:6:ed3:GN-LA</v>
      </c>
    </row>
    <row r="1561" spans="1:7" x14ac:dyDescent="0.2">
      <c r="A1561" s="85"/>
      <c r="B1561" s="25" t="s">
        <v>4862</v>
      </c>
      <c r="C1561" s="25" t="s">
        <v>4863</v>
      </c>
      <c r="D1561" s="37" t="s">
        <v>3158</v>
      </c>
      <c r="E1561" s="38" t="b">
        <v>0</v>
      </c>
      <c r="F1561" s="27" t="str">
        <f>HYPERLINK("http://nsgreg.nga.mil/genc/view?v=119522&amp;gencs=T&amp;end_month=12&amp;end_day=31&amp;end_year=2014","Lélouma")</f>
        <v>Lélouma</v>
      </c>
      <c r="G1561" s="28" t="str">
        <f>HYPERLINK("http://api.nsgreg.nga.mil/geo-division/GENC/6/ed3/GN-LE","as:GENC:6:ed3:GN-LE")</f>
        <v>as:GENC:6:ed3:GN-LE</v>
      </c>
    </row>
    <row r="1562" spans="1:7" x14ac:dyDescent="0.2">
      <c r="A1562" s="85"/>
      <c r="B1562" s="25" t="s">
        <v>4860</v>
      </c>
      <c r="C1562" s="25" t="s">
        <v>4861</v>
      </c>
      <c r="D1562" s="37" t="s">
        <v>3158</v>
      </c>
      <c r="E1562" s="38" t="b">
        <v>0</v>
      </c>
      <c r="F1562" s="27" t="str">
        <f>HYPERLINK("http://nsgreg.nga.mil/genc/view?v=119523&amp;gencs=T&amp;end_month=12&amp;end_day=31&amp;end_year=2014","Lola")</f>
        <v>Lola</v>
      </c>
      <c r="G1562" s="28" t="str">
        <f>HYPERLINK("http://api.nsgreg.nga.mil/geo-division/GENC/6/ed3/GN-LO","as:GENC:6:ed3:GN-LO")</f>
        <v>as:GENC:6:ed3:GN-LO</v>
      </c>
    </row>
    <row r="1563" spans="1:7" x14ac:dyDescent="0.2">
      <c r="A1563" s="85"/>
      <c r="B1563" s="25" t="s">
        <v>4864</v>
      </c>
      <c r="C1563" s="25" t="s">
        <v>4865</v>
      </c>
      <c r="D1563" s="37" t="s">
        <v>3158</v>
      </c>
      <c r="E1563" s="38" t="b">
        <v>0</v>
      </c>
      <c r="F1563" s="27" t="str">
        <f>HYPERLINK("http://nsgreg.nga.mil/genc/view?v=119525&amp;gencs=T&amp;end_month=12&amp;end_day=31&amp;end_year=2014","Macenta")</f>
        <v>Macenta</v>
      </c>
      <c r="G1563" s="28" t="str">
        <f>HYPERLINK("http://api.nsgreg.nga.mil/geo-division/GENC/6/ed3/GN-MC","as:GENC:6:ed3:GN-MC")</f>
        <v>as:GENC:6:ed3:GN-MC</v>
      </c>
    </row>
    <row r="1564" spans="1:7" x14ac:dyDescent="0.2">
      <c r="A1564" s="85"/>
      <c r="B1564" s="25" t="s">
        <v>4866</v>
      </c>
      <c r="C1564" s="25" t="s">
        <v>1701</v>
      </c>
      <c r="D1564" s="37" t="s">
        <v>3158</v>
      </c>
      <c r="E1564" s="38" t="b">
        <v>0</v>
      </c>
      <c r="F1564" s="27" t="str">
        <f>HYPERLINK("http://nsgreg.nga.mil/genc/view?v=119527&amp;gencs=T&amp;end_month=12&amp;end_day=31&amp;end_year=2014","Mali")</f>
        <v>Mali</v>
      </c>
      <c r="G1564" s="28" t="str">
        <f>HYPERLINK("http://api.nsgreg.nga.mil/geo-division/GENC/6/ed3/GN-ML","as:GENC:6:ed3:GN-ML")</f>
        <v>as:GENC:6:ed3:GN-ML</v>
      </c>
    </row>
    <row r="1565" spans="1:7" x14ac:dyDescent="0.2">
      <c r="A1565" s="85"/>
      <c r="B1565" s="25" t="s">
        <v>4867</v>
      </c>
      <c r="C1565" s="25" t="s">
        <v>4868</v>
      </c>
      <c r="D1565" s="25" t="s">
        <v>4630</v>
      </c>
      <c r="E1565" s="26" t="b">
        <v>1</v>
      </c>
      <c r="F1565" s="27" t="str">
        <f>HYPERLINK("http://nsgreg.nga.mil/genc/view?v=119524&amp;gencs=T&amp;end_month=12&amp;end_day=31&amp;end_year=2014","Mamou")</f>
        <v>Mamou</v>
      </c>
      <c r="G1565" s="28" t="str">
        <f>HYPERLINK("http://api.nsgreg.nga.mil/geo-division/GENC/6/ed3/GN-M","as:GENC:6:ed3:GN-M")</f>
        <v>as:GENC:6:ed3:GN-M</v>
      </c>
    </row>
    <row r="1566" spans="1:7" x14ac:dyDescent="0.2">
      <c r="A1566" s="85"/>
      <c r="B1566" s="25" t="s">
        <v>4869</v>
      </c>
      <c r="C1566" s="25" t="s">
        <v>4868</v>
      </c>
      <c r="D1566" s="37" t="s">
        <v>3158</v>
      </c>
      <c r="E1566" s="38" t="b">
        <v>0</v>
      </c>
      <c r="F1566" s="27" t="str">
        <f>HYPERLINK("http://nsgreg.nga.mil/genc/view?v=119528&amp;gencs=T&amp;end_month=12&amp;end_day=31&amp;end_year=2014","Mamou")</f>
        <v>Mamou</v>
      </c>
      <c r="G1566" s="28" t="str">
        <f>HYPERLINK("http://api.nsgreg.nga.mil/geo-division/GENC/6/ed3/GN-MM","as:GENC:6:ed3:GN-MM")</f>
        <v>as:GENC:6:ed3:GN-MM</v>
      </c>
    </row>
    <row r="1567" spans="1:7" x14ac:dyDescent="0.2">
      <c r="A1567" s="85"/>
      <c r="B1567" s="25" t="s">
        <v>4870</v>
      </c>
      <c r="C1567" s="25" t="s">
        <v>4871</v>
      </c>
      <c r="D1567" s="37" t="s">
        <v>3158</v>
      </c>
      <c r="E1567" s="38" t="b">
        <v>0</v>
      </c>
      <c r="F1567" s="27" t="str">
        <f>HYPERLINK("http://nsgreg.nga.mil/genc/view?v=119526&amp;gencs=T&amp;end_month=12&amp;end_day=31&amp;end_year=2014","Mandiana")</f>
        <v>Mandiana</v>
      </c>
      <c r="G1567" s="28" t="str">
        <f>HYPERLINK("http://api.nsgreg.nga.mil/geo-division/GENC/6/ed3/GN-MD","as:GENC:6:ed3:GN-MD")</f>
        <v>as:GENC:6:ed3:GN-MD</v>
      </c>
    </row>
    <row r="1568" spans="1:7" x14ac:dyDescent="0.2">
      <c r="A1568" s="85"/>
      <c r="B1568" s="25" t="s">
        <v>4872</v>
      </c>
      <c r="C1568" s="25" t="s">
        <v>12461</v>
      </c>
      <c r="D1568" s="25" t="s">
        <v>4630</v>
      </c>
      <c r="E1568" s="26" t="b">
        <v>1</v>
      </c>
      <c r="F1568" s="27" t="str">
        <f>HYPERLINK("http://nsgreg.nga.mil/genc/view?v=213796&amp;end_month=12&amp;end_day=31&amp;end_year=2014","N’Zérékoré")</f>
        <v>N’Zérékoré</v>
      </c>
      <c r="G1568" s="28" t="str">
        <f>HYPERLINK("http://api.nsgreg.nga.mil/geo-division/GENC/6/ed3/GN-N","as:GENC:6:ed3:GN-N")</f>
        <v>as:GENC:6:ed3:GN-N</v>
      </c>
    </row>
    <row r="1569" spans="1:7" x14ac:dyDescent="0.2">
      <c r="A1569" s="85"/>
      <c r="B1569" s="25" t="s">
        <v>4874</v>
      </c>
      <c r="C1569" s="25" t="s">
        <v>12461</v>
      </c>
      <c r="D1569" s="37" t="s">
        <v>3158</v>
      </c>
      <c r="E1569" s="38" t="b">
        <v>0</v>
      </c>
      <c r="F1569" s="27" t="str">
        <f>HYPERLINK("http://nsgreg.nga.mil/genc/view?v=211824&amp;end_month=12&amp;end_day=31&amp;end_year=2014","N’Zérékoré")</f>
        <v>N’Zérékoré</v>
      </c>
      <c r="G1569" s="28" t="str">
        <f>HYPERLINK("http://api.nsgreg.nga.mil/geo-division/GENC/6/ed3/GN-NZ","as:GENC:6:ed3:GN-NZ")</f>
        <v>as:GENC:6:ed3:GN-NZ</v>
      </c>
    </row>
    <row r="1570" spans="1:7" x14ac:dyDescent="0.2">
      <c r="A1570" s="85"/>
      <c r="B1570" s="25" t="s">
        <v>4875</v>
      </c>
      <c r="C1570" s="25" t="s">
        <v>4876</v>
      </c>
      <c r="D1570" s="37" t="s">
        <v>3158</v>
      </c>
      <c r="E1570" s="38" t="b">
        <v>0</v>
      </c>
      <c r="F1570" s="27" t="str">
        <f>HYPERLINK("http://nsgreg.nga.mil/genc/view?v=119531&amp;gencs=T&amp;end_month=12&amp;end_day=31&amp;end_year=2014","Pita")</f>
        <v>Pita</v>
      </c>
      <c r="G1570" s="28" t="str">
        <f>HYPERLINK("http://api.nsgreg.nga.mil/geo-division/GENC/6/ed3/GN-PI","as:GENC:6:ed3:GN-PI")</f>
        <v>as:GENC:6:ed3:GN-PI</v>
      </c>
    </row>
    <row r="1571" spans="1:7" x14ac:dyDescent="0.2">
      <c r="A1571" s="85"/>
      <c r="B1571" s="25" t="s">
        <v>4877</v>
      </c>
      <c r="C1571" s="25" t="s">
        <v>4878</v>
      </c>
      <c r="D1571" s="37" t="s">
        <v>3158</v>
      </c>
      <c r="E1571" s="38" t="b">
        <v>0</v>
      </c>
      <c r="F1571" s="27" t="str">
        <f>HYPERLINK("http://nsgreg.nga.mil/genc/view?v=119532&amp;gencs=T&amp;end_month=12&amp;end_day=31&amp;end_year=2014","Siguiri")</f>
        <v>Siguiri</v>
      </c>
      <c r="G1571" s="28" t="str">
        <f>HYPERLINK("http://api.nsgreg.nga.mil/geo-division/GENC/6/ed3/GN-SI","as:GENC:6:ed3:GN-SI")</f>
        <v>as:GENC:6:ed3:GN-SI</v>
      </c>
    </row>
    <row r="1572" spans="1:7" x14ac:dyDescent="0.2">
      <c r="A1572" s="85"/>
      <c r="B1572" s="25" t="s">
        <v>4881</v>
      </c>
      <c r="C1572" s="25" t="s">
        <v>4882</v>
      </c>
      <c r="D1572" s="37" t="s">
        <v>3158</v>
      </c>
      <c r="E1572" s="38" t="b">
        <v>0</v>
      </c>
      <c r="F1572" s="27" t="str">
        <f>HYPERLINK("http://nsgreg.nga.mil/genc/view?v=119533&amp;gencs=T&amp;end_month=12&amp;end_day=31&amp;end_year=2014","Télimélé")</f>
        <v>Télimélé</v>
      </c>
      <c r="G1572" s="28" t="str">
        <f>HYPERLINK("http://api.nsgreg.nga.mil/geo-division/GENC/6/ed3/GN-TE","as:GENC:6:ed3:GN-TE")</f>
        <v>as:GENC:6:ed3:GN-TE</v>
      </c>
    </row>
    <row r="1573" spans="1:7" x14ac:dyDescent="0.2">
      <c r="A1573" s="85"/>
      <c r="B1573" s="25" t="s">
        <v>4879</v>
      </c>
      <c r="C1573" s="25" t="s">
        <v>4880</v>
      </c>
      <c r="D1573" s="37" t="s">
        <v>3158</v>
      </c>
      <c r="E1573" s="38" t="b">
        <v>0</v>
      </c>
      <c r="F1573" s="27" t="str">
        <f>HYPERLINK("http://nsgreg.nga.mil/genc/view?v=119534&amp;gencs=T&amp;end_month=12&amp;end_day=31&amp;end_year=2014","Tougué")</f>
        <v>Tougué</v>
      </c>
      <c r="G1573" s="28" t="str">
        <f>HYPERLINK("http://api.nsgreg.nga.mil/geo-division/GENC/6/ed3/GN-TO","as:GENC:6:ed3:GN-TO")</f>
        <v>as:GENC:6:ed3:GN-TO</v>
      </c>
    </row>
    <row r="1574" spans="1:7" x14ac:dyDescent="0.2">
      <c r="A1574" s="86"/>
      <c r="B1574" s="29" t="s">
        <v>4883</v>
      </c>
      <c r="C1574" s="29" t="s">
        <v>4884</v>
      </c>
      <c r="D1574" s="39" t="s">
        <v>3158</v>
      </c>
      <c r="E1574" s="40" t="b">
        <v>0</v>
      </c>
      <c r="F1574" s="31" t="str">
        <f>HYPERLINK("http://nsgreg.nga.mil/genc/view?v=119535&amp;gencs=T&amp;end_month=12&amp;end_day=31&amp;end_year=2014","Yomou")</f>
        <v>Yomou</v>
      </c>
      <c r="G1574" s="32" t="str">
        <f>HYPERLINK("http://api.nsgreg.nga.mil/geo-division/GENC/6/ed3/GN-YO","as:GENC:6:ed3:GN-YO")</f>
        <v>as:GENC:6:ed3:GN-YO</v>
      </c>
    </row>
    <row r="1575" spans="1:7" x14ac:dyDescent="0.2">
      <c r="A1575" s="84" t="str">
        <f>HYPERLINK("[#]Codes_for_GE_Names!A115:I115","GUINEA-BISSAU")</f>
        <v>GUINEA-BISSAU</v>
      </c>
      <c r="B1575" s="33" t="s">
        <v>4885</v>
      </c>
      <c r="C1575" s="33" t="s">
        <v>4886</v>
      </c>
      <c r="D1575" s="33" t="s">
        <v>2087</v>
      </c>
      <c r="E1575" s="34" t="b">
        <v>1</v>
      </c>
      <c r="F1575" s="35" t="str">
        <f>HYPERLINK("http://nsgreg.nga.mil/genc/view?v=211898&amp;end_month=12&amp;end_day=31&amp;end_year=2014","Bafatá")</f>
        <v>Bafatá</v>
      </c>
      <c r="G1575" s="36" t="str">
        <f>HYPERLINK("http://api.nsgreg.nga.mil/geo-division/GENC/6/ed3/GW-BA","as:GENC:6:ed3:GW-BA")</f>
        <v>as:GENC:6:ed3:GW-BA</v>
      </c>
    </row>
    <row r="1576" spans="1:7" x14ac:dyDescent="0.2">
      <c r="A1576" s="85"/>
      <c r="B1576" s="25" t="s">
        <v>4887</v>
      </c>
      <c r="C1576" s="25" t="s">
        <v>4888</v>
      </c>
      <c r="D1576" s="25" t="s">
        <v>2087</v>
      </c>
      <c r="E1576" s="26" t="b">
        <v>1</v>
      </c>
      <c r="F1576" s="27" t="str">
        <f>HYPERLINK("http://nsgreg.nga.mil/genc/view?v=211900&amp;end_month=12&amp;end_day=31&amp;end_year=2014","Biombo")</f>
        <v>Biombo</v>
      </c>
      <c r="G1576" s="28" t="str">
        <f>HYPERLINK("http://api.nsgreg.nga.mil/geo-division/GENC/6/ed3/GW-BM","as:GENC:6:ed3:GW-BM")</f>
        <v>as:GENC:6:ed3:GW-BM</v>
      </c>
    </row>
    <row r="1577" spans="1:7" x14ac:dyDescent="0.2">
      <c r="A1577" s="85"/>
      <c r="B1577" s="25" t="s">
        <v>4889</v>
      </c>
      <c r="C1577" s="25" t="s">
        <v>4890</v>
      </c>
      <c r="D1577" s="25" t="s">
        <v>4891</v>
      </c>
      <c r="E1577" s="26" t="b">
        <v>1</v>
      </c>
      <c r="F1577" s="27" t="str">
        <f>HYPERLINK("http://nsgreg.nga.mil/genc/view?v=211901&amp;end_month=12&amp;end_day=31&amp;end_year=2014","Bissau")</f>
        <v>Bissau</v>
      </c>
      <c r="G1577" s="28" t="str">
        <f>HYPERLINK("http://api.nsgreg.nga.mil/geo-division/GENC/6/ed3/GW-BS","as:GENC:6:ed3:GW-BS")</f>
        <v>as:GENC:6:ed3:GW-BS</v>
      </c>
    </row>
    <row r="1578" spans="1:7" x14ac:dyDescent="0.2">
      <c r="A1578" s="85"/>
      <c r="B1578" s="25" t="s">
        <v>4892</v>
      </c>
      <c r="C1578" s="25" t="s">
        <v>4893</v>
      </c>
      <c r="D1578" s="25" t="s">
        <v>2087</v>
      </c>
      <c r="E1578" s="26" t="b">
        <v>1</v>
      </c>
      <c r="F1578" s="27" t="str">
        <f>HYPERLINK("http://nsgreg.nga.mil/genc/view?v=211899&amp;end_month=12&amp;end_day=31&amp;end_year=2014","Bolama")</f>
        <v>Bolama</v>
      </c>
      <c r="G1578" s="28" t="str">
        <f>HYPERLINK("http://api.nsgreg.nga.mil/geo-division/GENC/6/ed3/GW-BL","as:GENC:6:ed3:GW-BL")</f>
        <v>as:GENC:6:ed3:GW-BL</v>
      </c>
    </row>
    <row r="1579" spans="1:7" x14ac:dyDescent="0.2">
      <c r="A1579" s="85"/>
      <c r="B1579" s="25" t="s">
        <v>4894</v>
      </c>
      <c r="C1579" s="25" t="s">
        <v>4895</v>
      </c>
      <c r="D1579" s="25" t="s">
        <v>2087</v>
      </c>
      <c r="E1579" s="26" t="b">
        <v>1</v>
      </c>
      <c r="F1579" s="27" t="str">
        <f>HYPERLINK("http://nsgreg.nga.mil/genc/view?v=211902&amp;end_month=12&amp;end_day=31&amp;end_year=2014","Cacheu")</f>
        <v>Cacheu</v>
      </c>
      <c r="G1579" s="28" t="str">
        <f>HYPERLINK("http://api.nsgreg.nga.mil/geo-division/GENC/6/ed3/GW-CA","as:GENC:6:ed3:GW-CA")</f>
        <v>as:GENC:6:ed3:GW-CA</v>
      </c>
    </row>
    <row r="1580" spans="1:7" x14ac:dyDescent="0.2">
      <c r="A1580" s="85"/>
      <c r="B1580" s="25" t="s">
        <v>4896</v>
      </c>
      <c r="C1580" s="25" t="s">
        <v>4897</v>
      </c>
      <c r="D1580" s="25" t="s">
        <v>2087</v>
      </c>
      <c r="E1580" s="26" t="b">
        <v>1</v>
      </c>
      <c r="F1580" s="27" t="str">
        <f>HYPERLINK("http://nsgreg.nga.mil/genc/view?v=211903&amp;end_month=12&amp;end_day=31&amp;end_year=2014","Gabú")</f>
        <v>Gabú</v>
      </c>
      <c r="G1580" s="28" t="str">
        <f>HYPERLINK("http://api.nsgreg.nga.mil/geo-division/GENC/6/ed3/GW-GA","as:GENC:6:ed3:GW-GA")</f>
        <v>as:GENC:6:ed3:GW-GA</v>
      </c>
    </row>
    <row r="1581" spans="1:7" x14ac:dyDescent="0.2">
      <c r="A1581" s="85"/>
      <c r="B1581" s="25" t="s">
        <v>4898</v>
      </c>
      <c r="C1581" s="25" t="s">
        <v>4899</v>
      </c>
      <c r="D1581" s="37" t="s">
        <v>1719</v>
      </c>
      <c r="E1581" s="38" t="b">
        <v>0</v>
      </c>
      <c r="F1581" s="27" t="str">
        <f>HYPERLINK("http://nsgreg.nga.mil/genc/view?v=211904&amp;end_month=12&amp;end_day=31&amp;end_year=2014","Leste")</f>
        <v>Leste</v>
      </c>
      <c r="G1581" s="28" t="str">
        <f>HYPERLINK("http://api.nsgreg.nga.mil/geo-division/GENC/6/ed3/GW-L","as:GENC:6:ed3:GW-L")</f>
        <v>as:GENC:6:ed3:GW-L</v>
      </c>
    </row>
    <row r="1582" spans="1:7" x14ac:dyDescent="0.2">
      <c r="A1582" s="85"/>
      <c r="B1582" s="25" t="s">
        <v>4900</v>
      </c>
      <c r="C1582" s="25" t="s">
        <v>4901</v>
      </c>
      <c r="D1582" s="37" t="s">
        <v>1719</v>
      </c>
      <c r="E1582" s="38" t="b">
        <v>0</v>
      </c>
      <c r="F1582" s="27" t="str">
        <f>HYPERLINK("http://nsgreg.nga.mil/genc/view?v=211905&amp;end_month=12&amp;end_day=31&amp;end_year=2014","Norte")</f>
        <v>Norte</v>
      </c>
      <c r="G1582" s="28" t="str">
        <f>HYPERLINK("http://api.nsgreg.nga.mil/geo-division/GENC/6/ed3/GW-N","as:GENC:6:ed3:GW-N")</f>
        <v>as:GENC:6:ed3:GW-N</v>
      </c>
    </row>
    <row r="1583" spans="1:7" x14ac:dyDescent="0.2">
      <c r="A1583" s="85"/>
      <c r="B1583" s="25" t="s">
        <v>4902</v>
      </c>
      <c r="C1583" s="25" t="s">
        <v>4903</v>
      </c>
      <c r="D1583" s="25" t="s">
        <v>2087</v>
      </c>
      <c r="E1583" s="26" t="b">
        <v>1</v>
      </c>
      <c r="F1583" s="27" t="str">
        <f>HYPERLINK("http://nsgreg.nga.mil/genc/view?v=211906&amp;end_month=12&amp;end_day=31&amp;end_year=2014","Oio")</f>
        <v>Oio</v>
      </c>
      <c r="G1583" s="28" t="str">
        <f>HYPERLINK("http://api.nsgreg.nga.mil/geo-division/GENC/6/ed3/GW-OI","as:GENC:6:ed3:GW-OI")</f>
        <v>as:GENC:6:ed3:GW-OI</v>
      </c>
    </row>
    <row r="1584" spans="1:7" x14ac:dyDescent="0.2">
      <c r="A1584" s="85"/>
      <c r="B1584" s="25" t="s">
        <v>4904</v>
      </c>
      <c r="C1584" s="25" t="s">
        <v>4905</v>
      </c>
      <c r="D1584" s="25" t="s">
        <v>2087</v>
      </c>
      <c r="E1584" s="26" t="b">
        <v>1</v>
      </c>
      <c r="F1584" s="27" t="str">
        <f>HYPERLINK("http://nsgreg.nga.mil/genc/view?v=211907&amp;end_month=12&amp;end_day=31&amp;end_year=2014","Quinara")</f>
        <v>Quinara</v>
      </c>
      <c r="G1584" s="28" t="str">
        <f>HYPERLINK("http://api.nsgreg.nga.mil/geo-division/GENC/6/ed3/GW-QU","as:GENC:6:ed3:GW-QU")</f>
        <v>as:GENC:6:ed3:GW-QU</v>
      </c>
    </row>
    <row r="1585" spans="1:7" x14ac:dyDescent="0.2">
      <c r="A1585" s="85"/>
      <c r="B1585" s="25" t="s">
        <v>4906</v>
      </c>
      <c r="C1585" s="25" t="s">
        <v>4907</v>
      </c>
      <c r="D1585" s="37" t="s">
        <v>1719</v>
      </c>
      <c r="E1585" s="38" t="b">
        <v>0</v>
      </c>
      <c r="F1585" s="27" t="str">
        <f>HYPERLINK("http://nsgreg.nga.mil/genc/view?v=211908&amp;end_month=12&amp;end_day=31&amp;end_year=2014","Sul")</f>
        <v>Sul</v>
      </c>
      <c r="G1585" s="28" t="str">
        <f>HYPERLINK("http://api.nsgreg.nga.mil/geo-division/GENC/6/ed3/GW-S","as:GENC:6:ed3:GW-S")</f>
        <v>as:GENC:6:ed3:GW-S</v>
      </c>
    </row>
    <row r="1586" spans="1:7" x14ac:dyDescent="0.2">
      <c r="A1586" s="86"/>
      <c r="B1586" s="29" t="s">
        <v>4908</v>
      </c>
      <c r="C1586" s="29" t="s">
        <v>4909</v>
      </c>
      <c r="D1586" s="29" t="s">
        <v>2087</v>
      </c>
      <c r="E1586" s="30" t="b">
        <v>1</v>
      </c>
      <c r="F1586" s="31" t="str">
        <f>HYPERLINK("http://nsgreg.nga.mil/genc/view?v=211909&amp;end_month=12&amp;end_day=31&amp;end_year=2014","Tombali")</f>
        <v>Tombali</v>
      </c>
      <c r="G1586" s="32" t="str">
        <f>HYPERLINK("http://api.nsgreg.nga.mil/geo-division/GENC/6/ed3/GW-TO","as:GENC:6:ed3:GW-TO")</f>
        <v>as:GENC:6:ed3:GW-TO</v>
      </c>
    </row>
    <row r="1587" spans="1:7" x14ac:dyDescent="0.2">
      <c r="A1587" s="84" t="str">
        <f>HYPERLINK("[#]Codes_for_GE_Names!A116:I116","GUYANA")</f>
        <v>GUYANA</v>
      </c>
      <c r="B1587" s="33" t="s">
        <v>4910</v>
      </c>
      <c r="C1587" s="33" t="s">
        <v>4911</v>
      </c>
      <c r="D1587" s="33" t="s">
        <v>2087</v>
      </c>
      <c r="E1587" s="34" t="b">
        <v>1</v>
      </c>
      <c r="F1587" s="35" t="str">
        <f>HYPERLINK("http://nsgreg.nga.mil/genc/view?v=119644&amp;gencs=T&amp;end_month=12&amp;end_day=31&amp;end_year=2014","Barima-Waini")</f>
        <v>Barima-Waini</v>
      </c>
      <c r="G1587" s="36" t="str">
        <f>HYPERLINK("http://api.nsgreg.nga.mil/geo-division/GENC/6/ed3/GY-BA","as:GENC:6:ed3:GY-BA")</f>
        <v>as:GENC:6:ed3:GY-BA</v>
      </c>
    </row>
    <row r="1588" spans="1:7" x14ac:dyDescent="0.2">
      <c r="A1588" s="85"/>
      <c r="B1588" s="25" t="s">
        <v>4912</v>
      </c>
      <c r="C1588" s="25" t="s">
        <v>4913</v>
      </c>
      <c r="D1588" s="25" t="s">
        <v>2087</v>
      </c>
      <c r="E1588" s="26" t="b">
        <v>1</v>
      </c>
      <c r="F1588" s="27" t="str">
        <f>HYPERLINK("http://nsgreg.nga.mil/genc/view?v=119645&amp;gencs=T&amp;end_month=12&amp;end_day=31&amp;end_year=2014","Cuyuni-Mazaruni")</f>
        <v>Cuyuni-Mazaruni</v>
      </c>
      <c r="G1588" s="28" t="str">
        <f>HYPERLINK("http://api.nsgreg.nga.mil/geo-division/GENC/6/ed3/GY-CU","as:GENC:6:ed3:GY-CU")</f>
        <v>as:GENC:6:ed3:GY-CU</v>
      </c>
    </row>
    <row r="1589" spans="1:7" x14ac:dyDescent="0.2">
      <c r="A1589" s="85"/>
      <c r="B1589" s="25" t="s">
        <v>4914</v>
      </c>
      <c r="C1589" s="25" t="s">
        <v>4915</v>
      </c>
      <c r="D1589" s="25" t="s">
        <v>2087</v>
      </c>
      <c r="E1589" s="26" t="b">
        <v>1</v>
      </c>
      <c r="F1589" s="27" t="str">
        <f>HYPERLINK("http://nsgreg.nga.mil/genc/view?v=119646&amp;gencs=T&amp;end_month=12&amp;end_day=31&amp;end_year=2014","Demerara-Mahaica")</f>
        <v>Demerara-Mahaica</v>
      </c>
      <c r="G1589" s="28" t="str">
        <f>HYPERLINK("http://api.nsgreg.nga.mil/geo-division/GENC/6/ed3/GY-DE","as:GENC:6:ed3:GY-DE")</f>
        <v>as:GENC:6:ed3:GY-DE</v>
      </c>
    </row>
    <row r="1590" spans="1:7" x14ac:dyDescent="0.2">
      <c r="A1590" s="85"/>
      <c r="B1590" s="25" t="s">
        <v>4916</v>
      </c>
      <c r="C1590" s="25" t="s">
        <v>4917</v>
      </c>
      <c r="D1590" s="25" t="s">
        <v>2087</v>
      </c>
      <c r="E1590" s="26" t="b">
        <v>1</v>
      </c>
      <c r="F1590" s="27" t="str">
        <f>HYPERLINK("http://nsgreg.nga.mil/genc/view?v=119647&amp;gencs=T&amp;end_month=12&amp;end_day=31&amp;end_year=2014","East Berbice-Corentyne")</f>
        <v>East Berbice-Corentyne</v>
      </c>
      <c r="G1590" s="28" t="str">
        <f>HYPERLINK("http://api.nsgreg.nga.mil/geo-division/GENC/6/ed3/GY-EB","as:GENC:6:ed3:GY-EB")</f>
        <v>as:GENC:6:ed3:GY-EB</v>
      </c>
    </row>
    <row r="1591" spans="1:7" x14ac:dyDescent="0.2">
      <c r="A1591" s="85"/>
      <c r="B1591" s="25" t="s">
        <v>4918</v>
      </c>
      <c r="C1591" s="25" t="s">
        <v>4919</v>
      </c>
      <c r="D1591" s="25" t="s">
        <v>2087</v>
      </c>
      <c r="E1591" s="26" t="b">
        <v>1</v>
      </c>
      <c r="F1591" s="27" t="str">
        <f>HYPERLINK("http://nsgreg.nga.mil/genc/view?v=119648&amp;gencs=T&amp;end_month=12&amp;end_day=31&amp;end_year=2014","Essequibo Islands-West Demerara")</f>
        <v>Essequibo Islands-West Demerara</v>
      </c>
      <c r="G1591" s="28" t="str">
        <f>HYPERLINK("http://api.nsgreg.nga.mil/geo-division/GENC/6/ed3/GY-ES","as:GENC:6:ed3:GY-ES")</f>
        <v>as:GENC:6:ed3:GY-ES</v>
      </c>
    </row>
    <row r="1592" spans="1:7" x14ac:dyDescent="0.2">
      <c r="A1592" s="85"/>
      <c r="B1592" s="25" t="s">
        <v>4920</v>
      </c>
      <c r="C1592" s="25" t="s">
        <v>4921</v>
      </c>
      <c r="D1592" s="25" t="s">
        <v>2087</v>
      </c>
      <c r="E1592" s="26" t="b">
        <v>1</v>
      </c>
      <c r="F1592" s="27" t="str">
        <f>HYPERLINK("http://nsgreg.nga.mil/genc/view?v=119649&amp;gencs=T&amp;end_month=12&amp;end_day=31&amp;end_year=2014","Mahaica-Berbice")</f>
        <v>Mahaica-Berbice</v>
      </c>
      <c r="G1592" s="28" t="str">
        <f>HYPERLINK("http://api.nsgreg.nga.mil/geo-division/GENC/6/ed3/GY-MA","as:GENC:6:ed3:GY-MA")</f>
        <v>as:GENC:6:ed3:GY-MA</v>
      </c>
    </row>
    <row r="1593" spans="1:7" x14ac:dyDescent="0.2">
      <c r="A1593" s="85"/>
      <c r="B1593" s="25" t="s">
        <v>4922</v>
      </c>
      <c r="C1593" s="25" t="s">
        <v>4923</v>
      </c>
      <c r="D1593" s="25" t="s">
        <v>2087</v>
      </c>
      <c r="E1593" s="26" t="b">
        <v>1</v>
      </c>
      <c r="F1593" s="27" t="str">
        <f>HYPERLINK("http://nsgreg.nga.mil/genc/view?v=119650&amp;gencs=T&amp;end_month=12&amp;end_day=31&amp;end_year=2014","Pomeroon-Supenaam")</f>
        <v>Pomeroon-Supenaam</v>
      </c>
      <c r="G1593" s="28" t="str">
        <f>HYPERLINK("http://api.nsgreg.nga.mil/geo-division/GENC/6/ed3/GY-PM","as:GENC:6:ed3:GY-PM")</f>
        <v>as:GENC:6:ed3:GY-PM</v>
      </c>
    </row>
    <row r="1594" spans="1:7" x14ac:dyDescent="0.2">
      <c r="A1594" s="85"/>
      <c r="B1594" s="25" t="s">
        <v>4924</v>
      </c>
      <c r="C1594" s="25" t="s">
        <v>4925</v>
      </c>
      <c r="D1594" s="25" t="s">
        <v>2087</v>
      </c>
      <c r="E1594" s="26" t="b">
        <v>1</v>
      </c>
      <c r="F1594" s="27" t="str">
        <f>HYPERLINK("http://nsgreg.nga.mil/genc/view?v=119651&amp;gencs=T&amp;end_month=12&amp;end_day=31&amp;end_year=2014","Potaro-Siparuni")</f>
        <v>Potaro-Siparuni</v>
      </c>
      <c r="G1594" s="28" t="str">
        <f>HYPERLINK("http://api.nsgreg.nga.mil/geo-division/GENC/6/ed3/GY-PT","as:GENC:6:ed3:GY-PT")</f>
        <v>as:GENC:6:ed3:GY-PT</v>
      </c>
    </row>
    <row r="1595" spans="1:7" x14ac:dyDescent="0.2">
      <c r="A1595" s="85"/>
      <c r="B1595" s="25" t="s">
        <v>4926</v>
      </c>
      <c r="C1595" s="25" t="s">
        <v>4927</v>
      </c>
      <c r="D1595" s="25" t="s">
        <v>2087</v>
      </c>
      <c r="E1595" s="26" t="b">
        <v>1</v>
      </c>
      <c r="F1595" s="27" t="str">
        <f>HYPERLINK("http://nsgreg.nga.mil/genc/view?v=119652&amp;gencs=T&amp;end_month=12&amp;end_day=31&amp;end_year=2014","Upper Demerara-Berbice")</f>
        <v>Upper Demerara-Berbice</v>
      </c>
      <c r="G1595" s="28" t="str">
        <f>HYPERLINK("http://api.nsgreg.nga.mil/geo-division/GENC/6/ed3/GY-UD","as:GENC:6:ed3:GY-UD")</f>
        <v>as:GENC:6:ed3:GY-UD</v>
      </c>
    </row>
    <row r="1596" spans="1:7" x14ac:dyDescent="0.2">
      <c r="A1596" s="86"/>
      <c r="B1596" s="29" t="s">
        <v>4928</v>
      </c>
      <c r="C1596" s="29" t="s">
        <v>4929</v>
      </c>
      <c r="D1596" s="29" t="s">
        <v>2087</v>
      </c>
      <c r="E1596" s="30" t="b">
        <v>1</v>
      </c>
      <c r="F1596" s="31" t="str">
        <f>HYPERLINK("http://nsgreg.nga.mil/genc/view?v=119653&amp;gencs=T&amp;end_month=12&amp;end_day=31&amp;end_year=2014","Upper Takutu-Upper Essequibo")</f>
        <v>Upper Takutu-Upper Essequibo</v>
      </c>
      <c r="G1596" s="32" t="str">
        <f>HYPERLINK("http://api.nsgreg.nga.mil/geo-division/GENC/6/ed3/GY-UT","as:GENC:6:ed3:GY-UT")</f>
        <v>as:GENC:6:ed3:GY-UT</v>
      </c>
    </row>
    <row r="1597" spans="1:7" x14ac:dyDescent="0.2">
      <c r="A1597" s="84" t="str">
        <f>HYPERLINK("[#]Codes_for_GE_Names!A117:I117","HAITI")</f>
        <v>HAITI</v>
      </c>
      <c r="B1597" s="33" t="s">
        <v>4930</v>
      </c>
      <c r="C1597" s="33" t="s">
        <v>4931</v>
      </c>
      <c r="D1597" s="33" t="s">
        <v>2590</v>
      </c>
      <c r="E1597" s="34" t="b">
        <v>1</v>
      </c>
      <c r="F1597" s="35" t="str">
        <f>HYPERLINK("http://nsgreg.nga.mil/genc/view?v=119693&amp;gencs=T&amp;end_month=12&amp;end_day=31&amp;end_year=2014","Artibonite")</f>
        <v>Artibonite</v>
      </c>
      <c r="G1597" s="36" t="str">
        <f>HYPERLINK("http://api.nsgreg.nga.mil/geo-division/GENC/6/ed3/HT-AR","as:GENC:6:ed3:HT-AR")</f>
        <v>as:GENC:6:ed3:HT-AR</v>
      </c>
    </row>
    <row r="1598" spans="1:7" x14ac:dyDescent="0.2">
      <c r="A1598" s="85"/>
      <c r="B1598" s="25" t="s">
        <v>4932</v>
      </c>
      <c r="C1598" s="25" t="s">
        <v>2875</v>
      </c>
      <c r="D1598" s="25" t="s">
        <v>2590</v>
      </c>
      <c r="E1598" s="26" t="b">
        <v>1</v>
      </c>
      <c r="F1598" s="27" t="str">
        <f>HYPERLINK("http://nsgreg.nga.mil/genc/view?v=119694&amp;gencs=T&amp;end_month=12&amp;end_day=31&amp;end_year=2014","Centre")</f>
        <v>Centre</v>
      </c>
      <c r="G1598" s="28" t="str">
        <f>HYPERLINK("http://api.nsgreg.nga.mil/geo-division/GENC/6/ed3/HT-CE","as:GENC:6:ed3:HT-CE")</f>
        <v>as:GENC:6:ed3:HT-CE</v>
      </c>
    </row>
    <row r="1599" spans="1:7" x14ac:dyDescent="0.2">
      <c r="A1599" s="85"/>
      <c r="B1599" s="25" t="s">
        <v>4933</v>
      </c>
      <c r="C1599" s="25" t="s">
        <v>4935</v>
      </c>
      <c r="D1599" s="25" t="s">
        <v>2590</v>
      </c>
      <c r="E1599" s="26" t="b">
        <v>1</v>
      </c>
      <c r="F1599" s="27" t="str">
        <f>HYPERLINK("http://nsgreg.nga.mil/genc/view?v=119695&amp;gencs=T&amp;end_month=12&amp;end_day=31&amp;end_year=2014","Grande-Anse")</f>
        <v>Grande-Anse</v>
      </c>
      <c r="G1599" s="28" t="str">
        <f>HYPERLINK("http://api.nsgreg.nga.mil/geo-division/GENC/6/ed3/HT-GA","as:GENC:6:ed3:HT-GA")</f>
        <v>as:GENC:6:ed3:HT-GA</v>
      </c>
    </row>
    <row r="1600" spans="1:7" x14ac:dyDescent="0.2">
      <c r="A1600" s="85"/>
      <c r="B1600" s="25" t="s">
        <v>4939</v>
      </c>
      <c r="C1600" s="25" t="s">
        <v>4941</v>
      </c>
      <c r="D1600" s="25" t="s">
        <v>2590</v>
      </c>
      <c r="E1600" s="26" t="b">
        <v>1</v>
      </c>
      <c r="F1600" s="27" t="str">
        <f>HYPERLINK("http://nsgreg.nga.mil/genc/view?v=119698&amp;gencs=T&amp;end_month=12&amp;end_day=31&amp;end_year=2014","Nippes")</f>
        <v>Nippes</v>
      </c>
      <c r="G1600" s="28" t="str">
        <f>HYPERLINK("http://api.nsgreg.nga.mil/geo-division/GENC/6/ed3/HT-NI","as:GENC:6:ed3:HT-NI")</f>
        <v>as:GENC:6:ed3:HT-NI</v>
      </c>
    </row>
    <row r="1601" spans="1:7" x14ac:dyDescent="0.2">
      <c r="A1601" s="85"/>
      <c r="B1601" s="25" t="s">
        <v>4942</v>
      </c>
      <c r="C1601" s="25" t="s">
        <v>2929</v>
      </c>
      <c r="D1601" s="25" t="s">
        <v>2590</v>
      </c>
      <c r="E1601" s="26" t="b">
        <v>1</v>
      </c>
      <c r="F1601" s="27" t="str">
        <f>HYPERLINK("http://nsgreg.nga.mil/genc/view?v=119696&amp;gencs=T&amp;end_month=12&amp;end_day=31&amp;end_year=2014","Nord")</f>
        <v>Nord</v>
      </c>
      <c r="G1601" s="28" t="str">
        <f>HYPERLINK("http://api.nsgreg.nga.mil/geo-division/GENC/6/ed3/HT-ND","as:GENC:6:ed3:HT-ND")</f>
        <v>as:GENC:6:ed3:HT-ND</v>
      </c>
    </row>
    <row r="1602" spans="1:7" x14ac:dyDescent="0.2">
      <c r="A1602" s="85"/>
      <c r="B1602" s="25" t="s">
        <v>4943</v>
      </c>
      <c r="C1602" s="25" t="s">
        <v>4944</v>
      </c>
      <c r="D1602" s="25" t="s">
        <v>2590</v>
      </c>
      <c r="E1602" s="26" t="b">
        <v>1</v>
      </c>
      <c r="F1602" s="27" t="str">
        <f>HYPERLINK("http://nsgreg.nga.mil/genc/view?v=119697&amp;gencs=T&amp;end_month=12&amp;end_day=31&amp;end_year=2014","Nord-Est")</f>
        <v>Nord-Est</v>
      </c>
      <c r="G1602" s="28" t="str">
        <f>HYPERLINK("http://api.nsgreg.nga.mil/geo-division/GENC/6/ed3/HT-NE","as:GENC:6:ed3:HT-NE")</f>
        <v>as:GENC:6:ed3:HT-NE</v>
      </c>
    </row>
    <row r="1603" spans="1:7" x14ac:dyDescent="0.2">
      <c r="A1603" s="85"/>
      <c r="B1603" s="25" t="s">
        <v>4945</v>
      </c>
      <c r="C1603" s="25" t="s">
        <v>3066</v>
      </c>
      <c r="D1603" s="25" t="s">
        <v>2590</v>
      </c>
      <c r="E1603" s="26" t="b">
        <v>1</v>
      </c>
      <c r="F1603" s="27" t="str">
        <f>HYPERLINK("http://nsgreg.nga.mil/genc/view?v=119699&amp;gencs=T&amp;end_month=12&amp;end_day=31&amp;end_year=2014","Nord-Ouest")</f>
        <v>Nord-Ouest</v>
      </c>
      <c r="G1603" s="28" t="str">
        <f>HYPERLINK("http://api.nsgreg.nga.mil/geo-division/GENC/6/ed3/HT-NO","as:GENC:6:ed3:HT-NO")</f>
        <v>as:GENC:6:ed3:HT-NO</v>
      </c>
    </row>
    <row r="1604" spans="1:7" x14ac:dyDescent="0.2">
      <c r="A1604" s="85"/>
      <c r="B1604" s="25" t="s">
        <v>4937</v>
      </c>
      <c r="C1604" s="25" t="s">
        <v>3069</v>
      </c>
      <c r="D1604" s="25" t="s">
        <v>2590</v>
      </c>
      <c r="E1604" s="26" t="b">
        <v>1</v>
      </c>
      <c r="F1604" s="27" t="str">
        <f>HYPERLINK("http://nsgreg.nga.mil/genc/view?v=119700&amp;gencs=T&amp;end_month=12&amp;end_day=31&amp;end_year=2014","Ouest")</f>
        <v>Ouest</v>
      </c>
      <c r="G1604" s="28" t="str">
        <f>HYPERLINK("http://api.nsgreg.nga.mil/geo-division/GENC/6/ed3/HT-OU","as:GENC:6:ed3:HT-OU")</f>
        <v>as:GENC:6:ed3:HT-OU</v>
      </c>
    </row>
    <row r="1605" spans="1:7" x14ac:dyDescent="0.2">
      <c r="A1605" s="85"/>
      <c r="B1605" s="25" t="s">
        <v>4950</v>
      </c>
      <c r="C1605" s="25" t="s">
        <v>3074</v>
      </c>
      <c r="D1605" s="25" t="s">
        <v>2590</v>
      </c>
      <c r="E1605" s="26" t="b">
        <v>1</v>
      </c>
      <c r="F1605" s="27" t="str">
        <f>HYPERLINK("http://nsgreg.nga.mil/genc/view?v=119701&amp;gencs=T&amp;end_month=12&amp;end_day=31&amp;end_year=2014","Sud")</f>
        <v>Sud</v>
      </c>
      <c r="G1605" s="28" t="str">
        <f>HYPERLINK("http://api.nsgreg.nga.mil/geo-division/GENC/6/ed3/HT-SD","as:GENC:6:ed3:HT-SD")</f>
        <v>as:GENC:6:ed3:HT-SD</v>
      </c>
    </row>
    <row r="1606" spans="1:7" x14ac:dyDescent="0.2">
      <c r="A1606" s="86"/>
      <c r="B1606" s="29" t="s">
        <v>4952</v>
      </c>
      <c r="C1606" s="29" t="s">
        <v>4954</v>
      </c>
      <c r="D1606" s="29" t="s">
        <v>2590</v>
      </c>
      <c r="E1606" s="30" t="b">
        <v>1</v>
      </c>
      <c r="F1606" s="31" t="str">
        <f>HYPERLINK("http://nsgreg.nga.mil/genc/view?v=119702&amp;gencs=T&amp;end_month=12&amp;end_day=31&amp;end_year=2014","Sud-Est")</f>
        <v>Sud-Est</v>
      </c>
      <c r="G1606" s="32" t="str">
        <f>HYPERLINK("http://api.nsgreg.nga.mil/geo-division/GENC/6/ed3/HT-SE","as:GENC:6:ed3:HT-SE")</f>
        <v>as:GENC:6:ed3:HT-SE</v>
      </c>
    </row>
    <row r="1607" spans="1:7" x14ac:dyDescent="0.2">
      <c r="A1607" s="84" t="str">
        <f>HYPERLINK("[#]Codes_for_GE_Names!A119:I119","HONDURAS")</f>
        <v>HONDURAS</v>
      </c>
      <c r="B1607" s="33" t="s">
        <v>4955</v>
      </c>
      <c r="C1607" s="33" t="s">
        <v>4956</v>
      </c>
      <c r="D1607" s="33" t="s">
        <v>2590</v>
      </c>
      <c r="E1607" s="34" t="b">
        <v>1</v>
      </c>
      <c r="F1607" s="35" t="str">
        <f>HYPERLINK("http://nsgreg.nga.mil/genc/view?v=119654&amp;gencs=T&amp;end_month=12&amp;end_day=31&amp;end_year=2014","Atlántida")</f>
        <v>Atlántida</v>
      </c>
      <c r="G1607" s="36" t="str">
        <f>HYPERLINK("http://api.nsgreg.nga.mil/geo-division/GENC/6/ed3/HN-AT","as:GENC:6:ed3:HN-AT")</f>
        <v>as:GENC:6:ed3:HN-AT</v>
      </c>
    </row>
    <row r="1608" spans="1:7" x14ac:dyDescent="0.2">
      <c r="A1608" s="85"/>
      <c r="B1608" s="25" t="s">
        <v>4957</v>
      </c>
      <c r="C1608" s="25" t="s">
        <v>4958</v>
      </c>
      <c r="D1608" s="25" t="s">
        <v>2590</v>
      </c>
      <c r="E1608" s="26" t="b">
        <v>1</v>
      </c>
      <c r="F1608" s="27" t="str">
        <f>HYPERLINK("http://nsgreg.nga.mil/genc/view?v=119655&amp;gencs=T&amp;end_month=12&amp;end_day=31&amp;end_year=2014","Choluteca")</f>
        <v>Choluteca</v>
      </c>
      <c r="G1608" s="28" t="str">
        <f>HYPERLINK("http://api.nsgreg.nga.mil/geo-division/GENC/6/ed3/HN-CH","as:GENC:6:ed3:HN-CH")</f>
        <v>as:GENC:6:ed3:HN-CH</v>
      </c>
    </row>
    <row r="1609" spans="1:7" x14ac:dyDescent="0.2">
      <c r="A1609" s="85"/>
      <c r="B1609" s="25" t="s">
        <v>4959</v>
      </c>
      <c r="C1609" s="25" t="s">
        <v>4960</v>
      </c>
      <c r="D1609" s="25" t="s">
        <v>2590</v>
      </c>
      <c r="E1609" s="26" t="b">
        <v>1</v>
      </c>
      <c r="F1609" s="27" t="str">
        <f>HYPERLINK("http://nsgreg.nga.mil/genc/view?v=119656&amp;gencs=T&amp;end_month=12&amp;end_day=31&amp;end_year=2014","Colón")</f>
        <v>Colón</v>
      </c>
      <c r="G1609" s="28" t="str">
        <f>HYPERLINK("http://api.nsgreg.nga.mil/geo-division/GENC/6/ed3/HN-CL","as:GENC:6:ed3:HN-CL")</f>
        <v>as:GENC:6:ed3:HN-CL</v>
      </c>
    </row>
    <row r="1610" spans="1:7" x14ac:dyDescent="0.2">
      <c r="A1610" s="85"/>
      <c r="B1610" s="25" t="s">
        <v>4961</v>
      </c>
      <c r="C1610" s="25" t="s">
        <v>4962</v>
      </c>
      <c r="D1610" s="25" t="s">
        <v>2590</v>
      </c>
      <c r="E1610" s="26" t="b">
        <v>1</v>
      </c>
      <c r="F1610" s="27" t="str">
        <f>HYPERLINK("http://nsgreg.nga.mil/genc/view?v=119657&amp;gencs=T&amp;end_month=12&amp;end_day=31&amp;end_year=2014","Comayagua")</f>
        <v>Comayagua</v>
      </c>
      <c r="G1610" s="28" t="str">
        <f>HYPERLINK("http://api.nsgreg.nga.mil/geo-division/GENC/6/ed3/HN-CM","as:GENC:6:ed3:HN-CM")</f>
        <v>as:GENC:6:ed3:HN-CM</v>
      </c>
    </row>
    <row r="1611" spans="1:7" x14ac:dyDescent="0.2">
      <c r="A1611" s="85"/>
      <c r="B1611" s="25" t="s">
        <v>4963</v>
      </c>
      <c r="C1611" s="25" t="s">
        <v>4964</v>
      </c>
      <c r="D1611" s="25" t="s">
        <v>2590</v>
      </c>
      <c r="E1611" s="26" t="b">
        <v>1</v>
      </c>
      <c r="F1611" s="27" t="str">
        <f>HYPERLINK("http://nsgreg.nga.mil/genc/view?v=119658&amp;gencs=T&amp;end_month=12&amp;end_day=31&amp;end_year=2014","Copán")</f>
        <v>Copán</v>
      </c>
      <c r="G1611" s="28" t="str">
        <f>HYPERLINK("http://api.nsgreg.nga.mil/geo-division/GENC/6/ed3/HN-CP","as:GENC:6:ed3:HN-CP")</f>
        <v>as:GENC:6:ed3:HN-CP</v>
      </c>
    </row>
    <row r="1612" spans="1:7" x14ac:dyDescent="0.2">
      <c r="A1612" s="85"/>
      <c r="B1612" s="25" t="s">
        <v>4965</v>
      </c>
      <c r="C1612" s="25" t="s">
        <v>4966</v>
      </c>
      <c r="D1612" s="25" t="s">
        <v>2590</v>
      </c>
      <c r="E1612" s="26" t="b">
        <v>1</v>
      </c>
      <c r="F1612" s="27" t="str">
        <f>HYPERLINK("http://nsgreg.nga.mil/genc/view?v=119659&amp;gencs=T&amp;end_month=12&amp;end_day=31&amp;end_year=2014","Cortés")</f>
        <v>Cortés</v>
      </c>
      <c r="G1612" s="28" t="str">
        <f>HYPERLINK("http://api.nsgreg.nga.mil/geo-division/GENC/6/ed3/HN-CR","as:GENC:6:ed3:HN-CR")</f>
        <v>as:GENC:6:ed3:HN-CR</v>
      </c>
    </row>
    <row r="1613" spans="1:7" x14ac:dyDescent="0.2">
      <c r="A1613" s="85"/>
      <c r="B1613" s="25" t="s">
        <v>4967</v>
      </c>
      <c r="C1613" s="25" t="s">
        <v>4968</v>
      </c>
      <c r="D1613" s="25" t="s">
        <v>2590</v>
      </c>
      <c r="E1613" s="26" t="b">
        <v>1</v>
      </c>
      <c r="F1613" s="27" t="str">
        <f>HYPERLINK("http://nsgreg.nga.mil/genc/view?v=119660&amp;gencs=T&amp;end_month=12&amp;end_day=31&amp;end_year=2014","El Paraíso")</f>
        <v>El Paraíso</v>
      </c>
      <c r="G1613" s="28" t="str">
        <f>HYPERLINK("http://api.nsgreg.nga.mil/geo-division/GENC/6/ed3/HN-EP","as:GENC:6:ed3:HN-EP")</f>
        <v>as:GENC:6:ed3:HN-EP</v>
      </c>
    </row>
    <row r="1614" spans="1:7" x14ac:dyDescent="0.2">
      <c r="A1614" s="85"/>
      <c r="B1614" s="25" t="s">
        <v>4969</v>
      </c>
      <c r="C1614" s="25" t="s">
        <v>4970</v>
      </c>
      <c r="D1614" s="25" t="s">
        <v>2590</v>
      </c>
      <c r="E1614" s="26" t="b">
        <v>1</v>
      </c>
      <c r="F1614" s="27" t="str">
        <f>HYPERLINK("http://nsgreg.nga.mil/genc/view?v=119661&amp;gencs=T&amp;end_month=12&amp;end_day=31&amp;end_year=2014","Francisco Morazán")</f>
        <v>Francisco Morazán</v>
      </c>
      <c r="G1614" s="28" t="str">
        <f>HYPERLINK("http://api.nsgreg.nga.mil/geo-division/GENC/6/ed3/HN-FM","as:GENC:6:ed3:HN-FM")</f>
        <v>as:GENC:6:ed3:HN-FM</v>
      </c>
    </row>
    <row r="1615" spans="1:7" x14ac:dyDescent="0.2">
      <c r="A1615" s="85"/>
      <c r="B1615" s="25" t="s">
        <v>4971</v>
      </c>
      <c r="C1615" s="25" t="s">
        <v>4972</v>
      </c>
      <c r="D1615" s="25" t="s">
        <v>2590</v>
      </c>
      <c r="E1615" s="26" t="b">
        <v>1</v>
      </c>
      <c r="F1615" s="27" t="str">
        <f>HYPERLINK("http://nsgreg.nga.mil/genc/view?v=119662&amp;gencs=T&amp;end_month=12&amp;end_day=31&amp;end_year=2014","Gracias a Dios")</f>
        <v>Gracias a Dios</v>
      </c>
      <c r="G1615" s="28" t="str">
        <f>HYPERLINK("http://api.nsgreg.nga.mil/geo-division/GENC/6/ed3/HN-GD","as:GENC:6:ed3:HN-GD")</f>
        <v>as:GENC:6:ed3:HN-GD</v>
      </c>
    </row>
    <row r="1616" spans="1:7" x14ac:dyDescent="0.2">
      <c r="A1616" s="85"/>
      <c r="B1616" s="25" t="s">
        <v>4973</v>
      </c>
      <c r="C1616" s="25" t="s">
        <v>4974</v>
      </c>
      <c r="D1616" s="25" t="s">
        <v>2590</v>
      </c>
      <c r="E1616" s="26" t="b">
        <v>1</v>
      </c>
      <c r="F1616" s="27" t="str">
        <f>HYPERLINK("http://nsgreg.nga.mil/genc/view?v=119664&amp;gencs=T&amp;end_month=12&amp;end_day=31&amp;end_year=2014","Intibucá")</f>
        <v>Intibucá</v>
      </c>
      <c r="G1616" s="28" t="str">
        <f>HYPERLINK("http://api.nsgreg.nga.mil/geo-division/GENC/6/ed3/HN-IN","as:GENC:6:ed3:HN-IN")</f>
        <v>as:GENC:6:ed3:HN-IN</v>
      </c>
    </row>
    <row r="1617" spans="1:7" x14ac:dyDescent="0.2">
      <c r="A1617" s="85"/>
      <c r="B1617" s="25" t="s">
        <v>4975</v>
      </c>
      <c r="C1617" s="25" t="s">
        <v>4976</v>
      </c>
      <c r="D1617" s="25" t="s">
        <v>2590</v>
      </c>
      <c r="E1617" s="26" t="b">
        <v>1</v>
      </c>
      <c r="F1617" s="27" t="str">
        <f>HYPERLINK("http://nsgreg.nga.mil/genc/view?v=119663&amp;gencs=T&amp;end_month=12&amp;end_day=31&amp;end_year=2014","Islas de la Bahía")</f>
        <v>Islas de la Bahía</v>
      </c>
      <c r="G1617" s="28" t="str">
        <f>HYPERLINK("http://api.nsgreg.nga.mil/geo-division/GENC/6/ed3/HN-IB","as:GENC:6:ed3:HN-IB")</f>
        <v>as:GENC:6:ed3:HN-IB</v>
      </c>
    </row>
    <row r="1618" spans="1:7" x14ac:dyDescent="0.2">
      <c r="A1618" s="85"/>
      <c r="B1618" s="25" t="s">
        <v>4977</v>
      </c>
      <c r="C1618" s="25" t="s">
        <v>2661</v>
      </c>
      <c r="D1618" s="25" t="s">
        <v>2590</v>
      </c>
      <c r="E1618" s="26" t="b">
        <v>1</v>
      </c>
      <c r="F1618" s="27" t="str">
        <f>HYPERLINK("http://nsgreg.nga.mil/genc/view?v=119666&amp;gencs=T&amp;end_month=12&amp;end_day=31&amp;end_year=2014","La Paz")</f>
        <v>La Paz</v>
      </c>
      <c r="G1618" s="28" t="str">
        <f>HYPERLINK("http://api.nsgreg.nga.mil/geo-division/GENC/6/ed3/HN-LP","as:GENC:6:ed3:HN-LP")</f>
        <v>as:GENC:6:ed3:HN-LP</v>
      </c>
    </row>
    <row r="1619" spans="1:7" x14ac:dyDescent="0.2">
      <c r="A1619" s="85"/>
      <c r="B1619" s="25" t="s">
        <v>4978</v>
      </c>
      <c r="C1619" s="25" t="s">
        <v>4979</v>
      </c>
      <c r="D1619" s="25" t="s">
        <v>2590</v>
      </c>
      <c r="E1619" s="26" t="b">
        <v>1</v>
      </c>
      <c r="F1619" s="27" t="str">
        <f>HYPERLINK("http://nsgreg.nga.mil/genc/view?v=119665&amp;gencs=T&amp;end_month=12&amp;end_day=31&amp;end_year=2014","Lempira")</f>
        <v>Lempira</v>
      </c>
      <c r="G1619" s="28" t="str">
        <f>HYPERLINK("http://api.nsgreg.nga.mil/geo-division/GENC/6/ed3/HN-LE","as:GENC:6:ed3:HN-LE")</f>
        <v>as:GENC:6:ed3:HN-LE</v>
      </c>
    </row>
    <row r="1620" spans="1:7" x14ac:dyDescent="0.2">
      <c r="A1620" s="85"/>
      <c r="B1620" s="25" t="s">
        <v>4980</v>
      </c>
      <c r="C1620" s="25" t="s">
        <v>4981</v>
      </c>
      <c r="D1620" s="25" t="s">
        <v>2590</v>
      </c>
      <c r="E1620" s="26" t="b">
        <v>1</v>
      </c>
      <c r="F1620" s="27" t="str">
        <f>HYPERLINK("http://nsgreg.nga.mil/genc/view?v=119667&amp;gencs=T&amp;end_month=12&amp;end_day=31&amp;end_year=2014","Ocotepeque")</f>
        <v>Ocotepeque</v>
      </c>
      <c r="G1620" s="28" t="str">
        <f>HYPERLINK("http://api.nsgreg.nga.mil/geo-division/GENC/6/ed3/HN-OC","as:GENC:6:ed3:HN-OC")</f>
        <v>as:GENC:6:ed3:HN-OC</v>
      </c>
    </row>
    <row r="1621" spans="1:7" x14ac:dyDescent="0.2">
      <c r="A1621" s="85"/>
      <c r="B1621" s="25" t="s">
        <v>4982</v>
      </c>
      <c r="C1621" s="25" t="s">
        <v>4983</v>
      </c>
      <c r="D1621" s="25" t="s">
        <v>2590</v>
      </c>
      <c r="E1621" s="26" t="b">
        <v>1</v>
      </c>
      <c r="F1621" s="27" t="str">
        <f>HYPERLINK("http://nsgreg.nga.mil/genc/view?v=119668&amp;gencs=T&amp;end_month=12&amp;end_day=31&amp;end_year=2014","Olancho")</f>
        <v>Olancho</v>
      </c>
      <c r="G1621" s="28" t="str">
        <f>HYPERLINK("http://api.nsgreg.nga.mil/geo-division/GENC/6/ed3/HN-OL","as:GENC:6:ed3:HN-OL")</f>
        <v>as:GENC:6:ed3:HN-OL</v>
      </c>
    </row>
    <row r="1622" spans="1:7" x14ac:dyDescent="0.2">
      <c r="A1622" s="85"/>
      <c r="B1622" s="25" t="s">
        <v>4984</v>
      </c>
      <c r="C1622" s="25" t="s">
        <v>4985</v>
      </c>
      <c r="D1622" s="25" t="s">
        <v>2590</v>
      </c>
      <c r="E1622" s="26" t="b">
        <v>1</v>
      </c>
      <c r="F1622" s="27" t="str">
        <f>HYPERLINK("http://nsgreg.nga.mil/genc/view?v=119669&amp;gencs=T&amp;end_month=12&amp;end_day=31&amp;end_year=2014","Santa Bárbara")</f>
        <v>Santa Bárbara</v>
      </c>
      <c r="G1622" s="28" t="str">
        <f>HYPERLINK("http://api.nsgreg.nga.mil/geo-division/GENC/6/ed3/HN-SB","as:GENC:6:ed3:HN-SB")</f>
        <v>as:GENC:6:ed3:HN-SB</v>
      </c>
    </row>
    <row r="1623" spans="1:7" x14ac:dyDescent="0.2">
      <c r="A1623" s="85"/>
      <c r="B1623" s="25" t="s">
        <v>4986</v>
      </c>
      <c r="C1623" s="25" t="s">
        <v>4987</v>
      </c>
      <c r="D1623" s="25" t="s">
        <v>2590</v>
      </c>
      <c r="E1623" s="26" t="b">
        <v>1</v>
      </c>
      <c r="F1623" s="27" t="str">
        <f>HYPERLINK("http://nsgreg.nga.mil/genc/view?v=119670&amp;gencs=T&amp;end_month=12&amp;end_day=31&amp;end_year=2014","Valle")</f>
        <v>Valle</v>
      </c>
      <c r="G1623" s="28" t="str">
        <f>HYPERLINK("http://api.nsgreg.nga.mil/geo-division/GENC/6/ed3/HN-VA","as:GENC:6:ed3:HN-VA")</f>
        <v>as:GENC:6:ed3:HN-VA</v>
      </c>
    </row>
    <row r="1624" spans="1:7" x14ac:dyDescent="0.2">
      <c r="A1624" s="86"/>
      <c r="B1624" s="29" t="s">
        <v>4988</v>
      </c>
      <c r="C1624" s="29" t="s">
        <v>4989</v>
      </c>
      <c r="D1624" s="29" t="s">
        <v>2590</v>
      </c>
      <c r="E1624" s="30" t="b">
        <v>1</v>
      </c>
      <c r="F1624" s="31" t="str">
        <f>HYPERLINK("http://nsgreg.nga.mil/genc/view?v=119671&amp;gencs=T&amp;end_month=12&amp;end_day=31&amp;end_year=2014","Yoro")</f>
        <v>Yoro</v>
      </c>
      <c r="G1624" s="32" t="str">
        <f>HYPERLINK("http://api.nsgreg.nga.mil/geo-division/GENC/6/ed3/HN-YO","as:GENC:6:ed3:HN-YO")</f>
        <v>as:GENC:6:ed3:HN-YO</v>
      </c>
    </row>
    <row r="1625" spans="1:7" x14ac:dyDescent="0.2">
      <c r="A1625" s="84" t="str">
        <f>HYPERLINK("[#]Codes_for_GE_Names!A122:I122","HUNGARY")</f>
        <v>HUNGARY</v>
      </c>
      <c r="B1625" s="33" t="s">
        <v>4997</v>
      </c>
      <c r="C1625" s="33" t="s">
        <v>4998</v>
      </c>
      <c r="D1625" s="33" t="s">
        <v>1788</v>
      </c>
      <c r="E1625" s="34" t="b">
        <v>1</v>
      </c>
      <c r="F1625" s="35" t="str">
        <f>HYPERLINK("http://nsgreg.nga.mil/genc/view?v=119706&amp;gencs=T&amp;end_month=12&amp;end_day=31&amp;end_year=2014","Bács-Kiskun")</f>
        <v>Bács-Kiskun</v>
      </c>
      <c r="G1625" s="36" t="str">
        <f>HYPERLINK("http://api.nsgreg.nga.mil/geo-division/GENC/6/ed3/HU-BK","as:GENC:6:ed3:HU-BK")</f>
        <v>as:GENC:6:ed3:HU-BK</v>
      </c>
    </row>
    <row r="1626" spans="1:7" x14ac:dyDescent="0.2">
      <c r="A1626" s="85"/>
      <c r="B1626" s="25" t="s">
        <v>4990</v>
      </c>
      <c r="C1626" s="25" t="s">
        <v>4991</v>
      </c>
      <c r="D1626" s="25" t="s">
        <v>1788</v>
      </c>
      <c r="E1626" s="26" t="b">
        <v>1</v>
      </c>
      <c r="F1626" s="27" t="str">
        <f>HYPERLINK("http://nsgreg.nga.mil/genc/view?v=119703&amp;gencs=T&amp;end_month=12&amp;end_day=31&amp;end_year=2014","Baranya")</f>
        <v>Baranya</v>
      </c>
      <c r="G1626" s="28" t="str">
        <f>HYPERLINK("http://api.nsgreg.nga.mil/geo-division/GENC/6/ed3/HU-BA","as:GENC:6:ed3:HU-BA")</f>
        <v>as:GENC:6:ed3:HU-BA</v>
      </c>
    </row>
    <row r="1627" spans="1:7" x14ac:dyDescent="0.2">
      <c r="A1627" s="85"/>
      <c r="B1627" s="25" t="s">
        <v>4999</v>
      </c>
      <c r="C1627" s="25" t="s">
        <v>5000</v>
      </c>
      <c r="D1627" s="25" t="s">
        <v>1788</v>
      </c>
      <c r="E1627" s="26" t="b">
        <v>1</v>
      </c>
      <c r="F1627" s="27" t="str">
        <f>HYPERLINK("http://nsgreg.nga.mil/genc/view?v=119705&amp;gencs=T&amp;end_month=12&amp;end_day=31&amp;end_year=2014","Békés")</f>
        <v>Békés</v>
      </c>
      <c r="G1627" s="28" t="str">
        <f>HYPERLINK("http://api.nsgreg.nga.mil/geo-division/GENC/6/ed3/HU-BE","as:GENC:6:ed3:HU-BE")</f>
        <v>as:GENC:6:ed3:HU-BE</v>
      </c>
    </row>
    <row r="1628" spans="1:7" x14ac:dyDescent="0.2">
      <c r="A1628" s="85"/>
      <c r="B1628" s="25" t="s">
        <v>5001</v>
      </c>
      <c r="C1628" s="25" t="s">
        <v>5002</v>
      </c>
      <c r="D1628" s="25" t="s">
        <v>12462</v>
      </c>
      <c r="E1628" s="26" t="b">
        <v>1</v>
      </c>
      <c r="F1628" s="27" t="str">
        <f>HYPERLINK("http://nsgreg.nga.mil/genc/view?v=211931&amp;end_month=12&amp;end_day=31&amp;end_year=2014","Békéscsaba")</f>
        <v>Békéscsaba</v>
      </c>
      <c r="G1628" s="28" t="str">
        <f>HYPERLINK("http://api.nsgreg.nga.mil/geo-division/GENC/6/ed3/HU-BC","as:GENC:6:ed3:HU-BC")</f>
        <v>as:GENC:6:ed3:HU-BC</v>
      </c>
    </row>
    <row r="1629" spans="1:7" x14ac:dyDescent="0.2">
      <c r="A1629" s="85"/>
      <c r="B1629" s="25" t="s">
        <v>4992</v>
      </c>
      <c r="C1629" s="25" t="s">
        <v>4993</v>
      </c>
      <c r="D1629" s="25" t="s">
        <v>1788</v>
      </c>
      <c r="E1629" s="26" t="b">
        <v>1</v>
      </c>
      <c r="F1629" s="27" t="str">
        <f>HYPERLINK("http://nsgreg.nga.mil/genc/view?v=119708&amp;gencs=T&amp;end_month=12&amp;end_day=31&amp;end_year=2014","Borsod-Abaúj-Zemplén")</f>
        <v>Borsod-Abaúj-Zemplén</v>
      </c>
      <c r="G1629" s="28" t="str">
        <f>HYPERLINK("http://api.nsgreg.nga.mil/geo-division/GENC/6/ed3/HU-BZ","as:GENC:6:ed3:HU-BZ")</f>
        <v>as:GENC:6:ed3:HU-BZ</v>
      </c>
    </row>
    <row r="1630" spans="1:7" x14ac:dyDescent="0.2">
      <c r="A1630" s="85"/>
      <c r="B1630" s="25" t="s">
        <v>4994</v>
      </c>
      <c r="C1630" s="25" t="s">
        <v>4995</v>
      </c>
      <c r="D1630" s="25" t="s">
        <v>4996</v>
      </c>
      <c r="E1630" s="26" t="b">
        <v>1</v>
      </c>
      <c r="F1630" s="27" t="str">
        <f>HYPERLINK("http://nsgreg.nga.mil/genc/view?v=119707&amp;gencs=T&amp;end_month=12&amp;end_day=31&amp;end_year=2014","Budapest")</f>
        <v>Budapest</v>
      </c>
      <c r="G1630" s="28" t="str">
        <f>HYPERLINK("http://api.nsgreg.nga.mil/geo-division/GENC/6/ed3/HU-BU","as:GENC:6:ed3:HU-BU")</f>
        <v>as:GENC:6:ed3:HU-BU</v>
      </c>
    </row>
    <row r="1631" spans="1:7" x14ac:dyDescent="0.2">
      <c r="A1631" s="85"/>
      <c r="B1631" s="25" t="s">
        <v>5004</v>
      </c>
      <c r="C1631" s="25" t="s">
        <v>5005</v>
      </c>
      <c r="D1631" s="25" t="s">
        <v>1788</v>
      </c>
      <c r="E1631" s="26" t="b">
        <v>1</v>
      </c>
      <c r="F1631" s="27" t="str">
        <f>HYPERLINK("http://nsgreg.nga.mil/genc/view?v=119709&amp;gencs=T&amp;end_month=12&amp;end_day=31&amp;end_year=2014","Csongrád")</f>
        <v>Csongrád</v>
      </c>
      <c r="G1631" s="28" t="str">
        <f>HYPERLINK("http://api.nsgreg.nga.mil/geo-division/GENC/6/ed3/HU-CS","as:GENC:6:ed3:HU-CS")</f>
        <v>as:GENC:6:ed3:HU-CS</v>
      </c>
    </row>
    <row r="1632" spans="1:7" x14ac:dyDescent="0.2">
      <c r="A1632" s="85"/>
      <c r="B1632" s="25" t="s">
        <v>5006</v>
      </c>
      <c r="C1632" s="25" t="s">
        <v>5007</v>
      </c>
      <c r="D1632" s="25" t="s">
        <v>12462</v>
      </c>
      <c r="E1632" s="26" t="b">
        <v>1</v>
      </c>
      <c r="F1632" s="27" t="str">
        <f>HYPERLINK("http://nsgreg.nga.mil/genc/view?v=211932&amp;end_month=12&amp;end_day=31&amp;end_year=2014","Debrecen")</f>
        <v>Debrecen</v>
      </c>
      <c r="G1632" s="28" t="str">
        <f>HYPERLINK("http://api.nsgreg.nga.mil/geo-division/GENC/6/ed3/HU-DE","as:GENC:6:ed3:HU-DE")</f>
        <v>as:GENC:6:ed3:HU-DE</v>
      </c>
    </row>
    <row r="1633" spans="1:7" x14ac:dyDescent="0.2">
      <c r="A1633" s="85"/>
      <c r="B1633" s="25" t="s">
        <v>5008</v>
      </c>
      <c r="C1633" s="25" t="s">
        <v>5009</v>
      </c>
      <c r="D1633" s="25" t="s">
        <v>12462</v>
      </c>
      <c r="E1633" s="26" t="b">
        <v>1</v>
      </c>
      <c r="F1633" s="27" t="str">
        <f>HYPERLINK("http://nsgreg.nga.mil/genc/view?v=211933&amp;end_month=12&amp;end_day=31&amp;end_year=2014","Dunaújváros")</f>
        <v>Dunaújváros</v>
      </c>
      <c r="G1633" s="28" t="str">
        <f>HYPERLINK("http://api.nsgreg.nga.mil/geo-division/GENC/6/ed3/HU-DU","as:GENC:6:ed3:HU-DU")</f>
        <v>as:GENC:6:ed3:HU-DU</v>
      </c>
    </row>
    <row r="1634" spans="1:7" x14ac:dyDescent="0.2">
      <c r="A1634" s="85"/>
      <c r="B1634" s="25" t="s">
        <v>5010</v>
      </c>
      <c r="C1634" s="25" t="s">
        <v>5011</v>
      </c>
      <c r="D1634" s="25" t="s">
        <v>12462</v>
      </c>
      <c r="E1634" s="26" t="b">
        <v>1</v>
      </c>
      <c r="F1634" s="27" t="str">
        <f>HYPERLINK("http://nsgreg.nga.mil/genc/view?v=211934&amp;end_month=12&amp;end_day=31&amp;end_year=2014","Eger")</f>
        <v>Eger</v>
      </c>
      <c r="G1634" s="28" t="str">
        <f>HYPERLINK("http://api.nsgreg.nga.mil/geo-division/GENC/6/ed3/HU-EG","as:GENC:6:ed3:HU-EG")</f>
        <v>as:GENC:6:ed3:HU-EG</v>
      </c>
    </row>
    <row r="1635" spans="1:7" x14ac:dyDescent="0.2">
      <c r="A1635" s="85"/>
      <c r="B1635" s="25" t="s">
        <v>5075</v>
      </c>
      <c r="C1635" s="25" t="s">
        <v>5076</v>
      </c>
      <c r="D1635" s="25" t="s">
        <v>12462</v>
      </c>
      <c r="E1635" s="26" t="b">
        <v>1</v>
      </c>
      <c r="F1635" s="27" t="str">
        <f>HYPERLINK("http://nsgreg.nga.mil/genc/view?v=211935&amp;end_month=12&amp;end_day=31&amp;end_year=2014","Érd")</f>
        <v>Érd</v>
      </c>
      <c r="G1635" s="28" t="str">
        <f>HYPERLINK("http://api.nsgreg.nga.mil/geo-division/GENC/6/ed3/HU-ER","as:GENC:6:ed3:HU-ER")</f>
        <v>as:GENC:6:ed3:HU-ER</v>
      </c>
    </row>
    <row r="1636" spans="1:7" x14ac:dyDescent="0.2">
      <c r="A1636" s="85"/>
      <c r="B1636" s="25" t="s">
        <v>5012</v>
      </c>
      <c r="C1636" s="25" t="s">
        <v>5013</v>
      </c>
      <c r="D1636" s="25" t="s">
        <v>1788</v>
      </c>
      <c r="E1636" s="26" t="b">
        <v>1</v>
      </c>
      <c r="F1636" s="27" t="str">
        <f>HYPERLINK("http://nsgreg.nga.mil/genc/view?v=119714&amp;gencs=T&amp;end_month=12&amp;end_day=31&amp;end_year=2014","Fejér")</f>
        <v>Fejér</v>
      </c>
      <c r="G1636" s="28" t="str">
        <f>HYPERLINK("http://api.nsgreg.nga.mil/geo-division/GENC/6/ed3/HU-FE","as:GENC:6:ed3:HU-FE")</f>
        <v>as:GENC:6:ed3:HU-FE</v>
      </c>
    </row>
    <row r="1637" spans="1:7" x14ac:dyDescent="0.2">
      <c r="A1637" s="85"/>
      <c r="B1637" s="25" t="s">
        <v>5014</v>
      </c>
      <c r="C1637" s="25" t="s">
        <v>5015</v>
      </c>
      <c r="D1637" s="25" t="s">
        <v>12462</v>
      </c>
      <c r="E1637" s="26" t="b">
        <v>1</v>
      </c>
      <c r="F1637" s="27" t="str">
        <f>HYPERLINK("http://nsgreg.nga.mil/genc/view?v=211936&amp;end_month=12&amp;end_day=31&amp;end_year=2014","Győr")</f>
        <v>Győr</v>
      </c>
      <c r="G1637" s="28" t="str">
        <f>HYPERLINK("http://api.nsgreg.nga.mil/geo-division/GENC/6/ed3/HU-GY","as:GENC:6:ed3:HU-GY")</f>
        <v>as:GENC:6:ed3:HU-GY</v>
      </c>
    </row>
    <row r="1638" spans="1:7" x14ac:dyDescent="0.2">
      <c r="A1638" s="85"/>
      <c r="B1638" s="25" t="s">
        <v>5016</v>
      </c>
      <c r="C1638" s="25" t="s">
        <v>5017</v>
      </c>
      <c r="D1638" s="25" t="s">
        <v>1788</v>
      </c>
      <c r="E1638" s="26" t="b">
        <v>1</v>
      </c>
      <c r="F1638" s="27" t="str">
        <f>HYPERLINK("http://nsgreg.nga.mil/genc/view?v=119715&amp;gencs=T&amp;end_month=12&amp;end_day=31&amp;end_year=2014","Győr-Moson-Sopron")</f>
        <v>Győr-Moson-Sopron</v>
      </c>
      <c r="G1638" s="28" t="str">
        <f>HYPERLINK("http://api.nsgreg.nga.mil/geo-division/GENC/6/ed3/HU-GS","as:GENC:6:ed3:HU-GS")</f>
        <v>as:GENC:6:ed3:HU-GS</v>
      </c>
    </row>
    <row r="1639" spans="1:7" x14ac:dyDescent="0.2">
      <c r="A1639" s="85"/>
      <c r="B1639" s="25" t="s">
        <v>5018</v>
      </c>
      <c r="C1639" s="25" t="s">
        <v>5019</v>
      </c>
      <c r="D1639" s="25" t="s">
        <v>1788</v>
      </c>
      <c r="E1639" s="26" t="b">
        <v>1</v>
      </c>
      <c r="F1639" s="27" t="str">
        <f>HYPERLINK("http://nsgreg.nga.mil/genc/view?v=119717&amp;gencs=T&amp;end_month=12&amp;end_day=31&amp;end_year=2014","Hajdú-Bihar")</f>
        <v>Hajdú-Bihar</v>
      </c>
      <c r="G1639" s="28" t="str">
        <f>HYPERLINK("http://api.nsgreg.nga.mil/geo-division/GENC/6/ed3/HU-HB","as:GENC:6:ed3:HU-HB")</f>
        <v>as:GENC:6:ed3:HU-HB</v>
      </c>
    </row>
    <row r="1640" spans="1:7" x14ac:dyDescent="0.2">
      <c r="A1640" s="85"/>
      <c r="B1640" s="25" t="s">
        <v>5020</v>
      </c>
      <c r="C1640" s="25" t="s">
        <v>5021</v>
      </c>
      <c r="D1640" s="25" t="s">
        <v>1788</v>
      </c>
      <c r="E1640" s="26" t="b">
        <v>1</v>
      </c>
      <c r="F1640" s="27" t="str">
        <f>HYPERLINK("http://nsgreg.nga.mil/genc/view?v=119718&amp;gencs=T&amp;end_month=12&amp;end_day=31&amp;end_year=2014","Heves")</f>
        <v>Heves</v>
      </c>
      <c r="G1640" s="28" t="str">
        <f>HYPERLINK("http://api.nsgreg.nga.mil/geo-division/GENC/6/ed3/HU-HE","as:GENC:6:ed3:HU-HE")</f>
        <v>as:GENC:6:ed3:HU-HE</v>
      </c>
    </row>
    <row r="1641" spans="1:7" x14ac:dyDescent="0.2">
      <c r="A1641" s="85"/>
      <c r="B1641" s="25" t="s">
        <v>5022</v>
      </c>
      <c r="C1641" s="25" t="s">
        <v>5023</v>
      </c>
      <c r="D1641" s="25" t="s">
        <v>12462</v>
      </c>
      <c r="E1641" s="26" t="b">
        <v>1</v>
      </c>
      <c r="F1641" s="27" t="str">
        <f>HYPERLINK("http://nsgreg.nga.mil/genc/view?v=211937&amp;end_month=12&amp;end_day=31&amp;end_year=2014","Hódmezővásárhely")</f>
        <v>Hódmezővásárhely</v>
      </c>
      <c r="G1641" s="28" t="str">
        <f>HYPERLINK("http://api.nsgreg.nga.mil/geo-division/GENC/6/ed3/HU-HV","as:GENC:6:ed3:HU-HV")</f>
        <v>as:GENC:6:ed3:HU-HV</v>
      </c>
    </row>
    <row r="1642" spans="1:7" x14ac:dyDescent="0.2">
      <c r="A1642" s="85"/>
      <c r="B1642" s="25" t="s">
        <v>5024</v>
      </c>
      <c r="C1642" s="25" t="s">
        <v>5025</v>
      </c>
      <c r="D1642" s="25" t="s">
        <v>1788</v>
      </c>
      <c r="E1642" s="26" t="b">
        <v>1</v>
      </c>
      <c r="F1642" s="27" t="str">
        <f>HYPERLINK("http://nsgreg.nga.mil/genc/view?v=119720&amp;gencs=T&amp;end_month=12&amp;end_day=31&amp;end_year=2014","Jász-Nagykun-Szolnok")</f>
        <v>Jász-Nagykun-Szolnok</v>
      </c>
      <c r="G1642" s="28" t="str">
        <f>HYPERLINK("http://api.nsgreg.nga.mil/geo-division/GENC/6/ed3/HU-JN","as:GENC:6:ed3:HU-JN")</f>
        <v>as:GENC:6:ed3:HU-JN</v>
      </c>
    </row>
    <row r="1643" spans="1:7" x14ac:dyDescent="0.2">
      <c r="A1643" s="85"/>
      <c r="B1643" s="25" t="s">
        <v>5026</v>
      </c>
      <c r="C1643" s="25" t="s">
        <v>5027</v>
      </c>
      <c r="D1643" s="25" t="s">
        <v>12462</v>
      </c>
      <c r="E1643" s="26" t="b">
        <v>1</v>
      </c>
      <c r="F1643" s="27" t="str">
        <f>HYPERLINK("http://nsgreg.nga.mil/genc/view?v=211939&amp;end_month=12&amp;end_day=31&amp;end_year=2014","Kaposvár")</f>
        <v>Kaposvár</v>
      </c>
      <c r="G1643" s="28" t="str">
        <f>HYPERLINK("http://api.nsgreg.nga.mil/geo-division/GENC/6/ed3/HU-KV","as:GENC:6:ed3:HU-KV")</f>
        <v>as:GENC:6:ed3:HU-KV</v>
      </c>
    </row>
    <row r="1644" spans="1:7" x14ac:dyDescent="0.2">
      <c r="A1644" s="85"/>
      <c r="B1644" s="25" t="s">
        <v>5028</v>
      </c>
      <c r="C1644" s="25" t="s">
        <v>5029</v>
      </c>
      <c r="D1644" s="25" t="s">
        <v>12462</v>
      </c>
      <c r="E1644" s="26" t="b">
        <v>1</v>
      </c>
      <c r="F1644" s="27" t="str">
        <f>HYPERLINK("http://nsgreg.nga.mil/genc/view?v=211938&amp;end_month=12&amp;end_day=31&amp;end_year=2014","Kecskemét")</f>
        <v>Kecskemét</v>
      </c>
      <c r="G1644" s="28" t="str">
        <f>HYPERLINK("http://api.nsgreg.nga.mil/geo-division/GENC/6/ed3/HU-KM","as:GENC:6:ed3:HU-KM")</f>
        <v>as:GENC:6:ed3:HU-KM</v>
      </c>
    </row>
    <row r="1645" spans="1:7" x14ac:dyDescent="0.2">
      <c r="A1645" s="85"/>
      <c r="B1645" s="25" t="s">
        <v>5030</v>
      </c>
      <c r="C1645" s="25" t="s">
        <v>5031</v>
      </c>
      <c r="D1645" s="25" t="s">
        <v>1788</v>
      </c>
      <c r="E1645" s="26" t="b">
        <v>1</v>
      </c>
      <c r="F1645" s="27" t="str">
        <f>HYPERLINK("http://nsgreg.nga.mil/genc/view?v=119721&amp;gencs=T&amp;end_month=12&amp;end_day=31&amp;end_year=2014","Komárom-Esztergom")</f>
        <v>Komárom-Esztergom</v>
      </c>
      <c r="G1645" s="28" t="str">
        <f>HYPERLINK("http://api.nsgreg.nga.mil/geo-division/GENC/6/ed3/HU-KE","as:GENC:6:ed3:HU-KE")</f>
        <v>as:GENC:6:ed3:HU-KE</v>
      </c>
    </row>
    <row r="1646" spans="1:7" x14ac:dyDescent="0.2">
      <c r="A1646" s="85"/>
      <c r="B1646" s="25" t="s">
        <v>5032</v>
      </c>
      <c r="C1646" s="25" t="s">
        <v>5033</v>
      </c>
      <c r="D1646" s="25" t="s">
        <v>12462</v>
      </c>
      <c r="E1646" s="26" t="b">
        <v>1</v>
      </c>
      <c r="F1646" s="27" t="str">
        <f>HYPERLINK("http://nsgreg.nga.mil/genc/view?v=211940&amp;end_month=12&amp;end_day=31&amp;end_year=2014","Miskolc")</f>
        <v>Miskolc</v>
      </c>
      <c r="G1646" s="28" t="str">
        <f>HYPERLINK("http://api.nsgreg.nga.mil/geo-division/GENC/6/ed3/HU-MI","as:GENC:6:ed3:HU-MI")</f>
        <v>as:GENC:6:ed3:HU-MI</v>
      </c>
    </row>
    <row r="1647" spans="1:7" x14ac:dyDescent="0.2">
      <c r="A1647" s="85"/>
      <c r="B1647" s="25" t="s">
        <v>5034</v>
      </c>
      <c r="C1647" s="25" t="s">
        <v>5035</v>
      </c>
      <c r="D1647" s="25" t="s">
        <v>12462</v>
      </c>
      <c r="E1647" s="26" t="b">
        <v>1</v>
      </c>
      <c r="F1647" s="27" t="str">
        <f>HYPERLINK("http://nsgreg.nga.mil/genc/view?v=211941&amp;end_month=12&amp;end_day=31&amp;end_year=2014","Nagykanizsa")</f>
        <v>Nagykanizsa</v>
      </c>
      <c r="G1647" s="28" t="str">
        <f>HYPERLINK("http://api.nsgreg.nga.mil/geo-division/GENC/6/ed3/HU-NK","as:GENC:6:ed3:HU-NK")</f>
        <v>as:GENC:6:ed3:HU-NK</v>
      </c>
    </row>
    <row r="1648" spans="1:7" x14ac:dyDescent="0.2">
      <c r="A1648" s="85"/>
      <c r="B1648" s="25" t="s">
        <v>5038</v>
      </c>
      <c r="C1648" s="25" t="s">
        <v>5039</v>
      </c>
      <c r="D1648" s="25" t="s">
        <v>1788</v>
      </c>
      <c r="E1648" s="26" t="b">
        <v>1</v>
      </c>
      <c r="F1648" s="27" t="str">
        <f>HYPERLINK("http://nsgreg.nga.mil/genc/view?v=119726&amp;gencs=T&amp;end_month=12&amp;end_day=31&amp;end_year=2014","Nógrád")</f>
        <v>Nógrád</v>
      </c>
      <c r="G1648" s="28" t="str">
        <f>HYPERLINK("http://api.nsgreg.nga.mil/geo-division/GENC/6/ed3/HU-NO","as:GENC:6:ed3:HU-NO")</f>
        <v>as:GENC:6:ed3:HU-NO</v>
      </c>
    </row>
    <row r="1649" spans="1:7" x14ac:dyDescent="0.2">
      <c r="A1649" s="85"/>
      <c r="B1649" s="25" t="s">
        <v>5036</v>
      </c>
      <c r="C1649" s="25" t="s">
        <v>5037</v>
      </c>
      <c r="D1649" s="25" t="s">
        <v>12462</v>
      </c>
      <c r="E1649" s="26" t="b">
        <v>1</v>
      </c>
      <c r="F1649" s="27" t="str">
        <f>HYPERLINK("http://nsgreg.nga.mil/genc/view?v=211942&amp;end_month=12&amp;end_day=31&amp;end_year=2014","Nyíregyháza")</f>
        <v>Nyíregyháza</v>
      </c>
      <c r="G1649" s="28" t="str">
        <f>HYPERLINK("http://api.nsgreg.nga.mil/geo-division/GENC/6/ed3/HU-NY","as:GENC:6:ed3:HU-NY")</f>
        <v>as:GENC:6:ed3:HU-NY</v>
      </c>
    </row>
    <row r="1650" spans="1:7" x14ac:dyDescent="0.2">
      <c r="A1650" s="85"/>
      <c r="B1650" s="25" t="s">
        <v>5042</v>
      </c>
      <c r="C1650" s="25" t="s">
        <v>5043</v>
      </c>
      <c r="D1650" s="25" t="s">
        <v>12462</v>
      </c>
      <c r="E1650" s="26" t="b">
        <v>1</v>
      </c>
      <c r="F1650" s="27" t="str">
        <f>HYPERLINK("http://nsgreg.nga.mil/genc/view?v=211943&amp;end_month=12&amp;end_day=31&amp;end_year=2014","Pécs")</f>
        <v>Pécs</v>
      </c>
      <c r="G1650" s="28" t="str">
        <f>HYPERLINK("http://api.nsgreg.nga.mil/geo-division/GENC/6/ed3/HU-PS","as:GENC:6:ed3:HU-PS")</f>
        <v>as:GENC:6:ed3:HU-PS</v>
      </c>
    </row>
    <row r="1651" spans="1:7" x14ac:dyDescent="0.2">
      <c r="A1651" s="85"/>
      <c r="B1651" s="25" t="s">
        <v>5040</v>
      </c>
      <c r="C1651" s="25" t="s">
        <v>5041</v>
      </c>
      <c r="D1651" s="25" t="s">
        <v>1788</v>
      </c>
      <c r="E1651" s="26" t="b">
        <v>1</v>
      </c>
      <c r="F1651" s="27" t="str">
        <f>HYPERLINK("http://nsgreg.nga.mil/genc/view?v=119728&amp;gencs=T&amp;end_month=12&amp;end_day=31&amp;end_year=2014","Pest")</f>
        <v>Pest</v>
      </c>
      <c r="G1651" s="28" t="str">
        <f>HYPERLINK("http://api.nsgreg.nga.mil/geo-division/GENC/6/ed3/HU-PE","as:GENC:6:ed3:HU-PE")</f>
        <v>as:GENC:6:ed3:HU-PE</v>
      </c>
    </row>
    <row r="1652" spans="1:7" x14ac:dyDescent="0.2">
      <c r="A1652" s="85"/>
      <c r="B1652" s="25" t="s">
        <v>5044</v>
      </c>
      <c r="C1652" s="25" t="s">
        <v>5045</v>
      </c>
      <c r="D1652" s="25" t="s">
        <v>12462</v>
      </c>
      <c r="E1652" s="26" t="b">
        <v>1</v>
      </c>
      <c r="F1652" s="27" t="str">
        <f>HYPERLINK("http://nsgreg.nga.mil/genc/view?v=211950&amp;end_month=12&amp;end_day=31&amp;end_year=2014","Salgótarján")</f>
        <v>Salgótarján</v>
      </c>
      <c r="G1652" s="28" t="str">
        <f>HYPERLINK("http://api.nsgreg.nga.mil/geo-division/GENC/6/ed3/HU-ST","as:GENC:6:ed3:HU-ST")</f>
        <v>as:GENC:6:ed3:HU-ST</v>
      </c>
    </row>
    <row r="1653" spans="1:7" x14ac:dyDescent="0.2">
      <c r="A1653" s="85"/>
      <c r="B1653" s="25" t="s">
        <v>5046</v>
      </c>
      <c r="C1653" s="25" t="s">
        <v>5047</v>
      </c>
      <c r="D1653" s="25" t="s">
        <v>1788</v>
      </c>
      <c r="E1653" s="26" t="b">
        <v>1</v>
      </c>
      <c r="F1653" s="27" t="str">
        <f>HYPERLINK("http://nsgreg.nga.mil/genc/view?v=119735&amp;gencs=T&amp;end_month=12&amp;end_day=31&amp;end_year=2014","Somogy")</f>
        <v>Somogy</v>
      </c>
      <c r="G1653" s="28" t="str">
        <f>HYPERLINK("http://api.nsgreg.nga.mil/geo-division/GENC/6/ed3/HU-SO","as:GENC:6:ed3:HU-SO")</f>
        <v>as:GENC:6:ed3:HU-SO</v>
      </c>
    </row>
    <row r="1654" spans="1:7" x14ac:dyDescent="0.2">
      <c r="A1654" s="85"/>
      <c r="B1654" s="25" t="s">
        <v>5048</v>
      </c>
      <c r="C1654" s="25" t="s">
        <v>5049</v>
      </c>
      <c r="D1654" s="25" t="s">
        <v>12462</v>
      </c>
      <c r="E1654" s="26" t="b">
        <v>1</v>
      </c>
      <c r="F1654" s="27" t="str">
        <f>HYPERLINK("http://nsgreg.nga.mil/genc/view?v=211948&amp;end_month=12&amp;end_day=31&amp;end_year=2014","Sopron")</f>
        <v>Sopron</v>
      </c>
      <c r="G1654" s="28" t="str">
        <f>HYPERLINK("http://api.nsgreg.nga.mil/geo-division/GENC/6/ed3/HU-SN","as:GENC:6:ed3:HU-SN")</f>
        <v>as:GENC:6:ed3:HU-SN</v>
      </c>
    </row>
    <row r="1655" spans="1:7" x14ac:dyDescent="0.2">
      <c r="A1655" s="85"/>
      <c r="B1655" s="25" t="s">
        <v>5050</v>
      </c>
      <c r="C1655" s="25" t="s">
        <v>5051</v>
      </c>
      <c r="D1655" s="25" t="s">
        <v>1788</v>
      </c>
      <c r="E1655" s="26" t="b">
        <v>1</v>
      </c>
      <c r="F1655" s="27" t="str">
        <f>HYPERLINK("http://nsgreg.nga.mil/genc/view?v=119738&amp;gencs=T&amp;end_month=12&amp;end_day=31&amp;end_year=2014","Szabolcs-Szatmár-Bereg")</f>
        <v>Szabolcs-Szatmár-Bereg</v>
      </c>
      <c r="G1655" s="28" t="str">
        <f>HYPERLINK("http://api.nsgreg.nga.mil/geo-division/GENC/6/ed3/HU-SZ","as:GENC:6:ed3:HU-SZ")</f>
        <v>as:GENC:6:ed3:HU-SZ</v>
      </c>
    </row>
    <row r="1656" spans="1:7" x14ac:dyDescent="0.2">
      <c r="A1656" s="85"/>
      <c r="B1656" s="25" t="s">
        <v>5052</v>
      </c>
      <c r="C1656" s="25" t="s">
        <v>5053</v>
      </c>
      <c r="D1656" s="25" t="s">
        <v>12462</v>
      </c>
      <c r="E1656" s="26" t="b">
        <v>1</v>
      </c>
      <c r="F1656" s="27" t="str">
        <f>HYPERLINK("http://nsgreg.nga.mil/genc/view?v=211944&amp;end_month=12&amp;end_day=31&amp;end_year=2014","Szeged")</f>
        <v>Szeged</v>
      </c>
      <c r="G1656" s="28" t="str">
        <f>HYPERLINK("http://api.nsgreg.nga.mil/geo-division/GENC/6/ed3/HU-SD","as:GENC:6:ed3:HU-SD")</f>
        <v>as:GENC:6:ed3:HU-SD</v>
      </c>
    </row>
    <row r="1657" spans="1:7" x14ac:dyDescent="0.2">
      <c r="A1657" s="85"/>
      <c r="B1657" s="25" t="s">
        <v>5060</v>
      </c>
      <c r="C1657" s="25" t="s">
        <v>5061</v>
      </c>
      <c r="D1657" s="25" t="s">
        <v>12462</v>
      </c>
      <c r="E1657" s="26" t="b">
        <v>1</v>
      </c>
      <c r="F1657" s="27" t="str">
        <f>HYPERLINK("http://nsgreg.nga.mil/genc/view?v=211945&amp;end_month=12&amp;end_day=31&amp;end_year=2014","Székesfehérvár")</f>
        <v>Székesfehérvár</v>
      </c>
      <c r="G1657" s="28" t="str">
        <f>HYPERLINK("http://api.nsgreg.nga.mil/geo-division/GENC/6/ed3/HU-SF","as:GENC:6:ed3:HU-SF")</f>
        <v>as:GENC:6:ed3:HU-SF</v>
      </c>
    </row>
    <row r="1658" spans="1:7" x14ac:dyDescent="0.2">
      <c r="A1658" s="85"/>
      <c r="B1658" s="25" t="s">
        <v>5054</v>
      </c>
      <c r="C1658" s="25" t="s">
        <v>5055</v>
      </c>
      <c r="D1658" s="25" t="s">
        <v>12462</v>
      </c>
      <c r="E1658" s="26" t="b">
        <v>1</v>
      </c>
      <c r="F1658" s="27" t="str">
        <f>HYPERLINK("http://nsgreg.nga.mil/genc/view?v=211949&amp;end_month=12&amp;end_day=31&amp;end_year=2014","Szekszárd")</f>
        <v>Szekszárd</v>
      </c>
      <c r="G1658" s="28" t="str">
        <f>HYPERLINK("http://api.nsgreg.nga.mil/geo-division/GENC/6/ed3/HU-SS","as:GENC:6:ed3:HU-SS")</f>
        <v>as:GENC:6:ed3:HU-SS</v>
      </c>
    </row>
    <row r="1659" spans="1:7" x14ac:dyDescent="0.2">
      <c r="A1659" s="85"/>
      <c r="B1659" s="25" t="s">
        <v>5056</v>
      </c>
      <c r="C1659" s="25" t="s">
        <v>5057</v>
      </c>
      <c r="D1659" s="25" t="s">
        <v>12462</v>
      </c>
      <c r="E1659" s="26" t="b">
        <v>1</v>
      </c>
      <c r="F1659" s="27" t="str">
        <f>HYPERLINK("http://nsgreg.nga.mil/genc/view?v=211947&amp;end_month=12&amp;end_day=31&amp;end_year=2014","Szolnok")</f>
        <v>Szolnok</v>
      </c>
      <c r="G1659" s="28" t="str">
        <f>HYPERLINK("http://api.nsgreg.nga.mil/geo-division/GENC/6/ed3/HU-SK","as:GENC:6:ed3:HU-SK")</f>
        <v>as:GENC:6:ed3:HU-SK</v>
      </c>
    </row>
    <row r="1660" spans="1:7" x14ac:dyDescent="0.2">
      <c r="A1660" s="85"/>
      <c r="B1660" s="25" t="s">
        <v>5058</v>
      </c>
      <c r="C1660" s="25" t="s">
        <v>5059</v>
      </c>
      <c r="D1660" s="25" t="s">
        <v>12462</v>
      </c>
      <c r="E1660" s="26" t="b">
        <v>1</v>
      </c>
      <c r="F1660" s="27" t="str">
        <f>HYPERLINK("http://nsgreg.nga.mil/genc/view?v=211946&amp;end_month=12&amp;end_day=31&amp;end_year=2014","Szombathely")</f>
        <v>Szombathely</v>
      </c>
      <c r="G1660" s="28" t="str">
        <f>HYPERLINK("http://api.nsgreg.nga.mil/geo-division/GENC/6/ed3/HU-SH","as:GENC:6:ed3:HU-SH")</f>
        <v>as:GENC:6:ed3:HU-SH</v>
      </c>
    </row>
    <row r="1661" spans="1:7" x14ac:dyDescent="0.2">
      <c r="A1661" s="85"/>
      <c r="B1661" s="25" t="s">
        <v>5062</v>
      </c>
      <c r="C1661" s="25" t="s">
        <v>5063</v>
      </c>
      <c r="D1661" s="25" t="s">
        <v>12462</v>
      </c>
      <c r="E1661" s="26" t="b">
        <v>1</v>
      </c>
      <c r="F1661" s="27" t="str">
        <f>HYPERLINK("http://nsgreg.nga.mil/genc/view?v=211951&amp;end_month=12&amp;end_day=31&amp;end_year=2014","Tatabánya")</f>
        <v>Tatabánya</v>
      </c>
      <c r="G1661" s="28" t="str">
        <f>HYPERLINK("http://api.nsgreg.nga.mil/geo-division/GENC/6/ed3/HU-TB","as:GENC:6:ed3:HU-TB")</f>
        <v>as:GENC:6:ed3:HU-TB</v>
      </c>
    </row>
    <row r="1662" spans="1:7" x14ac:dyDescent="0.2">
      <c r="A1662" s="85"/>
      <c r="B1662" s="25" t="s">
        <v>5064</v>
      </c>
      <c r="C1662" s="25" t="s">
        <v>5065</v>
      </c>
      <c r="D1662" s="25" t="s">
        <v>1788</v>
      </c>
      <c r="E1662" s="26" t="b">
        <v>1</v>
      </c>
      <c r="F1662" s="27" t="str">
        <f>HYPERLINK("http://nsgreg.nga.mil/genc/view?v=119740&amp;gencs=T&amp;end_month=12&amp;end_day=31&amp;end_year=2014","Tolna")</f>
        <v>Tolna</v>
      </c>
      <c r="G1662" s="28" t="str">
        <f>HYPERLINK("http://api.nsgreg.nga.mil/geo-division/GENC/6/ed3/HU-TO","as:GENC:6:ed3:HU-TO")</f>
        <v>as:GENC:6:ed3:HU-TO</v>
      </c>
    </row>
    <row r="1663" spans="1:7" x14ac:dyDescent="0.2">
      <c r="A1663" s="85"/>
      <c r="B1663" s="25" t="s">
        <v>5066</v>
      </c>
      <c r="C1663" s="25" t="s">
        <v>5067</v>
      </c>
      <c r="D1663" s="25" t="s">
        <v>1788</v>
      </c>
      <c r="E1663" s="26" t="b">
        <v>1</v>
      </c>
      <c r="F1663" s="27" t="str">
        <f>HYPERLINK("http://nsgreg.nga.mil/genc/view?v=119741&amp;gencs=T&amp;end_month=12&amp;end_day=31&amp;end_year=2014","Vas")</f>
        <v>Vas</v>
      </c>
      <c r="G1663" s="28" t="str">
        <f>HYPERLINK("http://api.nsgreg.nga.mil/geo-division/GENC/6/ed3/HU-VA","as:GENC:6:ed3:HU-VA")</f>
        <v>as:GENC:6:ed3:HU-VA</v>
      </c>
    </row>
    <row r="1664" spans="1:7" x14ac:dyDescent="0.2">
      <c r="A1664" s="85"/>
      <c r="B1664" s="25" t="s">
        <v>5068</v>
      </c>
      <c r="C1664" s="25" t="s">
        <v>5069</v>
      </c>
      <c r="D1664" s="25" t="s">
        <v>1788</v>
      </c>
      <c r="E1664" s="26" t="b">
        <v>1</v>
      </c>
      <c r="F1664" s="27" t="str">
        <f>HYPERLINK("http://nsgreg.nga.mil/genc/view?v=119742&amp;gencs=T&amp;end_month=12&amp;end_day=31&amp;end_year=2014","Veszprém")</f>
        <v>Veszprém</v>
      </c>
      <c r="G1664" s="28" t="str">
        <f>HYPERLINK("http://api.nsgreg.nga.mil/geo-division/GENC/6/ed3/HU-VE","as:GENC:6:ed3:HU-VE")</f>
        <v>as:GENC:6:ed3:HU-VE</v>
      </c>
    </row>
    <row r="1665" spans="1:7" x14ac:dyDescent="0.2">
      <c r="A1665" s="85"/>
      <c r="B1665" s="25" t="s">
        <v>5070</v>
      </c>
      <c r="C1665" s="25" t="s">
        <v>5069</v>
      </c>
      <c r="D1665" s="25" t="s">
        <v>12462</v>
      </c>
      <c r="E1665" s="26" t="b">
        <v>1</v>
      </c>
      <c r="F1665" s="27" t="str">
        <f>HYPERLINK("http://nsgreg.nga.mil/genc/view?v=211952&amp;end_month=12&amp;end_day=31&amp;end_year=2014","Veszprém")</f>
        <v>Veszprém</v>
      </c>
      <c r="G1665" s="28" t="str">
        <f>HYPERLINK("http://api.nsgreg.nga.mil/geo-division/GENC/6/ed3/HU-VM","as:GENC:6:ed3:HU-VM")</f>
        <v>as:GENC:6:ed3:HU-VM</v>
      </c>
    </row>
    <row r="1666" spans="1:7" x14ac:dyDescent="0.2">
      <c r="A1666" s="85"/>
      <c r="B1666" s="25" t="s">
        <v>5071</v>
      </c>
      <c r="C1666" s="25" t="s">
        <v>5072</v>
      </c>
      <c r="D1666" s="25" t="s">
        <v>1788</v>
      </c>
      <c r="E1666" s="26" t="b">
        <v>1</v>
      </c>
      <c r="F1666" s="27" t="str">
        <f>HYPERLINK("http://nsgreg.nga.mil/genc/view?v=119744&amp;gencs=T&amp;end_month=12&amp;end_day=31&amp;end_year=2014","Zala")</f>
        <v>Zala</v>
      </c>
      <c r="G1666" s="28" t="str">
        <f>HYPERLINK("http://api.nsgreg.nga.mil/geo-division/GENC/6/ed3/HU-ZA","as:GENC:6:ed3:HU-ZA")</f>
        <v>as:GENC:6:ed3:HU-ZA</v>
      </c>
    </row>
    <row r="1667" spans="1:7" x14ac:dyDescent="0.2">
      <c r="A1667" s="86"/>
      <c r="B1667" s="29" t="s">
        <v>5073</v>
      </c>
      <c r="C1667" s="29" t="s">
        <v>5074</v>
      </c>
      <c r="D1667" s="29" t="s">
        <v>12462</v>
      </c>
      <c r="E1667" s="30" t="b">
        <v>1</v>
      </c>
      <c r="F1667" s="31" t="str">
        <f>HYPERLINK("http://nsgreg.nga.mil/genc/view?v=211953&amp;end_month=12&amp;end_day=31&amp;end_year=2014","Zalaegerszeg")</f>
        <v>Zalaegerszeg</v>
      </c>
      <c r="G1667" s="32" t="str">
        <f>HYPERLINK("http://api.nsgreg.nga.mil/geo-division/GENC/6/ed3/HU-ZE","as:GENC:6:ed3:HU-ZE")</f>
        <v>as:GENC:6:ed3:HU-ZE</v>
      </c>
    </row>
    <row r="1668" spans="1:7" x14ac:dyDescent="0.2">
      <c r="A1668" s="84" t="str">
        <f>HYPERLINK("[#]Codes_for_GE_Names!A123:I123","ICELAND")</f>
        <v>ICELAND</v>
      </c>
      <c r="B1668" s="33" t="s">
        <v>5077</v>
      </c>
      <c r="C1668" s="33" t="s">
        <v>5078</v>
      </c>
      <c r="D1668" s="33" t="s">
        <v>2087</v>
      </c>
      <c r="E1668" s="34" t="b">
        <v>1</v>
      </c>
      <c r="F1668" s="35" t="str">
        <f>HYPERLINK("http://nsgreg.nga.mil/genc/view?v=212041&amp;end_month=12&amp;end_day=31&amp;end_year=2014","Austurland")</f>
        <v>Austurland</v>
      </c>
      <c r="G1668" s="36" t="str">
        <f>HYPERLINK("http://api.nsgreg.nga.mil/geo-division/GENC/6/ed3/IS-7","as:GENC:6:ed3:IS-7")</f>
        <v>as:GENC:6:ed3:IS-7</v>
      </c>
    </row>
    <row r="1669" spans="1:7" x14ac:dyDescent="0.2">
      <c r="A1669" s="85"/>
      <c r="B1669" s="25" t="s">
        <v>5079</v>
      </c>
      <c r="C1669" s="25" t="s">
        <v>12463</v>
      </c>
      <c r="D1669" s="25" t="s">
        <v>2087</v>
      </c>
      <c r="E1669" s="26" t="b">
        <v>1</v>
      </c>
      <c r="F1669" s="27" t="str">
        <f>HYPERLINK("http://nsgreg.nga.mil/genc/view?v=212035&amp;end_month=12&amp;end_day=31&amp;end_year=2014","Höfuðborgarsvæði")</f>
        <v>Höfuðborgarsvæði</v>
      </c>
      <c r="G1669" s="28" t="str">
        <f>HYPERLINK("http://api.nsgreg.nga.mil/geo-division/GENC/6/ed3/IS-1","as:GENC:6:ed3:IS-1")</f>
        <v>as:GENC:6:ed3:IS-1</v>
      </c>
    </row>
    <row r="1670" spans="1:7" x14ac:dyDescent="0.2">
      <c r="A1670" s="85"/>
      <c r="B1670" s="25" t="s">
        <v>5081</v>
      </c>
      <c r="C1670" s="25" t="s">
        <v>12464</v>
      </c>
      <c r="D1670" s="25" t="s">
        <v>2087</v>
      </c>
      <c r="E1670" s="26" t="b">
        <v>1</v>
      </c>
      <c r="F1670" s="27" t="str">
        <f>HYPERLINK("http://nsgreg.nga.mil/genc/view?v=212040&amp;end_month=12&amp;end_day=31&amp;end_year=2014","Norðurland Eystra")</f>
        <v>Norðurland Eystra</v>
      </c>
      <c r="G1670" s="28" t="str">
        <f>HYPERLINK("http://api.nsgreg.nga.mil/geo-division/GENC/6/ed3/IS-6","as:GENC:6:ed3:IS-6")</f>
        <v>as:GENC:6:ed3:IS-6</v>
      </c>
    </row>
    <row r="1671" spans="1:7" x14ac:dyDescent="0.2">
      <c r="A1671" s="85"/>
      <c r="B1671" s="25" t="s">
        <v>5083</v>
      </c>
      <c r="C1671" s="25" t="s">
        <v>12465</v>
      </c>
      <c r="D1671" s="25" t="s">
        <v>2087</v>
      </c>
      <c r="E1671" s="26" t="b">
        <v>1</v>
      </c>
      <c r="F1671" s="27" t="str">
        <f>HYPERLINK("http://nsgreg.nga.mil/genc/view?v=212039&amp;end_month=12&amp;end_day=31&amp;end_year=2014","Norðurland Vestra")</f>
        <v>Norðurland Vestra</v>
      </c>
      <c r="G1671" s="28" t="str">
        <f>HYPERLINK("http://api.nsgreg.nga.mil/geo-division/GENC/6/ed3/IS-5","as:GENC:6:ed3:IS-5")</f>
        <v>as:GENC:6:ed3:IS-5</v>
      </c>
    </row>
    <row r="1672" spans="1:7" x14ac:dyDescent="0.2">
      <c r="A1672" s="85"/>
      <c r="B1672" s="25" t="s">
        <v>5085</v>
      </c>
      <c r="C1672" s="25" t="s">
        <v>5086</v>
      </c>
      <c r="D1672" s="37" t="s">
        <v>2087</v>
      </c>
      <c r="E1672" s="38" t="b">
        <v>0</v>
      </c>
      <c r="F1672" s="27" t="str">
        <f>HYPERLINK("http://nsgreg.nga.mil/genc/view?v=212034&amp;end_month=12&amp;end_day=31&amp;end_year=2014","Reykjavík")</f>
        <v>Reykjavík</v>
      </c>
      <c r="G1672" s="28" t="str">
        <f>HYPERLINK("http://api.nsgreg.nga.mil/geo-division/GENC/6/ed3/IS-0","as:GENC:6:ed3:IS-0")</f>
        <v>as:GENC:6:ed3:IS-0</v>
      </c>
    </row>
    <row r="1673" spans="1:7" x14ac:dyDescent="0.2">
      <c r="A1673" s="85"/>
      <c r="B1673" s="25" t="s">
        <v>5087</v>
      </c>
      <c r="C1673" s="25" t="s">
        <v>5088</v>
      </c>
      <c r="D1673" s="25" t="s">
        <v>2087</v>
      </c>
      <c r="E1673" s="26" t="b">
        <v>1</v>
      </c>
      <c r="F1673" s="27" t="str">
        <f>HYPERLINK("http://nsgreg.nga.mil/genc/view?v=212042&amp;end_month=12&amp;end_day=31&amp;end_year=2014","Suðurland")</f>
        <v>Suðurland</v>
      </c>
      <c r="G1673" s="28" t="str">
        <f>HYPERLINK("http://api.nsgreg.nga.mil/geo-division/GENC/6/ed3/IS-8","as:GENC:6:ed3:IS-8")</f>
        <v>as:GENC:6:ed3:IS-8</v>
      </c>
    </row>
    <row r="1674" spans="1:7" x14ac:dyDescent="0.2">
      <c r="A1674" s="85"/>
      <c r="B1674" s="25" t="s">
        <v>5089</v>
      </c>
      <c r="C1674" s="25" t="s">
        <v>5090</v>
      </c>
      <c r="D1674" s="25" t="s">
        <v>2087</v>
      </c>
      <c r="E1674" s="26" t="b">
        <v>1</v>
      </c>
      <c r="F1674" s="27" t="str">
        <f>HYPERLINK("http://nsgreg.nga.mil/genc/view?v=212036&amp;end_month=12&amp;end_day=31&amp;end_year=2014","Suðurnes")</f>
        <v>Suðurnes</v>
      </c>
      <c r="G1674" s="28" t="str">
        <f>HYPERLINK("http://api.nsgreg.nga.mil/geo-division/GENC/6/ed3/IS-2","as:GENC:6:ed3:IS-2")</f>
        <v>as:GENC:6:ed3:IS-2</v>
      </c>
    </row>
    <row r="1675" spans="1:7" x14ac:dyDescent="0.2">
      <c r="A1675" s="85"/>
      <c r="B1675" s="25" t="s">
        <v>5091</v>
      </c>
      <c r="C1675" s="25" t="s">
        <v>5092</v>
      </c>
      <c r="D1675" s="25" t="s">
        <v>2087</v>
      </c>
      <c r="E1675" s="26" t="b">
        <v>1</v>
      </c>
      <c r="F1675" s="27" t="str">
        <f>HYPERLINK("http://nsgreg.nga.mil/genc/view?v=212038&amp;end_month=12&amp;end_day=31&amp;end_year=2014","Vestfirðir")</f>
        <v>Vestfirðir</v>
      </c>
      <c r="G1675" s="28" t="str">
        <f>HYPERLINK("http://api.nsgreg.nga.mil/geo-division/GENC/6/ed3/IS-4","as:GENC:6:ed3:IS-4")</f>
        <v>as:GENC:6:ed3:IS-4</v>
      </c>
    </row>
    <row r="1676" spans="1:7" x14ac:dyDescent="0.2">
      <c r="A1676" s="86"/>
      <c r="B1676" s="29" t="s">
        <v>5093</v>
      </c>
      <c r="C1676" s="29" t="s">
        <v>5094</v>
      </c>
      <c r="D1676" s="29" t="s">
        <v>2087</v>
      </c>
      <c r="E1676" s="30" t="b">
        <v>1</v>
      </c>
      <c r="F1676" s="31" t="str">
        <f>HYPERLINK("http://nsgreg.nga.mil/genc/view?v=212037&amp;end_month=12&amp;end_day=31&amp;end_year=2014","Vesturland")</f>
        <v>Vesturland</v>
      </c>
      <c r="G1676" s="32" t="str">
        <f>HYPERLINK("http://api.nsgreg.nga.mil/geo-division/GENC/6/ed3/IS-3","as:GENC:6:ed3:IS-3")</f>
        <v>as:GENC:6:ed3:IS-3</v>
      </c>
    </row>
    <row r="1677" spans="1:7" x14ac:dyDescent="0.2">
      <c r="A1677" s="84" t="str">
        <f>HYPERLINK("[#]Codes_for_GE_Names!A124:I124","INDIA")</f>
        <v>INDIA</v>
      </c>
      <c r="B1677" s="33" t="s">
        <v>5095</v>
      </c>
      <c r="C1677" s="33" t="s">
        <v>5096</v>
      </c>
      <c r="D1677" s="33" t="s">
        <v>12150</v>
      </c>
      <c r="E1677" s="34" t="b">
        <v>1</v>
      </c>
      <c r="F1677" s="35" t="str">
        <f>HYPERLINK("http://nsgreg.nga.mil/genc/view?v=212003&amp;end_month=12&amp;end_day=31&amp;end_year=2014","Andaman and Nicobar Islands")</f>
        <v>Andaman and Nicobar Islands</v>
      </c>
      <c r="G1677" s="36" t="str">
        <f>HYPERLINK("http://api.nsgreg.nga.mil/geo-division/GENC/6/ed3/IN-AN","as:GENC:6:ed3:IN-AN")</f>
        <v>as:GENC:6:ed3:IN-AN</v>
      </c>
    </row>
    <row r="1678" spans="1:7" x14ac:dyDescent="0.2">
      <c r="A1678" s="85"/>
      <c r="B1678" s="25" t="s">
        <v>5098</v>
      </c>
      <c r="C1678" s="25" t="s">
        <v>5099</v>
      </c>
      <c r="D1678" s="25" t="s">
        <v>2113</v>
      </c>
      <c r="E1678" s="26" t="b">
        <v>1</v>
      </c>
      <c r="F1678" s="27" t="str">
        <f>HYPERLINK("http://nsgreg.nga.mil/genc/view?v=119824&amp;gencs=T&amp;end_month=12&amp;end_day=31&amp;end_year=2014","Andhra Pradesh")</f>
        <v>Andhra Pradesh</v>
      </c>
      <c r="G1678" s="28" t="str">
        <f>HYPERLINK("http://api.nsgreg.nga.mil/geo-division/GENC/6/ed3/IN-AP","as:GENC:6:ed3:IN-AP")</f>
        <v>as:GENC:6:ed3:IN-AP</v>
      </c>
    </row>
    <row r="1679" spans="1:7" x14ac:dyDescent="0.2">
      <c r="A1679" s="85"/>
      <c r="B1679" s="25" t="s">
        <v>5100</v>
      </c>
      <c r="C1679" s="25" t="s">
        <v>12466</v>
      </c>
      <c r="D1679" s="25" t="s">
        <v>2113</v>
      </c>
      <c r="E1679" s="26" t="b">
        <v>1</v>
      </c>
      <c r="F1679" s="27" t="str">
        <f>HYPERLINK("http://nsgreg.nga.mil/genc/view?v=212004&amp;end_month=12&amp;end_day=31&amp;end_year=2014","Arunāchal Pradesh")</f>
        <v>Arunāchal Pradesh</v>
      </c>
      <c r="G1679" s="28" t="str">
        <f>HYPERLINK("http://api.nsgreg.nga.mil/geo-division/GENC/6/ed3/IN-AR","as:GENC:6:ed3:IN-AR")</f>
        <v>as:GENC:6:ed3:IN-AR</v>
      </c>
    </row>
    <row r="1680" spans="1:7" x14ac:dyDescent="0.2">
      <c r="A1680" s="85"/>
      <c r="B1680" s="25" t="s">
        <v>5102</v>
      </c>
      <c r="C1680" s="25" t="s">
        <v>5103</v>
      </c>
      <c r="D1680" s="25" t="s">
        <v>2113</v>
      </c>
      <c r="E1680" s="26" t="b">
        <v>1</v>
      </c>
      <c r="F1680" s="27" t="str">
        <f>HYPERLINK("http://nsgreg.nga.mil/genc/view?v=119826&amp;gencs=T&amp;end_month=12&amp;end_day=31&amp;end_year=2014","Assam")</f>
        <v>Assam</v>
      </c>
      <c r="G1680" s="28" t="str">
        <f>HYPERLINK("http://api.nsgreg.nga.mil/geo-division/GENC/6/ed3/IN-AS","as:GENC:6:ed3:IN-AS")</f>
        <v>as:GENC:6:ed3:IN-AS</v>
      </c>
    </row>
    <row r="1681" spans="1:7" x14ac:dyDescent="0.2">
      <c r="A1681" s="85"/>
      <c r="B1681" s="25" t="s">
        <v>5104</v>
      </c>
      <c r="C1681" s="25" t="s">
        <v>12467</v>
      </c>
      <c r="D1681" s="25" t="s">
        <v>2113</v>
      </c>
      <c r="E1681" s="26" t="b">
        <v>1</v>
      </c>
      <c r="F1681" s="27" t="str">
        <f>HYPERLINK("http://nsgreg.nga.mil/genc/view?v=212005&amp;end_month=12&amp;end_day=31&amp;end_year=2014","Bihār")</f>
        <v>Bihār</v>
      </c>
      <c r="G1681" s="28" t="str">
        <f>HYPERLINK("http://api.nsgreg.nga.mil/geo-division/GENC/6/ed3/IN-BR","as:GENC:6:ed3:IN-BR")</f>
        <v>as:GENC:6:ed3:IN-BR</v>
      </c>
    </row>
    <row r="1682" spans="1:7" x14ac:dyDescent="0.2">
      <c r="A1682" s="85"/>
      <c r="B1682" s="25" t="s">
        <v>5106</v>
      </c>
      <c r="C1682" s="25" t="s">
        <v>12468</v>
      </c>
      <c r="D1682" s="25" t="s">
        <v>12150</v>
      </c>
      <c r="E1682" s="26" t="b">
        <v>1</v>
      </c>
      <c r="F1682" s="27" t="str">
        <f>HYPERLINK("http://nsgreg.nga.mil/genc/view?v=212006&amp;end_month=12&amp;end_day=31&amp;end_year=2014","Chandīgarh")</f>
        <v>Chandīgarh</v>
      </c>
      <c r="G1682" s="28" t="str">
        <f>HYPERLINK("http://api.nsgreg.nga.mil/geo-division/GENC/6/ed3/IN-CH","as:GENC:6:ed3:IN-CH")</f>
        <v>as:GENC:6:ed3:IN-CH</v>
      </c>
    </row>
    <row r="1683" spans="1:7" x14ac:dyDescent="0.2">
      <c r="A1683" s="85"/>
      <c r="B1683" s="25" t="s">
        <v>5108</v>
      </c>
      <c r="C1683" s="25" t="s">
        <v>12469</v>
      </c>
      <c r="D1683" s="25" t="s">
        <v>2113</v>
      </c>
      <c r="E1683" s="26" t="b">
        <v>1</v>
      </c>
      <c r="F1683" s="27" t="str">
        <f>HYPERLINK("http://nsgreg.nga.mil/genc/view?v=212007&amp;end_month=12&amp;end_day=31&amp;end_year=2014","Chhattīsgarh")</f>
        <v>Chhattīsgarh</v>
      </c>
      <c r="G1683" s="28" t="str">
        <f>HYPERLINK("http://api.nsgreg.nga.mil/geo-division/GENC/6/ed3/IN-CT","as:GENC:6:ed3:IN-CT")</f>
        <v>as:GENC:6:ed3:IN-CT</v>
      </c>
    </row>
    <row r="1684" spans="1:7" x14ac:dyDescent="0.2">
      <c r="A1684" s="85"/>
      <c r="B1684" s="25" t="s">
        <v>5110</v>
      </c>
      <c r="C1684" s="25" t="s">
        <v>12470</v>
      </c>
      <c r="D1684" s="25" t="s">
        <v>12150</v>
      </c>
      <c r="E1684" s="26" t="b">
        <v>1</v>
      </c>
      <c r="F1684" s="27" t="str">
        <f>HYPERLINK("http://nsgreg.nga.mil/genc/view?v=212010&amp;end_month=12&amp;end_day=31&amp;end_year=2014","Dādra and Nagar Haveli")</f>
        <v>Dādra and Nagar Haveli</v>
      </c>
      <c r="G1684" s="28" t="str">
        <f>HYPERLINK("http://api.nsgreg.nga.mil/geo-division/GENC/6/ed3/IN-DN","as:GENC:6:ed3:IN-DN")</f>
        <v>as:GENC:6:ed3:IN-DN</v>
      </c>
    </row>
    <row r="1685" spans="1:7" x14ac:dyDescent="0.2">
      <c r="A1685" s="85"/>
      <c r="B1685" s="25" t="s">
        <v>5112</v>
      </c>
      <c r="C1685" s="25" t="s">
        <v>12471</v>
      </c>
      <c r="D1685" s="25" t="s">
        <v>12150</v>
      </c>
      <c r="E1685" s="26" t="b">
        <v>1</v>
      </c>
      <c r="F1685" s="27" t="str">
        <f>HYPERLINK("http://nsgreg.nga.mil/genc/view?v=212008&amp;end_month=12&amp;end_day=31&amp;end_year=2014","Damān and Diu")</f>
        <v>Damān and Diu</v>
      </c>
      <c r="G1685" s="28" t="str">
        <f>HYPERLINK("http://api.nsgreg.nga.mil/geo-division/GENC/6/ed3/IN-DD","as:GENC:6:ed3:IN-DD")</f>
        <v>as:GENC:6:ed3:IN-DD</v>
      </c>
    </row>
    <row r="1686" spans="1:7" x14ac:dyDescent="0.2">
      <c r="A1686" s="85"/>
      <c r="B1686" s="25" t="s">
        <v>5114</v>
      </c>
      <c r="C1686" s="25" t="s">
        <v>5115</v>
      </c>
      <c r="D1686" s="25" t="s">
        <v>12472</v>
      </c>
      <c r="E1686" s="26" t="b">
        <v>1</v>
      </c>
      <c r="F1686" s="27" t="str">
        <f>HYPERLINK("http://nsgreg.nga.mil/genc/view?v=212009&amp;end_month=12&amp;end_day=31&amp;end_year=2014","Delhi")</f>
        <v>Delhi</v>
      </c>
      <c r="G1686" s="28" t="str">
        <f>HYPERLINK("http://api.nsgreg.nga.mil/geo-division/GENC/6/ed3/IN-DL","as:GENC:6:ed3:IN-DL")</f>
        <v>as:GENC:6:ed3:IN-DL</v>
      </c>
    </row>
    <row r="1687" spans="1:7" x14ac:dyDescent="0.2">
      <c r="A1687" s="85"/>
      <c r="B1687" s="25" t="s">
        <v>5116</v>
      </c>
      <c r="C1687" s="25" t="s">
        <v>5117</v>
      </c>
      <c r="D1687" s="25" t="s">
        <v>2113</v>
      </c>
      <c r="E1687" s="26" t="b">
        <v>1</v>
      </c>
      <c r="F1687" s="27" t="str">
        <f>HYPERLINK("http://nsgreg.nga.mil/genc/view?v=119833&amp;gencs=T&amp;end_month=12&amp;end_day=31&amp;end_year=2014","Goa")</f>
        <v>Goa</v>
      </c>
      <c r="G1687" s="28" t="str">
        <f>HYPERLINK("http://api.nsgreg.nga.mil/geo-division/GENC/6/ed3/IN-GA","as:GENC:6:ed3:IN-GA")</f>
        <v>as:GENC:6:ed3:IN-GA</v>
      </c>
    </row>
    <row r="1688" spans="1:7" x14ac:dyDescent="0.2">
      <c r="A1688" s="85"/>
      <c r="B1688" s="25" t="s">
        <v>5118</v>
      </c>
      <c r="C1688" s="25" t="s">
        <v>12473</v>
      </c>
      <c r="D1688" s="25" t="s">
        <v>2113</v>
      </c>
      <c r="E1688" s="26" t="b">
        <v>1</v>
      </c>
      <c r="F1688" s="27" t="str">
        <f>HYPERLINK("http://nsgreg.nga.mil/genc/view?v=212011&amp;end_month=12&amp;end_day=31&amp;end_year=2014","Gujarāt")</f>
        <v>Gujarāt</v>
      </c>
      <c r="G1688" s="28" t="str">
        <f>HYPERLINK("http://api.nsgreg.nga.mil/geo-division/GENC/6/ed3/IN-GJ","as:GENC:6:ed3:IN-GJ")</f>
        <v>as:GENC:6:ed3:IN-GJ</v>
      </c>
    </row>
    <row r="1689" spans="1:7" x14ac:dyDescent="0.2">
      <c r="A1689" s="85"/>
      <c r="B1689" s="25" t="s">
        <v>5120</v>
      </c>
      <c r="C1689" s="25" t="s">
        <v>12474</v>
      </c>
      <c r="D1689" s="25" t="s">
        <v>2113</v>
      </c>
      <c r="E1689" s="26" t="b">
        <v>1</v>
      </c>
      <c r="F1689" s="27" t="str">
        <f>HYPERLINK("http://nsgreg.nga.mil/genc/view?v=212013&amp;end_month=12&amp;end_day=31&amp;end_year=2014","Haryāna")</f>
        <v>Haryāna</v>
      </c>
      <c r="G1689" s="28" t="str">
        <f>HYPERLINK("http://api.nsgreg.nga.mil/geo-division/GENC/6/ed3/IN-HR","as:GENC:6:ed3:IN-HR")</f>
        <v>as:GENC:6:ed3:IN-HR</v>
      </c>
    </row>
    <row r="1690" spans="1:7" x14ac:dyDescent="0.2">
      <c r="A1690" s="85"/>
      <c r="B1690" s="25" t="s">
        <v>5122</v>
      </c>
      <c r="C1690" s="25" t="s">
        <v>12475</v>
      </c>
      <c r="D1690" s="25" t="s">
        <v>2113</v>
      </c>
      <c r="E1690" s="26" t="b">
        <v>1</v>
      </c>
      <c r="F1690" s="27" t="str">
        <f>HYPERLINK("http://nsgreg.nga.mil/genc/view?v=212012&amp;end_month=12&amp;end_day=31&amp;end_year=2014","Himāchal Pradesh")</f>
        <v>Himāchal Pradesh</v>
      </c>
      <c r="G1690" s="28" t="str">
        <f>HYPERLINK("http://api.nsgreg.nga.mil/geo-division/GENC/6/ed3/IN-HP","as:GENC:6:ed3:IN-HP")</f>
        <v>as:GENC:6:ed3:IN-HP</v>
      </c>
    </row>
    <row r="1691" spans="1:7" x14ac:dyDescent="0.2">
      <c r="A1691" s="85"/>
      <c r="B1691" s="25" t="s">
        <v>5124</v>
      </c>
      <c r="C1691" s="25" t="s">
        <v>12476</v>
      </c>
      <c r="D1691" s="25" t="s">
        <v>2113</v>
      </c>
      <c r="E1691" s="26" t="b">
        <v>1</v>
      </c>
      <c r="F1691" s="27" t="str">
        <f>HYPERLINK("http://nsgreg.nga.mil/genc/view?v=212014&amp;end_month=12&amp;end_day=31&amp;end_year=2014","Jammu and Kashmīr")</f>
        <v>Jammu and Kashmīr</v>
      </c>
      <c r="G1691" s="28" t="str">
        <f>HYPERLINK("http://api.nsgreg.nga.mil/geo-division/GENC/6/ed3/IN-JK","as:GENC:6:ed3:IN-JK")</f>
        <v>as:GENC:6:ed3:IN-JK</v>
      </c>
    </row>
    <row r="1692" spans="1:7" x14ac:dyDescent="0.2">
      <c r="A1692" s="85"/>
      <c r="B1692" s="25" t="s">
        <v>5126</v>
      </c>
      <c r="C1692" s="25" t="s">
        <v>5127</v>
      </c>
      <c r="D1692" s="25" t="s">
        <v>2113</v>
      </c>
      <c r="E1692" s="26" t="b">
        <v>1</v>
      </c>
      <c r="F1692" s="27" t="str">
        <f>HYPERLINK("http://nsgreg.nga.mil/genc/view?v=119837&amp;gencs=T&amp;end_month=12&amp;end_day=31&amp;end_year=2014","Jharkhand")</f>
        <v>Jharkhand</v>
      </c>
      <c r="G1692" s="28" t="str">
        <f>HYPERLINK("http://api.nsgreg.nga.mil/geo-division/GENC/6/ed3/IN-JH","as:GENC:6:ed3:IN-JH")</f>
        <v>as:GENC:6:ed3:IN-JH</v>
      </c>
    </row>
    <row r="1693" spans="1:7" x14ac:dyDescent="0.2">
      <c r="A1693" s="85"/>
      <c r="B1693" s="25" t="s">
        <v>5128</v>
      </c>
      <c r="C1693" s="25" t="s">
        <v>12477</v>
      </c>
      <c r="D1693" s="25" t="s">
        <v>2113</v>
      </c>
      <c r="E1693" s="26" t="b">
        <v>1</v>
      </c>
      <c r="F1693" s="27" t="str">
        <f>HYPERLINK("http://nsgreg.nga.mil/genc/view?v=212015&amp;end_month=12&amp;end_day=31&amp;end_year=2014","Karnātaka")</f>
        <v>Karnātaka</v>
      </c>
      <c r="G1693" s="28" t="str">
        <f>HYPERLINK("http://api.nsgreg.nga.mil/geo-division/GENC/6/ed3/IN-KA","as:GENC:6:ed3:IN-KA")</f>
        <v>as:GENC:6:ed3:IN-KA</v>
      </c>
    </row>
    <row r="1694" spans="1:7" x14ac:dyDescent="0.2">
      <c r="A1694" s="85"/>
      <c r="B1694" s="25" t="s">
        <v>5130</v>
      </c>
      <c r="C1694" s="25" t="s">
        <v>5131</v>
      </c>
      <c r="D1694" s="25" t="s">
        <v>2113</v>
      </c>
      <c r="E1694" s="26" t="b">
        <v>1</v>
      </c>
      <c r="F1694" s="27" t="str">
        <f>HYPERLINK("http://nsgreg.nga.mil/genc/view?v=119840&amp;gencs=T&amp;end_month=12&amp;end_day=31&amp;end_year=2014","Kerala")</f>
        <v>Kerala</v>
      </c>
      <c r="G1694" s="28" t="str">
        <f>HYPERLINK("http://api.nsgreg.nga.mil/geo-division/GENC/6/ed3/IN-KL","as:GENC:6:ed3:IN-KL")</f>
        <v>as:GENC:6:ed3:IN-KL</v>
      </c>
    </row>
    <row r="1695" spans="1:7" x14ac:dyDescent="0.2">
      <c r="A1695" s="85"/>
      <c r="B1695" s="25" t="s">
        <v>5132</v>
      </c>
      <c r="C1695" s="25" t="s">
        <v>5133</v>
      </c>
      <c r="D1695" s="25" t="s">
        <v>12150</v>
      </c>
      <c r="E1695" s="26" t="b">
        <v>1</v>
      </c>
      <c r="F1695" s="27" t="str">
        <f>HYPERLINK("http://nsgreg.nga.mil/genc/view?v=212016&amp;end_month=12&amp;end_day=31&amp;end_year=2014","Lakshadweep")</f>
        <v>Lakshadweep</v>
      </c>
      <c r="G1695" s="28" t="str">
        <f>HYPERLINK("http://api.nsgreg.nga.mil/geo-division/GENC/6/ed3/IN-LD","as:GENC:6:ed3:IN-LD")</f>
        <v>as:GENC:6:ed3:IN-LD</v>
      </c>
    </row>
    <row r="1696" spans="1:7" x14ac:dyDescent="0.2">
      <c r="A1696" s="85"/>
      <c r="B1696" s="25" t="s">
        <v>5135</v>
      </c>
      <c r="C1696" s="25" t="s">
        <v>5136</v>
      </c>
      <c r="D1696" s="25" t="s">
        <v>2113</v>
      </c>
      <c r="E1696" s="26" t="b">
        <v>1</v>
      </c>
      <c r="F1696" s="27" t="str">
        <f>HYPERLINK("http://nsgreg.nga.mil/genc/view?v=119845&amp;gencs=T&amp;end_month=12&amp;end_day=31&amp;end_year=2014","Madhya Pradesh")</f>
        <v>Madhya Pradesh</v>
      </c>
      <c r="G1696" s="28" t="str">
        <f>HYPERLINK("http://api.nsgreg.nga.mil/geo-division/GENC/6/ed3/IN-MP","as:GENC:6:ed3:IN-MP")</f>
        <v>as:GENC:6:ed3:IN-MP</v>
      </c>
    </row>
    <row r="1697" spans="1:7" x14ac:dyDescent="0.2">
      <c r="A1697" s="85"/>
      <c r="B1697" s="25" t="s">
        <v>5134</v>
      </c>
      <c r="C1697" s="25" t="s">
        <v>12478</v>
      </c>
      <c r="D1697" s="25" t="s">
        <v>2113</v>
      </c>
      <c r="E1697" s="26" t="b">
        <v>1</v>
      </c>
      <c r="F1697" s="27" t="str">
        <f>HYPERLINK("http://nsgreg.nga.mil/genc/view?v=212017&amp;end_month=12&amp;end_day=31&amp;end_year=2014","Mahārāshtra")</f>
        <v>Mahārāshtra</v>
      </c>
      <c r="G1697" s="28" t="str">
        <f>HYPERLINK("http://api.nsgreg.nga.mil/geo-division/GENC/6/ed3/IN-MH","as:GENC:6:ed3:IN-MH")</f>
        <v>as:GENC:6:ed3:IN-MH</v>
      </c>
    </row>
    <row r="1698" spans="1:7" x14ac:dyDescent="0.2">
      <c r="A1698" s="85"/>
      <c r="B1698" s="25" t="s">
        <v>5137</v>
      </c>
      <c r="C1698" s="25" t="s">
        <v>5138</v>
      </c>
      <c r="D1698" s="25" t="s">
        <v>2113</v>
      </c>
      <c r="E1698" s="26" t="b">
        <v>1</v>
      </c>
      <c r="F1698" s="27" t="str">
        <f>HYPERLINK("http://nsgreg.nga.mil/genc/view?v=119844&amp;gencs=T&amp;end_month=12&amp;end_day=31&amp;end_year=2014","Manipur")</f>
        <v>Manipur</v>
      </c>
      <c r="G1698" s="28" t="str">
        <f>HYPERLINK("http://api.nsgreg.nga.mil/geo-division/GENC/6/ed3/IN-MN","as:GENC:6:ed3:IN-MN")</f>
        <v>as:GENC:6:ed3:IN-MN</v>
      </c>
    </row>
    <row r="1699" spans="1:7" x14ac:dyDescent="0.2">
      <c r="A1699" s="85"/>
      <c r="B1699" s="25" t="s">
        <v>5139</v>
      </c>
      <c r="C1699" s="25" t="s">
        <v>12479</v>
      </c>
      <c r="D1699" s="25" t="s">
        <v>2113</v>
      </c>
      <c r="E1699" s="26" t="b">
        <v>1</v>
      </c>
      <c r="F1699" s="27" t="str">
        <f>HYPERLINK("http://nsgreg.nga.mil/genc/view?v=212018&amp;end_month=12&amp;end_day=31&amp;end_year=2014","Meghālaya")</f>
        <v>Meghālaya</v>
      </c>
      <c r="G1699" s="28" t="str">
        <f>HYPERLINK("http://api.nsgreg.nga.mil/geo-division/GENC/6/ed3/IN-ML","as:GENC:6:ed3:IN-ML")</f>
        <v>as:GENC:6:ed3:IN-ML</v>
      </c>
    </row>
    <row r="1700" spans="1:7" x14ac:dyDescent="0.2">
      <c r="A1700" s="85"/>
      <c r="B1700" s="25" t="s">
        <v>5141</v>
      </c>
      <c r="C1700" s="25" t="s">
        <v>5142</v>
      </c>
      <c r="D1700" s="25" t="s">
        <v>12150</v>
      </c>
      <c r="E1700" s="26" t="b">
        <v>1</v>
      </c>
      <c r="F1700" s="27" t="str">
        <f>HYPERLINK("http://nsgreg.nga.mil/genc/view?v=212019&amp;end_month=12&amp;end_day=31&amp;end_year=2014","Mizoram")</f>
        <v>Mizoram</v>
      </c>
      <c r="G1700" s="28" t="str">
        <f>HYPERLINK("http://api.nsgreg.nga.mil/geo-division/GENC/6/ed3/IN-MZ","as:GENC:6:ed3:IN-MZ")</f>
        <v>as:GENC:6:ed3:IN-MZ</v>
      </c>
    </row>
    <row r="1701" spans="1:7" x14ac:dyDescent="0.2">
      <c r="A1701" s="85"/>
      <c r="B1701" s="25" t="s">
        <v>5143</v>
      </c>
      <c r="C1701" s="25" t="s">
        <v>12480</v>
      </c>
      <c r="D1701" s="25" t="s">
        <v>2113</v>
      </c>
      <c r="E1701" s="26" t="b">
        <v>1</v>
      </c>
      <c r="F1701" s="27" t="str">
        <f>HYPERLINK("http://nsgreg.nga.mil/genc/view?v=212020&amp;end_month=12&amp;end_day=31&amp;end_year=2014","Nāgāland")</f>
        <v>Nāgāland</v>
      </c>
      <c r="G1701" s="28" t="str">
        <f>HYPERLINK("http://api.nsgreg.nga.mil/geo-division/GENC/6/ed3/IN-NL","as:GENC:6:ed3:IN-NL")</f>
        <v>as:GENC:6:ed3:IN-NL</v>
      </c>
    </row>
    <row r="1702" spans="1:7" x14ac:dyDescent="0.2">
      <c r="A1702" s="85"/>
      <c r="B1702" s="25" t="s">
        <v>5145</v>
      </c>
      <c r="C1702" s="25" t="s">
        <v>12481</v>
      </c>
      <c r="D1702" s="25" t="s">
        <v>2113</v>
      </c>
      <c r="E1702" s="26" t="b">
        <v>1</v>
      </c>
      <c r="F1702" s="27" t="str">
        <f>HYPERLINK("http://nsgreg.nga.mil/genc/view?v=119848&amp;gencs=T&amp;end_month=12&amp;end_day=31&amp;end_year=2014","Odisha")</f>
        <v>Odisha</v>
      </c>
      <c r="G1702" s="28" t="str">
        <f>HYPERLINK("http://api.nsgreg.nga.mil/geo-division/GENC/6/ed3/IN-OR","as:GENC:6:ed3:IN-OR")</f>
        <v>as:GENC:6:ed3:IN-OR</v>
      </c>
    </row>
    <row r="1703" spans="1:7" x14ac:dyDescent="0.2">
      <c r="A1703" s="85"/>
      <c r="B1703" s="25" t="s">
        <v>5147</v>
      </c>
      <c r="C1703" s="25" t="s">
        <v>12482</v>
      </c>
      <c r="D1703" s="25" t="s">
        <v>12150</v>
      </c>
      <c r="E1703" s="26" t="b">
        <v>1</v>
      </c>
      <c r="F1703" s="27" t="str">
        <f>HYPERLINK("http://nsgreg.nga.mil/genc/view?v=212021&amp;end_month=12&amp;end_day=31&amp;end_year=2014","Puducherry")</f>
        <v>Puducherry</v>
      </c>
      <c r="G1703" s="28" t="str">
        <f>HYPERLINK("http://api.nsgreg.nga.mil/geo-division/GENC/6/ed3/IN-PY","as:GENC:6:ed3:IN-PY")</f>
        <v>as:GENC:6:ed3:IN-PY</v>
      </c>
    </row>
    <row r="1704" spans="1:7" x14ac:dyDescent="0.2">
      <c r="A1704" s="85"/>
      <c r="B1704" s="25" t="s">
        <v>5149</v>
      </c>
      <c r="C1704" s="25" t="s">
        <v>5150</v>
      </c>
      <c r="D1704" s="25" t="s">
        <v>2113</v>
      </c>
      <c r="E1704" s="26" t="b">
        <v>1</v>
      </c>
      <c r="F1704" s="27" t="str">
        <f>HYPERLINK("http://nsgreg.nga.mil/genc/view?v=119849&amp;gencs=T&amp;end_month=12&amp;end_day=31&amp;end_year=2014","Punjab")</f>
        <v>Punjab</v>
      </c>
      <c r="G1704" s="28" t="str">
        <f>HYPERLINK("http://api.nsgreg.nga.mil/geo-division/GENC/6/ed3/IN-PB","as:GENC:6:ed3:IN-PB")</f>
        <v>as:GENC:6:ed3:IN-PB</v>
      </c>
    </row>
    <row r="1705" spans="1:7" x14ac:dyDescent="0.2">
      <c r="A1705" s="85"/>
      <c r="B1705" s="25" t="s">
        <v>5151</v>
      </c>
      <c r="C1705" s="25" t="s">
        <v>12483</v>
      </c>
      <c r="D1705" s="25" t="s">
        <v>2113</v>
      </c>
      <c r="E1705" s="26" t="b">
        <v>1</v>
      </c>
      <c r="F1705" s="27" t="str">
        <f>HYPERLINK("http://nsgreg.nga.mil/genc/view?v=212022&amp;end_month=12&amp;end_day=31&amp;end_year=2014","Rājasthān")</f>
        <v>Rājasthān</v>
      </c>
      <c r="G1705" s="28" t="str">
        <f>HYPERLINK("http://api.nsgreg.nga.mil/geo-division/GENC/6/ed3/IN-RJ","as:GENC:6:ed3:IN-RJ")</f>
        <v>as:GENC:6:ed3:IN-RJ</v>
      </c>
    </row>
    <row r="1706" spans="1:7" x14ac:dyDescent="0.2">
      <c r="A1706" s="85"/>
      <c r="B1706" s="25" t="s">
        <v>5153</v>
      </c>
      <c r="C1706" s="25" t="s">
        <v>5154</v>
      </c>
      <c r="D1706" s="25" t="s">
        <v>2113</v>
      </c>
      <c r="E1706" s="26" t="b">
        <v>1</v>
      </c>
      <c r="F1706" s="27" t="str">
        <f>HYPERLINK("http://nsgreg.nga.mil/genc/view?v=119852&amp;gencs=T&amp;end_month=12&amp;end_day=31&amp;end_year=2014","Sikkim")</f>
        <v>Sikkim</v>
      </c>
      <c r="G1706" s="28" t="str">
        <f>HYPERLINK("http://api.nsgreg.nga.mil/geo-division/GENC/6/ed3/IN-SK","as:GENC:6:ed3:IN-SK")</f>
        <v>as:GENC:6:ed3:IN-SK</v>
      </c>
    </row>
    <row r="1707" spans="1:7" x14ac:dyDescent="0.2">
      <c r="A1707" s="85"/>
      <c r="B1707" s="25" t="s">
        <v>5155</v>
      </c>
      <c r="C1707" s="25" t="s">
        <v>12484</v>
      </c>
      <c r="D1707" s="25" t="s">
        <v>2113</v>
      </c>
      <c r="E1707" s="26" t="b">
        <v>1</v>
      </c>
      <c r="F1707" s="27" t="str">
        <f>HYPERLINK("http://nsgreg.nga.mil/genc/view?v=212023&amp;end_month=12&amp;end_day=31&amp;end_year=2014","Tamil Nādu ")</f>
        <v xml:space="preserve">Tamil Nādu </v>
      </c>
      <c r="G1707" s="28" t="str">
        <f>HYPERLINK("http://api.nsgreg.nga.mil/geo-division/GENC/6/ed3/IN-TN","as:GENC:6:ed3:IN-TN")</f>
        <v>as:GENC:6:ed3:IN-TN</v>
      </c>
    </row>
    <row r="1708" spans="1:7" x14ac:dyDescent="0.2">
      <c r="A1708" s="85"/>
      <c r="B1708" s="25" t="s">
        <v>12485</v>
      </c>
      <c r="C1708" s="25" t="s">
        <v>12486</v>
      </c>
      <c r="D1708" s="25" t="s">
        <v>2113</v>
      </c>
      <c r="E1708" s="26" t="b">
        <v>1</v>
      </c>
      <c r="F1708" s="27" t="str">
        <f>HYPERLINK("http://nsgreg.nga.mil/genc/view?v=119853&amp;gencs=T&amp;end_month=12&amp;end_day=31&amp;end_year=2014","Telangana")</f>
        <v>Telangana</v>
      </c>
      <c r="G1708" s="28" t="str">
        <f>HYPERLINK("http://api.nsgreg.nga.mil/geo-division/GENC/6/ed3/IN-TG","as:GENC:6:ed3:IN-TG")</f>
        <v>as:GENC:6:ed3:IN-TG</v>
      </c>
    </row>
    <row r="1709" spans="1:7" x14ac:dyDescent="0.2">
      <c r="A1709" s="85"/>
      <c r="B1709" s="25" t="s">
        <v>5157</v>
      </c>
      <c r="C1709" s="25" t="s">
        <v>5158</v>
      </c>
      <c r="D1709" s="25" t="s">
        <v>2113</v>
      </c>
      <c r="E1709" s="26" t="b">
        <v>1</v>
      </c>
      <c r="F1709" s="27" t="str">
        <f>HYPERLINK("http://nsgreg.nga.mil/genc/view?v=119855&amp;gencs=T&amp;end_month=12&amp;end_day=31&amp;end_year=2014","Tripura")</f>
        <v>Tripura</v>
      </c>
      <c r="G1709" s="28" t="str">
        <f>HYPERLINK("http://api.nsgreg.nga.mil/geo-division/GENC/6/ed3/IN-TR","as:GENC:6:ed3:IN-TR")</f>
        <v>as:GENC:6:ed3:IN-TR</v>
      </c>
    </row>
    <row r="1710" spans="1:7" x14ac:dyDescent="0.2">
      <c r="A1710" s="85"/>
      <c r="B1710" s="25" t="s">
        <v>12487</v>
      </c>
      <c r="C1710" s="25" t="s">
        <v>12488</v>
      </c>
      <c r="D1710" s="25" t="s">
        <v>2113</v>
      </c>
      <c r="E1710" s="26" t="b">
        <v>1</v>
      </c>
      <c r="F1710" s="27" t="str">
        <f>HYPERLINK("http://nsgreg.nga.mil/genc/view?v=119857&amp;gencs=T&amp;end_month=12&amp;end_day=31&amp;end_year=2014","Uttarakhand")</f>
        <v>Uttarakhand</v>
      </c>
      <c r="G1710" s="28" t="str">
        <f>HYPERLINK("http://api.nsgreg.nga.mil/geo-division/GENC/6/ed3/IN-UT","as:GENC:6:ed3:IN-UT")</f>
        <v>as:GENC:6:ed3:IN-UT</v>
      </c>
    </row>
    <row r="1711" spans="1:7" x14ac:dyDescent="0.2">
      <c r="A1711" s="85"/>
      <c r="B1711" s="25" t="s">
        <v>5159</v>
      </c>
      <c r="C1711" s="25" t="s">
        <v>5160</v>
      </c>
      <c r="D1711" s="25" t="s">
        <v>2113</v>
      </c>
      <c r="E1711" s="26" t="b">
        <v>1</v>
      </c>
      <c r="F1711" s="27" t="str">
        <f>HYPERLINK("http://nsgreg.nga.mil/genc/view?v=119856&amp;gencs=T&amp;end_month=12&amp;end_day=31&amp;end_year=2014","Uttar Pradesh")</f>
        <v>Uttar Pradesh</v>
      </c>
      <c r="G1711" s="28" t="str">
        <f>HYPERLINK("http://api.nsgreg.nga.mil/geo-division/GENC/6/ed3/IN-UP","as:GENC:6:ed3:IN-UP")</f>
        <v>as:GENC:6:ed3:IN-UP</v>
      </c>
    </row>
    <row r="1712" spans="1:7" x14ac:dyDescent="0.2">
      <c r="A1712" s="86"/>
      <c r="B1712" s="29" t="s">
        <v>5161</v>
      </c>
      <c r="C1712" s="29" t="s">
        <v>5162</v>
      </c>
      <c r="D1712" s="29" t="s">
        <v>2113</v>
      </c>
      <c r="E1712" s="30" t="b">
        <v>1</v>
      </c>
      <c r="F1712" s="31" t="str">
        <f>HYPERLINK("http://nsgreg.nga.mil/genc/view?v=119858&amp;gencs=T&amp;end_month=12&amp;end_day=31&amp;end_year=2014","West Bengal")</f>
        <v>West Bengal</v>
      </c>
      <c r="G1712" s="32" t="str">
        <f>HYPERLINK("http://api.nsgreg.nga.mil/geo-division/GENC/6/ed3/IN-WB","as:GENC:6:ed3:IN-WB")</f>
        <v>as:GENC:6:ed3:IN-WB</v>
      </c>
    </row>
    <row r="1713" spans="1:7" x14ac:dyDescent="0.2">
      <c r="A1713" s="84" t="str">
        <f>HYPERLINK("[#]Codes_for_GE_Names!A125:I125","INDONESIA")</f>
        <v>INDONESIA</v>
      </c>
      <c r="B1713" s="33" t="s">
        <v>5163</v>
      </c>
      <c r="C1713" s="33" t="s">
        <v>5164</v>
      </c>
      <c r="D1713" s="33" t="s">
        <v>5244</v>
      </c>
      <c r="E1713" s="34" t="b">
        <v>1</v>
      </c>
      <c r="F1713" s="35" t="str">
        <f>HYPERLINK("http://nsgreg.nga.mil/genc/view?v=211954&amp;end_month=12&amp;end_day=31&amp;end_year=2014","Aceh")</f>
        <v>Aceh</v>
      </c>
      <c r="G1713" s="36" t="str">
        <f>HYPERLINK("http://api.nsgreg.nga.mil/geo-division/GENC/6/ed3/ID-AC","as:GENC:6:ed3:ID-AC")</f>
        <v>as:GENC:6:ed3:ID-AC</v>
      </c>
    </row>
    <row r="1714" spans="1:7" x14ac:dyDescent="0.2">
      <c r="A1714" s="85"/>
      <c r="B1714" s="25" t="s">
        <v>5166</v>
      </c>
      <c r="C1714" s="25" t="s">
        <v>5167</v>
      </c>
      <c r="D1714" s="25" t="s">
        <v>1719</v>
      </c>
      <c r="E1714" s="26" t="b">
        <v>1</v>
      </c>
      <c r="F1714" s="27" t="str">
        <f>HYPERLINK("http://nsgreg.nga.mil/genc/view?v=211955&amp;end_month=12&amp;end_day=31&amp;end_year=2014","Bali")</f>
        <v>Bali</v>
      </c>
      <c r="G1714" s="28" t="str">
        <f>HYPERLINK("http://api.nsgreg.nga.mil/geo-division/GENC/6/ed3/ID-BA","as:GENC:6:ed3:ID-BA")</f>
        <v>as:GENC:6:ed3:ID-BA</v>
      </c>
    </row>
    <row r="1715" spans="1:7" x14ac:dyDescent="0.2">
      <c r="A1715" s="85"/>
      <c r="B1715" s="25" t="s">
        <v>5170</v>
      </c>
      <c r="C1715" s="25" t="s">
        <v>5171</v>
      </c>
      <c r="D1715" s="25" t="s">
        <v>1719</v>
      </c>
      <c r="E1715" s="26" t="b">
        <v>1</v>
      </c>
      <c r="F1715" s="27" t="str">
        <f>HYPERLINK("http://nsgreg.nga.mil/genc/view?v=211958&amp;end_month=12&amp;end_day=31&amp;end_year=2014","Banten")</f>
        <v>Banten</v>
      </c>
      <c r="G1715" s="28" t="str">
        <f>HYPERLINK("http://api.nsgreg.nga.mil/geo-division/GENC/6/ed3/ID-BT","as:GENC:6:ed3:ID-BT")</f>
        <v>as:GENC:6:ed3:ID-BT</v>
      </c>
    </row>
    <row r="1716" spans="1:7" x14ac:dyDescent="0.2">
      <c r="A1716" s="85"/>
      <c r="B1716" s="25" t="s">
        <v>5172</v>
      </c>
      <c r="C1716" s="25" t="s">
        <v>5173</v>
      </c>
      <c r="D1716" s="25" t="s">
        <v>1719</v>
      </c>
      <c r="E1716" s="26" t="b">
        <v>1</v>
      </c>
      <c r="F1716" s="27" t="str">
        <f>HYPERLINK("http://nsgreg.nga.mil/genc/view?v=211957&amp;end_month=12&amp;end_day=31&amp;end_year=2014","Bengkulu")</f>
        <v>Bengkulu</v>
      </c>
      <c r="G1716" s="28" t="str">
        <f>HYPERLINK("http://api.nsgreg.nga.mil/geo-division/GENC/6/ed3/ID-BE","as:GENC:6:ed3:ID-BE")</f>
        <v>as:GENC:6:ed3:ID-BE</v>
      </c>
    </row>
    <row r="1717" spans="1:7" x14ac:dyDescent="0.2">
      <c r="A1717" s="85"/>
      <c r="B1717" s="25" t="s">
        <v>5174</v>
      </c>
      <c r="C1717" s="25" t="s">
        <v>5175</v>
      </c>
      <c r="D1717" s="25" t="s">
        <v>1719</v>
      </c>
      <c r="E1717" s="26" t="b">
        <v>1</v>
      </c>
      <c r="F1717" s="27" t="str">
        <f>HYPERLINK("http://nsgreg.nga.mil/genc/view?v=211959&amp;end_month=12&amp;end_day=31&amp;end_year=2014","Gorontalo")</f>
        <v>Gorontalo</v>
      </c>
      <c r="G1717" s="28" t="str">
        <f>HYPERLINK("http://api.nsgreg.nga.mil/geo-division/GENC/6/ed3/ID-GO","as:GENC:6:ed3:ID-GO")</f>
        <v>as:GENC:6:ed3:ID-GO</v>
      </c>
    </row>
    <row r="1718" spans="1:7" x14ac:dyDescent="0.2">
      <c r="A1718" s="85"/>
      <c r="B1718" s="25" t="s">
        <v>5176</v>
      </c>
      <c r="C1718" s="25" t="s">
        <v>12489</v>
      </c>
      <c r="D1718" s="25" t="s">
        <v>5178</v>
      </c>
      <c r="E1718" s="26" t="b">
        <v>1</v>
      </c>
      <c r="F1718" s="27" t="str">
        <f>HYPERLINK("http://nsgreg.nga.mil/genc/view?v=211963&amp;end_month=12&amp;end_day=31&amp;end_year=2014","Jakarta")</f>
        <v>Jakarta</v>
      </c>
      <c r="G1718" s="28" t="str">
        <f>HYPERLINK("http://api.nsgreg.nga.mil/geo-division/GENC/6/ed3/ID-JK","as:GENC:6:ed3:ID-JK")</f>
        <v>as:GENC:6:ed3:ID-JK</v>
      </c>
    </row>
    <row r="1719" spans="1:7" x14ac:dyDescent="0.2">
      <c r="A1719" s="85"/>
      <c r="B1719" s="25" t="s">
        <v>5179</v>
      </c>
      <c r="C1719" s="25" t="s">
        <v>5180</v>
      </c>
      <c r="D1719" s="25" t="s">
        <v>1719</v>
      </c>
      <c r="E1719" s="26" t="b">
        <v>1</v>
      </c>
      <c r="F1719" s="27" t="str">
        <f>HYPERLINK("http://nsgreg.nga.mil/genc/view?v=211960&amp;end_month=12&amp;end_day=31&amp;end_year=2014","Jambi")</f>
        <v>Jambi</v>
      </c>
      <c r="G1719" s="28" t="str">
        <f>HYPERLINK("http://api.nsgreg.nga.mil/geo-division/GENC/6/ed3/ID-JA","as:GENC:6:ed3:ID-JA")</f>
        <v>as:GENC:6:ed3:ID-JA</v>
      </c>
    </row>
    <row r="1720" spans="1:7" x14ac:dyDescent="0.2">
      <c r="A1720" s="85"/>
      <c r="B1720" s="25" t="s">
        <v>5181</v>
      </c>
      <c r="C1720" s="25" t="s">
        <v>5182</v>
      </c>
      <c r="D1720" s="37" t="s">
        <v>5183</v>
      </c>
      <c r="E1720" s="38" t="b">
        <v>0</v>
      </c>
      <c r="F1720" s="27" t="str">
        <f>HYPERLINK("http://nsgreg.nga.mil/genc/view?v=119758&amp;gencs=T&amp;end_month=12&amp;end_day=31&amp;end_year=2014","Jawa")</f>
        <v>Jawa</v>
      </c>
      <c r="G1720" s="28" t="str">
        <f>HYPERLINK("http://api.nsgreg.nga.mil/geo-division/GENC/6/ed3/ID-JW","as:GENC:6:ed3:ID-JW")</f>
        <v>as:GENC:6:ed3:ID-JW</v>
      </c>
    </row>
    <row r="1721" spans="1:7" x14ac:dyDescent="0.2">
      <c r="A1721" s="85"/>
      <c r="B1721" s="25" t="s">
        <v>5184</v>
      </c>
      <c r="C1721" s="25" t="s">
        <v>5185</v>
      </c>
      <c r="D1721" s="25" t="s">
        <v>1719</v>
      </c>
      <c r="E1721" s="26" t="b">
        <v>1</v>
      </c>
      <c r="F1721" s="27" t="str">
        <f>HYPERLINK("http://nsgreg.nga.mil/genc/view?v=211961&amp;end_month=12&amp;end_day=31&amp;end_year=2014","Jawa Barat")</f>
        <v>Jawa Barat</v>
      </c>
      <c r="G1721" s="28" t="str">
        <f>HYPERLINK("http://api.nsgreg.nga.mil/geo-division/GENC/6/ed3/ID-JB","as:GENC:6:ed3:ID-JB")</f>
        <v>as:GENC:6:ed3:ID-JB</v>
      </c>
    </row>
    <row r="1722" spans="1:7" x14ac:dyDescent="0.2">
      <c r="A1722" s="85"/>
      <c r="B1722" s="25" t="s">
        <v>5186</v>
      </c>
      <c r="C1722" s="25" t="s">
        <v>5187</v>
      </c>
      <c r="D1722" s="25" t="s">
        <v>1719</v>
      </c>
      <c r="E1722" s="26" t="b">
        <v>1</v>
      </c>
      <c r="F1722" s="27" t="str">
        <f>HYPERLINK("http://nsgreg.nga.mil/genc/view?v=211964&amp;end_month=12&amp;end_day=31&amp;end_year=2014","Jawa Tengah")</f>
        <v>Jawa Tengah</v>
      </c>
      <c r="G1722" s="28" t="str">
        <f>HYPERLINK("http://api.nsgreg.nga.mil/geo-division/GENC/6/ed3/ID-JT","as:GENC:6:ed3:ID-JT")</f>
        <v>as:GENC:6:ed3:ID-JT</v>
      </c>
    </row>
    <row r="1723" spans="1:7" x14ac:dyDescent="0.2">
      <c r="A1723" s="85"/>
      <c r="B1723" s="25" t="s">
        <v>5188</v>
      </c>
      <c r="C1723" s="25" t="s">
        <v>5189</v>
      </c>
      <c r="D1723" s="25" t="s">
        <v>1719</v>
      </c>
      <c r="E1723" s="26" t="b">
        <v>1</v>
      </c>
      <c r="F1723" s="27" t="str">
        <f>HYPERLINK("http://nsgreg.nga.mil/genc/view?v=211962&amp;end_month=12&amp;end_day=31&amp;end_year=2014","Jawa Timur")</f>
        <v>Jawa Timur</v>
      </c>
      <c r="G1723" s="28" t="str">
        <f>HYPERLINK("http://api.nsgreg.nga.mil/geo-division/GENC/6/ed3/ID-JI","as:GENC:6:ed3:ID-JI")</f>
        <v>as:GENC:6:ed3:ID-JI</v>
      </c>
    </row>
    <row r="1724" spans="1:7" x14ac:dyDescent="0.2">
      <c r="A1724" s="85"/>
      <c r="B1724" s="25" t="s">
        <v>5190</v>
      </c>
      <c r="C1724" s="25" t="s">
        <v>5191</v>
      </c>
      <c r="D1724" s="37" t="s">
        <v>5183</v>
      </c>
      <c r="E1724" s="38" t="b">
        <v>0</v>
      </c>
      <c r="F1724" s="27" t="str">
        <f>HYPERLINK("http://nsgreg.nga.mil/genc/view?v=119759&amp;gencs=T&amp;end_month=12&amp;end_day=31&amp;end_year=2014","Kalimantan")</f>
        <v>Kalimantan</v>
      </c>
      <c r="G1724" s="28" t="str">
        <f>HYPERLINK("http://api.nsgreg.nga.mil/geo-division/GENC/6/ed3/ID-KA","as:GENC:6:ed3:ID-KA")</f>
        <v>as:GENC:6:ed3:ID-KA</v>
      </c>
    </row>
    <row r="1725" spans="1:7" x14ac:dyDescent="0.2">
      <c r="A1725" s="85"/>
      <c r="B1725" s="25" t="s">
        <v>5192</v>
      </c>
      <c r="C1725" s="25" t="s">
        <v>5193</v>
      </c>
      <c r="D1725" s="25" t="s">
        <v>1719</v>
      </c>
      <c r="E1725" s="26" t="b">
        <v>1</v>
      </c>
      <c r="F1725" s="27" t="str">
        <f>HYPERLINK("http://nsgreg.nga.mil/genc/view?v=211965&amp;end_month=12&amp;end_day=31&amp;end_year=2014","Kalimantan Barat")</f>
        <v>Kalimantan Barat</v>
      </c>
      <c r="G1725" s="28" t="str">
        <f>HYPERLINK("http://api.nsgreg.nga.mil/geo-division/GENC/6/ed3/ID-KB","as:GENC:6:ed3:ID-KB")</f>
        <v>as:GENC:6:ed3:ID-KB</v>
      </c>
    </row>
    <row r="1726" spans="1:7" x14ac:dyDescent="0.2">
      <c r="A1726" s="85"/>
      <c r="B1726" s="25" t="s">
        <v>5194</v>
      </c>
      <c r="C1726" s="25" t="s">
        <v>5195</v>
      </c>
      <c r="D1726" s="25" t="s">
        <v>1719</v>
      </c>
      <c r="E1726" s="26" t="b">
        <v>1</v>
      </c>
      <c r="F1726" s="27" t="str">
        <f>HYPERLINK("http://nsgreg.nga.mil/genc/view?v=211968&amp;end_month=12&amp;end_day=31&amp;end_year=2014","Kalimantan Selatan")</f>
        <v>Kalimantan Selatan</v>
      </c>
      <c r="G1726" s="28" t="str">
        <f>HYPERLINK("http://api.nsgreg.nga.mil/geo-division/GENC/6/ed3/ID-KS","as:GENC:6:ed3:ID-KS")</f>
        <v>as:GENC:6:ed3:ID-KS</v>
      </c>
    </row>
    <row r="1727" spans="1:7" x14ac:dyDescent="0.2">
      <c r="A1727" s="85"/>
      <c r="B1727" s="25" t="s">
        <v>5196</v>
      </c>
      <c r="C1727" s="25" t="s">
        <v>5197</v>
      </c>
      <c r="D1727" s="25" t="s">
        <v>1719</v>
      </c>
      <c r="E1727" s="26" t="b">
        <v>1</v>
      </c>
      <c r="F1727" s="27" t="str">
        <f>HYPERLINK("http://nsgreg.nga.mil/genc/view?v=211969&amp;end_month=12&amp;end_day=31&amp;end_year=2014","Kalimantan Tengah")</f>
        <v>Kalimantan Tengah</v>
      </c>
      <c r="G1727" s="28" t="str">
        <f>HYPERLINK("http://api.nsgreg.nga.mil/geo-division/GENC/6/ed3/ID-KT","as:GENC:6:ed3:ID-KT")</f>
        <v>as:GENC:6:ed3:ID-KT</v>
      </c>
    </row>
    <row r="1728" spans="1:7" x14ac:dyDescent="0.2">
      <c r="A1728" s="85"/>
      <c r="B1728" s="25" t="s">
        <v>5198</v>
      </c>
      <c r="C1728" s="25" t="s">
        <v>5199</v>
      </c>
      <c r="D1728" s="25" t="s">
        <v>1719</v>
      </c>
      <c r="E1728" s="26" t="b">
        <v>1</v>
      </c>
      <c r="F1728" s="27" t="str">
        <f>HYPERLINK("http://nsgreg.nga.mil/genc/view?v=211966&amp;end_month=12&amp;end_day=31&amp;end_year=2014","Kalimantan Timur")</f>
        <v>Kalimantan Timur</v>
      </c>
      <c r="G1728" s="28" t="str">
        <f>HYPERLINK("http://api.nsgreg.nga.mil/geo-division/GENC/6/ed3/ID-KI","as:GENC:6:ed3:ID-KI")</f>
        <v>as:GENC:6:ed3:ID-KI</v>
      </c>
    </row>
    <row r="1729" spans="1:7" x14ac:dyDescent="0.2">
      <c r="A1729" s="85"/>
      <c r="B1729" s="25" t="s">
        <v>12490</v>
      </c>
      <c r="C1729" s="25" t="s">
        <v>12491</v>
      </c>
      <c r="D1729" s="25" t="s">
        <v>1719</v>
      </c>
      <c r="E1729" s="26" t="b">
        <v>1</v>
      </c>
      <c r="F1729" s="27" t="str">
        <f>HYPERLINK("http://nsgreg.nga.mil/genc/view?v=119765&amp;gencs=T&amp;end_month=12&amp;end_day=31&amp;end_year=2014","Kalimantan Utara")</f>
        <v>Kalimantan Utara</v>
      </c>
      <c r="G1729" s="28" t="str">
        <f>HYPERLINK("http://api.nsgreg.nga.mil/geo-division/GENC/6/ed3/ID-KU","as:GENC:6:ed3:ID-KU")</f>
        <v>as:GENC:6:ed3:ID-KU</v>
      </c>
    </row>
    <row r="1730" spans="1:7" x14ac:dyDescent="0.2">
      <c r="A1730" s="85"/>
      <c r="B1730" s="25" t="s">
        <v>5168</v>
      </c>
      <c r="C1730" s="25" t="s">
        <v>12492</v>
      </c>
      <c r="D1730" s="25" t="s">
        <v>1719</v>
      </c>
      <c r="E1730" s="26" t="b">
        <v>1</v>
      </c>
      <c r="F1730" s="27" t="str">
        <f>HYPERLINK("http://nsgreg.nga.mil/genc/view?v=211956&amp;end_month=12&amp;end_day=31&amp;end_year=2014","Kepulauan Bangka Belitung")</f>
        <v>Kepulauan Bangka Belitung</v>
      </c>
      <c r="G1730" s="28" t="str">
        <f>HYPERLINK("http://api.nsgreg.nga.mil/geo-division/GENC/6/ed3/ID-BB","as:GENC:6:ed3:ID-BB")</f>
        <v>as:GENC:6:ed3:ID-BB</v>
      </c>
    </row>
    <row r="1731" spans="1:7" x14ac:dyDescent="0.2">
      <c r="A1731" s="85"/>
      <c r="B1731" s="25" t="s">
        <v>5200</v>
      </c>
      <c r="C1731" s="25" t="s">
        <v>5201</v>
      </c>
      <c r="D1731" s="25" t="s">
        <v>1719</v>
      </c>
      <c r="E1731" s="26" t="b">
        <v>1</v>
      </c>
      <c r="F1731" s="27" t="str">
        <f>HYPERLINK("http://nsgreg.nga.mil/genc/view?v=211967&amp;end_month=12&amp;end_day=31&amp;end_year=2014","Kepulauan Riau")</f>
        <v>Kepulauan Riau</v>
      </c>
      <c r="G1731" s="28" t="str">
        <f>HYPERLINK("http://api.nsgreg.nga.mil/geo-division/GENC/6/ed3/ID-KR","as:GENC:6:ed3:ID-KR")</f>
        <v>as:GENC:6:ed3:ID-KR</v>
      </c>
    </row>
    <row r="1732" spans="1:7" x14ac:dyDescent="0.2">
      <c r="A1732" s="85"/>
      <c r="B1732" s="25" t="s">
        <v>5202</v>
      </c>
      <c r="C1732" s="25" t="s">
        <v>5203</v>
      </c>
      <c r="D1732" s="25" t="s">
        <v>1719</v>
      </c>
      <c r="E1732" s="26" t="b">
        <v>1</v>
      </c>
      <c r="F1732" s="27" t="str">
        <f>HYPERLINK("http://nsgreg.nga.mil/genc/view?v=211970&amp;end_month=12&amp;end_day=31&amp;end_year=2014","Lampung")</f>
        <v>Lampung</v>
      </c>
      <c r="G1732" s="28" t="str">
        <f>HYPERLINK("http://api.nsgreg.nga.mil/geo-division/GENC/6/ed3/ID-LA","as:GENC:6:ed3:ID-LA")</f>
        <v>as:GENC:6:ed3:ID-LA</v>
      </c>
    </row>
    <row r="1733" spans="1:7" x14ac:dyDescent="0.2">
      <c r="A1733" s="85"/>
      <c r="B1733" s="25" t="s">
        <v>5206</v>
      </c>
      <c r="C1733" s="25" t="s">
        <v>5205</v>
      </c>
      <c r="D1733" s="37" t="s">
        <v>5183</v>
      </c>
      <c r="E1733" s="38" t="b">
        <v>0</v>
      </c>
      <c r="F1733" s="27" t="str">
        <f>HYPERLINK("http://nsgreg.nga.mil/genc/view?v=119768&amp;gencs=T&amp;end_month=12&amp;end_day=31&amp;end_year=2014","Maluku")</f>
        <v>Maluku</v>
      </c>
      <c r="G1733" s="28" t="str">
        <f>HYPERLINK("http://api.nsgreg.nga.mil/geo-division/GENC/6/ed3/ID-ML","as:GENC:6:ed3:ID-ML")</f>
        <v>as:GENC:6:ed3:ID-ML</v>
      </c>
    </row>
    <row r="1734" spans="1:7" x14ac:dyDescent="0.2">
      <c r="A1734" s="85"/>
      <c r="B1734" s="25" t="s">
        <v>5204</v>
      </c>
      <c r="C1734" s="25" t="s">
        <v>5205</v>
      </c>
      <c r="D1734" s="25" t="s">
        <v>1719</v>
      </c>
      <c r="E1734" s="26" t="b">
        <v>1</v>
      </c>
      <c r="F1734" s="27" t="str">
        <f>HYPERLINK("http://nsgreg.nga.mil/genc/view?v=211971&amp;end_month=12&amp;end_day=31&amp;end_year=2014","Maluku")</f>
        <v>Maluku</v>
      </c>
      <c r="G1734" s="28" t="str">
        <f>HYPERLINK("http://api.nsgreg.nga.mil/geo-division/GENC/6/ed3/ID-MA","as:GENC:6:ed3:ID-MA")</f>
        <v>as:GENC:6:ed3:ID-MA</v>
      </c>
    </row>
    <row r="1735" spans="1:7" x14ac:dyDescent="0.2">
      <c r="A1735" s="85"/>
      <c r="B1735" s="25" t="s">
        <v>5207</v>
      </c>
      <c r="C1735" s="25" t="s">
        <v>5208</v>
      </c>
      <c r="D1735" s="25" t="s">
        <v>1719</v>
      </c>
      <c r="E1735" s="26" t="b">
        <v>1</v>
      </c>
      <c r="F1735" s="27" t="str">
        <f>HYPERLINK("http://nsgreg.nga.mil/genc/view?v=211972&amp;end_month=12&amp;end_day=31&amp;end_year=2014","Maluku Utara")</f>
        <v>Maluku Utara</v>
      </c>
      <c r="G1735" s="28" t="str">
        <f>HYPERLINK("http://api.nsgreg.nga.mil/geo-division/GENC/6/ed3/ID-MU","as:GENC:6:ed3:ID-MU")</f>
        <v>as:GENC:6:ed3:ID-MU</v>
      </c>
    </row>
    <row r="1736" spans="1:7" x14ac:dyDescent="0.2">
      <c r="A1736" s="85"/>
      <c r="B1736" s="25" t="s">
        <v>5209</v>
      </c>
      <c r="C1736" s="25" t="s">
        <v>5210</v>
      </c>
      <c r="D1736" s="37" t="s">
        <v>5183</v>
      </c>
      <c r="E1736" s="38" t="b">
        <v>0</v>
      </c>
      <c r="F1736" s="27" t="str">
        <f>HYPERLINK("http://nsgreg.nga.mil/genc/view?v=119772&amp;gencs=T&amp;end_month=12&amp;end_day=31&amp;end_year=2014","Nusa Tenggara")</f>
        <v>Nusa Tenggara</v>
      </c>
      <c r="G1736" s="28" t="str">
        <f>HYPERLINK("http://api.nsgreg.nga.mil/geo-division/GENC/6/ed3/ID-NU","as:GENC:6:ed3:ID-NU")</f>
        <v>as:GENC:6:ed3:ID-NU</v>
      </c>
    </row>
    <row r="1737" spans="1:7" x14ac:dyDescent="0.2">
      <c r="A1737" s="85"/>
      <c r="B1737" s="25" t="s">
        <v>5211</v>
      </c>
      <c r="C1737" s="25" t="s">
        <v>5212</v>
      </c>
      <c r="D1737" s="25" t="s">
        <v>1719</v>
      </c>
      <c r="E1737" s="26" t="b">
        <v>1</v>
      </c>
      <c r="F1737" s="27" t="str">
        <f>HYPERLINK("http://nsgreg.nga.mil/genc/view?v=211973&amp;end_month=12&amp;end_day=31&amp;end_year=2014","Nusa Tenggara Barat")</f>
        <v>Nusa Tenggara Barat</v>
      </c>
      <c r="G1737" s="28" t="str">
        <f>HYPERLINK("http://api.nsgreg.nga.mil/geo-division/GENC/6/ed3/ID-NB","as:GENC:6:ed3:ID-NB")</f>
        <v>as:GENC:6:ed3:ID-NB</v>
      </c>
    </row>
    <row r="1738" spans="1:7" x14ac:dyDescent="0.2">
      <c r="A1738" s="85"/>
      <c r="B1738" s="25" t="s">
        <v>5213</v>
      </c>
      <c r="C1738" s="25" t="s">
        <v>5214</v>
      </c>
      <c r="D1738" s="25" t="s">
        <v>1719</v>
      </c>
      <c r="E1738" s="26" t="b">
        <v>1</v>
      </c>
      <c r="F1738" s="27" t="str">
        <f>HYPERLINK("http://nsgreg.nga.mil/genc/view?v=211974&amp;end_month=12&amp;end_day=31&amp;end_year=2014","Nusa Tenggara Timur")</f>
        <v>Nusa Tenggara Timur</v>
      </c>
      <c r="G1738" s="28" t="str">
        <f>HYPERLINK("http://api.nsgreg.nga.mil/geo-division/GENC/6/ed3/ID-NT","as:GENC:6:ed3:ID-NT")</f>
        <v>as:GENC:6:ed3:ID-NT</v>
      </c>
    </row>
    <row r="1739" spans="1:7" x14ac:dyDescent="0.2">
      <c r="A1739" s="85"/>
      <c r="B1739" s="25" t="s">
        <v>12493</v>
      </c>
      <c r="C1739" s="25" t="s">
        <v>5216</v>
      </c>
      <c r="D1739" s="25" t="s">
        <v>5183</v>
      </c>
      <c r="E1739" s="26" t="b">
        <v>1</v>
      </c>
      <c r="F1739" s="27" t="str">
        <f>HYPERLINK("http://nsgreg.nga.mil/genc/view?v=119752&amp;gencs=T&amp;end_month=12&amp;end_day=31&amp;end_year=2014","Papua")</f>
        <v>Papua</v>
      </c>
      <c r="G1739" s="28" t="str">
        <f>HYPERLINK("http://api.nsgreg.nga.mil/geo-division/GENC/6/ed3/ID-PP","as:GENC:6:ed3:ID-PP")</f>
        <v>as:GENC:6:ed3:ID-PP</v>
      </c>
    </row>
    <row r="1740" spans="1:7" x14ac:dyDescent="0.2">
      <c r="A1740" s="85"/>
      <c r="B1740" s="25" t="s">
        <v>5217</v>
      </c>
      <c r="C1740" s="25" t="s">
        <v>5216</v>
      </c>
      <c r="D1740" s="25" t="s">
        <v>1719</v>
      </c>
      <c r="E1740" s="26" t="b">
        <v>1</v>
      </c>
      <c r="F1740" s="27" t="str">
        <f>HYPERLINK("http://nsgreg.nga.mil/genc/view?v=211975&amp;end_month=12&amp;end_day=31&amp;end_year=2014","Papua")</f>
        <v>Papua</v>
      </c>
      <c r="G1740" s="28" t="str">
        <f>HYPERLINK("http://api.nsgreg.nga.mil/geo-division/GENC/6/ed3/ID-PA","as:GENC:6:ed3:ID-PA")</f>
        <v>as:GENC:6:ed3:ID-PA</v>
      </c>
    </row>
    <row r="1741" spans="1:7" x14ac:dyDescent="0.2">
      <c r="A1741" s="85"/>
      <c r="B1741" s="25" t="s">
        <v>5218</v>
      </c>
      <c r="C1741" s="25" t="s">
        <v>5219</v>
      </c>
      <c r="D1741" s="25" t="s">
        <v>1719</v>
      </c>
      <c r="E1741" s="26" t="b">
        <v>1</v>
      </c>
      <c r="F1741" s="27" t="str">
        <f>HYPERLINK("http://nsgreg.nga.mil/genc/view?v=211976&amp;end_month=12&amp;end_day=31&amp;end_year=2014","Papua Barat")</f>
        <v>Papua Barat</v>
      </c>
      <c r="G1741" s="28" t="str">
        <f>HYPERLINK("http://api.nsgreg.nga.mil/geo-division/GENC/6/ed3/ID-PB","as:GENC:6:ed3:ID-PB")</f>
        <v>as:GENC:6:ed3:ID-PB</v>
      </c>
    </row>
    <row r="1742" spans="1:7" x14ac:dyDescent="0.2">
      <c r="A1742" s="85"/>
      <c r="B1742" s="25" t="s">
        <v>5220</v>
      </c>
      <c r="C1742" s="25" t="s">
        <v>5221</v>
      </c>
      <c r="D1742" s="25" t="s">
        <v>1719</v>
      </c>
      <c r="E1742" s="26" t="b">
        <v>1</v>
      </c>
      <c r="F1742" s="27" t="str">
        <f>HYPERLINK("http://nsgreg.nga.mil/genc/view?v=211977&amp;end_month=12&amp;end_day=31&amp;end_year=2014","Riau")</f>
        <v>Riau</v>
      </c>
      <c r="G1742" s="28" t="str">
        <f>HYPERLINK("http://api.nsgreg.nga.mil/geo-division/GENC/6/ed3/ID-RI","as:GENC:6:ed3:ID-RI")</f>
        <v>as:GENC:6:ed3:ID-RI</v>
      </c>
    </row>
    <row r="1743" spans="1:7" x14ac:dyDescent="0.2">
      <c r="A1743" s="85"/>
      <c r="B1743" s="25" t="s">
        <v>5222</v>
      </c>
      <c r="C1743" s="25" t="s">
        <v>5223</v>
      </c>
      <c r="D1743" s="37" t="s">
        <v>5183</v>
      </c>
      <c r="E1743" s="38" t="b">
        <v>0</v>
      </c>
      <c r="F1743" s="27" t="str">
        <f>HYPERLINK("http://nsgreg.nga.mil/genc/view?v=119779&amp;gencs=T&amp;end_month=12&amp;end_day=31&amp;end_year=2014","Sulawesi")</f>
        <v>Sulawesi</v>
      </c>
      <c r="G1743" s="28" t="str">
        <f>HYPERLINK("http://api.nsgreg.nga.mil/geo-division/GENC/6/ed3/ID-SL","as:GENC:6:ed3:ID-SL")</f>
        <v>as:GENC:6:ed3:ID-SL</v>
      </c>
    </row>
    <row r="1744" spans="1:7" x14ac:dyDescent="0.2">
      <c r="A1744" s="85"/>
      <c r="B1744" s="25" t="s">
        <v>5224</v>
      </c>
      <c r="C1744" s="25" t="s">
        <v>5225</v>
      </c>
      <c r="D1744" s="25" t="s">
        <v>1719</v>
      </c>
      <c r="E1744" s="26" t="b">
        <v>1</v>
      </c>
      <c r="F1744" s="27" t="str">
        <f>HYPERLINK("http://nsgreg.nga.mil/genc/view?v=211982&amp;end_month=12&amp;end_day=31&amp;end_year=2014","Sulawesi Barat")</f>
        <v>Sulawesi Barat</v>
      </c>
      <c r="G1744" s="28" t="str">
        <f>HYPERLINK("http://api.nsgreg.nga.mil/geo-division/GENC/6/ed3/ID-SR","as:GENC:6:ed3:ID-SR")</f>
        <v>as:GENC:6:ed3:ID-SR</v>
      </c>
    </row>
    <row r="1745" spans="1:7" x14ac:dyDescent="0.2">
      <c r="A1745" s="85"/>
      <c r="B1745" s="25" t="s">
        <v>5226</v>
      </c>
      <c r="C1745" s="25" t="s">
        <v>5227</v>
      </c>
      <c r="D1745" s="25" t="s">
        <v>1719</v>
      </c>
      <c r="E1745" s="26" t="b">
        <v>1</v>
      </c>
      <c r="F1745" s="27" t="str">
        <f>HYPERLINK("http://nsgreg.nga.mil/genc/view?v=211981&amp;end_month=12&amp;end_day=31&amp;end_year=2014","Sulawesi Selatan")</f>
        <v>Sulawesi Selatan</v>
      </c>
      <c r="G1745" s="28" t="str">
        <f>HYPERLINK("http://api.nsgreg.nga.mil/geo-division/GENC/6/ed3/ID-SN","as:GENC:6:ed3:ID-SN")</f>
        <v>as:GENC:6:ed3:ID-SN</v>
      </c>
    </row>
    <row r="1746" spans="1:7" x14ac:dyDescent="0.2">
      <c r="A1746" s="85"/>
      <c r="B1746" s="25" t="s">
        <v>5228</v>
      </c>
      <c r="C1746" s="25" t="s">
        <v>5229</v>
      </c>
      <c r="D1746" s="25" t="s">
        <v>1719</v>
      </c>
      <c r="E1746" s="26" t="b">
        <v>1</v>
      </c>
      <c r="F1746" s="27" t="str">
        <f>HYPERLINK("http://nsgreg.nga.mil/genc/view?v=211984&amp;end_month=12&amp;end_day=31&amp;end_year=2014","Sulawesi Tengah")</f>
        <v>Sulawesi Tengah</v>
      </c>
      <c r="G1746" s="28" t="str">
        <f>HYPERLINK("http://api.nsgreg.nga.mil/geo-division/GENC/6/ed3/ID-ST","as:GENC:6:ed3:ID-ST")</f>
        <v>as:GENC:6:ed3:ID-ST</v>
      </c>
    </row>
    <row r="1747" spans="1:7" x14ac:dyDescent="0.2">
      <c r="A1747" s="85"/>
      <c r="B1747" s="25" t="s">
        <v>5230</v>
      </c>
      <c r="C1747" s="25" t="s">
        <v>5231</v>
      </c>
      <c r="D1747" s="25" t="s">
        <v>1719</v>
      </c>
      <c r="E1747" s="26" t="b">
        <v>1</v>
      </c>
      <c r="F1747" s="27" t="str">
        <f>HYPERLINK("http://nsgreg.nga.mil/genc/view?v=211980&amp;end_month=12&amp;end_day=31&amp;end_year=2014","Sulawesi Tenggara")</f>
        <v>Sulawesi Tenggara</v>
      </c>
      <c r="G1747" s="28" t="str">
        <f>HYPERLINK("http://api.nsgreg.nga.mil/geo-division/GENC/6/ed3/ID-SG","as:GENC:6:ed3:ID-SG")</f>
        <v>as:GENC:6:ed3:ID-SG</v>
      </c>
    </row>
    <row r="1748" spans="1:7" x14ac:dyDescent="0.2">
      <c r="A1748" s="85"/>
      <c r="B1748" s="25" t="s">
        <v>5232</v>
      </c>
      <c r="C1748" s="25" t="s">
        <v>5233</v>
      </c>
      <c r="D1748" s="25" t="s">
        <v>1719</v>
      </c>
      <c r="E1748" s="26" t="b">
        <v>1</v>
      </c>
      <c r="F1748" s="27" t="str">
        <f>HYPERLINK("http://nsgreg.nga.mil/genc/view?v=211978&amp;end_month=12&amp;end_day=31&amp;end_year=2014","Sulawesi Utara")</f>
        <v>Sulawesi Utara</v>
      </c>
      <c r="G1748" s="28" t="str">
        <f>HYPERLINK("http://api.nsgreg.nga.mil/geo-division/GENC/6/ed3/ID-SA","as:GENC:6:ed3:ID-SA")</f>
        <v>as:GENC:6:ed3:ID-SA</v>
      </c>
    </row>
    <row r="1749" spans="1:7" x14ac:dyDescent="0.2">
      <c r="A1749" s="85"/>
      <c r="B1749" s="25" t="s">
        <v>5234</v>
      </c>
      <c r="C1749" s="25" t="s">
        <v>5235</v>
      </c>
      <c r="D1749" s="37" t="s">
        <v>5183</v>
      </c>
      <c r="E1749" s="38" t="b">
        <v>0</v>
      </c>
      <c r="F1749" s="27" t="str">
        <f>HYPERLINK("http://nsgreg.nga.mil/genc/view?v=119780&amp;gencs=T&amp;end_month=12&amp;end_day=31&amp;end_year=2014","Sumatera")</f>
        <v>Sumatera</v>
      </c>
      <c r="G1749" s="28" t="str">
        <f>HYPERLINK("http://api.nsgreg.nga.mil/geo-division/GENC/6/ed3/ID-SM","as:GENC:6:ed3:ID-SM")</f>
        <v>as:GENC:6:ed3:ID-SM</v>
      </c>
    </row>
    <row r="1750" spans="1:7" x14ac:dyDescent="0.2">
      <c r="A1750" s="85"/>
      <c r="B1750" s="25" t="s">
        <v>5236</v>
      </c>
      <c r="C1750" s="25" t="s">
        <v>5237</v>
      </c>
      <c r="D1750" s="25" t="s">
        <v>1719</v>
      </c>
      <c r="E1750" s="26" t="b">
        <v>1</v>
      </c>
      <c r="F1750" s="27" t="str">
        <f>HYPERLINK("http://nsgreg.nga.mil/genc/view?v=211979&amp;end_month=12&amp;end_day=31&amp;end_year=2014","Sumatera Barat")</f>
        <v>Sumatera Barat</v>
      </c>
      <c r="G1750" s="28" t="str">
        <f>HYPERLINK("http://api.nsgreg.nga.mil/geo-division/GENC/6/ed3/ID-SB","as:GENC:6:ed3:ID-SB")</f>
        <v>as:GENC:6:ed3:ID-SB</v>
      </c>
    </row>
    <row r="1751" spans="1:7" x14ac:dyDescent="0.2">
      <c r="A1751" s="85"/>
      <c r="B1751" s="25" t="s">
        <v>5238</v>
      </c>
      <c r="C1751" s="25" t="s">
        <v>5239</v>
      </c>
      <c r="D1751" s="25" t="s">
        <v>1719</v>
      </c>
      <c r="E1751" s="26" t="b">
        <v>1</v>
      </c>
      <c r="F1751" s="27" t="str">
        <f>HYPERLINK("http://nsgreg.nga.mil/genc/view?v=211983&amp;end_month=12&amp;end_day=31&amp;end_year=2014","Sumatera Selatan")</f>
        <v>Sumatera Selatan</v>
      </c>
      <c r="G1751" s="28" t="str">
        <f>HYPERLINK("http://api.nsgreg.nga.mil/geo-division/GENC/6/ed3/ID-SS","as:GENC:6:ed3:ID-SS")</f>
        <v>as:GENC:6:ed3:ID-SS</v>
      </c>
    </row>
    <row r="1752" spans="1:7" x14ac:dyDescent="0.2">
      <c r="A1752" s="85"/>
      <c r="B1752" s="25" t="s">
        <v>5240</v>
      </c>
      <c r="C1752" s="25" t="s">
        <v>5241</v>
      </c>
      <c r="D1752" s="25" t="s">
        <v>1719</v>
      </c>
      <c r="E1752" s="26" t="b">
        <v>1</v>
      </c>
      <c r="F1752" s="27" t="str">
        <f>HYPERLINK("http://nsgreg.nga.mil/genc/view?v=211985&amp;end_month=12&amp;end_day=31&amp;end_year=2014","Sumatera Utara")</f>
        <v>Sumatera Utara</v>
      </c>
      <c r="G1752" s="28" t="str">
        <f>HYPERLINK("http://api.nsgreg.nga.mil/geo-division/GENC/6/ed3/ID-SU","as:GENC:6:ed3:ID-SU")</f>
        <v>as:GENC:6:ed3:ID-SU</v>
      </c>
    </row>
    <row r="1753" spans="1:7" x14ac:dyDescent="0.2">
      <c r="A1753" s="86"/>
      <c r="B1753" s="29" t="s">
        <v>5242</v>
      </c>
      <c r="C1753" s="29" t="s">
        <v>5243</v>
      </c>
      <c r="D1753" s="29" t="s">
        <v>5244</v>
      </c>
      <c r="E1753" s="30" t="b">
        <v>1</v>
      </c>
      <c r="F1753" s="31" t="str">
        <f>HYPERLINK("http://nsgreg.nga.mil/genc/view?v=119786&amp;gencs=T&amp;end_month=12&amp;end_day=31&amp;end_year=2014","Yogyakarta")</f>
        <v>Yogyakarta</v>
      </c>
      <c r="G1753" s="32" t="str">
        <f>HYPERLINK("http://api.nsgreg.nga.mil/geo-division/GENC/6/ed3/ID-YO","as:GENC:6:ed3:ID-YO")</f>
        <v>as:GENC:6:ed3:ID-YO</v>
      </c>
    </row>
    <row r="1754" spans="1:7" x14ac:dyDescent="0.2">
      <c r="A1754" s="84" t="str">
        <f>HYPERLINK("[#]Codes_for_GE_Names!A126:I126","IRAN")</f>
        <v>IRAN</v>
      </c>
      <c r="B1754" s="33" t="s">
        <v>12494</v>
      </c>
      <c r="C1754" s="33" t="s">
        <v>12495</v>
      </c>
      <c r="D1754" s="33" t="s">
        <v>1719</v>
      </c>
      <c r="E1754" s="34" t="b">
        <v>1</v>
      </c>
      <c r="F1754" s="35" t="str">
        <f>HYPERLINK("http://nsgreg.nga.mil/genc/view?v=212033&amp;end_month=12&amp;end_day=31&amp;end_year=2014","Alborz")</f>
        <v>Alborz</v>
      </c>
      <c r="G1754" s="36" t="str">
        <f>HYPERLINK("http://api.nsgreg.nga.mil/geo-division/GENC/6/ed3/IR-32","as:GENC:6:ed3:IR-32")</f>
        <v>as:GENC:6:ed3:IR-32</v>
      </c>
    </row>
    <row r="1755" spans="1:7" x14ac:dyDescent="0.2">
      <c r="A1755" s="85"/>
      <c r="B1755" s="25" t="s">
        <v>5246</v>
      </c>
      <c r="C1755" s="25" t="s">
        <v>5247</v>
      </c>
      <c r="D1755" s="25" t="s">
        <v>1719</v>
      </c>
      <c r="E1755" s="26" t="b">
        <v>1</v>
      </c>
      <c r="F1755" s="27" t="str">
        <f>HYPERLINK("http://nsgreg.nga.mil/genc/view?v=119879&amp;gencs=T&amp;end_month=12&amp;end_day=31&amp;end_year=2014","Ardabīl")</f>
        <v>Ardabīl</v>
      </c>
      <c r="G1755" s="28" t="str">
        <f>HYPERLINK("http://api.nsgreg.nga.mil/geo-division/GENC/6/ed3/IR-03","as:GENC:6:ed3:IR-03")</f>
        <v>as:GENC:6:ed3:IR-03</v>
      </c>
    </row>
    <row r="1756" spans="1:7" x14ac:dyDescent="0.2">
      <c r="A1756" s="85"/>
      <c r="B1756" s="25" t="s">
        <v>5300</v>
      </c>
      <c r="C1756" s="25" t="s">
        <v>5301</v>
      </c>
      <c r="D1756" s="25" t="s">
        <v>1719</v>
      </c>
      <c r="E1756" s="26" t="b">
        <v>1</v>
      </c>
      <c r="F1756" s="27" t="str">
        <f>HYPERLINK("http://nsgreg.nga.mil/genc/view?v=119878&amp;gencs=T&amp;end_month=12&amp;end_day=31&amp;end_year=2014","Āz̄arbāyjān-e Gharbī")</f>
        <v>Āz̄arbāyjān-e Gharbī</v>
      </c>
      <c r="G1756" s="28" t="str">
        <f>HYPERLINK("http://api.nsgreg.nga.mil/geo-division/GENC/6/ed3/IR-02","as:GENC:6:ed3:IR-02")</f>
        <v>as:GENC:6:ed3:IR-02</v>
      </c>
    </row>
    <row r="1757" spans="1:7" x14ac:dyDescent="0.2">
      <c r="A1757" s="85"/>
      <c r="B1757" s="25" t="s">
        <v>5302</v>
      </c>
      <c r="C1757" s="25" t="s">
        <v>5303</v>
      </c>
      <c r="D1757" s="25" t="s">
        <v>1719</v>
      </c>
      <c r="E1757" s="26" t="b">
        <v>1</v>
      </c>
      <c r="F1757" s="27" t="str">
        <f>HYPERLINK("http://nsgreg.nga.mil/genc/view?v=119877&amp;gencs=T&amp;end_month=12&amp;end_day=31&amp;end_year=2014","Āz̄arbāyjān-e Sharqī")</f>
        <v>Āz̄arbāyjān-e Sharqī</v>
      </c>
      <c r="G1757" s="28" t="str">
        <f>HYPERLINK("http://api.nsgreg.nga.mil/geo-division/GENC/6/ed3/IR-01","as:GENC:6:ed3:IR-01")</f>
        <v>as:GENC:6:ed3:IR-01</v>
      </c>
    </row>
    <row r="1758" spans="1:7" x14ac:dyDescent="0.2">
      <c r="A1758" s="85"/>
      <c r="B1758" s="25" t="s">
        <v>5248</v>
      </c>
      <c r="C1758" s="25" t="s">
        <v>5249</v>
      </c>
      <c r="D1758" s="25" t="s">
        <v>1719</v>
      </c>
      <c r="E1758" s="26" t="b">
        <v>1</v>
      </c>
      <c r="F1758" s="27" t="str">
        <f>HYPERLINK("http://nsgreg.nga.mil/genc/view?v=119882&amp;gencs=T&amp;end_month=12&amp;end_day=31&amp;end_year=2014","Būshehr")</f>
        <v>Būshehr</v>
      </c>
      <c r="G1758" s="28" t="str">
        <f>HYPERLINK("http://api.nsgreg.nga.mil/geo-division/GENC/6/ed3/IR-06","as:GENC:6:ed3:IR-06")</f>
        <v>as:GENC:6:ed3:IR-06</v>
      </c>
    </row>
    <row r="1759" spans="1:7" x14ac:dyDescent="0.2">
      <c r="A1759" s="85"/>
      <c r="B1759" s="25" t="s">
        <v>5250</v>
      </c>
      <c r="C1759" s="25" t="s">
        <v>12496</v>
      </c>
      <c r="D1759" s="25" t="s">
        <v>1719</v>
      </c>
      <c r="E1759" s="26" t="b">
        <v>1</v>
      </c>
      <c r="F1759" s="27" t="str">
        <f>HYPERLINK("http://nsgreg.nga.mil/genc/view?v=212028&amp;end_month=12&amp;end_day=31&amp;end_year=2014","Chahār Maḩāl va Bakhtīārī")</f>
        <v>Chahār Maḩāl va Bakhtīārī</v>
      </c>
      <c r="G1759" s="28" t="str">
        <f>HYPERLINK("http://api.nsgreg.nga.mil/geo-division/GENC/6/ed3/IR-08","as:GENC:6:ed3:IR-08")</f>
        <v>as:GENC:6:ed3:IR-08</v>
      </c>
    </row>
    <row r="1760" spans="1:7" x14ac:dyDescent="0.2">
      <c r="A1760" s="85"/>
      <c r="B1760" s="25" t="s">
        <v>5252</v>
      </c>
      <c r="C1760" s="25" t="s">
        <v>5253</v>
      </c>
      <c r="D1760" s="25" t="s">
        <v>1719</v>
      </c>
      <c r="E1760" s="26" t="b">
        <v>1</v>
      </c>
      <c r="F1760" s="27" t="str">
        <f>HYPERLINK("http://nsgreg.nga.mil/genc/view?v=119880&amp;gencs=T&amp;end_month=12&amp;end_day=31&amp;end_year=2014","Eşfahān")</f>
        <v>Eşfahān</v>
      </c>
      <c r="G1760" s="28" t="str">
        <f>HYPERLINK("http://api.nsgreg.nga.mil/geo-division/GENC/6/ed3/IR-04","as:GENC:6:ed3:IR-04")</f>
        <v>as:GENC:6:ed3:IR-04</v>
      </c>
    </row>
    <row r="1761" spans="1:7" x14ac:dyDescent="0.2">
      <c r="A1761" s="85"/>
      <c r="B1761" s="25" t="s">
        <v>5254</v>
      </c>
      <c r="C1761" s="25" t="s">
        <v>5255</v>
      </c>
      <c r="D1761" s="25" t="s">
        <v>1719</v>
      </c>
      <c r="E1761" s="26" t="b">
        <v>1</v>
      </c>
      <c r="F1761" s="27" t="str">
        <f>HYPERLINK("http://nsgreg.nga.mil/genc/view?v=119889&amp;gencs=T&amp;end_month=12&amp;end_day=31&amp;end_year=2014","Fārs")</f>
        <v>Fārs</v>
      </c>
      <c r="G1761" s="28" t="str">
        <f>HYPERLINK("http://api.nsgreg.nga.mil/geo-division/GENC/6/ed3/IR-14","as:GENC:6:ed3:IR-14")</f>
        <v>as:GENC:6:ed3:IR-14</v>
      </c>
    </row>
    <row r="1762" spans="1:7" x14ac:dyDescent="0.2">
      <c r="A1762" s="85"/>
      <c r="B1762" s="25" t="s">
        <v>5258</v>
      </c>
      <c r="C1762" s="25" t="s">
        <v>5259</v>
      </c>
      <c r="D1762" s="25" t="s">
        <v>1719</v>
      </c>
      <c r="E1762" s="26" t="b">
        <v>1</v>
      </c>
      <c r="F1762" s="27" t="str">
        <f>HYPERLINK("http://nsgreg.nga.mil/genc/view?v=119894&amp;gencs=T&amp;end_month=12&amp;end_day=31&amp;end_year=2014","Gīlān")</f>
        <v>Gīlān</v>
      </c>
      <c r="G1762" s="28" t="str">
        <f>HYPERLINK("http://api.nsgreg.nga.mil/geo-division/GENC/6/ed3/IR-19","as:GENC:6:ed3:IR-19")</f>
        <v>as:GENC:6:ed3:IR-19</v>
      </c>
    </row>
    <row r="1763" spans="1:7" x14ac:dyDescent="0.2">
      <c r="A1763" s="85"/>
      <c r="B1763" s="25" t="s">
        <v>5256</v>
      </c>
      <c r="C1763" s="25" t="s">
        <v>5257</v>
      </c>
      <c r="D1763" s="25" t="s">
        <v>1719</v>
      </c>
      <c r="E1763" s="26" t="b">
        <v>1</v>
      </c>
      <c r="F1763" s="27" t="str">
        <f>HYPERLINK("http://nsgreg.nga.mil/genc/view?v=119902&amp;gencs=T&amp;end_month=12&amp;end_day=31&amp;end_year=2014","Golestān")</f>
        <v>Golestān</v>
      </c>
      <c r="G1763" s="28" t="str">
        <f>HYPERLINK("http://api.nsgreg.nga.mil/geo-division/GENC/6/ed3/IR-27","as:GENC:6:ed3:IR-27")</f>
        <v>as:GENC:6:ed3:IR-27</v>
      </c>
    </row>
    <row r="1764" spans="1:7" x14ac:dyDescent="0.2">
      <c r="A1764" s="85"/>
      <c r="B1764" s="25" t="s">
        <v>5260</v>
      </c>
      <c r="C1764" s="25" t="s">
        <v>5261</v>
      </c>
      <c r="D1764" s="25" t="s">
        <v>1719</v>
      </c>
      <c r="E1764" s="26" t="b">
        <v>1</v>
      </c>
      <c r="F1764" s="27" t="str">
        <f>HYPERLINK("http://nsgreg.nga.mil/genc/view?v=119899&amp;gencs=T&amp;end_month=12&amp;end_day=31&amp;end_year=2014","Hamadān")</f>
        <v>Hamadān</v>
      </c>
      <c r="G1764" s="28" t="str">
        <f>HYPERLINK("http://api.nsgreg.nga.mil/geo-division/GENC/6/ed3/IR-24","as:GENC:6:ed3:IR-24")</f>
        <v>as:GENC:6:ed3:IR-24</v>
      </c>
    </row>
    <row r="1765" spans="1:7" x14ac:dyDescent="0.2">
      <c r="A1765" s="85"/>
      <c r="B1765" s="25" t="s">
        <v>5262</v>
      </c>
      <c r="C1765" s="25" t="s">
        <v>5263</v>
      </c>
      <c r="D1765" s="25" t="s">
        <v>1719</v>
      </c>
      <c r="E1765" s="26" t="b">
        <v>1</v>
      </c>
      <c r="F1765" s="27" t="str">
        <f>HYPERLINK("http://nsgreg.nga.mil/genc/view?v=119898&amp;gencs=T&amp;end_month=12&amp;end_day=31&amp;end_year=2014","Hormozgān")</f>
        <v>Hormozgān</v>
      </c>
      <c r="G1765" s="28" t="str">
        <f>HYPERLINK("http://api.nsgreg.nga.mil/geo-division/GENC/6/ed3/IR-23","as:GENC:6:ed3:IR-23")</f>
        <v>as:GENC:6:ed3:IR-23</v>
      </c>
    </row>
    <row r="1766" spans="1:7" x14ac:dyDescent="0.2">
      <c r="A1766" s="85"/>
      <c r="B1766" s="25" t="s">
        <v>5304</v>
      </c>
      <c r="C1766" s="25" t="s">
        <v>5305</v>
      </c>
      <c r="D1766" s="25" t="s">
        <v>1719</v>
      </c>
      <c r="E1766" s="26" t="b">
        <v>1</v>
      </c>
      <c r="F1766" s="27" t="str">
        <f>HYPERLINK("http://nsgreg.nga.mil/genc/view?v=119881&amp;gencs=T&amp;end_month=12&amp;end_day=31&amp;end_year=2014","Īlām")</f>
        <v>Īlām</v>
      </c>
      <c r="G1766" s="28" t="str">
        <f>HYPERLINK("http://api.nsgreg.nga.mil/geo-division/GENC/6/ed3/IR-05","as:GENC:6:ed3:IR-05")</f>
        <v>as:GENC:6:ed3:IR-05</v>
      </c>
    </row>
    <row r="1767" spans="1:7" x14ac:dyDescent="0.2">
      <c r="A1767" s="85"/>
      <c r="B1767" s="25" t="s">
        <v>5264</v>
      </c>
      <c r="C1767" s="25" t="s">
        <v>5265</v>
      </c>
      <c r="D1767" s="25" t="s">
        <v>1719</v>
      </c>
      <c r="E1767" s="26" t="b">
        <v>1</v>
      </c>
      <c r="F1767" s="27" t="str">
        <f>HYPERLINK("http://nsgreg.nga.mil/genc/view?v=119890&amp;gencs=T&amp;end_month=12&amp;end_day=31&amp;end_year=2014","Kermān")</f>
        <v>Kermān</v>
      </c>
      <c r="G1767" s="28" t="str">
        <f>HYPERLINK("http://api.nsgreg.nga.mil/geo-division/GENC/6/ed3/IR-15","as:GENC:6:ed3:IR-15")</f>
        <v>as:GENC:6:ed3:IR-15</v>
      </c>
    </row>
    <row r="1768" spans="1:7" x14ac:dyDescent="0.2">
      <c r="A1768" s="85"/>
      <c r="B1768" s="25" t="s">
        <v>5266</v>
      </c>
      <c r="C1768" s="25" t="s">
        <v>5267</v>
      </c>
      <c r="D1768" s="25" t="s">
        <v>1719</v>
      </c>
      <c r="E1768" s="26" t="b">
        <v>1</v>
      </c>
      <c r="F1768" s="27" t="str">
        <f>HYPERLINK("http://nsgreg.nga.mil/genc/view?v=119892&amp;gencs=T&amp;end_month=12&amp;end_day=31&amp;end_year=2014","Kermānshāh")</f>
        <v>Kermānshāh</v>
      </c>
      <c r="G1768" s="28" t="str">
        <f>HYPERLINK("http://api.nsgreg.nga.mil/geo-division/GENC/6/ed3/IR-17","as:GENC:6:ed3:IR-17")</f>
        <v>as:GENC:6:ed3:IR-17</v>
      </c>
    </row>
    <row r="1769" spans="1:7" x14ac:dyDescent="0.2">
      <c r="A1769" s="85"/>
      <c r="B1769" s="25" t="s">
        <v>5268</v>
      </c>
      <c r="C1769" s="25" t="s">
        <v>12497</v>
      </c>
      <c r="D1769" s="25" t="s">
        <v>1719</v>
      </c>
      <c r="E1769" s="26" t="b">
        <v>1</v>
      </c>
      <c r="F1769" s="27" t="str">
        <f>HYPERLINK("http://nsgreg.nga.mil/genc/view?v=212030&amp;end_month=12&amp;end_day=31&amp;end_year=2014","Khorāsān-e Jonūbī")</f>
        <v>Khorāsān-e Jonūbī</v>
      </c>
      <c r="G1769" s="28" t="str">
        <f>HYPERLINK("http://api.nsgreg.nga.mil/geo-division/GENC/6/ed3/IR-29","as:GENC:6:ed3:IR-29")</f>
        <v>as:GENC:6:ed3:IR-29</v>
      </c>
    </row>
    <row r="1770" spans="1:7" x14ac:dyDescent="0.2">
      <c r="A1770" s="85"/>
      <c r="B1770" s="25" t="s">
        <v>5270</v>
      </c>
      <c r="C1770" s="25" t="s">
        <v>12498</v>
      </c>
      <c r="D1770" s="25" t="s">
        <v>1719</v>
      </c>
      <c r="E1770" s="26" t="b">
        <v>1</v>
      </c>
      <c r="F1770" s="27" t="str">
        <f>HYPERLINK("http://nsgreg.nga.mil/genc/view?v=212031&amp;end_month=12&amp;end_day=31&amp;end_year=2014","Khorāsān-e Raẕavī")</f>
        <v>Khorāsān-e Raẕavī</v>
      </c>
      <c r="G1770" s="28" t="str">
        <f>HYPERLINK("http://api.nsgreg.nga.mil/geo-division/GENC/6/ed3/IR-30","as:GENC:6:ed3:IR-30")</f>
        <v>as:GENC:6:ed3:IR-30</v>
      </c>
    </row>
    <row r="1771" spans="1:7" x14ac:dyDescent="0.2">
      <c r="A1771" s="85"/>
      <c r="B1771" s="25" t="s">
        <v>5272</v>
      </c>
      <c r="C1771" s="25" t="s">
        <v>12499</v>
      </c>
      <c r="D1771" s="25" t="s">
        <v>1719</v>
      </c>
      <c r="E1771" s="26" t="b">
        <v>1</v>
      </c>
      <c r="F1771" s="27" t="str">
        <f>HYPERLINK("http://nsgreg.nga.mil/genc/view?v=212032&amp;end_month=12&amp;end_day=31&amp;end_year=2014","Khorāsān-e Shomālī")</f>
        <v>Khorāsān-e Shomālī</v>
      </c>
      <c r="G1771" s="28" t="str">
        <f>HYPERLINK("http://api.nsgreg.nga.mil/geo-division/GENC/6/ed3/IR-31","as:GENC:6:ed3:IR-31")</f>
        <v>as:GENC:6:ed3:IR-31</v>
      </c>
    </row>
    <row r="1772" spans="1:7" x14ac:dyDescent="0.2">
      <c r="A1772" s="85"/>
      <c r="B1772" s="25" t="s">
        <v>5274</v>
      </c>
      <c r="C1772" s="25" t="s">
        <v>5275</v>
      </c>
      <c r="D1772" s="25" t="s">
        <v>1719</v>
      </c>
      <c r="E1772" s="26" t="b">
        <v>1</v>
      </c>
      <c r="F1772" s="27" t="str">
        <f>HYPERLINK("http://nsgreg.nga.mil/genc/view?v=119885&amp;gencs=T&amp;end_month=12&amp;end_day=31&amp;end_year=2014","Khūzestān")</f>
        <v>Khūzestān</v>
      </c>
      <c r="G1772" s="28" t="str">
        <f>HYPERLINK("http://api.nsgreg.nga.mil/geo-division/GENC/6/ed3/IR-10","as:GENC:6:ed3:IR-10")</f>
        <v>as:GENC:6:ed3:IR-10</v>
      </c>
    </row>
    <row r="1773" spans="1:7" x14ac:dyDescent="0.2">
      <c r="A1773" s="85"/>
      <c r="B1773" s="25" t="s">
        <v>5276</v>
      </c>
      <c r="C1773" s="25" t="s">
        <v>12500</v>
      </c>
      <c r="D1773" s="25" t="s">
        <v>1719</v>
      </c>
      <c r="E1773" s="26" t="b">
        <v>1</v>
      </c>
      <c r="F1773" s="27" t="str">
        <f>HYPERLINK("http://nsgreg.nga.mil/genc/view?v=212029&amp;end_month=12&amp;end_day=31&amp;end_year=2014","Kohgīlūyeh va Bowyer Aḩmad")</f>
        <v>Kohgīlūyeh va Bowyer Aḩmad</v>
      </c>
      <c r="G1773" s="28" t="str">
        <f>HYPERLINK("http://api.nsgreg.nga.mil/geo-division/GENC/6/ed3/IR-18","as:GENC:6:ed3:IR-18")</f>
        <v>as:GENC:6:ed3:IR-18</v>
      </c>
    </row>
    <row r="1774" spans="1:7" x14ac:dyDescent="0.2">
      <c r="A1774" s="85"/>
      <c r="B1774" s="25" t="s">
        <v>5278</v>
      </c>
      <c r="C1774" s="25" t="s">
        <v>5279</v>
      </c>
      <c r="D1774" s="25" t="s">
        <v>1719</v>
      </c>
      <c r="E1774" s="26" t="b">
        <v>1</v>
      </c>
      <c r="F1774" s="27" t="str">
        <f>HYPERLINK("http://nsgreg.nga.mil/genc/view?v=119891&amp;gencs=T&amp;end_month=12&amp;end_day=31&amp;end_year=2014","Kordestān")</f>
        <v>Kordestān</v>
      </c>
      <c r="G1774" s="28" t="str">
        <f>HYPERLINK("http://api.nsgreg.nga.mil/geo-division/GENC/6/ed3/IR-16","as:GENC:6:ed3:IR-16")</f>
        <v>as:GENC:6:ed3:IR-16</v>
      </c>
    </row>
    <row r="1775" spans="1:7" x14ac:dyDescent="0.2">
      <c r="A1775" s="85"/>
      <c r="B1775" s="25" t="s">
        <v>5280</v>
      </c>
      <c r="C1775" s="25" t="s">
        <v>5281</v>
      </c>
      <c r="D1775" s="25" t="s">
        <v>1719</v>
      </c>
      <c r="E1775" s="26" t="b">
        <v>1</v>
      </c>
      <c r="F1775" s="27" t="str">
        <f>HYPERLINK("http://nsgreg.nga.mil/genc/view?v=119895&amp;gencs=T&amp;end_month=12&amp;end_day=31&amp;end_year=2014","Lorestān")</f>
        <v>Lorestān</v>
      </c>
      <c r="G1775" s="28" t="str">
        <f>HYPERLINK("http://api.nsgreg.nga.mil/geo-division/GENC/6/ed3/IR-20","as:GENC:6:ed3:IR-20")</f>
        <v>as:GENC:6:ed3:IR-20</v>
      </c>
    </row>
    <row r="1776" spans="1:7" x14ac:dyDescent="0.2">
      <c r="A1776" s="85"/>
      <c r="B1776" s="25" t="s">
        <v>5282</v>
      </c>
      <c r="C1776" s="25" t="s">
        <v>5283</v>
      </c>
      <c r="D1776" s="25" t="s">
        <v>1719</v>
      </c>
      <c r="E1776" s="26" t="b">
        <v>1</v>
      </c>
      <c r="F1776" s="27" t="str">
        <f>HYPERLINK("http://nsgreg.nga.mil/genc/view?v=119897&amp;gencs=T&amp;end_month=12&amp;end_day=31&amp;end_year=2014","Markazī")</f>
        <v>Markazī</v>
      </c>
      <c r="G1776" s="28" t="str">
        <f>HYPERLINK("http://api.nsgreg.nga.mil/geo-division/GENC/6/ed3/IR-22","as:GENC:6:ed3:IR-22")</f>
        <v>as:GENC:6:ed3:IR-22</v>
      </c>
    </row>
    <row r="1777" spans="1:7" x14ac:dyDescent="0.2">
      <c r="A1777" s="85"/>
      <c r="B1777" s="25" t="s">
        <v>5284</v>
      </c>
      <c r="C1777" s="25" t="s">
        <v>5285</v>
      </c>
      <c r="D1777" s="25" t="s">
        <v>1719</v>
      </c>
      <c r="E1777" s="26" t="b">
        <v>1</v>
      </c>
      <c r="F1777" s="27" t="str">
        <f>HYPERLINK("http://nsgreg.nga.mil/genc/view?v=119896&amp;gencs=T&amp;end_month=12&amp;end_day=31&amp;end_year=2014","Māzandarān")</f>
        <v>Māzandarān</v>
      </c>
      <c r="G1777" s="28" t="str">
        <f>HYPERLINK("http://api.nsgreg.nga.mil/geo-division/GENC/6/ed3/IR-21","as:GENC:6:ed3:IR-21")</f>
        <v>as:GENC:6:ed3:IR-21</v>
      </c>
    </row>
    <row r="1778" spans="1:7" x14ac:dyDescent="0.2">
      <c r="A1778" s="85"/>
      <c r="B1778" s="25" t="s">
        <v>5286</v>
      </c>
      <c r="C1778" s="25" t="s">
        <v>5287</v>
      </c>
      <c r="D1778" s="25" t="s">
        <v>1719</v>
      </c>
      <c r="E1778" s="26" t="b">
        <v>1</v>
      </c>
      <c r="F1778" s="27" t="str">
        <f>HYPERLINK("http://nsgreg.nga.mil/genc/view?v=119903&amp;gencs=T&amp;end_month=12&amp;end_day=31&amp;end_year=2014","Qazvīn")</f>
        <v>Qazvīn</v>
      </c>
      <c r="G1778" s="28" t="str">
        <f>HYPERLINK("http://api.nsgreg.nga.mil/geo-division/GENC/6/ed3/IR-28","as:GENC:6:ed3:IR-28")</f>
        <v>as:GENC:6:ed3:IR-28</v>
      </c>
    </row>
    <row r="1779" spans="1:7" x14ac:dyDescent="0.2">
      <c r="A1779" s="85"/>
      <c r="B1779" s="25" t="s">
        <v>5288</v>
      </c>
      <c r="C1779" s="25" t="s">
        <v>5289</v>
      </c>
      <c r="D1779" s="25" t="s">
        <v>1719</v>
      </c>
      <c r="E1779" s="26" t="b">
        <v>1</v>
      </c>
      <c r="F1779" s="27" t="str">
        <f>HYPERLINK("http://nsgreg.nga.mil/genc/view?v=119901&amp;gencs=T&amp;end_month=12&amp;end_day=31&amp;end_year=2014","Qom")</f>
        <v>Qom</v>
      </c>
      <c r="G1779" s="28" t="str">
        <f>HYPERLINK("http://api.nsgreg.nga.mil/geo-division/GENC/6/ed3/IR-26","as:GENC:6:ed3:IR-26")</f>
        <v>as:GENC:6:ed3:IR-26</v>
      </c>
    </row>
    <row r="1780" spans="1:7" x14ac:dyDescent="0.2">
      <c r="A1780" s="85"/>
      <c r="B1780" s="25" t="s">
        <v>5290</v>
      </c>
      <c r="C1780" s="25" t="s">
        <v>5291</v>
      </c>
      <c r="D1780" s="25" t="s">
        <v>1719</v>
      </c>
      <c r="E1780" s="26" t="b">
        <v>1</v>
      </c>
      <c r="F1780" s="27" t="str">
        <f>HYPERLINK("http://nsgreg.nga.mil/genc/view?v=119887&amp;gencs=T&amp;end_month=12&amp;end_day=31&amp;end_year=2014","Semnān")</f>
        <v>Semnān</v>
      </c>
      <c r="G1780" s="28" t="str">
        <f>HYPERLINK("http://api.nsgreg.nga.mil/geo-division/GENC/6/ed3/IR-12","as:GENC:6:ed3:IR-12")</f>
        <v>as:GENC:6:ed3:IR-12</v>
      </c>
    </row>
    <row r="1781" spans="1:7" x14ac:dyDescent="0.2">
      <c r="A1781" s="85"/>
      <c r="B1781" s="25" t="s">
        <v>5292</v>
      </c>
      <c r="C1781" s="25" t="s">
        <v>5293</v>
      </c>
      <c r="D1781" s="25" t="s">
        <v>1719</v>
      </c>
      <c r="E1781" s="26" t="b">
        <v>1</v>
      </c>
      <c r="F1781" s="27" t="str">
        <f>HYPERLINK("http://nsgreg.nga.mil/genc/view?v=119888&amp;gencs=T&amp;end_month=12&amp;end_day=31&amp;end_year=2014","Sīstān va Balūchestān")</f>
        <v>Sīstān va Balūchestān</v>
      </c>
      <c r="G1781" s="28" t="str">
        <f>HYPERLINK("http://api.nsgreg.nga.mil/geo-division/GENC/6/ed3/IR-13","as:GENC:6:ed3:IR-13")</f>
        <v>as:GENC:6:ed3:IR-13</v>
      </c>
    </row>
    <row r="1782" spans="1:7" x14ac:dyDescent="0.2">
      <c r="A1782" s="85"/>
      <c r="B1782" s="25" t="s">
        <v>5294</v>
      </c>
      <c r="C1782" s="25" t="s">
        <v>5295</v>
      </c>
      <c r="D1782" s="25" t="s">
        <v>1719</v>
      </c>
      <c r="E1782" s="26" t="b">
        <v>1</v>
      </c>
      <c r="F1782" s="27" t="str">
        <f>HYPERLINK("http://nsgreg.nga.mil/genc/view?v=119883&amp;gencs=T&amp;end_month=12&amp;end_day=31&amp;end_year=2014","Tehrān")</f>
        <v>Tehrān</v>
      </c>
      <c r="G1782" s="28" t="str">
        <f>HYPERLINK("http://api.nsgreg.nga.mil/geo-division/GENC/6/ed3/IR-07","as:GENC:6:ed3:IR-07")</f>
        <v>as:GENC:6:ed3:IR-07</v>
      </c>
    </row>
    <row r="1783" spans="1:7" x14ac:dyDescent="0.2">
      <c r="A1783" s="85"/>
      <c r="B1783" s="25" t="s">
        <v>5296</v>
      </c>
      <c r="C1783" s="25" t="s">
        <v>5297</v>
      </c>
      <c r="D1783" s="25" t="s">
        <v>1719</v>
      </c>
      <c r="E1783" s="26" t="b">
        <v>1</v>
      </c>
      <c r="F1783" s="27" t="str">
        <f>HYPERLINK("http://nsgreg.nga.mil/genc/view?v=119900&amp;gencs=T&amp;end_month=12&amp;end_day=31&amp;end_year=2014","Yazd")</f>
        <v>Yazd</v>
      </c>
      <c r="G1783" s="28" t="str">
        <f>HYPERLINK("http://api.nsgreg.nga.mil/geo-division/GENC/6/ed3/IR-25","as:GENC:6:ed3:IR-25")</f>
        <v>as:GENC:6:ed3:IR-25</v>
      </c>
    </row>
    <row r="1784" spans="1:7" x14ac:dyDescent="0.2">
      <c r="A1784" s="86"/>
      <c r="B1784" s="29" t="s">
        <v>5298</v>
      </c>
      <c r="C1784" s="29" t="s">
        <v>5299</v>
      </c>
      <c r="D1784" s="29" t="s">
        <v>1719</v>
      </c>
      <c r="E1784" s="30" t="b">
        <v>1</v>
      </c>
      <c r="F1784" s="31" t="str">
        <f>HYPERLINK("http://nsgreg.nga.mil/genc/view?v=119886&amp;gencs=T&amp;end_month=12&amp;end_day=31&amp;end_year=2014","Zanjān")</f>
        <v>Zanjān</v>
      </c>
      <c r="G1784" s="32" t="str">
        <f>HYPERLINK("http://api.nsgreg.nga.mil/geo-division/GENC/6/ed3/IR-11","as:GENC:6:ed3:IR-11")</f>
        <v>as:GENC:6:ed3:IR-11</v>
      </c>
    </row>
    <row r="1785" spans="1:7" x14ac:dyDescent="0.2">
      <c r="A1785" s="84" t="str">
        <f>HYPERLINK("[#]Codes_for_GE_Names!A127:I127","IRAQ")</f>
        <v>IRAQ</v>
      </c>
      <c r="B1785" s="33" t="s">
        <v>5306</v>
      </c>
      <c r="C1785" s="33" t="s">
        <v>5307</v>
      </c>
      <c r="D1785" s="33" t="s">
        <v>2365</v>
      </c>
      <c r="E1785" s="34" t="b">
        <v>1</v>
      </c>
      <c r="F1785" s="35" t="str">
        <f>HYPERLINK("http://nsgreg.nga.mil/genc/view?v=119859&amp;gencs=T&amp;end_month=12&amp;end_day=31&amp;end_year=2014","Al Anbār")</f>
        <v>Al Anbār</v>
      </c>
      <c r="G1785" s="36" t="str">
        <f>HYPERLINK("http://api.nsgreg.nga.mil/geo-division/GENC/6/ed3/IQ-AN","as:GENC:6:ed3:IQ-AN")</f>
        <v>as:GENC:6:ed3:IQ-AN</v>
      </c>
    </row>
    <row r="1786" spans="1:7" x14ac:dyDescent="0.2">
      <c r="A1786" s="85"/>
      <c r="B1786" s="25" t="s">
        <v>5308</v>
      </c>
      <c r="C1786" s="25" t="s">
        <v>5309</v>
      </c>
      <c r="D1786" s="25" t="s">
        <v>2365</v>
      </c>
      <c r="E1786" s="26" t="b">
        <v>1</v>
      </c>
      <c r="F1786" s="27" t="str">
        <f>HYPERLINK("http://nsgreg.nga.mil/genc/view?v=119861&amp;gencs=T&amp;end_month=12&amp;end_day=31&amp;end_year=2014","Al Başrah")</f>
        <v>Al Başrah</v>
      </c>
      <c r="G1786" s="28" t="str">
        <f>HYPERLINK("http://api.nsgreg.nga.mil/geo-division/GENC/6/ed3/IQ-BA","as:GENC:6:ed3:IQ-BA")</f>
        <v>as:GENC:6:ed3:IQ-BA</v>
      </c>
    </row>
    <row r="1787" spans="1:7" x14ac:dyDescent="0.2">
      <c r="A1787" s="85"/>
      <c r="B1787" s="25" t="s">
        <v>5310</v>
      </c>
      <c r="C1787" s="25" t="s">
        <v>5311</v>
      </c>
      <c r="D1787" s="25" t="s">
        <v>2365</v>
      </c>
      <c r="E1787" s="26" t="b">
        <v>1</v>
      </c>
      <c r="F1787" s="27" t="str">
        <f>HYPERLINK("http://nsgreg.nga.mil/genc/view?v=119869&amp;gencs=T&amp;end_month=12&amp;end_day=31&amp;end_year=2014","Al Muthanná")</f>
        <v>Al Muthanná</v>
      </c>
      <c r="G1787" s="28" t="str">
        <f>HYPERLINK("http://api.nsgreg.nga.mil/geo-division/GENC/6/ed3/IQ-MU","as:GENC:6:ed3:IQ-MU")</f>
        <v>as:GENC:6:ed3:IQ-MU</v>
      </c>
    </row>
    <row r="1788" spans="1:7" x14ac:dyDescent="0.2">
      <c r="A1788" s="85"/>
      <c r="B1788" s="25" t="s">
        <v>5312</v>
      </c>
      <c r="C1788" s="25" t="s">
        <v>5313</v>
      </c>
      <c r="D1788" s="25" t="s">
        <v>2365</v>
      </c>
      <c r="E1788" s="26" t="b">
        <v>1</v>
      </c>
      <c r="F1788" s="27" t="str">
        <f>HYPERLINK("http://nsgreg.nga.mil/genc/view?v=119872&amp;gencs=T&amp;end_month=12&amp;end_day=31&amp;end_year=2014","Al Qādisīyah")</f>
        <v>Al Qādisīyah</v>
      </c>
      <c r="G1788" s="28" t="str">
        <f>HYPERLINK("http://api.nsgreg.nga.mil/geo-division/GENC/6/ed3/IQ-QA","as:GENC:6:ed3:IQ-QA")</f>
        <v>as:GENC:6:ed3:IQ-QA</v>
      </c>
    </row>
    <row r="1789" spans="1:7" x14ac:dyDescent="0.2">
      <c r="A1789" s="85"/>
      <c r="B1789" s="25" t="s">
        <v>5314</v>
      </c>
      <c r="C1789" s="25" t="s">
        <v>5315</v>
      </c>
      <c r="D1789" s="25" t="s">
        <v>2365</v>
      </c>
      <c r="E1789" s="26" t="b">
        <v>1</v>
      </c>
      <c r="F1789" s="27" t="str">
        <f>HYPERLINK("http://nsgreg.nga.mil/genc/view?v=119870&amp;gencs=T&amp;end_month=12&amp;end_day=31&amp;end_year=2014","An Najaf")</f>
        <v>An Najaf</v>
      </c>
      <c r="G1789" s="28" t="str">
        <f>HYPERLINK("http://api.nsgreg.nga.mil/geo-division/GENC/6/ed3/IQ-NA","as:GENC:6:ed3:IQ-NA")</f>
        <v>as:GENC:6:ed3:IQ-NA</v>
      </c>
    </row>
    <row r="1790" spans="1:7" x14ac:dyDescent="0.2">
      <c r="A1790" s="85"/>
      <c r="B1790" s="25" t="s">
        <v>5316</v>
      </c>
      <c r="C1790" s="25" t="s">
        <v>5317</v>
      </c>
      <c r="D1790" s="25" t="s">
        <v>2365</v>
      </c>
      <c r="E1790" s="26" t="b">
        <v>1</v>
      </c>
      <c r="F1790" s="27" t="str">
        <f>HYPERLINK("http://nsgreg.nga.mil/genc/view?v=212024&amp;end_month=12&amp;end_day=31&amp;end_year=2014","Arbīl")</f>
        <v>Arbīl</v>
      </c>
      <c r="G1790" s="28" t="str">
        <f>HYPERLINK("http://api.nsgreg.nga.mil/geo-division/GENC/6/ed3/IQ-AR","as:GENC:6:ed3:IQ-AR")</f>
        <v>as:GENC:6:ed3:IQ-AR</v>
      </c>
    </row>
    <row r="1791" spans="1:7" x14ac:dyDescent="0.2">
      <c r="A1791" s="85"/>
      <c r="B1791" s="25" t="s">
        <v>5318</v>
      </c>
      <c r="C1791" s="25" t="s">
        <v>5319</v>
      </c>
      <c r="D1791" s="25" t="s">
        <v>2365</v>
      </c>
      <c r="E1791" s="26" t="b">
        <v>1</v>
      </c>
      <c r="F1791" s="27" t="str">
        <f>HYPERLINK("http://nsgreg.nga.mil/genc/view?v=212026&amp;end_month=12&amp;end_day=31&amp;end_year=2014","As Sulaymānīyah")</f>
        <v>As Sulaymānīyah</v>
      </c>
      <c r="G1791" s="28" t="str">
        <f>HYPERLINK("http://api.nsgreg.nga.mil/geo-division/GENC/6/ed3/IQ-SU","as:GENC:6:ed3:IQ-SU")</f>
        <v>as:GENC:6:ed3:IQ-SU</v>
      </c>
    </row>
    <row r="1792" spans="1:7" x14ac:dyDescent="0.2">
      <c r="A1792" s="85"/>
      <c r="B1792" s="25" t="s">
        <v>5324</v>
      </c>
      <c r="C1792" s="25" t="s">
        <v>5325</v>
      </c>
      <c r="D1792" s="25" t="s">
        <v>2365</v>
      </c>
      <c r="E1792" s="26" t="b">
        <v>1</v>
      </c>
      <c r="F1792" s="27" t="str">
        <f>HYPERLINK("http://nsgreg.nga.mil/genc/view?v=119862&amp;gencs=T&amp;end_month=12&amp;end_day=31&amp;end_year=2014","Bābil")</f>
        <v>Bābil</v>
      </c>
      <c r="G1792" s="28" t="str">
        <f>HYPERLINK("http://api.nsgreg.nga.mil/geo-division/GENC/6/ed3/IQ-BB","as:GENC:6:ed3:IQ-BB")</f>
        <v>as:GENC:6:ed3:IQ-BB</v>
      </c>
    </row>
    <row r="1793" spans="1:7" x14ac:dyDescent="0.2">
      <c r="A1793" s="85"/>
      <c r="B1793" s="25" t="s">
        <v>5322</v>
      </c>
      <c r="C1793" s="25" t="s">
        <v>5323</v>
      </c>
      <c r="D1793" s="25" t="s">
        <v>2365</v>
      </c>
      <c r="E1793" s="26" t="b">
        <v>1</v>
      </c>
      <c r="F1793" s="27" t="str">
        <f>HYPERLINK("http://nsgreg.nga.mil/genc/view?v=119863&amp;gencs=T&amp;end_month=12&amp;end_day=31&amp;end_year=2014","Baghdād")</f>
        <v>Baghdād</v>
      </c>
      <c r="G1793" s="28" t="str">
        <f>HYPERLINK("http://api.nsgreg.nga.mil/geo-division/GENC/6/ed3/IQ-BG","as:GENC:6:ed3:IQ-BG")</f>
        <v>as:GENC:6:ed3:IQ-BG</v>
      </c>
    </row>
    <row r="1794" spans="1:7" x14ac:dyDescent="0.2">
      <c r="A1794" s="85"/>
      <c r="B1794" s="25" t="s">
        <v>5326</v>
      </c>
      <c r="C1794" s="25" t="s">
        <v>5327</v>
      </c>
      <c r="D1794" s="25" t="s">
        <v>2365</v>
      </c>
      <c r="E1794" s="26" t="b">
        <v>1</v>
      </c>
      <c r="F1794" s="27" t="str">
        <f>HYPERLINK("http://nsgreg.nga.mil/genc/view?v=212025&amp;end_month=12&amp;end_day=31&amp;end_year=2014","Dahūk")</f>
        <v>Dahūk</v>
      </c>
      <c r="G1794" s="28" t="str">
        <f>HYPERLINK("http://api.nsgreg.nga.mil/geo-division/GENC/6/ed3/IQ-DA","as:GENC:6:ed3:IQ-DA")</f>
        <v>as:GENC:6:ed3:IQ-DA</v>
      </c>
    </row>
    <row r="1795" spans="1:7" x14ac:dyDescent="0.2">
      <c r="A1795" s="85"/>
      <c r="B1795" s="25" t="s">
        <v>5328</v>
      </c>
      <c r="C1795" s="25" t="s">
        <v>5329</v>
      </c>
      <c r="D1795" s="25" t="s">
        <v>2365</v>
      </c>
      <c r="E1795" s="26" t="b">
        <v>1</v>
      </c>
      <c r="F1795" s="27" t="str">
        <f>HYPERLINK("http://nsgreg.nga.mil/genc/view?v=119866&amp;gencs=T&amp;end_month=12&amp;end_day=31&amp;end_year=2014","Dhī Qār")</f>
        <v>Dhī Qār</v>
      </c>
      <c r="G1795" s="28" t="str">
        <f>HYPERLINK("http://api.nsgreg.nga.mil/geo-division/GENC/6/ed3/IQ-DQ","as:GENC:6:ed3:IQ-DQ")</f>
        <v>as:GENC:6:ed3:IQ-DQ</v>
      </c>
    </row>
    <row r="1796" spans="1:7" x14ac:dyDescent="0.2">
      <c r="A1796" s="85"/>
      <c r="B1796" s="25" t="s">
        <v>5330</v>
      </c>
      <c r="C1796" s="25" t="s">
        <v>5331</v>
      </c>
      <c r="D1796" s="25" t="s">
        <v>2365</v>
      </c>
      <c r="E1796" s="26" t="b">
        <v>1</v>
      </c>
      <c r="F1796" s="27" t="str">
        <f>HYPERLINK("http://nsgreg.nga.mil/genc/view?v=119865&amp;gencs=T&amp;end_month=12&amp;end_day=31&amp;end_year=2014","Diyālá")</f>
        <v>Diyālá</v>
      </c>
      <c r="G1796" s="28" t="str">
        <f>HYPERLINK("http://api.nsgreg.nga.mil/geo-division/GENC/6/ed3/IQ-DI","as:GENC:6:ed3:IQ-DI")</f>
        <v>as:GENC:6:ed3:IQ-DI</v>
      </c>
    </row>
    <row r="1797" spans="1:7" x14ac:dyDescent="0.2">
      <c r="A1797" s="85"/>
      <c r="B1797" s="25" t="s">
        <v>5332</v>
      </c>
      <c r="C1797" s="25" t="s">
        <v>12501</v>
      </c>
      <c r="D1797" s="25" t="s">
        <v>2365</v>
      </c>
      <c r="E1797" s="26" t="b">
        <v>1</v>
      </c>
      <c r="F1797" s="27" t="str">
        <f>HYPERLINK("http://nsgreg.nga.mil/genc/view?v=119867&amp;gencs=T&amp;end_month=12&amp;end_day=31&amp;end_year=2014","Karbalā’")</f>
        <v>Karbalā’</v>
      </c>
      <c r="G1797" s="28" t="str">
        <f>HYPERLINK("http://api.nsgreg.nga.mil/geo-division/GENC/6/ed3/IQ-KA","as:GENC:6:ed3:IQ-KA")</f>
        <v>as:GENC:6:ed3:IQ-KA</v>
      </c>
    </row>
    <row r="1798" spans="1:7" x14ac:dyDescent="0.2">
      <c r="A1798" s="85"/>
      <c r="B1798" s="25" t="s">
        <v>12502</v>
      </c>
      <c r="C1798" s="25" t="s">
        <v>12503</v>
      </c>
      <c r="D1798" s="25" t="s">
        <v>2365</v>
      </c>
      <c r="E1798" s="26" t="b">
        <v>1</v>
      </c>
      <c r="F1798" s="27" t="str">
        <f>HYPERLINK("http://nsgreg.nga.mil/genc/view?v=212027&amp;end_month=12&amp;end_day=31&amp;end_year=2014","Kirkūk")</f>
        <v>Kirkūk</v>
      </c>
      <c r="G1798" s="28" t="str">
        <f>HYPERLINK("http://api.nsgreg.nga.mil/geo-division/GENC/6/ed3/IQ-KI","as:GENC:6:ed3:IQ-KI")</f>
        <v>as:GENC:6:ed3:IQ-KI</v>
      </c>
    </row>
    <row r="1799" spans="1:7" x14ac:dyDescent="0.2">
      <c r="A1799" s="85"/>
      <c r="B1799" s="25" t="s">
        <v>5334</v>
      </c>
      <c r="C1799" s="25" t="s">
        <v>5335</v>
      </c>
      <c r="D1799" s="25" t="s">
        <v>2365</v>
      </c>
      <c r="E1799" s="26" t="b">
        <v>1</v>
      </c>
      <c r="F1799" s="27" t="str">
        <f>HYPERLINK("http://nsgreg.nga.mil/genc/view?v=119868&amp;gencs=T&amp;end_month=12&amp;end_day=31&amp;end_year=2014","Maysān")</f>
        <v>Maysān</v>
      </c>
      <c r="G1799" s="28" t="str">
        <f>HYPERLINK("http://api.nsgreg.nga.mil/geo-division/GENC/6/ed3/IQ-MA","as:GENC:6:ed3:IQ-MA")</f>
        <v>as:GENC:6:ed3:IQ-MA</v>
      </c>
    </row>
    <row r="1800" spans="1:7" x14ac:dyDescent="0.2">
      <c r="A1800" s="85"/>
      <c r="B1800" s="25" t="s">
        <v>5336</v>
      </c>
      <c r="C1800" s="25" t="s">
        <v>5337</v>
      </c>
      <c r="D1800" s="25" t="s">
        <v>2365</v>
      </c>
      <c r="E1800" s="26" t="b">
        <v>1</v>
      </c>
      <c r="F1800" s="27" t="str">
        <f>HYPERLINK("http://nsgreg.nga.mil/genc/view?v=119871&amp;gencs=T&amp;end_month=12&amp;end_day=31&amp;end_year=2014","Nīnawá")</f>
        <v>Nīnawá</v>
      </c>
      <c r="G1800" s="28" t="str">
        <f>HYPERLINK("http://api.nsgreg.nga.mil/geo-division/GENC/6/ed3/IQ-NI","as:GENC:6:ed3:IQ-NI")</f>
        <v>as:GENC:6:ed3:IQ-NI</v>
      </c>
    </row>
    <row r="1801" spans="1:7" x14ac:dyDescent="0.2">
      <c r="A1801" s="85"/>
      <c r="B1801" s="25" t="s">
        <v>5340</v>
      </c>
      <c r="C1801" s="25" t="s">
        <v>5341</v>
      </c>
      <c r="D1801" s="25" t="s">
        <v>2365</v>
      </c>
      <c r="E1801" s="26" t="b">
        <v>1</v>
      </c>
      <c r="F1801" s="27" t="str">
        <f>HYPERLINK("http://nsgreg.nga.mil/genc/view?v=119873&amp;gencs=T&amp;end_month=12&amp;end_day=31&amp;end_year=2014","Şalāḩ ad Dīn")</f>
        <v>Şalāḩ ad Dīn</v>
      </c>
      <c r="G1801" s="28" t="str">
        <f>HYPERLINK("http://api.nsgreg.nga.mil/geo-division/GENC/6/ed3/IQ-SD","as:GENC:6:ed3:IQ-SD")</f>
        <v>as:GENC:6:ed3:IQ-SD</v>
      </c>
    </row>
    <row r="1802" spans="1:7" x14ac:dyDescent="0.2">
      <c r="A1802" s="86"/>
      <c r="B1802" s="29" t="s">
        <v>5338</v>
      </c>
      <c r="C1802" s="29" t="s">
        <v>5339</v>
      </c>
      <c r="D1802" s="29" t="s">
        <v>2365</v>
      </c>
      <c r="E1802" s="30" t="b">
        <v>1</v>
      </c>
      <c r="F1802" s="31" t="str">
        <f>HYPERLINK("http://nsgreg.nga.mil/genc/view?v=119876&amp;gencs=T&amp;end_month=12&amp;end_day=31&amp;end_year=2014","Wāsiţ")</f>
        <v>Wāsiţ</v>
      </c>
      <c r="G1802" s="32" t="str">
        <f>HYPERLINK("http://api.nsgreg.nga.mil/geo-division/GENC/6/ed3/IQ-WA","as:GENC:6:ed3:IQ-WA")</f>
        <v>as:GENC:6:ed3:IQ-WA</v>
      </c>
    </row>
    <row r="1803" spans="1:7" x14ac:dyDescent="0.2">
      <c r="A1803" s="84" t="str">
        <f>HYPERLINK("[#]Codes_for_GE_Names!A128:I128","IRELAND")</f>
        <v>IRELAND</v>
      </c>
      <c r="B1803" s="33" t="s">
        <v>5356</v>
      </c>
      <c r="C1803" s="33" t="s">
        <v>5357</v>
      </c>
      <c r="D1803" s="33" t="s">
        <v>1788</v>
      </c>
      <c r="E1803" s="34" t="b">
        <v>1</v>
      </c>
      <c r="F1803" s="35" t="str">
        <f>HYPERLINK("http://nsgreg.nga.mil/genc/view?v=119791&amp;gencs=T&amp;end_month=12&amp;end_day=31&amp;end_year=2014","Carlow")</f>
        <v>Carlow</v>
      </c>
      <c r="G1803" s="36" t="str">
        <f>HYPERLINK("http://api.nsgreg.nga.mil/geo-division/GENC/6/ed3/IE-CW","as:GENC:6:ed3:IE-CW")</f>
        <v>as:GENC:6:ed3:IE-CW</v>
      </c>
    </row>
    <row r="1804" spans="1:7" x14ac:dyDescent="0.2">
      <c r="A1804" s="85"/>
      <c r="B1804" s="25" t="s">
        <v>5342</v>
      </c>
      <c r="C1804" s="25" t="s">
        <v>5358</v>
      </c>
      <c r="D1804" s="25" t="s">
        <v>1788</v>
      </c>
      <c r="E1804" s="26" t="b">
        <v>1</v>
      </c>
      <c r="F1804" s="27" t="str">
        <f>HYPERLINK("http://nsgreg.nga.mil/genc/view?v=119789&amp;gencs=T&amp;end_month=12&amp;end_day=31&amp;end_year=2014","Cavan")</f>
        <v>Cavan</v>
      </c>
      <c r="G1804" s="28" t="str">
        <f>HYPERLINK("http://api.nsgreg.nga.mil/geo-division/GENC/6/ed3/IE-CN","as:GENC:6:ed3:IE-CN")</f>
        <v>as:GENC:6:ed3:IE-CN</v>
      </c>
    </row>
    <row r="1805" spans="1:7" x14ac:dyDescent="0.2">
      <c r="A1805" s="85"/>
      <c r="B1805" s="25" t="s">
        <v>5344</v>
      </c>
      <c r="C1805" s="25" t="s">
        <v>5368</v>
      </c>
      <c r="D1805" s="25" t="s">
        <v>1788</v>
      </c>
      <c r="E1805" s="26" t="b">
        <v>1</v>
      </c>
      <c r="F1805" s="27" t="str">
        <f>HYPERLINK("http://nsgreg.nga.mil/genc/view?v=119788&amp;gencs=T&amp;end_month=12&amp;end_day=31&amp;end_year=2014","Clare")</f>
        <v>Clare</v>
      </c>
      <c r="G1805" s="28" t="str">
        <f>HYPERLINK("http://api.nsgreg.nga.mil/geo-division/GENC/6/ed3/IE-CE","as:GENC:6:ed3:IE-CE")</f>
        <v>as:GENC:6:ed3:IE-CE</v>
      </c>
    </row>
    <row r="1806" spans="1:7" x14ac:dyDescent="0.2">
      <c r="A1806" s="85"/>
      <c r="B1806" s="25" t="s">
        <v>5369</v>
      </c>
      <c r="C1806" s="25" t="s">
        <v>5371</v>
      </c>
      <c r="D1806" s="37" t="s">
        <v>1719</v>
      </c>
      <c r="E1806" s="38" t="b">
        <v>0</v>
      </c>
      <c r="F1806" s="27" t="str">
        <f>HYPERLINK("http://nsgreg.nga.mil/genc/view?v=119787&amp;gencs=T&amp;end_month=12&amp;end_day=31&amp;end_year=2014","Connaught")</f>
        <v>Connaught</v>
      </c>
      <c r="G1806" s="28" t="str">
        <f>HYPERLINK("http://api.nsgreg.nga.mil/geo-division/GENC/6/ed3/IE-C","as:GENC:6:ed3:IE-C")</f>
        <v>as:GENC:6:ed3:IE-C</v>
      </c>
    </row>
    <row r="1807" spans="1:7" x14ac:dyDescent="0.2">
      <c r="A1807" s="85"/>
      <c r="B1807" s="25" t="s">
        <v>12504</v>
      </c>
      <c r="C1807" s="25" t="s">
        <v>5374</v>
      </c>
      <c r="D1807" s="25" t="s">
        <v>2046</v>
      </c>
      <c r="E1807" s="26" t="b">
        <v>1</v>
      </c>
      <c r="F1807" s="27" t="str">
        <f>HYPERLINK("http://nsgreg.nga.mil/genc/view?v=211986&amp;end_month=12&amp;end_day=31&amp;end_year=2014","Cork")</f>
        <v>Cork</v>
      </c>
      <c r="G1807" s="28" t="str">
        <f>HYPERLINK("http://api.nsgreg.nga.mil/geo-division/GENC/6/ed3/IE-CR","as:GENC:6:ed3:IE-CR")</f>
        <v>as:GENC:6:ed3:IE-CR</v>
      </c>
    </row>
    <row r="1808" spans="1:7" x14ac:dyDescent="0.2">
      <c r="A1808" s="85"/>
      <c r="B1808" s="25" t="s">
        <v>5372</v>
      </c>
      <c r="C1808" s="25" t="s">
        <v>5374</v>
      </c>
      <c r="D1808" s="25" t="s">
        <v>1788</v>
      </c>
      <c r="E1808" s="26" t="b">
        <v>1</v>
      </c>
      <c r="F1808" s="27" t="str">
        <f>HYPERLINK("http://nsgreg.nga.mil/genc/view?v=119790&amp;gencs=T&amp;end_month=12&amp;end_day=31&amp;end_year=2014","Cork")</f>
        <v>Cork</v>
      </c>
      <c r="G1808" s="28" t="str">
        <f>HYPERLINK("http://api.nsgreg.nga.mil/geo-division/GENC/6/ed3/IE-CO","as:GENC:6:ed3:IE-CO")</f>
        <v>as:GENC:6:ed3:IE-CO</v>
      </c>
    </row>
    <row r="1809" spans="1:7" x14ac:dyDescent="0.2">
      <c r="A1809" s="85"/>
      <c r="B1809" s="25" t="s">
        <v>5375</v>
      </c>
      <c r="C1809" s="25" t="s">
        <v>5376</v>
      </c>
      <c r="D1809" s="25" t="s">
        <v>1788</v>
      </c>
      <c r="E1809" s="26" t="b">
        <v>1</v>
      </c>
      <c r="F1809" s="27" t="str">
        <f>HYPERLINK("http://nsgreg.nga.mil/genc/view?v=119793&amp;gencs=T&amp;end_month=12&amp;end_day=31&amp;end_year=2014","Donegal")</f>
        <v>Donegal</v>
      </c>
      <c r="G1809" s="28" t="str">
        <f>HYPERLINK("http://api.nsgreg.nga.mil/geo-division/GENC/6/ed3/IE-DL","as:GENC:6:ed3:IE-DL")</f>
        <v>as:GENC:6:ed3:IE-DL</v>
      </c>
    </row>
    <row r="1810" spans="1:7" x14ac:dyDescent="0.2">
      <c r="A1810" s="85"/>
      <c r="B1810" s="25" t="s">
        <v>12505</v>
      </c>
      <c r="C1810" s="25" t="s">
        <v>5377</v>
      </c>
      <c r="D1810" s="25" t="s">
        <v>2046</v>
      </c>
      <c r="E1810" s="26" t="b">
        <v>1</v>
      </c>
      <c r="F1810" s="27" t="str">
        <f>HYPERLINK("http://nsgreg.nga.mil/genc/view?v=211989&amp;end_month=12&amp;end_day=31&amp;end_year=2014","Dublin")</f>
        <v>Dublin</v>
      </c>
      <c r="G1810" s="28" t="str">
        <f>HYPERLINK("http://api.nsgreg.nga.mil/geo-division/GENC/6/ed3/IE-DU","as:GENC:6:ed3:IE-DU")</f>
        <v>as:GENC:6:ed3:IE-DU</v>
      </c>
    </row>
    <row r="1811" spans="1:7" x14ac:dyDescent="0.2">
      <c r="A1811" s="85"/>
      <c r="B1811" s="25" t="s">
        <v>12506</v>
      </c>
      <c r="C1811" s="25" t="s">
        <v>12507</v>
      </c>
      <c r="D1811" s="25" t="s">
        <v>1788</v>
      </c>
      <c r="E1811" s="26" t="b">
        <v>1</v>
      </c>
      <c r="F1811" s="27" t="str">
        <f>HYPERLINK("http://nsgreg.nga.mil/genc/view?v=211988&amp;end_month=12&amp;end_day=31&amp;end_year=2014","Dún Laoghaire-Rathdown")</f>
        <v>Dún Laoghaire-Rathdown</v>
      </c>
      <c r="G1811" s="28" t="str">
        <f>HYPERLINK("http://api.nsgreg.nga.mil/geo-division/GENC/6/ed3/IE-DR","as:GENC:6:ed3:IE-DR")</f>
        <v>as:GENC:6:ed3:IE-DR</v>
      </c>
    </row>
    <row r="1812" spans="1:7" x14ac:dyDescent="0.2">
      <c r="A1812" s="85"/>
      <c r="B1812" s="25" t="s">
        <v>12508</v>
      </c>
      <c r="C1812" s="25" t="s">
        <v>12509</v>
      </c>
      <c r="D1812" s="25" t="s">
        <v>1788</v>
      </c>
      <c r="E1812" s="26" t="b">
        <v>1</v>
      </c>
      <c r="F1812" s="27" t="str">
        <f>HYPERLINK("http://nsgreg.nga.mil/genc/view?v=211990&amp;end_month=12&amp;end_day=31&amp;end_year=2014","Fingal")</f>
        <v>Fingal</v>
      </c>
      <c r="G1812" s="28" t="str">
        <f>HYPERLINK("http://api.nsgreg.nga.mil/geo-division/GENC/6/ed3/IE-FI","as:GENC:6:ed3:IE-FI")</f>
        <v>as:GENC:6:ed3:IE-FI</v>
      </c>
    </row>
    <row r="1813" spans="1:7" x14ac:dyDescent="0.2">
      <c r="A1813" s="85"/>
      <c r="B1813" s="25" t="s">
        <v>12510</v>
      </c>
      <c r="C1813" s="25" t="s">
        <v>5381</v>
      </c>
      <c r="D1813" s="25" t="s">
        <v>2046</v>
      </c>
      <c r="E1813" s="26" t="b">
        <v>1</v>
      </c>
      <c r="F1813" s="27" t="str">
        <f>HYPERLINK("http://nsgreg.nga.mil/genc/view?v=211991&amp;end_month=12&amp;end_day=31&amp;end_year=2014","Galway")</f>
        <v>Galway</v>
      </c>
      <c r="G1813" s="28" t="str">
        <f>HYPERLINK("http://api.nsgreg.nga.mil/geo-division/GENC/6/ed3/IE-GA","as:GENC:6:ed3:IE-GA")</f>
        <v>as:GENC:6:ed3:IE-GA</v>
      </c>
    </row>
    <row r="1814" spans="1:7" x14ac:dyDescent="0.2">
      <c r="A1814" s="85"/>
      <c r="B1814" s="25" t="s">
        <v>5379</v>
      </c>
      <c r="C1814" s="25" t="s">
        <v>5381</v>
      </c>
      <c r="D1814" s="25" t="s">
        <v>1788</v>
      </c>
      <c r="E1814" s="26" t="b">
        <v>1</v>
      </c>
      <c r="F1814" s="27" t="str">
        <f>HYPERLINK("http://nsgreg.nga.mil/genc/view?v=119794&amp;gencs=T&amp;end_month=12&amp;end_day=31&amp;end_year=2014","Galway")</f>
        <v>Galway</v>
      </c>
      <c r="G1814" s="28" t="str">
        <f>HYPERLINK("http://api.nsgreg.nga.mil/geo-division/GENC/6/ed3/IE-G","as:GENC:6:ed3:IE-G")</f>
        <v>as:GENC:6:ed3:IE-G</v>
      </c>
    </row>
    <row r="1815" spans="1:7" x14ac:dyDescent="0.2">
      <c r="A1815" s="85"/>
      <c r="B1815" s="25" t="s">
        <v>5360</v>
      </c>
      <c r="C1815" s="25" t="s">
        <v>5382</v>
      </c>
      <c r="D1815" s="25" t="s">
        <v>1788</v>
      </c>
      <c r="E1815" s="26" t="b">
        <v>1</v>
      </c>
      <c r="F1815" s="27" t="str">
        <f>HYPERLINK("http://nsgreg.nga.mil/genc/view?v=119797&amp;gencs=T&amp;end_month=12&amp;end_day=31&amp;end_year=2014","Kerry")</f>
        <v>Kerry</v>
      </c>
      <c r="G1815" s="28" t="str">
        <f>HYPERLINK("http://api.nsgreg.nga.mil/geo-division/GENC/6/ed3/IE-KY","as:GENC:6:ed3:IE-KY")</f>
        <v>as:GENC:6:ed3:IE-KY</v>
      </c>
    </row>
    <row r="1816" spans="1:7" x14ac:dyDescent="0.2">
      <c r="A1816" s="85"/>
      <c r="B1816" s="25" t="s">
        <v>5364</v>
      </c>
      <c r="C1816" s="25" t="s">
        <v>5383</v>
      </c>
      <c r="D1816" s="25" t="s">
        <v>1788</v>
      </c>
      <c r="E1816" s="26" t="b">
        <v>1</v>
      </c>
      <c r="F1816" s="27" t="str">
        <f>HYPERLINK("http://nsgreg.nga.mil/genc/view?v=119795&amp;gencs=T&amp;end_month=12&amp;end_day=31&amp;end_year=2014","Kildare")</f>
        <v>Kildare</v>
      </c>
      <c r="G1816" s="28" t="str">
        <f>HYPERLINK("http://api.nsgreg.nga.mil/geo-division/GENC/6/ed3/IE-KE","as:GENC:6:ed3:IE-KE")</f>
        <v>as:GENC:6:ed3:IE-KE</v>
      </c>
    </row>
    <row r="1817" spans="1:7" x14ac:dyDescent="0.2">
      <c r="A1817" s="85"/>
      <c r="B1817" s="25" t="s">
        <v>5362</v>
      </c>
      <c r="C1817" s="25" t="s">
        <v>5384</v>
      </c>
      <c r="D1817" s="25" t="s">
        <v>1788</v>
      </c>
      <c r="E1817" s="26" t="b">
        <v>1</v>
      </c>
      <c r="F1817" s="27" t="str">
        <f>HYPERLINK("http://nsgreg.nga.mil/genc/view?v=119796&amp;gencs=T&amp;end_month=12&amp;end_day=31&amp;end_year=2014","Kilkenny")</f>
        <v>Kilkenny</v>
      </c>
      <c r="G1817" s="28" t="str">
        <f>HYPERLINK("http://api.nsgreg.nga.mil/geo-division/GENC/6/ed3/IE-KK","as:GENC:6:ed3:IE-KK")</f>
        <v>as:GENC:6:ed3:IE-KK</v>
      </c>
    </row>
    <row r="1818" spans="1:7" x14ac:dyDescent="0.2">
      <c r="A1818" s="85"/>
      <c r="B1818" s="25" t="s">
        <v>5387</v>
      </c>
      <c r="C1818" s="25" t="s">
        <v>5388</v>
      </c>
      <c r="D1818" s="25" t="s">
        <v>1788</v>
      </c>
      <c r="E1818" s="26" t="b">
        <v>1</v>
      </c>
      <c r="F1818" s="27" t="str">
        <f>HYPERLINK("http://nsgreg.nga.mil/genc/view?v=119803&amp;gencs=T&amp;end_month=12&amp;end_day=31&amp;end_year=2014","Laois")</f>
        <v>Laois</v>
      </c>
      <c r="G1818" s="28" t="str">
        <f>HYPERLINK("http://api.nsgreg.nga.mil/geo-division/GENC/6/ed3/IE-LS","as:GENC:6:ed3:IE-LS")</f>
        <v>as:GENC:6:ed3:IE-LS</v>
      </c>
    </row>
    <row r="1819" spans="1:7" x14ac:dyDescent="0.2">
      <c r="A1819" s="85"/>
      <c r="B1819" s="25" t="s">
        <v>5385</v>
      </c>
      <c r="C1819" s="25" t="s">
        <v>5389</v>
      </c>
      <c r="D1819" s="37" t="s">
        <v>1719</v>
      </c>
      <c r="E1819" s="38" t="b">
        <v>0</v>
      </c>
      <c r="F1819" s="27" t="str">
        <f>HYPERLINK("http://nsgreg.nga.mil/genc/view?v=119798&amp;gencs=T&amp;end_month=12&amp;end_day=31&amp;end_year=2014","Leinster")</f>
        <v>Leinster</v>
      </c>
      <c r="G1819" s="28" t="str">
        <f>HYPERLINK("http://api.nsgreg.nga.mil/geo-division/GENC/6/ed3/IE-L","as:GENC:6:ed3:IE-L")</f>
        <v>as:GENC:6:ed3:IE-L</v>
      </c>
    </row>
    <row r="1820" spans="1:7" x14ac:dyDescent="0.2">
      <c r="A1820" s="85"/>
      <c r="B1820" s="25" t="s">
        <v>5390</v>
      </c>
      <c r="C1820" s="25" t="s">
        <v>5391</v>
      </c>
      <c r="D1820" s="25" t="s">
        <v>1788</v>
      </c>
      <c r="E1820" s="26" t="b">
        <v>1</v>
      </c>
      <c r="F1820" s="27" t="str">
        <f>HYPERLINK("http://nsgreg.nga.mil/genc/view?v=119802&amp;gencs=T&amp;end_month=12&amp;end_day=31&amp;end_year=2014","Leitrim")</f>
        <v>Leitrim</v>
      </c>
      <c r="G1820" s="28" t="str">
        <f>HYPERLINK("http://api.nsgreg.nga.mil/geo-division/GENC/6/ed3/IE-LM","as:GENC:6:ed3:IE-LM")</f>
        <v>as:GENC:6:ed3:IE-LM</v>
      </c>
    </row>
    <row r="1821" spans="1:7" x14ac:dyDescent="0.2">
      <c r="A1821" s="85"/>
      <c r="B1821" s="25" t="s">
        <v>12511</v>
      </c>
      <c r="C1821" s="25" t="s">
        <v>5394</v>
      </c>
      <c r="D1821" s="25" t="s">
        <v>12512</v>
      </c>
      <c r="E1821" s="26" t="b">
        <v>1</v>
      </c>
      <c r="F1821" s="27" t="str">
        <f>HYPERLINK("http://nsgreg.nga.mil/genc/view?v=211992&amp;end_month=12&amp;end_day=31&amp;end_year=2014","Limerick")</f>
        <v>Limerick</v>
      </c>
      <c r="G1821" s="28" t="str">
        <f>HYPERLINK("http://api.nsgreg.nga.mil/geo-division/GENC/6/ed3/IE-LC","as:GENC:6:ed3:IE-LC")</f>
        <v>as:GENC:6:ed3:IE-LC</v>
      </c>
    </row>
    <row r="1822" spans="1:7" x14ac:dyDescent="0.2">
      <c r="A1822" s="85"/>
      <c r="B1822" s="25" t="s">
        <v>5348</v>
      </c>
      <c r="C1822" s="25" t="s">
        <v>5397</v>
      </c>
      <c r="D1822" s="25" t="s">
        <v>1788</v>
      </c>
      <c r="E1822" s="26" t="b">
        <v>1</v>
      </c>
      <c r="F1822" s="27" t="str">
        <f>HYPERLINK("http://nsgreg.nga.mil/genc/view?v=119799&amp;gencs=T&amp;end_month=12&amp;end_day=31&amp;end_year=2014","Longford")</f>
        <v>Longford</v>
      </c>
      <c r="G1822" s="28" t="str">
        <f>HYPERLINK("http://api.nsgreg.nga.mil/geo-division/GENC/6/ed3/IE-LD","as:GENC:6:ed3:IE-LD")</f>
        <v>as:GENC:6:ed3:IE-LD</v>
      </c>
    </row>
    <row r="1823" spans="1:7" x14ac:dyDescent="0.2">
      <c r="A1823" s="85"/>
      <c r="B1823" s="25" t="s">
        <v>5398</v>
      </c>
      <c r="C1823" s="25" t="s">
        <v>5399</v>
      </c>
      <c r="D1823" s="25" t="s">
        <v>1788</v>
      </c>
      <c r="E1823" s="26" t="b">
        <v>1</v>
      </c>
      <c r="F1823" s="27" t="str">
        <f>HYPERLINK("http://nsgreg.nga.mil/genc/view?v=119800&amp;gencs=T&amp;end_month=12&amp;end_day=31&amp;end_year=2014","Louth")</f>
        <v>Louth</v>
      </c>
      <c r="G1823" s="28" t="str">
        <f>HYPERLINK("http://api.nsgreg.nga.mil/geo-division/GENC/6/ed3/IE-LH","as:GENC:6:ed3:IE-LH")</f>
        <v>as:GENC:6:ed3:IE-LH</v>
      </c>
    </row>
    <row r="1824" spans="1:7" x14ac:dyDescent="0.2">
      <c r="A1824" s="85"/>
      <c r="B1824" s="25" t="s">
        <v>5402</v>
      </c>
      <c r="C1824" s="25" t="s">
        <v>5404</v>
      </c>
      <c r="D1824" s="25" t="s">
        <v>1788</v>
      </c>
      <c r="E1824" s="26" t="b">
        <v>1</v>
      </c>
      <c r="F1824" s="27" t="str">
        <f>HYPERLINK("http://nsgreg.nga.mil/genc/view?v=119807&amp;gencs=T&amp;end_month=12&amp;end_day=31&amp;end_year=2014","Mayo")</f>
        <v>Mayo</v>
      </c>
      <c r="G1824" s="28" t="str">
        <f>HYPERLINK("http://api.nsgreg.nga.mil/geo-division/GENC/6/ed3/IE-MO","as:GENC:6:ed3:IE-MO")</f>
        <v>as:GENC:6:ed3:IE-MO</v>
      </c>
    </row>
    <row r="1825" spans="1:7" x14ac:dyDescent="0.2">
      <c r="A1825" s="85"/>
      <c r="B1825" s="25" t="s">
        <v>5352</v>
      </c>
      <c r="C1825" s="25" t="s">
        <v>5405</v>
      </c>
      <c r="D1825" s="25" t="s">
        <v>1788</v>
      </c>
      <c r="E1825" s="26" t="b">
        <v>1</v>
      </c>
      <c r="F1825" s="27" t="str">
        <f>HYPERLINK("http://nsgreg.nga.mil/genc/view?v=119805&amp;gencs=T&amp;end_month=12&amp;end_day=31&amp;end_year=2014","Meath")</f>
        <v>Meath</v>
      </c>
      <c r="G1825" s="28" t="str">
        <f>HYPERLINK("http://api.nsgreg.nga.mil/geo-division/GENC/6/ed3/IE-MH","as:GENC:6:ed3:IE-MH")</f>
        <v>as:GENC:6:ed3:IE-MH</v>
      </c>
    </row>
    <row r="1826" spans="1:7" x14ac:dyDescent="0.2">
      <c r="A1826" s="85"/>
      <c r="B1826" s="25" t="s">
        <v>5406</v>
      </c>
      <c r="C1826" s="25" t="s">
        <v>5407</v>
      </c>
      <c r="D1826" s="25" t="s">
        <v>1788</v>
      </c>
      <c r="E1826" s="26" t="b">
        <v>1</v>
      </c>
      <c r="F1826" s="27" t="str">
        <f>HYPERLINK("http://nsgreg.nga.mil/genc/view?v=119806&amp;gencs=T&amp;end_month=12&amp;end_day=31&amp;end_year=2014","Monaghan")</f>
        <v>Monaghan</v>
      </c>
      <c r="G1826" s="28" t="str">
        <f>HYPERLINK("http://api.nsgreg.nga.mil/geo-division/GENC/6/ed3/IE-MN","as:GENC:6:ed3:IE-MN")</f>
        <v>as:GENC:6:ed3:IE-MN</v>
      </c>
    </row>
    <row r="1827" spans="1:7" x14ac:dyDescent="0.2">
      <c r="A1827" s="85"/>
      <c r="B1827" s="25" t="s">
        <v>5350</v>
      </c>
      <c r="C1827" s="25" t="s">
        <v>5409</v>
      </c>
      <c r="D1827" s="37" t="s">
        <v>1719</v>
      </c>
      <c r="E1827" s="38" t="b">
        <v>0</v>
      </c>
      <c r="F1827" s="27" t="str">
        <f>HYPERLINK("http://nsgreg.nga.mil/genc/view?v=119804&amp;gencs=T&amp;end_month=12&amp;end_day=31&amp;end_year=2014","Munster")</f>
        <v>Munster</v>
      </c>
      <c r="G1827" s="28" t="str">
        <f>HYPERLINK("http://api.nsgreg.nga.mil/geo-division/GENC/6/ed3/IE-M","as:GENC:6:ed3:IE-M")</f>
        <v>as:GENC:6:ed3:IE-M</v>
      </c>
    </row>
    <row r="1828" spans="1:7" x14ac:dyDescent="0.2">
      <c r="A1828" s="85"/>
      <c r="B1828" s="25" t="s">
        <v>5410</v>
      </c>
      <c r="C1828" s="25" t="s">
        <v>5411</v>
      </c>
      <c r="D1828" s="25" t="s">
        <v>1788</v>
      </c>
      <c r="E1828" s="26" t="b">
        <v>1</v>
      </c>
      <c r="F1828" s="27" t="str">
        <f>HYPERLINK("http://nsgreg.nga.mil/genc/view?v=119808&amp;gencs=T&amp;end_month=12&amp;end_day=31&amp;end_year=2014","Offaly")</f>
        <v>Offaly</v>
      </c>
      <c r="G1828" s="28" t="str">
        <f>HYPERLINK("http://api.nsgreg.nga.mil/geo-division/GENC/6/ed3/IE-OY","as:GENC:6:ed3:IE-OY")</f>
        <v>as:GENC:6:ed3:IE-OY</v>
      </c>
    </row>
    <row r="1829" spans="1:7" x14ac:dyDescent="0.2">
      <c r="A1829" s="85"/>
      <c r="B1829" s="25" t="s">
        <v>5414</v>
      </c>
      <c r="C1829" s="25" t="s">
        <v>5416</v>
      </c>
      <c r="D1829" s="25" t="s">
        <v>1788</v>
      </c>
      <c r="E1829" s="26" t="b">
        <v>1</v>
      </c>
      <c r="F1829" s="27" t="str">
        <f>HYPERLINK("http://nsgreg.nga.mil/genc/view?v=119809&amp;gencs=T&amp;end_month=12&amp;end_day=31&amp;end_year=2014","Roscommon")</f>
        <v>Roscommon</v>
      </c>
      <c r="G1829" s="28" t="str">
        <f>HYPERLINK("http://api.nsgreg.nga.mil/geo-division/GENC/6/ed3/IE-RN","as:GENC:6:ed3:IE-RN")</f>
        <v>as:GENC:6:ed3:IE-RN</v>
      </c>
    </row>
    <row r="1830" spans="1:7" x14ac:dyDescent="0.2">
      <c r="A1830" s="85"/>
      <c r="B1830" s="25" t="s">
        <v>5417</v>
      </c>
      <c r="C1830" s="25" t="s">
        <v>5419</v>
      </c>
      <c r="D1830" s="25" t="s">
        <v>1788</v>
      </c>
      <c r="E1830" s="26" t="b">
        <v>1</v>
      </c>
      <c r="F1830" s="27" t="str">
        <f>HYPERLINK("http://nsgreg.nga.mil/genc/view?v=119810&amp;gencs=T&amp;end_month=12&amp;end_day=31&amp;end_year=2014","Sligo")</f>
        <v>Sligo</v>
      </c>
      <c r="G1830" s="28" t="str">
        <f>HYPERLINK("http://api.nsgreg.nga.mil/geo-division/GENC/6/ed3/IE-SO","as:GENC:6:ed3:IE-SO")</f>
        <v>as:GENC:6:ed3:IE-SO</v>
      </c>
    </row>
    <row r="1831" spans="1:7" x14ac:dyDescent="0.2">
      <c r="A1831" s="85"/>
      <c r="B1831" s="25" t="s">
        <v>12513</v>
      </c>
      <c r="C1831" s="25" t="s">
        <v>12514</v>
      </c>
      <c r="D1831" s="25" t="s">
        <v>1788</v>
      </c>
      <c r="E1831" s="26" t="b">
        <v>1</v>
      </c>
      <c r="F1831" s="27" t="str">
        <f>HYPERLINK("http://nsgreg.nga.mil/genc/view?v=211994&amp;end_month=12&amp;end_day=31&amp;end_year=2014","South Dublin")</f>
        <v>South Dublin</v>
      </c>
      <c r="G1831" s="28" t="str">
        <f>HYPERLINK("http://api.nsgreg.nga.mil/geo-division/GENC/6/ed3/IE-SD","as:GENC:6:ed3:IE-SD")</f>
        <v>as:GENC:6:ed3:IE-SD</v>
      </c>
    </row>
    <row r="1832" spans="1:7" x14ac:dyDescent="0.2">
      <c r="A1832" s="85"/>
      <c r="B1832" s="25" t="s">
        <v>5420</v>
      </c>
      <c r="C1832" s="25" t="s">
        <v>5422</v>
      </c>
      <c r="D1832" s="25" t="s">
        <v>1788</v>
      </c>
      <c r="E1832" s="26" t="b">
        <v>1</v>
      </c>
      <c r="F1832" s="27" t="str">
        <f>HYPERLINK("http://nsgreg.nga.mil/genc/view?v=119811&amp;gencs=T&amp;end_month=12&amp;end_day=31&amp;end_year=2014","Tipperary")</f>
        <v>Tipperary</v>
      </c>
      <c r="G1832" s="28" t="str">
        <f>HYPERLINK("http://api.nsgreg.nga.mil/geo-division/GENC/6/ed3/IE-TA","as:GENC:6:ed3:IE-TA")</f>
        <v>as:GENC:6:ed3:IE-TA</v>
      </c>
    </row>
    <row r="1833" spans="1:7" x14ac:dyDescent="0.2">
      <c r="A1833" s="85"/>
      <c r="B1833" s="25" t="s">
        <v>5423</v>
      </c>
      <c r="C1833" s="25" t="s">
        <v>5425</v>
      </c>
      <c r="D1833" s="37" t="s">
        <v>1719</v>
      </c>
      <c r="E1833" s="38" t="b">
        <v>0</v>
      </c>
      <c r="F1833" s="27" t="str">
        <f>HYPERLINK("http://nsgreg.nga.mil/genc/view?v=119812&amp;gencs=T&amp;end_month=12&amp;end_day=31&amp;end_year=2014","Ulster")</f>
        <v>Ulster</v>
      </c>
      <c r="G1833" s="28" t="str">
        <f>HYPERLINK("http://api.nsgreg.nga.mil/geo-division/GENC/6/ed3/IE-U","as:GENC:6:ed3:IE-U")</f>
        <v>as:GENC:6:ed3:IE-U</v>
      </c>
    </row>
    <row r="1834" spans="1:7" x14ac:dyDescent="0.2">
      <c r="A1834" s="85"/>
      <c r="B1834" s="25" t="s">
        <v>12515</v>
      </c>
      <c r="C1834" s="25" t="s">
        <v>5427</v>
      </c>
      <c r="D1834" s="25" t="s">
        <v>12512</v>
      </c>
      <c r="E1834" s="26" t="b">
        <v>1</v>
      </c>
      <c r="F1834" s="27" t="str">
        <f>HYPERLINK("http://nsgreg.nga.mil/genc/view?v=211996&amp;end_month=12&amp;end_day=31&amp;end_year=2014","Waterford")</f>
        <v>Waterford</v>
      </c>
      <c r="G1834" s="28" t="str">
        <f>HYPERLINK("http://api.nsgreg.nga.mil/geo-division/GENC/6/ed3/IE-WF","as:GENC:6:ed3:IE-WF")</f>
        <v>as:GENC:6:ed3:IE-WF</v>
      </c>
    </row>
    <row r="1835" spans="1:7" x14ac:dyDescent="0.2">
      <c r="A1835" s="85"/>
      <c r="B1835" s="25" t="s">
        <v>5346</v>
      </c>
      <c r="C1835" s="25" t="s">
        <v>5428</v>
      </c>
      <c r="D1835" s="25" t="s">
        <v>1788</v>
      </c>
      <c r="E1835" s="26" t="b">
        <v>1</v>
      </c>
      <c r="F1835" s="27" t="str">
        <f>HYPERLINK("http://nsgreg.nga.mil/genc/view?v=119814&amp;gencs=T&amp;end_month=12&amp;end_day=31&amp;end_year=2014","Westmeath")</f>
        <v>Westmeath</v>
      </c>
      <c r="G1835" s="28" t="str">
        <f>HYPERLINK("http://api.nsgreg.nga.mil/geo-division/GENC/6/ed3/IE-WH","as:GENC:6:ed3:IE-WH")</f>
        <v>as:GENC:6:ed3:IE-WH</v>
      </c>
    </row>
    <row r="1836" spans="1:7" x14ac:dyDescent="0.2">
      <c r="A1836" s="85"/>
      <c r="B1836" s="25" t="s">
        <v>5395</v>
      </c>
      <c r="C1836" s="25" t="s">
        <v>5429</v>
      </c>
      <c r="D1836" s="25" t="s">
        <v>1788</v>
      </c>
      <c r="E1836" s="26" t="b">
        <v>1</v>
      </c>
      <c r="F1836" s="27" t="str">
        <f>HYPERLINK("http://nsgreg.nga.mil/genc/view?v=119816&amp;gencs=T&amp;end_month=12&amp;end_day=31&amp;end_year=2014","Wexford")</f>
        <v>Wexford</v>
      </c>
      <c r="G1836" s="28" t="str">
        <f>HYPERLINK("http://api.nsgreg.nga.mil/geo-division/GENC/6/ed3/IE-WX","as:GENC:6:ed3:IE-WX")</f>
        <v>as:GENC:6:ed3:IE-WX</v>
      </c>
    </row>
    <row r="1837" spans="1:7" x14ac:dyDescent="0.2">
      <c r="A1837" s="86"/>
      <c r="B1837" s="29" t="s">
        <v>5366</v>
      </c>
      <c r="C1837" s="29" t="s">
        <v>5430</v>
      </c>
      <c r="D1837" s="29" t="s">
        <v>1788</v>
      </c>
      <c r="E1837" s="30" t="b">
        <v>1</v>
      </c>
      <c r="F1837" s="31" t="str">
        <f>HYPERLINK("http://nsgreg.nga.mil/genc/view?v=119815&amp;gencs=T&amp;end_month=12&amp;end_day=31&amp;end_year=2014","Wicklow")</f>
        <v>Wicklow</v>
      </c>
      <c r="G1837" s="32" t="str">
        <f>HYPERLINK("http://api.nsgreg.nga.mil/geo-division/GENC/6/ed3/IE-WW","as:GENC:6:ed3:IE-WW")</f>
        <v>as:GENC:6:ed3:IE-WW</v>
      </c>
    </row>
    <row r="1838" spans="1:7" x14ac:dyDescent="0.2">
      <c r="A1838" s="84" t="str">
        <f>HYPERLINK("[#]Codes_for_GE_Names!A130:I130","ISRAEL")</f>
        <v>ISRAEL</v>
      </c>
      <c r="B1838" s="33" t="s">
        <v>5433</v>
      </c>
      <c r="C1838" s="33" t="s">
        <v>2720</v>
      </c>
      <c r="D1838" s="33" t="s">
        <v>1790</v>
      </c>
      <c r="E1838" s="34" t="b">
        <v>1</v>
      </c>
      <c r="F1838" s="35" t="str">
        <f>HYPERLINK("http://nsgreg.nga.mil/genc/view?v=212000&amp;end_month=12&amp;end_day=31&amp;end_year=2014","Central")</f>
        <v>Central</v>
      </c>
      <c r="G1838" s="36" t="str">
        <f>HYPERLINK("http://api.nsgreg.nga.mil/geo-division/GENC/6/ed3/IL-M","as:GENC:6:ed3:IL-M")</f>
        <v>as:GENC:6:ed3:IL-M</v>
      </c>
    </row>
    <row r="1839" spans="1:7" x14ac:dyDescent="0.2">
      <c r="A1839" s="85"/>
      <c r="B1839" s="25" t="s">
        <v>5442</v>
      </c>
      <c r="C1839" s="25" t="s">
        <v>12516</v>
      </c>
      <c r="D1839" s="25" t="s">
        <v>1790</v>
      </c>
      <c r="E1839" s="26" t="b">
        <v>1</v>
      </c>
      <c r="F1839" s="27" t="str">
        <f>HYPERLINK("http://nsgreg.nga.mil/genc/view?v=211998&amp;end_month=12&amp;end_day=31&amp;end_year=2014","Haifa")</f>
        <v>Haifa</v>
      </c>
      <c r="G1839" s="28" t="str">
        <f>HYPERLINK("http://api.nsgreg.nga.mil/geo-division/GENC/6/ed3/IL-HA","as:GENC:6:ed3:IL-HA")</f>
        <v>as:GENC:6:ed3:IL-HA</v>
      </c>
    </row>
    <row r="1840" spans="1:7" x14ac:dyDescent="0.2">
      <c r="A1840" s="85"/>
      <c r="B1840" s="25" t="s">
        <v>5431</v>
      </c>
      <c r="C1840" s="25" t="s">
        <v>8036</v>
      </c>
      <c r="D1840" s="25" t="s">
        <v>1790</v>
      </c>
      <c r="E1840" s="26" t="b">
        <v>1</v>
      </c>
      <c r="F1840" s="27" t="str">
        <f>HYPERLINK("http://nsgreg.nga.mil/genc/view?v=211999&amp;end_month=12&amp;end_day=31&amp;end_year=2014","Jerusalem")</f>
        <v>Jerusalem</v>
      </c>
      <c r="G1840" s="28" t="str">
        <f>HYPERLINK("http://api.nsgreg.nga.mil/geo-division/GENC/6/ed3/IL-JM","as:GENC:6:ed3:IL-JM")</f>
        <v>as:GENC:6:ed3:IL-JM</v>
      </c>
    </row>
    <row r="1841" spans="1:7" x14ac:dyDescent="0.2">
      <c r="A1841" s="85"/>
      <c r="B1841" s="25" t="s">
        <v>5437</v>
      </c>
      <c r="C1841" s="25" t="s">
        <v>4193</v>
      </c>
      <c r="D1841" s="25" t="s">
        <v>1790</v>
      </c>
      <c r="E1841" s="26" t="b">
        <v>1</v>
      </c>
      <c r="F1841" s="27" t="str">
        <f>HYPERLINK("http://nsgreg.nga.mil/genc/view?v=212002&amp;end_month=12&amp;end_day=31&amp;end_year=2014","Northern")</f>
        <v>Northern</v>
      </c>
      <c r="G1841" s="28" t="str">
        <f>HYPERLINK("http://api.nsgreg.nga.mil/geo-division/GENC/6/ed3/IL-Z","as:GENC:6:ed3:IL-Z")</f>
        <v>as:GENC:6:ed3:IL-Z</v>
      </c>
    </row>
    <row r="1842" spans="1:7" x14ac:dyDescent="0.2">
      <c r="A1842" s="85"/>
      <c r="B1842" s="25" t="s">
        <v>5435</v>
      </c>
      <c r="C1842" s="25" t="s">
        <v>2736</v>
      </c>
      <c r="D1842" s="25" t="s">
        <v>1790</v>
      </c>
      <c r="E1842" s="26" t="b">
        <v>1</v>
      </c>
      <c r="F1842" s="27" t="str">
        <f>HYPERLINK("http://nsgreg.nga.mil/genc/view?v=211997&amp;end_month=12&amp;end_day=31&amp;end_year=2014","Southern")</f>
        <v>Southern</v>
      </c>
      <c r="G1842" s="28" t="str">
        <f>HYPERLINK("http://api.nsgreg.nga.mil/geo-division/GENC/6/ed3/IL-D","as:GENC:6:ed3:IL-D")</f>
        <v>as:GENC:6:ed3:IL-D</v>
      </c>
    </row>
    <row r="1843" spans="1:7" x14ac:dyDescent="0.2">
      <c r="A1843" s="86"/>
      <c r="B1843" s="29" t="s">
        <v>5444</v>
      </c>
      <c r="C1843" s="29" t="s">
        <v>12517</v>
      </c>
      <c r="D1843" s="29" t="s">
        <v>1790</v>
      </c>
      <c r="E1843" s="30" t="b">
        <v>1</v>
      </c>
      <c r="F1843" s="31" t="str">
        <f>HYPERLINK("http://nsgreg.nga.mil/genc/view?v=212001&amp;end_month=12&amp;end_day=31&amp;end_year=2014","Tel Aviv")</f>
        <v>Tel Aviv</v>
      </c>
      <c r="G1843" s="32" t="str">
        <f>HYPERLINK("http://api.nsgreg.nga.mil/geo-division/GENC/6/ed3/IL-TA","as:GENC:6:ed3:IL-TA")</f>
        <v>as:GENC:6:ed3:IL-TA</v>
      </c>
    </row>
    <row r="1844" spans="1:7" x14ac:dyDescent="0.2">
      <c r="A1844" s="84" t="str">
        <f>HYPERLINK("[#]Codes_for_GE_Names!A131:I131","ITALY")</f>
        <v>ITALY</v>
      </c>
      <c r="B1844" s="33" t="s">
        <v>5449</v>
      </c>
      <c r="C1844" s="33" t="s">
        <v>5450</v>
      </c>
      <c r="D1844" s="33" t="s">
        <v>2087</v>
      </c>
      <c r="E1844" s="34" t="b">
        <v>1</v>
      </c>
      <c r="F1844" s="35" t="str">
        <f>HYPERLINK("http://nsgreg.nga.mil/genc/view?v=119929&amp;gencs=T&amp;end_month=12&amp;end_day=31&amp;end_year=2014","Abruzzo")</f>
        <v>Abruzzo</v>
      </c>
      <c r="G1844" s="36" t="str">
        <f>HYPERLINK("http://api.nsgreg.nga.mil/geo-division/GENC/6/ed3/IT-65","as:GENC:6:ed3:IT-65")</f>
        <v>as:GENC:6:ed3:IT-65</v>
      </c>
    </row>
    <row r="1845" spans="1:7" x14ac:dyDescent="0.2">
      <c r="A1845" s="85"/>
      <c r="B1845" s="25" t="s">
        <v>5451</v>
      </c>
      <c r="C1845" s="25" t="s">
        <v>5452</v>
      </c>
      <c r="D1845" s="37" t="s">
        <v>1719</v>
      </c>
      <c r="E1845" s="38" t="b">
        <v>0</v>
      </c>
      <c r="F1845" s="27" t="str">
        <f>HYPERLINK("http://nsgreg.nga.mil/genc/view?v=119937&amp;gencs=T&amp;end_month=12&amp;end_day=31&amp;end_year=2014","Agrigento")</f>
        <v>Agrigento</v>
      </c>
      <c r="G1845" s="28" t="str">
        <f>HYPERLINK("http://api.nsgreg.nga.mil/geo-division/GENC/6/ed3/IT-AG","as:GENC:6:ed3:IT-AG")</f>
        <v>as:GENC:6:ed3:IT-AG</v>
      </c>
    </row>
    <row r="1846" spans="1:7" x14ac:dyDescent="0.2">
      <c r="A1846" s="85"/>
      <c r="B1846" s="25" t="s">
        <v>5453</v>
      </c>
      <c r="C1846" s="25" t="s">
        <v>5454</v>
      </c>
      <c r="D1846" s="37" t="s">
        <v>1719</v>
      </c>
      <c r="E1846" s="38" t="b">
        <v>0</v>
      </c>
      <c r="F1846" s="27" t="str">
        <f>HYPERLINK("http://nsgreg.nga.mil/genc/view?v=119938&amp;gencs=T&amp;end_month=12&amp;end_day=31&amp;end_year=2014","Alessandria")</f>
        <v>Alessandria</v>
      </c>
      <c r="G1846" s="28" t="str">
        <f>HYPERLINK("http://api.nsgreg.nga.mil/geo-division/GENC/6/ed3/IT-AL","as:GENC:6:ed3:IT-AL")</f>
        <v>as:GENC:6:ed3:IT-AL</v>
      </c>
    </row>
    <row r="1847" spans="1:7" x14ac:dyDescent="0.2">
      <c r="A1847" s="85"/>
      <c r="B1847" s="25" t="s">
        <v>5455</v>
      </c>
      <c r="C1847" s="25" t="s">
        <v>5456</v>
      </c>
      <c r="D1847" s="37" t="s">
        <v>1719</v>
      </c>
      <c r="E1847" s="38" t="b">
        <v>0</v>
      </c>
      <c r="F1847" s="27" t="str">
        <f>HYPERLINK("http://nsgreg.nga.mil/genc/view?v=119939&amp;gencs=T&amp;end_month=12&amp;end_day=31&amp;end_year=2014","Ancona")</f>
        <v>Ancona</v>
      </c>
      <c r="G1847" s="28" t="str">
        <f>HYPERLINK("http://api.nsgreg.nga.mil/geo-division/GENC/6/ed3/IT-AN","as:GENC:6:ed3:IT-AN")</f>
        <v>as:GENC:6:ed3:IT-AN</v>
      </c>
    </row>
    <row r="1848" spans="1:7" x14ac:dyDescent="0.2">
      <c r="A1848" s="85"/>
      <c r="B1848" s="25" t="s">
        <v>5457</v>
      </c>
      <c r="C1848" s="25" t="s">
        <v>5458</v>
      </c>
      <c r="D1848" s="37" t="s">
        <v>1719</v>
      </c>
      <c r="E1848" s="38" t="b">
        <v>0</v>
      </c>
      <c r="F1848" s="27" t="str">
        <f>HYPERLINK("http://nsgreg.nga.mil/genc/view?v=119940&amp;gencs=T&amp;end_month=12&amp;end_day=31&amp;end_year=2014","Aosta")</f>
        <v>Aosta</v>
      </c>
      <c r="G1848" s="28" t="str">
        <f>HYPERLINK("http://api.nsgreg.nga.mil/geo-division/GENC/6/ed3/IT-AO","as:GENC:6:ed3:IT-AO")</f>
        <v>as:GENC:6:ed3:IT-AO</v>
      </c>
    </row>
    <row r="1849" spans="1:7" x14ac:dyDescent="0.2">
      <c r="A1849" s="85"/>
      <c r="B1849" s="25" t="s">
        <v>5460</v>
      </c>
      <c r="C1849" s="25" t="s">
        <v>5461</v>
      </c>
      <c r="D1849" s="37" t="s">
        <v>1719</v>
      </c>
      <c r="E1849" s="38" t="b">
        <v>0</v>
      </c>
      <c r="F1849" s="27" t="str">
        <f>HYPERLINK("http://nsgreg.nga.mil/genc/view?v=119943&amp;gencs=T&amp;end_month=12&amp;end_day=31&amp;end_year=2014","Arezzo")</f>
        <v>Arezzo</v>
      </c>
      <c r="G1849" s="28" t="str">
        <f>HYPERLINK("http://api.nsgreg.nga.mil/geo-division/GENC/6/ed3/IT-AR","as:GENC:6:ed3:IT-AR")</f>
        <v>as:GENC:6:ed3:IT-AR</v>
      </c>
    </row>
    <row r="1850" spans="1:7" x14ac:dyDescent="0.2">
      <c r="A1850" s="85"/>
      <c r="B1850" s="25" t="s">
        <v>5462</v>
      </c>
      <c r="C1850" s="25" t="s">
        <v>5463</v>
      </c>
      <c r="D1850" s="37" t="s">
        <v>1719</v>
      </c>
      <c r="E1850" s="38" t="b">
        <v>0</v>
      </c>
      <c r="F1850" s="27" t="str">
        <f>HYPERLINK("http://nsgreg.nga.mil/genc/view?v=119941&amp;gencs=T&amp;end_month=12&amp;end_day=31&amp;end_year=2014","Ascoli Piceno")</f>
        <v>Ascoli Piceno</v>
      </c>
      <c r="G1850" s="28" t="str">
        <f>HYPERLINK("http://api.nsgreg.nga.mil/geo-division/GENC/6/ed3/IT-AP","as:GENC:6:ed3:IT-AP")</f>
        <v>as:GENC:6:ed3:IT-AP</v>
      </c>
    </row>
    <row r="1851" spans="1:7" x14ac:dyDescent="0.2">
      <c r="A1851" s="85"/>
      <c r="B1851" s="25" t="s">
        <v>5464</v>
      </c>
      <c r="C1851" s="25" t="s">
        <v>5465</v>
      </c>
      <c r="D1851" s="37" t="s">
        <v>1719</v>
      </c>
      <c r="E1851" s="38" t="b">
        <v>0</v>
      </c>
      <c r="F1851" s="27" t="str">
        <f>HYPERLINK("http://nsgreg.nga.mil/genc/view?v=119944&amp;gencs=T&amp;end_month=12&amp;end_day=31&amp;end_year=2014","Asti")</f>
        <v>Asti</v>
      </c>
      <c r="G1851" s="28" t="str">
        <f>HYPERLINK("http://api.nsgreg.nga.mil/geo-division/GENC/6/ed3/IT-AT","as:GENC:6:ed3:IT-AT")</f>
        <v>as:GENC:6:ed3:IT-AT</v>
      </c>
    </row>
    <row r="1852" spans="1:7" x14ac:dyDescent="0.2">
      <c r="A1852" s="85"/>
      <c r="B1852" s="25" t="s">
        <v>5466</v>
      </c>
      <c r="C1852" s="25" t="s">
        <v>5467</v>
      </c>
      <c r="D1852" s="37" t="s">
        <v>1719</v>
      </c>
      <c r="E1852" s="38" t="b">
        <v>0</v>
      </c>
      <c r="F1852" s="27" t="str">
        <f>HYPERLINK("http://nsgreg.nga.mil/genc/view?v=119945&amp;gencs=T&amp;end_month=12&amp;end_day=31&amp;end_year=2014","Avellino")</f>
        <v>Avellino</v>
      </c>
      <c r="G1852" s="28" t="str">
        <f>HYPERLINK("http://api.nsgreg.nga.mil/geo-division/GENC/6/ed3/IT-AV","as:GENC:6:ed3:IT-AV")</f>
        <v>as:GENC:6:ed3:IT-AV</v>
      </c>
    </row>
    <row r="1853" spans="1:7" x14ac:dyDescent="0.2">
      <c r="A1853" s="85"/>
      <c r="B1853" s="25" t="s">
        <v>5468</v>
      </c>
      <c r="C1853" s="25" t="s">
        <v>5469</v>
      </c>
      <c r="D1853" s="37" t="s">
        <v>1719</v>
      </c>
      <c r="E1853" s="38" t="b">
        <v>0</v>
      </c>
      <c r="F1853" s="27" t="str">
        <f>HYPERLINK("http://nsgreg.nga.mil/genc/view?v=119946&amp;gencs=T&amp;end_month=12&amp;end_day=31&amp;end_year=2014","Bari")</f>
        <v>Bari</v>
      </c>
      <c r="G1853" s="28" t="str">
        <f>HYPERLINK("http://api.nsgreg.nga.mil/geo-division/GENC/6/ed3/IT-BA","as:GENC:6:ed3:IT-BA")</f>
        <v>as:GENC:6:ed3:IT-BA</v>
      </c>
    </row>
    <row r="1854" spans="1:7" x14ac:dyDescent="0.2">
      <c r="A1854" s="85"/>
      <c r="B1854" s="25" t="s">
        <v>5470</v>
      </c>
      <c r="C1854" s="25" t="s">
        <v>5471</v>
      </c>
      <c r="D1854" s="37" t="s">
        <v>1719</v>
      </c>
      <c r="E1854" s="38" t="b">
        <v>0</v>
      </c>
      <c r="F1854" s="27" t="str">
        <f>HYPERLINK("http://nsgreg.nga.mil/genc/view?v=119954&amp;gencs=T&amp;end_month=12&amp;end_day=31&amp;end_year=2014","Barletta-Andria-Trani")</f>
        <v>Barletta-Andria-Trani</v>
      </c>
      <c r="G1854" s="28" t="str">
        <f>HYPERLINK("http://api.nsgreg.nga.mil/geo-division/GENC/6/ed3/IT-BT","as:GENC:6:ed3:IT-BT")</f>
        <v>as:GENC:6:ed3:IT-BT</v>
      </c>
    </row>
    <row r="1855" spans="1:7" x14ac:dyDescent="0.2">
      <c r="A1855" s="85"/>
      <c r="B1855" s="25" t="s">
        <v>5472</v>
      </c>
      <c r="C1855" s="25" t="s">
        <v>5473</v>
      </c>
      <c r="D1855" s="25" t="s">
        <v>2087</v>
      </c>
      <c r="E1855" s="26" t="b">
        <v>1</v>
      </c>
      <c r="F1855" s="27" t="str">
        <f>HYPERLINK("http://nsgreg.nga.mil/genc/view?v=119933&amp;gencs=T&amp;end_month=12&amp;end_day=31&amp;end_year=2014","Basilicata")</f>
        <v>Basilicata</v>
      </c>
      <c r="G1855" s="28" t="str">
        <f>HYPERLINK("http://api.nsgreg.nga.mil/geo-division/GENC/6/ed3/IT-77","as:GENC:6:ed3:IT-77")</f>
        <v>as:GENC:6:ed3:IT-77</v>
      </c>
    </row>
    <row r="1856" spans="1:7" x14ac:dyDescent="0.2">
      <c r="A1856" s="85"/>
      <c r="B1856" s="25" t="s">
        <v>5474</v>
      </c>
      <c r="C1856" s="25" t="s">
        <v>5475</v>
      </c>
      <c r="D1856" s="37" t="s">
        <v>1719</v>
      </c>
      <c r="E1856" s="38" t="b">
        <v>0</v>
      </c>
      <c r="F1856" s="27" t="str">
        <f>HYPERLINK("http://nsgreg.nga.mil/genc/view?v=119949&amp;gencs=T&amp;end_month=12&amp;end_day=31&amp;end_year=2014","Belluno")</f>
        <v>Belluno</v>
      </c>
      <c r="G1856" s="28" t="str">
        <f>HYPERLINK("http://api.nsgreg.nga.mil/geo-division/GENC/6/ed3/IT-BL","as:GENC:6:ed3:IT-BL")</f>
        <v>as:GENC:6:ed3:IT-BL</v>
      </c>
    </row>
    <row r="1857" spans="1:7" x14ac:dyDescent="0.2">
      <c r="A1857" s="85"/>
      <c r="B1857" s="25" t="s">
        <v>5476</v>
      </c>
      <c r="C1857" s="25" t="s">
        <v>5477</v>
      </c>
      <c r="D1857" s="37" t="s">
        <v>1719</v>
      </c>
      <c r="E1857" s="38" t="b">
        <v>0</v>
      </c>
      <c r="F1857" s="27" t="str">
        <f>HYPERLINK("http://nsgreg.nga.mil/genc/view?v=119950&amp;gencs=T&amp;end_month=12&amp;end_day=31&amp;end_year=2014","Benevento")</f>
        <v>Benevento</v>
      </c>
      <c r="G1857" s="28" t="str">
        <f>HYPERLINK("http://api.nsgreg.nga.mil/geo-division/GENC/6/ed3/IT-BN","as:GENC:6:ed3:IT-BN")</f>
        <v>as:GENC:6:ed3:IT-BN</v>
      </c>
    </row>
    <row r="1858" spans="1:7" x14ac:dyDescent="0.2">
      <c r="A1858" s="85"/>
      <c r="B1858" s="25" t="s">
        <v>5478</v>
      </c>
      <c r="C1858" s="25" t="s">
        <v>5479</v>
      </c>
      <c r="D1858" s="37" t="s">
        <v>1719</v>
      </c>
      <c r="E1858" s="38" t="b">
        <v>0</v>
      </c>
      <c r="F1858" s="27" t="str">
        <f>HYPERLINK("http://nsgreg.nga.mil/genc/view?v=119947&amp;gencs=T&amp;end_month=12&amp;end_day=31&amp;end_year=2014","Bergamo")</f>
        <v>Bergamo</v>
      </c>
      <c r="G1858" s="28" t="str">
        <f>HYPERLINK("http://api.nsgreg.nga.mil/geo-division/GENC/6/ed3/IT-BG","as:GENC:6:ed3:IT-BG")</f>
        <v>as:GENC:6:ed3:IT-BG</v>
      </c>
    </row>
    <row r="1859" spans="1:7" x14ac:dyDescent="0.2">
      <c r="A1859" s="85"/>
      <c r="B1859" s="25" t="s">
        <v>5480</v>
      </c>
      <c r="C1859" s="25" t="s">
        <v>5481</v>
      </c>
      <c r="D1859" s="37" t="s">
        <v>1719</v>
      </c>
      <c r="E1859" s="38" t="b">
        <v>0</v>
      </c>
      <c r="F1859" s="27" t="str">
        <f>HYPERLINK("http://nsgreg.nga.mil/genc/view?v=119948&amp;gencs=T&amp;end_month=12&amp;end_day=31&amp;end_year=2014","Biella")</f>
        <v>Biella</v>
      </c>
      <c r="G1859" s="28" t="str">
        <f>HYPERLINK("http://api.nsgreg.nga.mil/geo-division/GENC/6/ed3/IT-BI","as:GENC:6:ed3:IT-BI")</f>
        <v>as:GENC:6:ed3:IT-BI</v>
      </c>
    </row>
    <row r="1860" spans="1:7" x14ac:dyDescent="0.2">
      <c r="A1860" s="85"/>
      <c r="B1860" s="25" t="s">
        <v>5482</v>
      </c>
      <c r="C1860" s="25" t="s">
        <v>5483</v>
      </c>
      <c r="D1860" s="37" t="s">
        <v>1719</v>
      </c>
      <c r="E1860" s="38" t="b">
        <v>0</v>
      </c>
      <c r="F1860" s="27" t="str">
        <f>HYPERLINK("http://nsgreg.nga.mil/genc/view?v=119951&amp;gencs=T&amp;end_month=12&amp;end_day=31&amp;end_year=2014","Bologna")</f>
        <v>Bologna</v>
      </c>
      <c r="G1860" s="28" t="str">
        <f>HYPERLINK("http://api.nsgreg.nga.mil/geo-division/GENC/6/ed3/IT-BO","as:GENC:6:ed3:IT-BO")</f>
        <v>as:GENC:6:ed3:IT-BO</v>
      </c>
    </row>
    <row r="1861" spans="1:7" x14ac:dyDescent="0.2">
      <c r="A1861" s="85"/>
      <c r="B1861" s="25" t="s">
        <v>5484</v>
      </c>
      <c r="C1861" s="25" t="s">
        <v>5485</v>
      </c>
      <c r="D1861" s="37" t="s">
        <v>1719</v>
      </c>
      <c r="E1861" s="38" t="b">
        <v>0</v>
      </c>
      <c r="F1861" s="27" t="str">
        <f>HYPERLINK("http://nsgreg.nga.mil/genc/view?v=119955&amp;gencs=T&amp;end_month=12&amp;end_day=31&amp;end_year=2014","Bolzano")</f>
        <v>Bolzano</v>
      </c>
      <c r="G1861" s="28" t="str">
        <f>HYPERLINK("http://api.nsgreg.nga.mil/geo-division/GENC/6/ed3/IT-BZ","as:GENC:6:ed3:IT-BZ")</f>
        <v>as:GENC:6:ed3:IT-BZ</v>
      </c>
    </row>
    <row r="1862" spans="1:7" x14ac:dyDescent="0.2">
      <c r="A1862" s="85"/>
      <c r="B1862" s="25" t="s">
        <v>5487</v>
      </c>
      <c r="C1862" s="25" t="s">
        <v>5488</v>
      </c>
      <c r="D1862" s="37" t="s">
        <v>1719</v>
      </c>
      <c r="E1862" s="38" t="b">
        <v>0</v>
      </c>
      <c r="F1862" s="27" t="str">
        <f>HYPERLINK("http://nsgreg.nga.mil/genc/view?v=119953&amp;gencs=T&amp;end_month=12&amp;end_day=31&amp;end_year=2014","Brescia")</f>
        <v>Brescia</v>
      </c>
      <c r="G1862" s="28" t="str">
        <f>HYPERLINK("http://api.nsgreg.nga.mil/geo-division/GENC/6/ed3/IT-BS","as:GENC:6:ed3:IT-BS")</f>
        <v>as:GENC:6:ed3:IT-BS</v>
      </c>
    </row>
    <row r="1863" spans="1:7" x14ac:dyDescent="0.2">
      <c r="A1863" s="85"/>
      <c r="B1863" s="25" t="s">
        <v>5489</v>
      </c>
      <c r="C1863" s="25" t="s">
        <v>5490</v>
      </c>
      <c r="D1863" s="37" t="s">
        <v>1719</v>
      </c>
      <c r="E1863" s="38" t="b">
        <v>0</v>
      </c>
      <c r="F1863" s="27" t="str">
        <f>HYPERLINK("http://nsgreg.nga.mil/genc/view?v=119952&amp;gencs=T&amp;end_month=12&amp;end_day=31&amp;end_year=2014","Brindisi")</f>
        <v>Brindisi</v>
      </c>
      <c r="G1863" s="28" t="str">
        <f>HYPERLINK("http://api.nsgreg.nga.mil/geo-division/GENC/6/ed3/IT-BR","as:GENC:6:ed3:IT-BR")</f>
        <v>as:GENC:6:ed3:IT-BR</v>
      </c>
    </row>
    <row r="1864" spans="1:7" x14ac:dyDescent="0.2">
      <c r="A1864" s="85"/>
      <c r="B1864" s="25" t="s">
        <v>5491</v>
      </c>
      <c r="C1864" s="25" t="s">
        <v>5492</v>
      </c>
      <c r="D1864" s="37" t="s">
        <v>1719</v>
      </c>
      <c r="E1864" s="38" t="b">
        <v>0</v>
      </c>
      <c r="F1864" s="27" t="str">
        <f>HYPERLINK("http://nsgreg.nga.mil/genc/view?v=119956&amp;gencs=T&amp;end_month=12&amp;end_day=31&amp;end_year=2014","Cagliari")</f>
        <v>Cagliari</v>
      </c>
      <c r="G1864" s="28" t="str">
        <f>HYPERLINK("http://api.nsgreg.nga.mil/geo-division/GENC/6/ed3/IT-CA","as:GENC:6:ed3:IT-CA")</f>
        <v>as:GENC:6:ed3:IT-CA</v>
      </c>
    </row>
    <row r="1865" spans="1:7" x14ac:dyDescent="0.2">
      <c r="A1865" s="85"/>
      <c r="B1865" s="25" t="s">
        <v>5493</v>
      </c>
      <c r="C1865" s="25" t="s">
        <v>5494</v>
      </c>
      <c r="D1865" s="25" t="s">
        <v>2087</v>
      </c>
      <c r="E1865" s="26" t="b">
        <v>1</v>
      </c>
      <c r="F1865" s="27" t="str">
        <f>HYPERLINK("http://nsgreg.nga.mil/genc/view?v=119934&amp;gencs=T&amp;end_month=12&amp;end_day=31&amp;end_year=2014","Calabria")</f>
        <v>Calabria</v>
      </c>
      <c r="G1865" s="28" t="str">
        <f>HYPERLINK("http://api.nsgreg.nga.mil/geo-division/GENC/6/ed3/IT-78","as:GENC:6:ed3:IT-78")</f>
        <v>as:GENC:6:ed3:IT-78</v>
      </c>
    </row>
    <row r="1866" spans="1:7" x14ac:dyDescent="0.2">
      <c r="A1866" s="85"/>
      <c r="B1866" s="25" t="s">
        <v>5495</v>
      </c>
      <c r="C1866" s="25" t="s">
        <v>5496</v>
      </c>
      <c r="D1866" s="37" t="s">
        <v>1719</v>
      </c>
      <c r="E1866" s="38" t="b">
        <v>0</v>
      </c>
      <c r="F1866" s="27" t="str">
        <f>HYPERLINK("http://nsgreg.nga.mil/genc/view?v=119961&amp;gencs=T&amp;end_month=12&amp;end_day=31&amp;end_year=2014","Caltanissetta")</f>
        <v>Caltanissetta</v>
      </c>
      <c r="G1866" s="28" t="str">
        <f>HYPERLINK("http://api.nsgreg.nga.mil/geo-division/GENC/6/ed3/IT-CL","as:GENC:6:ed3:IT-CL")</f>
        <v>as:GENC:6:ed3:IT-CL</v>
      </c>
    </row>
    <row r="1867" spans="1:7" x14ac:dyDescent="0.2">
      <c r="A1867" s="85"/>
      <c r="B1867" s="25" t="s">
        <v>5497</v>
      </c>
      <c r="C1867" s="25" t="s">
        <v>5498</v>
      </c>
      <c r="D1867" s="25" t="s">
        <v>2087</v>
      </c>
      <c r="E1867" s="26" t="b">
        <v>1</v>
      </c>
      <c r="F1867" s="27" t="str">
        <f>HYPERLINK("http://nsgreg.nga.mil/genc/view?v=119931&amp;gencs=T&amp;end_month=12&amp;end_day=31&amp;end_year=2014","Campania")</f>
        <v>Campania</v>
      </c>
      <c r="G1867" s="28" t="str">
        <f>HYPERLINK("http://api.nsgreg.nga.mil/geo-division/GENC/6/ed3/IT-72","as:GENC:6:ed3:IT-72")</f>
        <v>as:GENC:6:ed3:IT-72</v>
      </c>
    </row>
    <row r="1868" spans="1:7" x14ac:dyDescent="0.2">
      <c r="A1868" s="85"/>
      <c r="B1868" s="25" t="s">
        <v>5499</v>
      </c>
      <c r="C1868" s="25" t="s">
        <v>5500</v>
      </c>
      <c r="D1868" s="37" t="s">
        <v>1719</v>
      </c>
      <c r="E1868" s="38" t="b">
        <v>0</v>
      </c>
      <c r="F1868" s="27" t="str">
        <f>HYPERLINK("http://nsgreg.nga.mil/genc/view?v=119957&amp;gencs=T&amp;end_month=12&amp;end_day=31&amp;end_year=2014","Campobasso")</f>
        <v>Campobasso</v>
      </c>
      <c r="G1868" s="28" t="str">
        <f>HYPERLINK("http://api.nsgreg.nga.mil/geo-division/GENC/6/ed3/IT-CB","as:GENC:6:ed3:IT-CB")</f>
        <v>as:GENC:6:ed3:IT-CB</v>
      </c>
    </row>
    <row r="1869" spans="1:7" x14ac:dyDescent="0.2">
      <c r="A1869" s="85"/>
      <c r="B1869" s="25" t="s">
        <v>5501</v>
      </c>
      <c r="C1869" s="25" t="s">
        <v>5502</v>
      </c>
      <c r="D1869" s="37" t="s">
        <v>1719</v>
      </c>
      <c r="E1869" s="38" t="b">
        <v>0</v>
      </c>
      <c r="F1869" s="27" t="str">
        <f>HYPERLINK("http://nsgreg.nga.mil/genc/view?v=119960&amp;gencs=T&amp;end_month=12&amp;end_day=31&amp;end_year=2014","Carbonia-Iglesias")</f>
        <v>Carbonia-Iglesias</v>
      </c>
      <c r="G1869" s="28" t="str">
        <f>HYPERLINK("http://api.nsgreg.nga.mil/geo-division/GENC/6/ed3/IT-CI","as:GENC:6:ed3:IT-CI")</f>
        <v>as:GENC:6:ed3:IT-CI</v>
      </c>
    </row>
    <row r="1870" spans="1:7" x14ac:dyDescent="0.2">
      <c r="A1870" s="85"/>
      <c r="B1870" s="25" t="s">
        <v>5503</v>
      </c>
      <c r="C1870" s="25" t="s">
        <v>5504</v>
      </c>
      <c r="D1870" s="37" t="s">
        <v>1719</v>
      </c>
      <c r="E1870" s="38" t="b">
        <v>0</v>
      </c>
      <c r="F1870" s="27" t="str">
        <f>HYPERLINK("http://nsgreg.nga.mil/genc/view?v=119958&amp;gencs=T&amp;end_month=12&amp;end_day=31&amp;end_year=2014","Caserta")</f>
        <v>Caserta</v>
      </c>
      <c r="G1870" s="28" t="str">
        <f>HYPERLINK("http://api.nsgreg.nga.mil/geo-division/GENC/6/ed3/IT-CE","as:GENC:6:ed3:IT-CE")</f>
        <v>as:GENC:6:ed3:IT-CE</v>
      </c>
    </row>
    <row r="1871" spans="1:7" x14ac:dyDescent="0.2">
      <c r="A1871" s="85"/>
      <c r="B1871" s="25" t="s">
        <v>5505</v>
      </c>
      <c r="C1871" s="25" t="s">
        <v>5506</v>
      </c>
      <c r="D1871" s="37" t="s">
        <v>1719</v>
      </c>
      <c r="E1871" s="38" t="b">
        <v>0</v>
      </c>
      <c r="F1871" s="27" t="str">
        <f>HYPERLINK("http://nsgreg.nga.mil/genc/view?v=119966&amp;gencs=T&amp;end_month=12&amp;end_day=31&amp;end_year=2014","Catania")</f>
        <v>Catania</v>
      </c>
      <c r="G1871" s="28" t="str">
        <f>HYPERLINK("http://api.nsgreg.nga.mil/geo-division/GENC/6/ed3/IT-CT","as:GENC:6:ed3:IT-CT")</f>
        <v>as:GENC:6:ed3:IT-CT</v>
      </c>
    </row>
    <row r="1872" spans="1:7" x14ac:dyDescent="0.2">
      <c r="A1872" s="85"/>
      <c r="B1872" s="25" t="s">
        <v>5507</v>
      </c>
      <c r="C1872" s="25" t="s">
        <v>5508</v>
      </c>
      <c r="D1872" s="37" t="s">
        <v>1719</v>
      </c>
      <c r="E1872" s="38" t="b">
        <v>0</v>
      </c>
      <c r="F1872" s="27" t="str">
        <f>HYPERLINK("http://nsgreg.nga.mil/genc/view?v=119967&amp;gencs=T&amp;end_month=12&amp;end_day=31&amp;end_year=2014","Catanzaro")</f>
        <v>Catanzaro</v>
      </c>
      <c r="G1872" s="28" t="str">
        <f>HYPERLINK("http://api.nsgreg.nga.mil/geo-division/GENC/6/ed3/IT-CZ","as:GENC:6:ed3:IT-CZ")</f>
        <v>as:GENC:6:ed3:IT-CZ</v>
      </c>
    </row>
    <row r="1873" spans="1:7" x14ac:dyDescent="0.2">
      <c r="A1873" s="85"/>
      <c r="B1873" s="25" t="s">
        <v>5509</v>
      </c>
      <c r="C1873" s="25" t="s">
        <v>5510</v>
      </c>
      <c r="D1873" s="37" t="s">
        <v>1719</v>
      </c>
      <c r="E1873" s="38" t="b">
        <v>0</v>
      </c>
      <c r="F1873" s="27" t="str">
        <f>HYPERLINK("http://nsgreg.nga.mil/genc/view?v=119959&amp;gencs=T&amp;end_month=12&amp;end_day=31&amp;end_year=2014","Chieti")</f>
        <v>Chieti</v>
      </c>
      <c r="G1873" s="28" t="str">
        <f>HYPERLINK("http://api.nsgreg.nga.mil/geo-division/GENC/6/ed3/IT-CH","as:GENC:6:ed3:IT-CH")</f>
        <v>as:GENC:6:ed3:IT-CH</v>
      </c>
    </row>
    <row r="1874" spans="1:7" x14ac:dyDescent="0.2">
      <c r="A1874" s="85"/>
      <c r="B1874" s="25" t="s">
        <v>5511</v>
      </c>
      <c r="C1874" s="25" t="s">
        <v>5512</v>
      </c>
      <c r="D1874" s="37" t="s">
        <v>1719</v>
      </c>
      <c r="E1874" s="38" t="b">
        <v>0</v>
      </c>
      <c r="F1874" s="27" t="str">
        <f>HYPERLINK("http://nsgreg.nga.mil/genc/view?v=119963&amp;gencs=T&amp;end_month=12&amp;end_day=31&amp;end_year=2014","Como")</f>
        <v>Como</v>
      </c>
      <c r="G1874" s="28" t="str">
        <f>HYPERLINK("http://api.nsgreg.nga.mil/geo-division/GENC/6/ed3/IT-CO","as:GENC:6:ed3:IT-CO")</f>
        <v>as:GENC:6:ed3:IT-CO</v>
      </c>
    </row>
    <row r="1875" spans="1:7" x14ac:dyDescent="0.2">
      <c r="A1875" s="85"/>
      <c r="B1875" s="25" t="s">
        <v>5513</v>
      </c>
      <c r="C1875" s="25" t="s">
        <v>5514</v>
      </c>
      <c r="D1875" s="37" t="s">
        <v>1719</v>
      </c>
      <c r="E1875" s="38" t="b">
        <v>0</v>
      </c>
      <c r="F1875" s="27" t="str">
        <f>HYPERLINK("http://nsgreg.nga.mil/genc/view?v=119965&amp;gencs=T&amp;end_month=12&amp;end_day=31&amp;end_year=2014","Cosenza")</f>
        <v>Cosenza</v>
      </c>
      <c r="G1875" s="28" t="str">
        <f>HYPERLINK("http://api.nsgreg.nga.mil/geo-division/GENC/6/ed3/IT-CS","as:GENC:6:ed3:IT-CS")</f>
        <v>as:GENC:6:ed3:IT-CS</v>
      </c>
    </row>
    <row r="1876" spans="1:7" x14ac:dyDescent="0.2">
      <c r="A1876" s="85"/>
      <c r="B1876" s="25" t="s">
        <v>5515</v>
      </c>
      <c r="C1876" s="25" t="s">
        <v>5516</v>
      </c>
      <c r="D1876" s="37" t="s">
        <v>1719</v>
      </c>
      <c r="E1876" s="38" t="b">
        <v>0</v>
      </c>
      <c r="F1876" s="27" t="str">
        <f>HYPERLINK("http://nsgreg.nga.mil/genc/view?v=119964&amp;gencs=T&amp;end_month=12&amp;end_day=31&amp;end_year=2014","Cremona")</f>
        <v>Cremona</v>
      </c>
      <c r="G1876" s="28" t="str">
        <f>HYPERLINK("http://api.nsgreg.nga.mil/geo-division/GENC/6/ed3/IT-CR","as:GENC:6:ed3:IT-CR")</f>
        <v>as:GENC:6:ed3:IT-CR</v>
      </c>
    </row>
    <row r="1877" spans="1:7" x14ac:dyDescent="0.2">
      <c r="A1877" s="85"/>
      <c r="B1877" s="25" t="s">
        <v>5517</v>
      </c>
      <c r="C1877" s="25" t="s">
        <v>5518</v>
      </c>
      <c r="D1877" s="37" t="s">
        <v>1719</v>
      </c>
      <c r="E1877" s="38" t="b">
        <v>0</v>
      </c>
      <c r="F1877" s="27" t="str">
        <f>HYPERLINK("http://nsgreg.nga.mil/genc/view?v=119980&amp;gencs=T&amp;end_month=12&amp;end_day=31&amp;end_year=2014","Crotone")</f>
        <v>Crotone</v>
      </c>
      <c r="G1877" s="28" t="str">
        <f>HYPERLINK("http://api.nsgreg.nga.mil/geo-division/GENC/6/ed3/IT-KR","as:GENC:6:ed3:IT-KR")</f>
        <v>as:GENC:6:ed3:IT-KR</v>
      </c>
    </row>
    <row r="1878" spans="1:7" x14ac:dyDescent="0.2">
      <c r="A1878" s="85"/>
      <c r="B1878" s="25" t="s">
        <v>5519</v>
      </c>
      <c r="C1878" s="25" t="s">
        <v>5520</v>
      </c>
      <c r="D1878" s="37" t="s">
        <v>1719</v>
      </c>
      <c r="E1878" s="38" t="b">
        <v>0</v>
      </c>
      <c r="F1878" s="27" t="str">
        <f>HYPERLINK("http://nsgreg.nga.mil/genc/view?v=119962&amp;gencs=T&amp;end_month=12&amp;end_day=31&amp;end_year=2014","Cuneo")</f>
        <v>Cuneo</v>
      </c>
      <c r="G1878" s="28" t="str">
        <f>HYPERLINK("http://api.nsgreg.nga.mil/geo-division/GENC/6/ed3/IT-CN","as:GENC:6:ed3:IT-CN")</f>
        <v>as:GENC:6:ed3:IT-CN</v>
      </c>
    </row>
    <row r="1879" spans="1:7" x14ac:dyDescent="0.2">
      <c r="A1879" s="85"/>
      <c r="B1879" s="25" t="s">
        <v>5521</v>
      </c>
      <c r="C1879" s="25" t="s">
        <v>5522</v>
      </c>
      <c r="D1879" s="25" t="s">
        <v>2087</v>
      </c>
      <c r="E1879" s="26" t="b">
        <v>1</v>
      </c>
      <c r="F1879" s="27" t="str">
        <f>HYPERLINK("http://nsgreg.nga.mil/genc/view?v=119924&amp;gencs=T&amp;end_month=12&amp;end_day=31&amp;end_year=2014","Emilia-Romagna")</f>
        <v>Emilia-Romagna</v>
      </c>
      <c r="G1879" s="28" t="str">
        <f>HYPERLINK("http://api.nsgreg.nga.mil/geo-division/GENC/6/ed3/IT-45","as:GENC:6:ed3:IT-45")</f>
        <v>as:GENC:6:ed3:IT-45</v>
      </c>
    </row>
    <row r="1880" spans="1:7" x14ac:dyDescent="0.2">
      <c r="A1880" s="85"/>
      <c r="B1880" s="25" t="s">
        <v>5523</v>
      </c>
      <c r="C1880" s="25" t="s">
        <v>5524</v>
      </c>
      <c r="D1880" s="37" t="s">
        <v>1719</v>
      </c>
      <c r="E1880" s="38" t="b">
        <v>0</v>
      </c>
      <c r="F1880" s="27" t="str">
        <f>HYPERLINK("http://nsgreg.nga.mil/genc/view?v=119968&amp;gencs=T&amp;end_month=12&amp;end_day=31&amp;end_year=2014","Enna")</f>
        <v>Enna</v>
      </c>
      <c r="G1880" s="28" t="str">
        <f>HYPERLINK("http://api.nsgreg.nga.mil/geo-division/GENC/6/ed3/IT-EN","as:GENC:6:ed3:IT-EN")</f>
        <v>as:GENC:6:ed3:IT-EN</v>
      </c>
    </row>
    <row r="1881" spans="1:7" x14ac:dyDescent="0.2">
      <c r="A1881" s="85"/>
      <c r="B1881" s="25" t="s">
        <v>5525</v>
      </c>
      <c r="C1881" s="25" t="s">
        <v>5526</v>
      </c>
      <c r="D1881" s="37" t="s">
        <v>1719</v>
      </c>
      <c r="E1881" s="38" t="b">
        <v>0</v>
      </c>
      <c r="F1881" s="27" t="str">
        <f>HYPERLINK("http://nsgreg.nga.mil/genc/view?v=119973&amp;gencs=T&amp;end_month=12&amp;end_day=31&amp;end_year=2014","Fermo")</f>
        <v>Fermo</v>
      </c>
      <c r="G1881" s="28" t="str">
        <f>HYPERLINK("http://api.nsgreg.nga.mil/geo-division/GENC/6/ed3/IT-FM","as:GENC:6:ed3:IT-FM")</f>
        <v>as:GENC:6:ed3:IT-FM</v>
      </c>
    </row>
    <row r="1882" spans="1:7" x14ac:dyDescent="0.2">
      <c r="A1882" s="85"/>
      <c r="B1882" s="25" t="s">
        <v>5527</v>
      </c>
      <c r="C1882" s="25" t="s">
        <v>5528</v>
      </c>
      <c r="D1882" s="37" t="s">
        <v>1719</v>
      </c>
      <c r="E1882" s="38" t="b">
        <v>0</v>
      </c>
      <c r="F1882" s="27" t="str">
        <f>HYPERLINK("http://nsgreg.nga.mil/genc/view?v=119970&amp;gencs=T&amp;end_month=12&amp;end_day=31&amp;end_year=2014","Ferrara")</f>
        <v>Ferrara</v>
      </c>
      <c r="G1882" s="28" t="str">
        <f>HYPERLINK("http://api.nsgreg.nga.mil/geo-division/GENC/6/ed3/IT-FE","as:GENC:6:ed3:IT-FE")</f>
        <v>as:GENC:6:ed3:IT-FE</v>
      </c>
    </row>
    <row r="1883" spans="1:7" x14ac:dyDescent="0.2">
      <c r="A1883" s="85"/>
      <c r="B1883" s="25" t="s">
        <v>5529</v>
      </c>
      <c r="C1883" s="25" t="s">
        <v>5530</v>
      </c>
      <c r="D1883" s="37" t="s">
        <v>1719</v>
      </c>
      <c r="E1883" s="38" t="b">
        <v>0</v>
      </c>
      <c r="F1883" s="27" t="str">
        <f>HYPERLINK("http://nsgreg.nga.mil/genc/view?v=119972&amp;gencs=T&amp;end_month=12&amp;end_day=31&amp;end_year=2014","Firenze")</f>
        <v>Firenze</v>
      </c>
      <c r="G1883" s="28" t="str">
        <f>HYPERLINK("http://api.nsgreg.nga.mil/geo-division/GENC/6/ed3/IT-FI","as:GENC:6:ed3:IT-FI")</f>
        <v>as:GENC:6:ed3:IT-FI</v>
      </c>
    </row>
    <row r="1884" spans="1:7" x14ac:dyDescent="0.2">
      <c r="A1884" s="85"/>
      <c r="B1884" s="25" t="s">
        <v>5531</v>
      </c>
      <c r="C1884" s="25" t="s">
        <v>5532</v>
      </c>
      <c r="D1884" s="37" t="s">
        <v>1719</v>
      </c>
      <c r="E1884" s="38" t="b">
        <v>0</v>
      </c>
      <c r="F1884" s="27" t="str">
        <f>HYPERLINK("http://nsgreg.nga.mil/genc/view?v=119971&amp;gencs=T&amp;end_month=12&amp;end_day=31&amp;end_year=2014","Foggia")</f>
        <v>Foggia</v>
      </c>
      <c r="G1884" s="28" t="str">
        <f>HYPERLINK("http://api.nsgreg.nga.mil/geo-division/GENC/6/ed3/IT-FG","as:GENC:6:ed3:IT-FG")</f>
        <v>as:GENC:6:ed3:IT-FG</v>
      </c>
    </row>
    <row r="1885" spans="1:7" x14ac:dyDescent="0.2">
      <c r="A1885" s="85"/>
      <c r="B1885" s="25" t="s">
        <v>5533</v>
      </c>
      <c r="C1885" s="25" t="s">
        <v>12518</v>
      </c>
      <c r="D1885" s="37" t="s">
        <v>1719</v>
      </c>
      <c r="E1885" s="38" t="b">
        <v>0</v>
      </c>
      <c r="F1885" s="27" t="str">
        <f>HYPERLINK("http://nsgreg.nga.mil/genc/view?v=212050&amp;end_month=12&amp;end_day=31&amp;end_year=2014","Forli")</f>
        <v>Forli</v>
      </c>
      <c r="G1885" s="28" t="str">
        <f>HYPERLINK("http://api.nsgreg.nga.mil/geo-division/GENC/6/ed3/IT-FC","as:GENC:6:ed3:IT-FC")</f>
        <v>as:GENC:6:ed3:IT-FC</v>
      </c>
    </row>
    <row r="1886" spans="1:7" x14ac:dyDescent="0.2">
      <c r="A1886" s="85"/>
      <c r="B1886" s="25" t="s">
        <v>5535</v>
      </c>
      <c r="C1886" s="25" t="s">
        <v>5536</v>
      </c>
      <c r="D1886" s="25" t="s">
        <v>2087</v>
      </c>
      <c r="E1886" s="26" t="b">
        <v>1</v>
      </c>
      <c r="F1886" s="27" t="str">
        <f>HYPERLINK("http://nsgreg.nga.mil/genc/view?v=119922&amp;gencs=T&amp;end_month=12&amp;end_day=31&amp;end_year=2014","Friuli-Venezia Giulia")</f>
        <v>Friuli-Venezia Giulia</v>
      </c>
      <c r="G1886" s="28" t="str">
        <f>HYPERLINK("http://api.nsgreg.nga.mil/geo-division/GENC/6/ed3/IT-36","as:GENC:6:ed3:IT-36")</f>
        <v>as:GENC:6:ed3:IT-36</v>
      </c>
    </row>
    <row r="1887" spans="1:7" x14ac:dyDescent="0.2">
      <c r="A1887" s="85"/>
      <c r="B1887" s="25" t="s">
        <v>5537</v>
      </c>
      <c r="C1887" s="25" t="s">
        <v>5538</v>
      </c>
      <c r="D1887" s="37" t="s">
        <v>1719</v>
      </c>
      <c r="E1887" s="38" t="b">
        <v>0</v>
      </c>
      <c r="F1887" s="27" t="str">
        <f>HYPERLINK("http://nsgreg.nga.mil/genc/view?v=119974&amp;gencs=T&amp;end_month=12&amp;end_day=31&amp;end_year=2014","Frosinone")</f>
        <v>Frosinone</v>
      </c>
      <c r="G1887" s="28" t="str">
        <f>HYPERLINK("http://api.nsgreg.nga.mil/geo-division/GENC/6/ed3/IT-FR","as:GENC:6:ed3:IT-FR")</f>
        <v>as:GENC:6:ed3:IT-FR</v>
      </c>
    </row>
    <row r="1888" spans="1:7" x14ac:dyDescent="0.2">
      <c r="A1888" s="85"/>
      <c r="B1888" s="25" t="s">
        <v>5539</v>
      </c>
      <c r="C1888" s="25" t="s">
        <v>5540</v>
      </c>
      <c r="D1888" s="37" t="s">
        <v>1719</v>
      </c>
      <c r="E1888" s="38" t="b">
        <v>0</v>
      </c>
      <c r="F1888" s="27" t="str">
        <f>HYPERLINK("http://nsgreg.nga.mil/genc/view?v=119975&amp;gencs=T&amp;end_month=12&amp;end_day=31&amp;end_year=2014","Genova")</f>
        <v>Genova</v>
      </c>
      <c r="G1888" s="28" t="str">
        <f>HYPERLINK("http://api.nsgreg.nga.mil/geo-division/GENC/6/ed3/IT-GE","as:GENC:6:ed3:IT-GE")</f>
        <v>as:GENC:6:ed3:IT-GE</v>
      </c>
    </row>
    <row r="1889" spans="1:7" x14ac:dyDescent="0.2">
      <c r="A1889" s="85"/>
      <c r="B1889" s="25" t="s">
        <v>5541</v>
      </c>
      <c r="C1889" s="25" t="s">
        <v>5542</v>
      </c>
      <c r="D1889" s="37" t="s">
        <v>1719</v>
      </c>
      <c r="E1889" s="38" t="b">
        <v>0</v>
      </c>
      <c r="F1889" s="27" t="str">
        <f>HYPERLINK("http://nsgreg.nga.mil/genc/view?v=119976&amp;gencs=T&amp;end_month=12&amp;end_day=31&amp;end_year=2014","Gorizia")</f>
        <v>Gorizia</v>
      </c>
      <c r="G1889" s="28" t="str">
        <f>HYPERLINK("http://api.nsgreg.nga.mil/geo-division/GENC/6/ed3/IT-GO","as:GENC:6:ed3:IT-GO")</f>
        <v>as:GENC:6:ed3:IT-GO</v>
      </c>
    </row>
    <row r="1890" spans="1:7" x14ac:dyDescent="0.2">
      <c r="A1890" s="85"/>
      <c r="B1890" s="25" t="s">
        <v>5543</v>
      </c>
      <c r="C1890" s="25" t="s">
        <v>5544</v>
      </c>
      <c r="D1890" s="37" t="s">
        <v>1719</v>
      </c>
      <c r="E1890" s="38" t="b">
        <v>0</v>
      </c>
      <c r="F1890" s="27" t="str">
        <f>HYPERLINK("http://nsgreg.nga.mil/genc/view?v=119977&amp;gencs=T&amp;end_month=12&amp;end_day=31&amp;end_year=2014","Grosseto")</f>
        <v>Grosseto</v>
      </c>
      <c r="G1890" s="28" t="str">
        <f>HYPERLINK("http://api.nsgreg.nga.mil/geo-division/GENC/6/ed3/IT-GR","as:GENC:6:ed3:IT-GR")</f>
        <v>as:GENC:6:ed3:IT-GR</v>
      </c>
    </row>
    <row r="1891" spans="1:7" x14ac:dyDescent="0.2">
      <c r="A1891" s="85"/>
      <c r="B1891" s="25" t="s">
        <v>5545</v>
      </c>
      <c r="C1891" s="25" t="s">
        <v>5546</v>
      </c>
      <c r="D1891" s="37" t="s">
        <v>1719</v>
      </c>
      <c r="E1891" s="38" t="b">
        <v>0</v>
      </c>
      <c r="F1891" s="27" t="str">
        <f>HYPERLINK("http://nsgreg.nga.mil/genc/view?v=119978&amp;gencs=T&amp;end_month=12&amp;end_day=31&amp;end_year=2014","Imperia")</f>
        <v>Imperia</v>
      </c>
      <c r="G1891" s="28" t="str">
        <f>HYPERLINK("http://api.nsgreg.nga.mil/geo-division/GENC/6/ed3/IT-IM","as:GENC:6:ed3:IT-IM")</f>
        <v>as:GENC:6:ed3:IT-IM</v>
      </c>
    </row>
    <row r="1892" spans="1:7" x14ac:dyDescent="0.2">
      <c r="A1892" s="85"/>
      <c r="B1892" s="25" t="s">
        <v>5547</v>
      </c>
      <c r="C1892" s="25" t="s">
        <v>5548</v>
      </c>
      <c r="D1892" s="37" t="s">
        <v>1719</v>
      </c>
      <c r="E1892" s="38" t="b">
        <v>0</v>
      </c>
      <c r="F1892" s="27" t="str">
        <f>HYPERLINK("http://nsgreg.nga.mil/genc/view?v=119979&amp;gencs=T&amp;end_month=12&amp;end_day=31&amp;end_year=2014","Isernia")</f>
        <v>Isernia</v>
      </c>
      <c r="G1892" s="28" t="str">
        <f>HYPERLINK("http://api.nsgreg.nga.mil/geo-division/GENC/6/ed3/IT-IS","as:GENC:6:ed3:IT-IS")</f>
        <v>as:GENC:6:ed3:IT-IS</v>
      </c>
    </row>
    <row r="1893" spans="1:7" x14ac:dyDescent="0.2">
      <c r="A1893" s="85"/>
      <c r="B1893" s="25" t="s">
        <v>5549</v>
      </c>
      <c r="C1893" s="25" t="s">
        <v>12519</v>
      </c>
      <c r="D1893" s="37" t="s">
        <v>1719</v>
      </c>
      <c r="E1893" s="38" t="b">
        <v>0</v>
      </c>
      <c r="F1893" s="27" t="str">
        <f>HYPERLINK("http://nsgreg.nga.mil/genc/view?v=212049&amp;end_month=12&amp;end_day=31&amp;end_year=2014","L’Aquila")</f>
        <v>L’Aquila</v>
      </c>
      <c r="G1893" s="28" t="str">
        <f>HYPERLINK("http://api.nsgreg.nga.mil/geo-division/GENC/6/ed3/IT-AQ","as:GENC:6:ed3:IT-AQ")</f>
        <v>as:GENC:6:ed3:IT-AQ</v>
      </c>
    </row>
    <row r="1894" spans="1:7" x14ac:dyDescent="0.2">
      <c r="A1894" s="85"/>
      <c r="B1894" s="25" t="s">
        <v>5551</v>
      </c>
      <c r="C1894" s="25" t="s">
        <v>5552</v>
      </c>
      <c r="D1894" s="37" t="s">
        <v>1719</v>
      </c>
      <c r="E1894" s="38" t="b">
        <v>0</v>
      </c>
      <c r="F1894" s="27" t="str">
        <f>HYPERLINK("http://nsgreg.nga.mil/genc/view?v=120025&amp;gencs=T&amp;end_month=12&amp;end_day=31&amp;end_year=2014","La Spezia")</f>
        <v>La Spezia</v>
      </c>
      <c r="G1894" s="28" t="str">
        <f>HYPERLINK("http://api.nsgreg.nga.mil/geo-division/GENC/6/ed3/IT-SP","as:GENC:6:ed3:IT-SP")</f>
        <v>as:GENC:6:ed3:IT-SP</v>
      </c>
    </row>
    <row r="1895" spans="1:7" x14ac:dyDescent="0.2">
      <c r="A1895" s="85"/>
      <c r="B1895" s="25" t="s">
        <v>5553</v>
      </c>
      <c r="C1895" s="25" t="s">
        <v>5554</v>
      </c>
      <c r="D1895" s="37" t="s">
        <v>1719</v>
      </c>
      <c r="E1895" s="38" t="b">
        <v>0</v>
      </c>
      <c r="F1895" s="27" t="str">
        <f>HYPERLINK("http://nsgreg.nga.mil/genc/view?v=119985&amp;gencs=T&amp;end_month=12&amp;end_day=31&amp;end_year=2014","Latina")</f>
        <v>Latina</v>
      </c>
      <c r="G1895" s="28" t="str">
        <f>HYPERLINK("http://api.nsgreg.nga.mil/geo-division/GENC/6/ed3/IT-LT","as:GENC:6:ed3:IT-LT")</f>
        <v>as:GENC:6:ed3:IT-LT</v>
      </c>
    </row>
    <row r="1896" spans="1:7" x14ac:dyDescent="0.2">
      <c r="A1896" s="85"/>
      <c r="B1896" s="25" t="s">
        <v>5555</v>
      </c>
      <c r="C1896" s="25" t="s">
        <v>5556</v>
      </c>
      <c r="D1896" s="25" t="s">
        <v>2087</v>
      </c>
      <c r="E1896" s="26" t="b">
        <v>1</v>
      </c>
      <c r="F1896" s="27" t="str">
        <f>HYPERLINK("http://nsgreg.nga.mil/genc/view?v=119928&amp;gencs=T&amp;end_month=12&amp;end_day=31&amp;end_year=2014","Lazio")</f>
        <v>Lazio</v>
      </c>
      <c r="G1896" s="28" t="str">
        <f>HYPERLINK("http://api.nsgreg.nga.mil/geo-division/GENC/6/ed3/IT-62","as:GENC:6:ed3:IT-62")</f>
        <v>as:GENC:6:ed3:IT-62</v>
      </c>
    </row>
    <row r="1897" spans="1:7" x14ac:dyDescent="0.2">
      <c r="A1897" s="85"/>
      <c r="B1897" s="25" t="s">
        <v>5557</v>
      </c>
      <c r="C1897" s="25" t="s">
        <v>5558</v>
      </c>
      <c r="D1897" s="37" t="s">
        <v>1719</v>
      </c>
      <c r="E1897" s="38" t="b">
        <v>0</v>
      </c>
      <c r="F1897" s="27" t="str">
        <f>HYPERLINK("http://nsgreg.nga.mil/genc/view?v=119982&amp;gencs=T&amp;end_month=12&amp;end_day=31&amp;end_year=2014","Lecce")</f>
        <v>Lecce</v>
      </c>
      <c r="G1897" s="28" t="str">
        <f>HYPERLINK("http://api.nsgreg.nga.mil/geo-division/GENC/6/ed3/IT-LE","as:GENC:6:ed3:IT-LE")</f>
        <v>as:GENC:6:ed3:IT-LE</v>
      </c>
    </row>
    <row r="1898" spans="1:7" x14ac:dyDescent="0.2">
      <c r="A1898" s="85"/>
      <c r="B1898" s="25" t="s">
        <v>5559</v>
      </c>
      <c r="C1898" s="25" t="s">
        <v>5560</v>
      </c>
      <c r="D1898" s="37" t="s">
        <v>1719</v>
      </c>
      <c r="E1898" s="38" t="b">
        <v>0</v>
      </c>
      <c r="F1898" s="27" t="str">
        <f>HYPERLINK("http://nsgreg.nga.mil/genc/view?v=119981&amp;gencs=T&amp;end_month=12&amp;end_day=31&amp;end_year=2014","Lecco")</f>
        <v>Lecco</v>
      </c>
      <c r="G1898" s="28" t="str">
        <f>HYPERLINK("http://api.nsgreg.nga.mil/geo-division/GENC/6/ed3/IT-LC","as:GENC:6:ed3:IT-LC")</f>
        <v>as:GENC:6:ed3:IT-LC</v>
      </c>
    </row>
    <row r="1899" spans="1:7" x14ac:dyDescent="0.2">
      <c r="A1899" s="85"/>
      <c r="B1899" s="25" t="s">
        <v>5561</v>
      </c>
      <c r="C1899" s="25" t="s">
        <v>5562</v>
      </c>
      <c r="D1899" s="25" t="s">
        <v>2087</v>
      </c>
      <c r="E1899" s="26" t="b">
        <v>1</v>
      </c>
      <c r="F1899" s="27" t="str">
        <f>HYPERLINK("http://nsgreg.nga.mil/genc/view?v=119923&amp;gencs=T&amp;end_month=12&amp;end_day=31&amp;end_year=2014","Liguria")</f>
        <v>Liguria</v>
      </c>
      <c r="G1899" s="28" t="str">
        <f>HYPERLINK("http://api.nsgreg.nga.mil/geo-division/GENC/6/ed3/IT-42","as:GENC:6:ed3:IT-42")</f>
        <v>as:GENC:6:ed3:IT-42</v>
      </c>
    </row>
    <row r="1900" spans="1:7" x14ac:dyDescent="0.2">
      <c r="A1900" s="85"/>
      <c r="B1900" s="25" t="s">
        <v>5563</v>
      </c>
      <c r="C1900" s="25" t="s">
        <v>5564</v>
      </c>
      <c r="D1900" s="37" t="s">
        <v>1719</v>
      </c>
      <c r="E1900" s="38" t="b">
        <v>0</v>
      </c>
      <c r="F1900" s="27" t="str">
        <f>HYPERLINK("http://nsgreg.nga.mil/genc/view?v=119983&amp;gencs=T&amp;end_month=12&amp;end_day=31&amp;end_year=2014","Livorno")</f>
        <v>Livorno</v>
      </c>
      <c r="G1900" s="28" t="str">
        <f>HYPERLINK("http://api.nsgreg.nga.mil/geo-division/GENC/6/ed3/IT-LI","as:GENC:6:ed3:IT-LI")</f>
        <v>as:GENC:6:ed3:IT-LI</v>
      </c>
    </row>
    <row r="1901" spans="1:7" x14ac:dyDescent="0.2">
      <c r="A1901" s="85"/>
      <c r="B1901" s="25" t="s">
        <v>5565</v>
      </c>
      <c r="C1901" s="25" t="s">
        <v>5566</v>
      </c>
      <c r="D1901" s="37" t="s">
        <v>1719</v>
      </c>
      <c r="E1901" s="38" t="b">
        <v>0</v>
      </c>
      <c r="F1901" s="27" t="str">
        <f>HYPERLINK("http://nsgreg.nga.mil/genc/view?v=119984&amp;gencs=T&amp;end_month=12&amp;end_day=31&amp;end_year=2014","Lodi")</f>
        <v>Lodi</v>
      </c>
      <c r="G1901" s="28" t="str">
        <f>HYPERLINK("http://api.nsgreg.nga.mil/geo-division/GENC/6/ed3/IT-LO","as:GENC:6:ed3:IT-LO")</f>
        <v>as:GENC:6:ed3:IT-LO</v>
      </c>
    </row>
    <row r="1902" spans="1:7" x14ac:dyDescent="0.2">
      <c r="A1902" s="85"/>
      <c r="B1902" s="25" t="s">
        <v>5567</v>
      </c>
      <c r="C1902" s="25" t="s">
        <v>12520</v>
      </c>
      <c r="D1902" s="25" t="s">
        <v>2087</v>
      </c>
      <c r="E1902" s="26" t="b">
        <v>1</v>
      </c>
      <c r="F1902" s="27" t="str">
        <f>HYPERLINK("http://nsgreg.nga.mil/genc/view?v=212045&amp;end_month=12&amp;end_day=31&amp;end_year=2014","Lombardy")</f>
        <v>Lombardy</v>
      </c>
      <c r="G1902" s="28" t="str">
        <f>HYPERLINK("http://api.nsgreg.nga.mil/geo-division/GENC/6/ed3/IT-25","as:GENC:6:ed3:IT-25")</f>
        <v>as:GENC:6:ed3:IT-25</v>
      </c>
    </row>
    <row r="1903" spans="1:7" x14ac:dyDescent="0.2">
      <c r="A1903" s="85"/>
      <c r="B1903" s="25" t="s">
        <v>5569</v>
      </c>
      <c r="C1903" s="25" t="s">
        <v>5570</v>
      </c>
      <c r="D1903" s="37" t="s">
        <v>1719</v>
      </c>
      <c r="E1903" s="38" t="b">
        <v>0</v>
      </c>
      <c r="F1903" s="27" t="str">
        <f>HYPERLINK("http://nsgreg.nga.mil/genc/view?v=119986&amp;gencs=T&amp;end_month=12&amp;end_day=31&amp;end_year=2014","Lucca")</f>
        <v>Lucca</v>
      </c>
      <c r="G1903" s="28" t="str">
        <f>HYPERLINK("http://api.nsgreg.nga.mil/geo-division/GENC/6/ed3/IT-LU","as:GENC:6:ed3:IT-LU")</f>
        <v>as:GENC:6:ed3:IT-LU</v>
      </c>
    </row>
    <row r="1904" spans="1:7" x14ac:dyDescent="0.2">
      <c r="A1904" s="85"/>
      <c r="B1904" s="25" t="s">
        <v>5571</v>
      </c>
      <c r="C1904" s="25" t="s">
        <v>5572</v>
      </c>
      <c r="D1904" s="37" t="s">
        <v>1719</v>
      </c>
      <c r="E1904" s="38" t="b">
        <v>0</v>
      </c>
      <c r="F1904" s="27" t="str">
        <f>HYPERLINK("http://nsgreg.nga.mil/genc/view?v=119988&amp;gencs=T&amp;end_month=12&amp;end_day=31&amp;end_year=2014","Macerata")</f>
        <v>Macerata</v>
      </c>
      <c r="G1904" s="28" t="str">
        <f>HYPERLINK("http://api.nsgreg.nga.mil/geo-division/GENC/6/ed3/IT-MC","as:GENC:6:ed3:IT-MC")</f>
        <v>as:GENC:6:ed3:IT-MC</v>
      </c>
    </row>
    <row r="1905" spans="1:7" x14ac:dyDescent="0.2">
      <c r="A1905" s="85"/>
      <c r="B1905" s="25" t="s">
        <v>5573</v>
      </c>
      <c r="C1905" s="25" t="s">
        <v>5574</v>
      </c>
      <c r="D1905" s="37" t="s">
        <v>1719</v>
      </c>
      <c r="E1905" s="38" t="b">
        <v>0</v>
      </c>
      <c r="F1905" s="27" t="str">
        <f>HYPERLINK("http://nsgreg.nga.mil/genc/view?v=119991&amp;gencs=T&amp;end_month=12&amp;end_day=31&amp;end_year=2014","Mantova")</f>
        <v>Mantova</v>
      </c>
      <c r="G1905" s="28" t="str">
        <f>HYPERLINK("http://api.nsgreg.nga.mil/geo-division/GENC/6/ed3/IT-MN","as:GENC:6:ed3:IT-MN")</f>
        <v>as:GENC:6:ed3:IT-MN</v>
      </c>
    </row>
    <row r="1906" spans="1:7" x14ac:dyDescent="0.2">
      <c r="A1906" s="85"/>
      <c r="B1906" s="25" t="s">
        <v>5575</v>
      </c>
      <c r="C1906" s="25" t="s">
        <v>5576</v>
      </c>
      <c r="D1906" s="25" t="s">
        <v>2087</v>
      </c>
      <c r="E1906" s="26" t="b">
        <v>1</v>
      </c>
      <c r="F1906" s="27" t="str">
        <f>HYPERLINK("http://nsgreg.nga.mil/genc/view?v=119927&amp;gencs=T&amp;end_month=12&amp;end_day=31&amp;end_year=2014","Marche")</f>
        <v>Marche</v>
      </c>
      <c r="G1906" s="28" t="str">
        <f>HYPERLINK("http://api.nsgreg.nga.mil/geo-division/GENC/6/ed3/IT-57","as:GENC:6:ed3:IT-57")</f>
        <v>as:GENC:6:ed3:IT-57</v>
      </c>
    </row>
    <row r="1907" spans="1:7" x14ac:dyDescent="0.2">
      <c r="A1907" s="85"/>
      <c r="B1907" s="25" t="s">
        <v>5577</v>
      </c>
      <c r="C1907" s="25" t="s">
        <v>5578</v>
      </c>
      <c r="D1907" s="37" t="s">
        <v>1719</v>
      </c>
      <c r="E1907" s="38" t="b">
        <v>0</v>
      </c>
      <c r="F1907" s="27" t="str">
        <f>HYPERLINK("http://nsgreg.nga.mil/genc/view?v=119993&amp;gencs=T&amp;end_month=12&amp;end_day=31&amp;end_year=2014","Massa-Carrara")</f>
        <v>Massa-Carrara</v>
      </c>
      <c r="G1907" s="28" t="str">
        <f>HYPERLINK("http://api.nsgreg.nga.mil/geo-division/GENC/6/ed3/IT-MS","as:GENC:6:ed3:IT-MS")</f>
        <v>as:GENC:6:ed3:IT-MS</v>
      </c>
    </row>
    <row r="1908" spans="1:7" x14ac:dyDescent="0.2">
      <c r="A1908" s="85"/>
      <c r="B1908" s="25" t="s">
        <v>5579</v>
      </c>
      <c r="C1908" s="25" t="s">
        <v>5580</v>
      </c>
      <c r="D1908" s="37" t="s">
        <v>1719</v>
      </c>
      <c r="E1908" s="38" t="b">
        <v>0</v>
      </c>
      <c r="F1908" s="27" t="str">
        <f>HYPERLINK("http://nsgreg.nga.mil/genc/view?v=119994&amp;gencs=T&amp;end_month=12&amp;end_day=31&amp;end_year=2014","Matera")</f>
        <v>Matera</v>
      </c>
      <c r="G1908" s="28" t="str">
        <f>HYPERLINK("http://api.nsgreg.nga.mil/geo-division/GENC/6/ed3/IT-MT","as:GENC:6:ed3:IT-MT")</f>
        <v>as:GENC:6:ed3:IT-MT</v>
      </c>
    </row>
    <row r="1909" spans="1:7" x14ac:dyDescent="0.2">
      <c r="A1909" s="85"/>
      <c r="B1909" s="25" t="s">
        <v>5581</v>
      </c>
      <c r="C1909" s="25" t="s">
        <v>5582</v>
      </c>
      <c r="D1909" s="37" t="s">
        <v>1719</v>
      </c>
      <c r="E1909" s="38" t="b">
        <v>0</v>
      </c>
      <c r="F1909" s="27" t="str">
        <f>HYPERLINK("http://nsgreg.nga.mil/genc/view?v=120044&amp;gencs=T&amp;end_month=12&amp;end_day=31&amp;end_year=2014","Medio Campidano")</f>
        <v>Medio Campidano</v>
      </c>
      <c r="G1909" s="28" t="str">
        <f>HYPERLINK("http://api.nsgreg.nga.mil/geo-division/GENC/6/ed3/IT-VS","as:GENC:6:ed3:IT-VS")</f>
        <v>as:GENC:6:ed3:IT-VS</v>
      </c>
    </row>
    <row r="1910" spans="1:7" x14ac:dyDescent="0.2">
      <c r="A1910" s="85"/>
      <c r="B1910" s="25" t="s">
        <v>5583</v>
      </c>
      <c r="C1910" s="25" t="s">
        <v>5584</v>
      </c>
      <c r="D1910" s="37" t="s">
        <v>1719</v>
      </c>
      <c r="E1910" s="38" t="b">
        <v>0</v>
      </c>
      <c r="F1910" s="27" t="str">
        <f>HYPERLINK("http://nsgreg.nga.mil/genc/view?v=119989&amp;gencs=T&amp;end_month=12&amp;end_day=31&amp;end_year=2014","Messina")</f>
        <v>Messina</v>
      </c>
      <c r="G1910" s="28" t="str">
        <f>HYPERLINK("http://api.nsgreg.nga.mil/geo-division/GENC/6/ed3/IT-ME","as:GENC:6:ed3:IT-ME")</f>
        <v>as:GENC:6:ed3:IT-ME</v>
      </c>
    </row>
    <row r="1911" spans="1:7" x14ac:dyDescent="0.2">
      <c r="A1911" s="85"/>
      <c r="B1911" s="25" t="s">
        <v>5585</v>
      </c>
      <c r="C1911" s="25" t="s">
        <v>5586</v>
      </c>
      <c r="D1911" s="37" t="s">
        <v>1719</v>
      </c>
      <c r="E1911" s="38" t="b">
        <v>0</v>
      </c>
      <c r="F1911" s="27" t="str">
        <f>HYPERLINK("http://nsgreg.nga.mil/genc/view?v=119990&amp;gencs=T&amp;end_month=12&amp;end_day=31&amp;end_year=2014","Milano")</f>
        <v>Milano</v>
      </c>
      <c r="G1911" s="28" t="str">
        <f>HYPERLINK("http://api.nsgreg.nga.mil/geo-division/GENC/6/ed3/IT-MI","as:GENC:6:ed3:IT-MI")</f>
        <v>as:GENC:6:ed3:IT-MI</v>
      </c>
    </row>
    <row r="1912" spans="1:7" x14ac:dyDescent="0.2">
      <c r="A1912" s="85"/>
      <c r="B1912" s="25" t="s">
        <v>5587</v>
      </c>
      <c r="C1912" s="25" t="s">
        <v>5588</v>
      </c>
      <c r="D1912" s="37" t="s">
        <v>1719</v>
      </c>
      <c r="E1912" s="38" t="b">
        <v>0</v>
      </c>
      <c r="F1912" s="27" t="str">
        <f>HYPERLINK("http://nsgreg.nga.mil/genc/view?v=119992&amp;gencs=T&amp;end_month=12&amp;end_day=31&amp;end_year=2014","Modena")</f>
        <v>Modena</v>
      </c>
      <c r="G1912" s="28" t="str">
        <f>HYPERLINK("http://api.nsgreg.nga.mil/geo-division/GENC/6/ed3/IT-MO","as:GENC:6:ed3:IT-MO")</f>
        <v>as:GENC:6:ed3:IT-MO</v>
      </c>
    </row>
    <row r="1913" spans="1:7" x14ac:dyDescent="0.2">
      <c r="A1913" s="85"/>
      <c r="B1913" s="25" t="s">
        <v>5589</v>
      </c>
      <c r="C1913" s="25" t="s">
        <v>5590</v>
      </c>
      <c r="D1913" s="25" t="s">
        <v>2087</v>
      </c>
      <c r="E1913" s="26" t="b">
        <v>1</v>
      </c>
      <c r="F1913" s="27" t="str">
        <f>HYPERLINK("http://nsgreg.nga.mil/genc/view?v=119930&amp;gencs=T&amp;end_month=12&amp;end_day=31&amp;end_year=2014","Molise")</f>
        <v>Molise</v>
      </c>
      <c r="G1913" s="28" t="str">
        <f>HYPERLINK("http://api.nsgreg.nga.mil/geo-division/GENC/6/ed3/IT-67","as:GENC:6:ed3:IT-67")</f>
        <v>as:GENC:6:ed3:IT-67</v>
      </c>
    </row>
    <row r="1914" spans="1:7" x14ac:dyDescent="0.2">
      <c r="A1914" s="85"/>
      <c r="B1914" s="25" t="s">
        <v>5591</v>
      </c>
      <c r="C1914" s="25" t="s">
        <v>5592</v>
      </c>
      <c r="D1914" s="37" t="s">
        <v>1719</v>
      </c>
      <c r="E1914" s="38" t="b">
        <v>0</v>
      </c>
      <c r="F1914" s="27" t="str">
        <f>HYPERLINK("http://nsgreg.nga.mil/genc/view?v=119987&amp;gencs=T&amp;end_month=12&amp;end_day=31&amp;end_year=2014","Monza e Brianza")</f>
        <v>Monza e Brianza</v>
      </c>
      <c r="G1914" s="28" t="str">
        <f>HYPERLINK("http://api.nsgreg.nga.mil/geo-division/GENC/6/ed3/IT-MB","as:GENC:6:ed3:IT-MB")</f>
        <v>as:GENC:6:ed3:IT-MB</v>
      </c>
    </row>
    <row r="1915" spans="1:7" x14ac:dyDescent="0.2">
      <c r="A1915" s="85"/>
      <c r="B1915" s="25" t="s">
        <v>5593</v>
      </c>
      <c r="C1915" s="25" t="s">
        <v>5594</v>
      </c>
      <c r="D1915" s="37" t="s">
        <v>1719</v>
      </c>
      <c r="E1915" s="38" t="b">
        <v>0</v>
      </c>
      <c r="F1915" s="27" t="str">
        <f>HYPERLINK("http://nsgreg.nga.mil/genc/view?v=119995&amp;gencs=T&amp;end_month=12&amp;end_day=31&amp;end_year=2014","Napoli")</f>
        <v>Napoli</v>
      </c>
      <c r="G1915" s="28" t="str">
        <f>HYPERLINK("http://api.nsgreg.nga.mil/geo-division/GENC/6/ed3/IT-NA","as:GENC:6:ed3:IT-NA")</f>
        <v>as:GENC:6:ed3:IT-NA</v>
      </c>
    </row>
    <row r="1916" spans="1:7" x14ac:dyDescent="0.2">
      <c r="A1916" s="85"/>
      <c r="B1916" s="25" t="s">
        <v>5595</v>
      </c>
      <c r="C1916" s="25" t="s">
        <v>5596</v>
      </c>
      <c r="D1916" s="37" t="s">
        <v>1719</v>
      </c>
      <c r="E1916" s="38" t="b">
        <v>0</v>
      </c>
      <c r="F1916" s="27" t="str">
        <f>HYPERLINK("http://nsgreg.nga.mil/genc/view?v=119996&amp;gencs=T&amp;end_month=12&amp;end_day=31&amp;end_year=2014","Novara")</f>
        <v>Novara</v>
      </c>
      <c r="G1916" s="28" t="str">
        <f>HYPERLINK("http://api.nsgreg.nga.mil/geo-division/GENC/6/ed3/IT-NO","as:GENC:6:ed3:IT-NO")</f>
        <v>as:GENC:6:ed3:IT-NO</v>
      </c>
    </row>
    <row r="1917" spans="1:7" x14ac:dyDescent="0.2">
      <c r="A1917" s="85"/>
      <c r="B1917" s="25" t="s">
        <v>5597</v>
      </c>
      <c r="C1917" s="25" t="s">
        <v>5598</v>
      </c>
      <c r="D1917" s="37" t="s">
        <v>1719</v>
      </c>
      <c r="E1917" s="38" t="b">
        <v>0</v>
      </c>
      <c r="F1917" s="27" t="str">
        <f>HYPERLINK("http://nsgreg.nga.mil/genc/view?v=119997&amp;gencs=T&amp;end_month=12&amp;end_day=31&amp;end_year=2014","Nuoro")</f>
        <v>Nuoro</v>
      </c>
      <c r="G1917" s="28" t="str">
        <f>HYPERLINK("http://api.nsgreg.nga.mil/geo-division/GENC/6/ed3/IT-NU","as:GENC:6:ed3:IT-NU")</f>
        <v>as:GENC:6:ed3:IT-NU</v>
      </c>
    </row>
    <row r="1918" spans="1:7" x14ac:dyDescent="0.2">
      <c r="A1918" s="85"/>
      <c r="B1918" s="25" t="s">
        <v>5599</v>
      </c>
      <c r="C1918" s="25" t="s">
        <v>5600</v>
      </c>
      <c r="D1918" s="37" t="s">
        <v>1719</v>
      </c>
      <c r="E1918" s="38" t="b">
        <v>0</v>
      </c>
      <c r="F1918" s="27" t="str">
        <f>HYPERLINK("http://nsgreg.nga.mil/genc/view?v=119998&amp;gencs=T&amp;end_month=12&amp;end_day=31&amp;end_year=2014","Ogliastra")</f>
        <v>Ogliastra</v>
      </c>
      <c r="G1918" s="28" t="str">
        <f>HYPERLINK("http://api.nsgreg.nga.mil/geo-division/GENC/6/ed3/IT-OG","as:GENC:6:ed3:IT-OG")</f>
        <v>as:GENC:6:ed3:IT-OG</v>
      </c>
    </row>
    <row r="1919" spans="1:7" x14ac:dyDescent="0.2">
      <c r="A1919" s="85"/>
      <c r="B1919" s="25" t="s">
        <v>5601</v>
      </c>
      <c r="C1919" s="25" t="s">
        <v>5602</v>
      </c>
      <c r="D1919" s="37" t="s">
        <v>1719</v>
      </c>
      <c r="E1919" s="38" t="b">
        <v>0</v>
      </c>
      <c r="F1919" s="27" t="str">
        <f>HYPERLINK("http://nsgreg.nga.mil/genc/view?v=120000&amp;gencs=T&amp;end_month=12&amp;end_day=31&amp;end_year=2014","Olbia-Tempio")</f>
        <v>Olbia-Tempio</v>
      </c>
      <c r="G1919" s="28" t="str">
        <f>HYPERLINK("http://api.nsgreg.nga.mil/geo-division/GENC/6/ed3/IT-OT","as:GENC:6:ed3:IT-OT")</f>
        <v>as:GENC:6:ed3:IT-OT</v>
      </c>
    </row>
    <row r="1920" spans="1:7" x14ac:dyDescent="0.2">
      <c r="A1920" s="85"/>
      <c r="B1920" s="25" t="s">
        <v>5603</v>
      </c>
      <c r="C1920" s="25" t="s">
        <v>5604</v>
      </c>
      <c r="D1920" s="37" t="s">
        <v>1719</v>
      </c>
      <c r="E1920" s="38" t="b">
        <v>0</v>
      </c>
      <c r="F1920" s="27" t="str">
        <f>HYPERLINK("http://nsgreg.nga.mil/genc/view?v=119999&amp;gencs=T&amp;end_month=12&amp;end_day=31&amp;end_year=2014","Oristano")</f>
        <v>Oristano</v>
      </c>
      <c r="G1920" s="28" t="str">
        <f>HYPERLINK("http://api.nsgreg.nga.mil/geo-division/GENC/6/ed3/IT-OR","as:GENC:6:ed3:IT-OR")</f>
        <v>as:GENC:6:ed3:IT-OR</v>
      </c>
    </row>
    <row r="1921" spans="1:7" x14ac:dyDescent="0.2">
      <c r="A1921" s="85"/>
      <c r="B1921" s="25" t="s">
        <v>5605</v>
      </c>
      <c r="C1921" s="25" t="s">
        <v>5606</v>
      </c>
      <c r="D1921" s="37" t="s">
        <v>1719</v>
      </c>
      <c r="E1921" s="38" t="b">
        <v>0</v>
      </c>
      <c r="F1921" s="27" t="str">
        <f>HYPERLINK("http://nsgreg.nga.mil/genc/view?v=120003&amp;gencs=T&amp;end_month=12&amp;end_day=31&amp;end_year=2014","Padova")</f>
        <v>Padova</v>
      </c>
      <c r="G1921" s="28" t="str">
        <f>HYPERLINK("http://api.nsgreg.nga.mil/geo-division/GENC/6/ed3/IT-PD","as:GENC:6:ed3:IT-PD")</f>
        <v>as:GENC:6:ed3:IT-PD</v>
      </c>
    </row>
    <row r="1922" spans="1:7" x14ac:dyDescent="0.2">
      <c r="A1922" s="85"/>
      <c r="B1922" s="25" t="s">
        <v>5607</v>
      </c>
      <c r="C1922" s="25" t="s">
        <v>5608</v>
      </c>
      <c r="D1922" s="37" t="s">
        <v>1719</v>
      </c>
      <c r="E1922" s="38" t="b">
        <v>0</v>
      </c>
      <c r="F1922" s="27" t="str">
        <f>HYPERLINK("http://nsgreg.nga.mil/genc/view?v=120001&amp;gencs=T&amp;end_month=12&amp;end_day=31&amp;end_year=2014","Palermo")</f>
        <v>Palermo</v>
      </c>
      <c r="G1922" s="28" t="str">
        <f>HYPERLINK("http://api.nsgreg.nga.mil/geo-division/GENC/6/ed3/IT-PA","as:GENC:6:ed3:IT-PA")</f>
        <v>as:GENC:6:ed3:IT-PA</v>
      </c>
    </row>
    <row r="1923" spans="1:7" x14ac:dyDescent="0.2">
      <c r="A1923" s="85"/>
      <c r="B1923" s="25" t="s">
        <v>5609</v>
      </c>
      <c r="C1923" s="25" t="s">
        <v>5610</v>
      </c>
      <c r="D1923" s="37" t="s">
        <v>1719</v>
      </c>
      <c r="E1923" s="38" t="b">
        <v>0</v>
      </c>
      <c r="F1923" s="27" t="str">
        <f>HYPERLINK("http://nsgreg.nga.mil/genc/view?v=120009&amp;gencs=T&amp;end_month=12&amp;end_day=31&amp;end_year=2014","Parma")</f>
        <v>Parma</v>
      </c>
      <c r="G1923" s="28" t="str">
        <f>HYPERLINK("http://api.nsgreg.nga.mil/geo-division/GENC/6/ed3/IT-PR","as:GENC:6:ed3:IT-PR")</f>
        <v>as:GENC:6:ed3:IT-PR</v>
      </c>
    </row>
    <row r="1924" spans="1:7" x14ac:dyDescent="0.2">
      <c r="A1924" s="85"/>
      <c r="B1924" s="25" t="s">
        <v>5611</v>
      </c>
      <c r="C1924" s="25" t="s">
        <v>5612</v>
      </c>
      <c r="D1924" s="37" t="s">
        <v>1719</v>
      </c>
      <c r="E1924" s="38" t="b">
        <v>0</v>
      </c>
      <c r="F1924" s="27" t="str">
        <f>HYPERLINK("http://nsgreg.nga.mil/genc/view?v=120012&amp;gencs=T&amp;end_month=12&amp;end_day=31&amp;end_year=2014","Pavia")</f>
        <v>Pavia</v>
      </c>
      <c r="G1924" s="28" t="str">
        <f>HYPERLINK("http://api.nsgreg.nga.mil/geo-division/GENC/6/ed3/IT-PV","as:GENC:6:ed3:IT-PV")</f>
        <v>as:GENC:6:ed3:IT-PV</v>
      </c>
    </row>
    <row r="1925" spans="1:7" x14ac:dyDescent="0.2">
      <c r="A1925" s="85"/>
      <c r="B1925" s="25" t="s">
        <v>5613</v>
      </c>
      <c r="C1925" s="25" t="s">
        <v>5614</v>
      </c>
      <c r="D1925" s="37" t="s">
        <v>1719</v>
      </c>
      <c r="E1925" s="38" t="b">
        <v>0</v>
      </c>
      <c r="F1925" s="27" t="str">
        <f>HYPERLINK("http://nsgreg.nga.mil/genc/view?v=120005&amp;gencs=T&amp;end_month=12&amp;end_day=31&amp;end_year=2014","Perugia")</f>
        <v>Perugia</v>
      </c>
      <c r="G1925" s="28" t="str">
        <f>HYPERLINK("http://api.nsgreg.nga.mil/geo-division/GENC/6/ed3/IT-PG","as:GENC:6:ed3:IT-PG")</f>
        <v>as:GENC:6:ed3:IT-PG</v>
      </c>
    </row>
    <row r="1926" spans="1:7" x14ac:dyDescent="0.2">
      <c r="A1926" s="85"/>
      <c r="B1926" s="25" t="s">
        <v>5615</v>
      </c>
      <c r="C1926" s="25" t="s">
        <v>5616</v>
      </c>
      <c r="D1926" s="37" t="s">
        <v>1719</v>
      </c>
      <c r="E1926" s="38" t="b">
        <v>0</v>
      </c>
      <c r="F1926" s="27" t="str">
        <f>HYPERLINK("http://nsgreg.nga.mil/genc/view?v=120011&amp;gencs=T&amp;end_month=12&amp;end_day=31&amp;end_year=2014","Pesaro e Urbino")</f>
        <v>Pesaro e Urbino</v>
      </c>
      <c r="G1926" s="28" t="str">
        <f>HYPERLINK("http://api.nsgreg.nga.mil/geo-division/GENC/6/ed3/IT-PU","as:GENC:6:ed3:IT-PU")</f>
        <v>as:GENC:6:ed3:IT-PU</v>
      </c>
    </row>
    <row r="1927" spans="1:7" x14ac:dyDescent="0.2">
      <c r="A1927" s="85"/>
      <c r="B1927" s="25" t="s">
        <v>5617</v>
      </c>
      <c r="C1927" s="25" t="s">
        <v>5618</v>
      </c>
      <c r="D1927" s="37" t="s">
        <v>1719</v>
      </c>
      <c r="E1927" s="38" t="b">
        <v>0</v>
      </c>
      <c r="F1927" s="27" t="str">
        <f>HYPERLINK("http://nsgreg.nga.mil/genc/view?v=120004&amp;gencs=T&amp;end_month=12&amp;end_day=31&amp;end_year=2014","Pescara")</f>
        <v>Pescara</v>
      </c>
      <c r="G1927" s="28" t="str">
        <f>HYPERLINK("http://api.nsgreg.nga.mil/geo-division/GENC/6/ed3/IT-PE","as:GENC:6:ed3:IT-PE")</f>
        <v>as:GENC:6:ed3:IT-PE</v>
      </c>
    </row>
    <row r="1928" spans="1:7" x14ac:dyDescent="0.2">
      <c r="A1928" s="85"/>
      <c r="B1928" s="25" t="s">
        <v>5619</v>
      </c>
      <c r="C1928" s="25" t="s">
        <v>5620</v>
      </c>
      <c r="D1928" s="37" t="s">
        <v>1719</v>
      </c>
      <c r="E1928" s="38" t="b">
        <v>0</v>
      </c>
      <c r="F1928" s="27" t="str">
        <f>HYPERLINK("http://nsgreg.nga.mil/genc/view?v=120002&amp;gencs=T&amp;end_month=12&amp;end_day=31&amp;end_year=2014","Piacenza")</f>
        <v>Piacenza</v>
      </c>
      <c r="G1928" s="28" t="str">
        <f>HYPERLINK("http://api.nsgreg.nga.mil/geo-division/GENC/6/ed3/IT-PC","as:GENC:6:ed3:IT-PC")</f>
        <v>as:GENC:6:ed3:IT-PC</v>
      </c>
    </row>
    <row r="1929" spans="1:7" x14ac:dyDescent="0.2">
      <c r="A1929" s="85"/>
      <c r="B1929" s="25" t="s">
        <v>5621</v>
      </c>
      <c r="C1929" s="25" t="s">
        <v>12521</v>
      </c>
      <c r="D1929" s="25" t="s">
        <v>2087</v>
      </c>
      <c r="E1929" s="26" t="b">
        <v>1</v>
      </c>
      <c r="F1929" s="27" t="str">
        <f>HYPERLINK("http://nsgreg.nga.mil/genc/view?v=212043&amp;end_month=12&amp;end_day=31&amp;end_year=2014","Piedmont")</f>
        <v>Piedmont</v>
      </c>
      <c r="G1929" s="28" t="str">
        <f>HYPERLINK("http://api.nsgreg.nga.mil/geo-division/GENC/6/ed3/IT-21","as:GENC:6:ed3:IT-21")</f>
        <v>as:GENC:6:ed3:IT-21</v>
      </c>
    </row>
    <row r="1930" spans="1:7" x14ac:dyDescent="0.2">
      <c r="A1930" s="85"/>
      <c r="B1930" s="25" t="s">
        <v>5623</v>
      </c>
      <c r="C1930" s="25" t="s">
        <v>5624</v>
      </c>
      <c r="D1930" s="37" t="s">
        <v>1719</v>
      </c>
      <c r="E1930" s="38" t="b">
        <v>0</v>
      </c>
      <c r="F1930" s="27" t="str">
        <f>HYPERLINK("http://nsgreg.nga.mil/genc/view?v=120006&amp;gencs=T&amp;end_month=12&amp;end_day=31&amp;end_year=2014","Pisa")</f>
        <v>Pisa</v>
      </c>
      <c r="G1930" s="28" t="str">
        <f>HYPERLINK("http://api.nsgreg.nga.mil/geo-division/GENC/6/ed3/IT-PI","as:GENC:6:ed3:IT-PI")</f>
        <v>as:GENC:6:ed3:IT-PI</v>
      </c>
    </row>
    <row r="1931" spans="1:7" x14ac:dyDescent="0.2">
      <c r="A1931" s="85"/>
      <c r="B1931" s="25" t="s">
        <v>5625</v>
      </c>
      <c r="C1931" s="25" t="s">
        <v>5626</v>
      </c>
      <c r="D1931" s="37" t="s">
        <v>1719</v>
      </c>
      <c r="E1931" s="38" t="b">
        <v>0</v>
      </c>
      <c r="F1931" s="27" t="str">
        <f>HYPERLINK("http://nsgreg.nga.mil/genc/view?v=120010&amp;gencs=T&amp;end_month=12&amp;end_day=31&amp;end_year=2014","Pistoia")</f>
        <v>Pistoia</v>
      </c>
      <c r="G1931" s="28" t="str">
        <f>HYPERLINK("http://api.nsgreg.nga.mil/geo-division/GENC/6/ed3/IT-PT","as:GENC:6:ed3:IT-PT")</f>
        <v>as:GENC:6:ed3:IT-PT</v>
      </c>
    </row>
    <row r="1932" spans="1:7" x14ac:dyDescent="0.2">
      <c r="A1932" s="85"/>
      <c r="B1932" s="25" t="s">
        <v>5627</v>
      </c>
      <c r="C1932" s="25" t="s">
        <v>5628</v>
      </c>
      <c r="D1932" s="37" t="s">
        <v>1719</v>
      </c>
      <c r="E1932" s="38" t="b">
        <v>0</v>
      </c>
      <c r="F1932" s="27" t="str">
        <f>HYPERLINK("http://nsgreg.nga.mil/genc/view?v=120007&amp;gencs=T&amp;end_month=12&amp;end_day=31&amp;end_year=2014","Pordenone")</f>
        <v>Pordenone</v>
      </c>
      <c r="G1932" s="28" t="str">
        <f>HYPERLINK("http://api.nsgreg.nga.mil/geo-division/GENC/6/ed3/IT-PN","as:GENC:6:ed3:IT-PN")</f>
        <v>as:GENC:6:ed3:IT-PN</v>
      </c>
    </row>
    <row r="1933" spans="1:7" x14ac:dyDescent="0.2">
      <c r="A1933" s="85"/>
      <c r="B1933" s="25" t="s">
        <v>5629</v>
      </c>
      <c r="C1933" s="25" t="s">
        <v>5630</v>
      </c>
      <c r="D1933" s="37" t="s">
        <v>1719</v>
      </c>
      <c r="E1933" s="38" t="b">
        <v>0</v>
      </c>
      <c r="F1933" s="27" t="str">
        <f>HYPERLINK("http://nsgreg.nga.mil/genc/view?v=120013&amp;gencs=T&amp;end_month=12&amp;end_day=31&amp;end_year=2014","Potenza")</f>
        <v>Potenza</v>
      </c>
      <c r="G1933" s="28" t="str">
        <f>HYPERLINK("http://api.nsgreg.nga.mil/geo-division/GENC/6/ed3/IT-PZ","as:GENC:6:ed3:IT-PZ")</f>
        <v>as:GENC:6:ed3:IT-PZ</v>
      </c>
    </row>
    <row r="1934" spans="1:7" x14ac:dyDescent="0.2">
      <c r="A1934" s="85"/>
      <c r="B1934" s="25" t="s">
        <v>5631</v>
      </c>
      <c r="C1934" s="25" t="s">
        <v>5632</v>
      </c>
      <c r="D1934" s="37" t="s">
        <v>1719</v>
      </c>
      <c r="E1934" s="38" t="b">
        <v>0</v>
      </c>
      <c r="F1934" s="27" t="str">
        <f>HYPERLINK("http://nsgreg.nga.mil/genc/view?v=120008&amp;gencs=T&amp;end_month=12&amp;end_day=31&amp;end_year=2014","Prato")</f>
        <v>Prato</v>
      </c>
      <c r="G1934" s="28" t="str">
        <f>HYPERLINK("http://api.nsgreg.nga.mil/geo-division/GENC/6/ed3/IT-PO","as:GENC:6:ed3:IT-PO")</f>
        <v>as:GENC:6:ed3:IT-PO</v>
      </c>
    </row>
    <row r="1935" spans="1:7" x14ac:dyDescent="0.2">
      <c r="A1935" s="85"/>
      <c r="B1935" s="25" t="s">
        <v>5633</v>
      </c>
      <c r="C1935" s="25" t="s">
        <v>5634</v>
      </c>
      <c r="D1935" s="25" t="s">
        <v>2087</v>
      </c>
      <c r="E1935" s="26" t="b">
        <v>1</v>
      </c>
      <c r="F1935" s="27" t="str">
        <f>HYPERLINK("http://nsgreg.nga.mil/genc/view?v=119932&amp;gencs=T&amp;end_month=12&amp;end_day=31&amp;end_year=2014","Puglia")</f>
        <v>Puglia</v>
      </c>
      <c r="G1935" s="28" t="str">
        <f>HYPERLINK("http://api.nsgreg.nga.mil/geo-division/GENC/6/ed3/IT-75","as:GENC:6:ed3:IT-75")</f>
        <v>as:GENC:6:ed3:IT-75</v>
      </c>
    </row>
    <row r="1936" spans="1:7" x14ac:dyDescent="0.2">
      <c r="A1936" s="85"/>
      <c r="B1936" s="25" t="s">
        <v>5635</v>
      </c>
      <c r="C1936" s="25" t="s">
        <v>5636</v>
      </c>
      <c r="D1936" s="37" t="s">
        <v>1719</v>
      </c>
      <c r="E1936" s="38" t="b">
        <v>0</v>
      </c>
      <c r="F1936" s="27" t="str">
        <f>HYPERLINK("http://nsgreg.nga.mil/genc/view?v=120017&amp;gencs=T&amp;end_month=12&amp;end_day=31&amp;end_year=2014","Ragusa")</f>
        <v>Ragusa</v>
      </c>
      <c r="G1936" s="28" t="str">
        <f>HYPERLINK("http://api.nsgreg.nga.mil/geo-division/GENC/6/ed3/IT-RG","as:GENC:6:ed3:IT-RG")</f>
        <v>as:GENC:6:ed3:IT-RG</v>
      </c>
    </row>
    <row r="1937" spans="1:7" x14ac:dyDescent="0.2">
      <c r="A1937" s="85"/>
      <c r="B1937" s="25" t="s">
        <v>5637</v>
      </c>
      <c r="C1937" s="25" t="s">
        <v>5638</v>
      </c>
      <c r="D1937" s="37" t="s">
        <v>1719</v>
      </c>
      <c r="E1937" s="38" t="b">
        <v>0</v>
      </c>
      <c r="F1937" s="27" t="str">
        <f>HYPERLINK("http://nsgreg.nga.mil/genc/view?v=120014&amp;gencs=T&amp;end_month=12&amp;end_day=31&amp;end_year=2014","Ravenna")</f>
        <v>Ravenna</v>
      </c>
      <c r="G1937" s="28" t="str">
        <f>HYPERLINK("http://api.nsgreg.nga.mil/geo-division/GENC/6/ed3/IT-RA","as:GENC:6:ed3:IT-RA")</f>
        <v>as:GENC:6:ed3:IT-RA</v>
      </c>
    </row>
    <row r="1938" spans="1:7" x14ac:dyDescent="0.2">
      <c r="A1938" s="85"/>
      <c r="B1938" s="25" t="s">
        <v>5639</v>
      </c>
      <c r="C1938" s="25" t="s">
        <v>12522</v>
      </c>
      <c r="D1938" s="37" t="s">
        <v>1719</v>
      </c>
      <c r="E1938" s="38" t="b">
        <v>0</v>
      </c>
      <c r="F1938" s="27" t="str">
        <f>HYPERLINK("http://nsgreg.nga.mil/genc/view?v=212051&amp;end_month=12&amp;end_day=31&amp;end_year=2014","Reggio di Calabria")</f>
        <v>Reggio di Calabria</v>
      </c>
      <c r="G1938" s="28" t="str">
        <f>HYPERLINK("http://api.nsgreg.nga.mil/geo-division/GENC/6/ed3/IT-RC","as:GENC:6:ed3:IT-RC")</f>
        <v>as:GENC:6:ed3:IT-RC</v>
      </c>
    </row>
    <row r="1939" spans="1:7" x14ac:dyDescent="0.2">
      <c r="A1939" s="85"/>
      <c r="B1939" s="25" t="s">
        <v>5641</v>
      </c>
      <c r="C1939" s="25" t="s">
        <v>5642</v>
      </c>
      <c r="D1939" s="37" t="s">
        <v>1719</v>
      </c>
      <c r="E1939" s="38" t="b">
        <v>0</v>
      </c>
      <c r="F1939" s="27" t="str">
        <f>HYPERLINK("http://nsgreg.nga.mil/genc/view?v=120016&amp;gencs=T&amp;end_month=12&amp;end_day=31&amp;end_year=2014","Reggio Emilia")</f>
        <v>Reggio Emilia</v>
      </c>
      <c r="G1939" s="28" t="str">
        <f>HYPERLINK("http://api.nsgreg.nga.mil/geo-division/GENC/6/ed3/IT-RE","as:GENC:6:ed3:IT-RE")</f>
        <v>as:GENC:6:ed3:IT-RE</v>
      </c>
    </row>
    <row r="1940" spans="1:7" x14ac:dyDescent="0.2">
      <c r="A1940" s="85"/>
      <c r="B1940" s="25" t="s">
        <v>5643</v>
      </c>
      <c r="C1940" s="25" t="s">
        <v>5644</v>
      </c>
      <c r="D1940" s="37" t="s">
        <v>1719</v>
      </c>
      <c r="E1940" s="38" t="b">
        <v>0</v>
      </c>
      <c r="F1940" s="27" t="str">
        <f>HYPERLINK("http://nsgreg.nga.mil/genc/view?v=120018&amp;gencs=T&amp;end_month=12&amp;end_day=31&amp;end_year=2014","Rieti")</f>
        <v>Rieti</v>
      </c>
      <c r="G1940" s="28" t="str">
        <f>HYPERLINK("http://api.nsgreg.nga.mil/geo-division/GENC/6/ed3/IT-RI","as:GENC:6:ed3:IT-RI")</f>
        <v>as:GENC:6:ed3:IT-RI</v>
      </c>
    </row>
    <row r="1941" spans="1:7" x14ac:dyDescent="0.2">
      <c r="A1941" s="85"/>
      <c r="B1941" s="25" t="s">
        <v>5645</v>
      </c>
      <c r="C1941" s="25" t="s">
        <v>5646</v>
      </c>
      <c r="D1941" s="37" t="s">
        <v>1719</v>
      </c>
      <c r="E1941" s="38" t="b">
        <v>0</v>
      </c>
      <c r="F1941" s="27" t="str">
        <f>HYPERLINK("http://nsgreg.nga.mil/genc/view?v=120020&amp;gencs=T&amp;end_month=12&amp;end_day=31&amp;end_year=2014","Rimini")</f>
        <v>Rimini</v>
      </c>
      <c r="G1941" s="28" t="str">
        <f>HYPERLINK("http://api.nsgreg.nga.mil/geo-division/GENC/6/ed3/IT-RN","as:GENC:6:ed3:IT-RN")</f>
        <v>as:GENC:6:ed3:IT-RN</v>
      </c>
    </row>
    <row r="1942" spans="1:7" x14ac:dyDescent="0.2">
      <c r="A1942" s="85"/>
      <c r="B1942" s="25" t="s">
        <v>5647</v>
      </c>
      <c r="C1942" s="25" t="s">
        <v>5648</v>
      </c>
      <c r="D1942" s="37" t="s">
        <v>1719</v>
      </c>
      <c r="E1942" s="38" t="b">
        <v>0</v>
      </c>
      <c r="F1942" s="27" t="str">
        <f>HYPERLINK("http://nsgreg.nga.mil/genc/view?v=120019&amp;gencs=T&amp;end_month=12&amp;end_day=31&amp;end_year=2014","Roma")</f>
        <v>Roma</v>
      </c>
      <c r="G1942" s="28" t="str">
        <f>HYPERLINK("http://api.nsgreg.nga.mil/geo-division/GENC/6/ed3/IT-RM","as:GENC:6:ed3:IT-RM")</f>
        <v>as:GENC:6:ed3:IT-RM</v>
      </c>
    </row>
    <row r="1943" spans="1:7" x14ac:dyDescent="0.2">
      <c r="A1943" s="85"/>
      <c r="B1943" s="25" t="s">
        <v>5649</v>
      </c>
      <c r="C1943" s="25" t="s">
        <v>5650</v>
      </c>
      <c r="D1943" s="37" t="s">
        <v>1719</v>
      </c>
      <c r="E1943" s="38" t="b">
        <v>0</v>
      </c>
      <c r="F1943" s="27" t="str">
        <f>HYPERLINK("http://nsgreg.nga.mil/genc/view?v=120021&amp;gencs=T&amp;end_month=12&amp;end_day=31&amp;end_year=2014","Rovigo")</f>
        <v>Rovigo</v>
      </c>
      <c r="G1943" s="28" t="str">
        <f>HYPERLINK("http://api.nsgreg.nga.mil/geo-division/GENC/6/ed3/IT-RO","as:GENC:6:ed3:IT-RO")</f>
        <v>as:GENC:6:ed3:IT-RO</v>
      </c>
    </row>
    <row r="1944" spans="1:7" x14ac:dyDescent="0.2">
      <c r="A1944" s="85"/>
      <c r="B1944" s="25" t="s">
        <v>5651</v>
      </c>
      <c r="C1944" s="25" t="s">
        <v>5652</v>
      </c>
      <c r="D1944" s="37" t="s">
        <v>1719</v>
      </c>
      <c r="E1944" s="38" t="b">
        <v>0</v>
      </c>
      <c r="F1944" s="27" t="str">
        <f>HYPERLINK("http://nsgreg.nga.mil/genc/view?v=120022&amp;gencs=T&amp;end_month=12&amp;end_day=31&amp;end_year=2014","Salerno")</f>
        <v>Salerno</v>
      </c>
      <c r="G1944" s="28" t="str">
        <f>HYPERLINK("http://api.nsgreg.nga.mil/geo-division/GENC/6/ed3/IT-SA","as:GENC:6:ed3:IT-SA")</f>
        <v>as:GENC:6:ed3:IT-SA</v>
      </c>
    </row>
    <row r="1945" spans="1:7" x14ac:dyDescent="0.2">
      <c r="A1945" s="85"/>
      <c r="B1945" s="25" t="s">
        <v>5653</v>
      </c>
      <c r="C1945" s="25" t="s">
        <v>5654</v>
      </c>
      <c r="D1945" s="25" t="s">
        <v>2087</v>
      </c>
      <c r="E1945" s="26" t="b">
        <v>1</v>
      </c>
      <c r="F1945" s="27" t="str">
        <f>HYPERLINK("http://nsgreg.nga.mil/genc/view?v=119936&amp;gencs=T&amp;end_month=12&amp;end_day=31&amp;end_year=2014","Sardegna")</f>
        <v>Sardegna</v>
      </c>
      <c r="G1945" s="28" t="str">
        <f>HYPERLINK("http://api.nsgreg.nga.mil/geo-division/GENC/6/ed3/IT-88","as:GENC:6:ed3:IT-88")</f>
        <v>as:GENC:6:ed3:IT-88</v>
      </c>
    </row>
    <row r="1946" spans="1:7" x14ac:dyDescent="0.2">
      <c r="A1946" s="85"/>
      <c r="B1946" s="25" t="s">
        <v>5655</v>
      </c>
      <c r="C1946" s="25" t="s">
        <v>5656</v>
      </c>
      <c r="D1946" s="37" t="s">
        <v>1719</v>
      </c>
      <c r="E1946" s="38" t="b">
        <v>0</v>
      </c>
      <c r="F1946" s="27" t="str">
        <f>HYPERLINK("http://nsgreg.nga.mil/genc/view?v=120027&amp;gencs=T&amp;end_month=12&amp;end_day=31&amp;end_year=2014","Sassari")</f>
        <v>Sassari</v>
      </c>
      <c r="G1946" s="28" t="str">
        <f>HYPERLINK("http://api.nsgreg.nga.mil/geo-division/GENC/6/ed3/IT-SS","as:GENC:6:ed3:IT-SS")</f>
        <v>as:GENC:6:ed3:IT-SS</v>
      </c>
    </row>
    <row r="1947" spans="1:7" x14ac:dyDescent="0.2">
      <c r="A1947" s="85"/>
      <c r="B1947" s="25" t="s">
        <v>5657</v>
      </c>
      <c r="C1947" s="25" t="s">
        <v>5658</v>
      </c>
      <c r="D1947" s="37" t="s">
        <v>1719</v>
      </c>
      <c r="E1947" s="38" t="b">
        <v>0</v>
      </c>
      <c r="F1947" s="27" t="str">
        <f>HYPERLINK("http://nsgreg.nga.mil/genc/view?v=120028&amp;gencs=T&amp;end_month=12&amp;end_day=31&amp;end_year=2014","Savona")</f>
        <v>Savona</v>
      </c>
      <c r="G1947" s="28" t="str">
        <f>HYPERLINK("http://api.nsgreg.nga.mil/geo-division/GENC/6/ed3/IT-SV","as:GENC:6:ed3:IT-SV")</f>
        <v>as:GENC:6:ed3:IT-SV</v>
      </c>
    </row>
    <row r="1948" spans="1:7" x14ac:dyDescent="0.2">
      <c r="A1948" s="85"/>
      <c r="B1948" s="25" t="s">
        <v>5659</v>
      </c>
      <c r="C1948" s="25" t="s">
        <v>5660</v>
      </c>
      <c r="D1948" s="25" t="s">
        <v>3322</v>
      </c>
      <c r="E1948" s="26" t="b">
        <v>1</v>
      </c>
      <c r="F1948" s="27" t="str">
        <f>HYPERLINK("http://nsgreg.nga.mil/genc/view?v=212048&amp;end_month=12&amp;end_day=31&amp;end_year=2014","Sicilia")</f>
        <v>Sicilia</v>
      </c>
      <c r="G1948" s="28" t="str">
        <f>HYPERLINK("http://api.nsgreg.nga.mil/geo-division/GENC/6/ed3/IT-82","as:GENC:6:ed3:IT-82")</f>
        <v>as:GENC:6:ed3:IT-82</v>
      </c>
    </row>
    <row r="1949" spans="1:7" x14ac:dyDescent="0.2">
      <c r="A1949" s="85"/>
      <c r="B1949" s="25" t="s">
        <v>5661</v>
      </c>
      <c r="C1949" s="25" t="s">
        <v>5662</v>
      </c>
      <c r="D1949" s="37" t="s">
        <v>1719</v>
      </c>
      <c r="E1949" s="38" t="b">
        <v>0</v>
      </c>
      <c r="F1949" s="27" t="str">
        <f>HYPERLINK("http://nsgreg.nga.mil/genc/view?v=120023&amp;gencs=T&amp;end_month=12&amp;end_day=31&amp;end_year=2014","Siena")</f>
        <v>Siena</v>
      </c>
      <c r="G1949" s="28" t="str">
        <f>HYPERLINK("http://api.nsgreg.nga.mil/geo-division/GENC/6/ed3/IT-SI","as:GENC:6:ed3:IT-SI")</f>
        <v>as:GENC:6:ed3:IT-SI</v>
      </c>
    </row>
    <row r="1950" spans="1:7" x14ac:dyDescent="0.2">
      <c r="A1950" s="85"/>
      <c r="B1950" s="25" t="s">
        <v>5663</v>
      </c>
      <c r="C1950" s="25" t="s">
        <v>5664</v>
      </c>
      <c r="D1950" s="37" t="s">
        <v>1719</v>
      </c>
      <c r="E1950" s="38" t="b">
        <v>0</v>
      </c>
      <c r="F1950" s="27" t="str">
        <f>HYPERLINK("http://nsgreg.nga.mil/genc/view?v=120026&amp;gencs=T&amp;end_month=12&amp;end_day=31&amp;end_year=2014","Siracusa")</f>
        <v>Siracusa</v>
      </c>
      <c r="G1950" s="28" t="str">
        <f>HYPERLINK("http://api.nsgreg.nga.mil/geo-division/GENC/6/ed3/IT-SR","as:GENC:6:ed3:IT-SR")</f>
        <v>as:GENC:6:ed3:IT-SR</v>
      </c>
    </row>
    <row r="1951" spans="1:7" x14ac:dyDescent="0.2">
      <c r="A1951" s="85"/>
      <c r="B1951" s="25" t="s">
        <v>5665</v>
      </c>
      <c r="C1951" s="25" t="s">
        <v>5666</v>
      </c>
      <c r="D1951" s="37" t="s">
        <v>1719</v>
      </c>
      <c r="E1951" s="38" t="b">
        <v>0</v>
      </c>
      <c r="F1951" s="27" t="str">
        <f>HYPERLINK("http://nsgreg.nga.mil/genc/view?v=120024&amp;gencs=T&amp;end_month=12&amp;end_day=31&amp;end_year=2014","Sondrio")</f>
        <v>Sondrio</v>
      </c>
      <c r="G1951" s="28" t="str">
        <f>HYPERLINK("http://api.nsgreg.nga.mil/geo-division/GENC/6/ed3/IT-SO","as:GENC:6:ed3:IT-SO")</f>
        <v>as:GENC:6:ed3:IT-SO</v>
      </c>
    </row>
    <row r="1952" spans="1:7" x14ac:dyDescent="0.2">
      <c r="A1952" s="85"/>
      <c r="B1952" s="25" t="s">
        <v>5667</v>
      </c>
      <c r="C1952" s="25" t="s">
        <v>5668</v>
      </c>
      <c r="D1952" s="37" t="s">
        <v>1719</v>
      </c>
      <c r="E1952" s="38" t="b">
        <v>0</v>
      </c>
      <c r="F1952" s="27" t="str">
        <f>HYPERLINK("http://nsgreg.nga.mil/genc/view?v=120029&amp;gencs=T&amp;end_month=12&amp;end_day=31&amp;end_year=2014","Taranto")</f>
        <v>Taranto</v>
      </c>
      <c r="G1952" s="28" t="str">
        <f>HYPERLINK("http://api.nsgreg.nga.mil/geo-division/GENC/6/ed3/IT-TA","as:GENC:6:ed3:IT-TA")</f>
        <v>as:GENC:6:ed3:IT-TA</v>
      </c>
    </row>
    <row r="1953" spans="1:7" x14ac:dyDescent="0.2">
      <c r="A1953" s="85"/>
      <c r="B1953" s="25" t="s">
        <v>5669</v>
      </c>
      <c r="C1953" s="25" t="s">
        <v>5670</v>
      </c>
      <c r="D1953" s="37" t="s">
        <v>1719</v>
      </c>
      <c r="E1953" s="38" t="b">
        <v>0</v>
      </c>
      <c r="F1953" s="27" t="str">
        <f>HYPERLINK("http://nsgreg.nga.mil/genc/view?v=120030&amp;gencs=T&amp;end_month=12&amp;end_day=31&amp;end_year=2014","Teramo")</f>
        <v>Teramo</v>
      </c>
      <c r="G1953" s="28" t="str">
        <f>HYPERLINK("http://api.nsgreg.nga.mil/geo-division/GENC/6/ed3/IT-TE","as:GENC:6:ed3:IT-TE")</f>
        <v>as:GENC:6:ed3:IT-TE</v>
      </c>
    </row>
    <row r="1954" spans="1:7" x14ac:dyDescent="0.2">
      <c r="A1954" s="85"/>
      <c r="B1954" s="25" t="s">
        <v>5671</v>
      </c>
      <c r="C1954" s="25" t="s">
        <v>5672</v>
      </c>
      <c r="D1954" s="37" t="s">
        <v>1719</v>
      </c>
      <c r="E1954" s="38" t="b">
        <v>0</v>
      </c>
      <c r="F1954" s="27" t="str">
        <f>HYPERLINK("http://nsgreg.nga.mil/genc/view?v=120034&amp;gencs=T&amp;end_month=12&amp;end_day=31&amp;end_year=2014","Terni")</f>
        <v>Terni</v>
      </c>
      <c r="G1954" s="28" t="str">
        <f>HYPERLINK("http://api.nsgreg.nga.mil/geo-division/GENC/6/ed3/IT-TR","as:GENC:6:ed3:IT-TR")</f>
        <v>as:GENC:6:ed3:IT-TR</v>
      </c>
    </row>
    <row r="1955" spans="1:7" x14ac:dyDescent="0.2">
      <c r="A1955" s="85"/>
      <c r="B1955" s="25" t="s">
        <v>5673</v>
      </c>
      <c r="C1955" s="25" t="s">
        <v>5674</v>
      </c>
      <c r="D1955" s="37" t="s">
        <v>1719</v>
      </c>
      <c r="E1955" s="38" t="b">
        <v>0</v>
      </c>
      <c r="F1955" s="27" t="str">
        <f>HYPERLINK("http://nsgreg.nga.mil/genc/view?v=120032&amp;gencs=T&amp;end_month=12&amp;end_day=31&amp;end_year=2014","Torino")</f>
        <v>Torino</v>
      </c>
      <c r="G1955" s="28" t="str">
        <f>HYPERLINK("http://api.nsgreg.nga.mil/geo-division/GENC/6/ed3/IT-TO","as:GENC:6:ed3:IT-TO")</f>
        <v>as:GENC:6:ed3:IT-TO</v>
      </c>
    </row>
    <row r="1956" spans="1:7" x14ac:dyDescent="0.2">
      <c r="A1956" s="85"/>
      <c r="B1956" s="25" t="s">
        <v>5677</v>
      </c>
      <c r="C1956" s="25" t="s">
        <v>5678</v>
      </c>
      <c r="D1956" s="37" t="s">
        <v>1719</v>
      </c>
      <c r="E1956" s="38" t="b">
        <v>0</v>
      </c>
      <c r="F1956" s="27" t="str">
        <f>HYPERLINK("http://nsgreg.nga.mil/genc/view?v=120033&amp;gencs=T&amp;end_month=12&amp;end_day=31&amp;end_year=2014","Trapani")</f>
        <v>Trapani</v>
      </c>
      <c r="G1956" s="28" t="str">
        <f>HYPERLINK("http://api.nsgreg.nga.mil/geo-division/GENC/6/ed3/IT-TP","as:GENC:6:ed3:IT-TP")</f>
        <v>as:GENC:6:ed3:IT-TP</v>
      </c>
    </row>
    <row r="1957" spans="1:7" x14ac:dyDescent="0.2">
      <c r="A1957" s="85"/>
      <c r="B1957" s="25" t="s">
        <v>5679</v>
      </c>
      <c r="C1957" s="25" t="s">
        <v>5680</v>
      </c>
      <c r="D1957" s="25" t="s">
        <v>3322</v>
      </c>
      <c r="E1957" s="26" t="b">
        <v>1</v>
      </c>
      <c r="F1957" s="27" t="str">
        <f>HYPERLINK("http://nsgreg.nga.mil/genc/view?v=212046&amp;end_month=12&amp;end_day=31&amp;end_year=2014","Trentino-Alto Adige")</f>
        <v>Trentino-Alto Adige</v>
      </c>
      <c r="G1957" s="28" t="str">
        <f>HYPERLINK("http://api.nsgreg.nga.mil/geo-division/GENC/6/ed3/IT-32","as:GENC:6:ed3:IT-32")</f>
        <v>as:GENC:6:ed3:IT-32</v>
      </c>
    </row>
    <row r="1958" spans="1:7" x14ac:dyDescent="0.2">
      <c r="A1958" s="85"/>
      <c r="B1958" s="25" t="s">
        <v>5682</v>
      </c>
      <c r="C1958" s="25" t="s">
        <v>5683</v>
      </c>
      <c r="D1958" s="37" t="s">
        <v>1719</v>
      </c>
      <c r="E1958" s="38" t="b">
        <v>0</v>
      </c>
      <c r="F1958" s="27" t="str">
        <f>HYPERLINK("http://nsgreg.nga.mil/genc/view?v=120031&amp;gencs=T&amp;end_month=12&amp;end_day=31&amp;end_year=2014","Trento")</f>
        <v>Trento</v>
      </c>
      <c r="G1958" s="28" t="str">
        <f>HYPERLINK("http://api.nsgreg.nga.mil/geo-division/GENC/6/ed3/IT-TN","as:GENC:6:ed3:IT-TN")</f>
        <v>as:GENC:6:ed3:IT-TN</v>
      </c>
    </row>
    <row r="1959" spans="1:7" x14ac:dyDescent="0.2">
      <c r="A1959" s="85"/>
      <c r="B1959" s="25" t="s">
        <v>5684</v>
      </c>
      <c r="C1959" s="25" t="s">
        <v>5685</v>
      </c>
      <c r="D1959" s="37" t="s">
        <v>1719</v>
      </c>
      <c r="E1959" s="38" t="b">
        <v>0</v>
      </c>
      <c r="F1959" s="27" t="str">
        <f>HYPERLINK("http://nsgreg.nga.mil/genc/view?v=120036&amp;gencs=T&amp;end_month=12&amp;end_day=31&amp;end_year=2014","Treviso")</f>
        <v>Treviso</v>
      </c>
      <c r="G1959" s="28" t="str">
        <f>HYPERLINK("http://api.nsgreg.nga.mil/geo-division/GENC/6/ed3/IT-TV","as:GENC:6:ed3:IT-TV")</f>
        <v>as:GENC:6:ed3:IT-TV</v>
      </c>
    </row>
    <row r="1960" spans="1:7" x14ac:dyDescent="0.2">
      <c r="A1960" s="85"/>
      <c r="B1960" s="25" t="s">
        <v>5686</v>
      </c>
      <c r="C1960" s="25" t="s">
        <v>5687</v>
      </c>
      <c r="D1960" s="37" t="s">
        <v>1719</v>
      </c>
      <c r="E1960" s="38" t="b">
        <v>0</v>
      </c>
      <c r="F1960" s="27" t="str">
        <f>HYPERLINK("http://nsgreg.nga.mil/genc/view?v=120035&amp;gencs=T&amp;end_month=12&amp;end_day=31&amp;end_year=2014","Trieste")</f>
        <v>Trieste</v>
      </c>
      <c r="G1960" s="28" t="str">
        <f>HYPERLINK("http://api.nsgreg.nga.mil/geo-division/GENC/6/ed3/IT-TS","as:GENC:6:ed3:IT-TS")</f>
        <v>as:GENC:6:ed3:IT-TS</v>
      </c>
    </row>
    <row r="1961" spans="1:7" x14ac:dyDescent="0.2">
      <c r="A1961" s="85"/>
      <c r="B1961" s="25" t="s">
        <v>5675</v>
      </c>
      <c r="C1961" s="25" t="s">
        <v>12523</v>
      </c>
      <c r="D1961" s="25" t="s">
        <v>2087</v>
      </c>
      <c r="E1961" s="26" t="b">
        <v>1</v>
      </c>
      <c r="F1961" s="27" t="str">
        <f>HYPERLINK("http://nsgreg.nga.mil/genc/view?v=212047&amp;end_month=12&amp;end_day=31&amp;end_year=2014","Tuscany")</f>
        <v>Tuscany</v>
      </c>
      <c r="G1961" s="28" t="str">
        <f>HYPERLINK("http://api.nsgreg.nga.mil/geo-division/GENC/6/ed3/IT-52","as:GENC:6:ed3:IT-52")</f>
        <v>as:GENC:6:ed3:IT-52</v>
      </c>
    </row>
    <row r="1962" spans="1:7" x14ac:dyDescent="0.2">
      <c r="A1962" s="85"/>
      <c r="B1962" s="25" t="s">
        <v>5688</v>
      </c>
      <c r="C1962" s="25" t="s">
        <v>5689</v>
      </c>
      <c r="D1962" s="37" t="s">
        <v>1719</v>
      </c>
      <c r="E1962" s="38" t="b">
        <v>0</v>
      </c>
      <c r="F1962" s="27" t="str">
        <f>HYPERLINK("http://nsgreg.nga.mil/genc/view?v=120037&amp;gencs=T&amp;end_month=12&amp;end_day=31&amp;end_year=2014","Udine")</f>
        <v>Udine</v>
      </c>
      <c r="G1962" s="28" t="str">
        <f>HYPERLINK("http://api.nsgreg.nga.mil/geo-division/GENC/6/ed3/IT-UD","as:GENC:6:ed3:IT-UD")</f>
        <v>as:GENC:6:ed3:IT-UD</v>
      </c>
    </row>
    <row r="1963" spans="1:7" x14ac:dyDescent="0.2">
      <c r="A1963" s="85"/>
      <c r="B1963" s="25" t="s">
        <v>5690</v>
      </c>
      <c r="C1963" s="25" t="s">
        <v>5691</v>
      </c>
      <c r="D1963" s="25" t="s">
        <v>2087</v>
      </c>
      <c r="E1963" s="26" t="b">
        <v>1</v>
      </c>
      <c r="F1963" s="27" t="str">
        <f>HYPERLINK("http://nsgreg.nga.mil/genc/view?v=119926&amp;gencs=T&amp;end_month=12&amp;end_day=31&amp;end_year=2014","Umbria")</f>
        <v>Umbria</v>
      </c>
      <c r="G1963" s="28" t="str">
        <f>HYPERLINK("http://api.nsgreg.nga.mil/geo-division/GENC/6/ed3/IT-55","as:GENC:6:ed3:IT-55")</f>
        <v>as:GENC:6:ed3:IT-55</v>
      </c>
    </row>
    <row r="1964" spans="1:7" x14ac:dyDescent="0.2">
      <c r="A1964" s="85"/>
      <c r="B1964" s="25" t="s">
        <v>5692</v>
      </c>
      <c r="C1964" s="25" t="s">
        <v>12524</v>
      </c>
      <c r="D1964" s="25" t="s">
        <v>3322</v>
      </c>
      <c r="E1964" s="26" t="b">
        <v>1</v>
      </c>
      <c r="F1964" s="27" t="str">
        <f>HYPERLINK("http://nsgreg.nga.mil/genc/view?v=212044&amp;end_month=12&amp;end_day=31&amp;end_year=2014","Valle d’Aosta")</f>
        <v>Valle d’Aosta</v>
      </c>
      <c r="G1964" s="28" t="str">
        <f>HYPERLINK("http://api.nsgreg.nga.mil/geo-division/GENC/6/ed3/IT-23","as:GENC:6:ed3:IT-23")</f>
        <v>as:GENC:6:ed3:IT-23</v>
      </c>
    </row>
    <row r="1965" spans="1:7" x14ac:dyDescent="0.2">
      <c r="A1965" s="85"/>
      <c r="B1965" s="25" t="s">
        <v>5695</v>
      </c>
      <c r="C1965" s="25" t="s">
        <v>5696</v>
      </c>
      <c r="D1965" s="37" t="s">
        <v>1719</v>
      </c>
      <c r="E1965" s="38" t="b">
        <v>0</v>
      </c>
      <c r="F1965" s="27" t="str">
        <f>HYPERLINK("http://nsgreg.nga.mil/genc/view?v=120038&amp;gencs=T&amp;end_month=12&amp;end_day=31&amp;end_year=2014","Varese")</f>
        <v>Varese</v>
      </c>
      <c r="G1965" s="28" t="str">
        <f>HYPERLINK("http://api.nsgreg.nga.mil/geo-division/GENC/6/ed3/IT-VA","as:GENC:6:ed3:IT-VA")</f>
        <v>as:GENC:6:ed3:IT-VA</v>
      </c>
    </row>
    <row r="1966" spans="1:7" x14ac:dyDescent="0.2">
      <c r="A1966" s="85"/>
      <c r="B1966" s="25" t="s">
        <v>5697</v>
      </c>
      <c r="C1966" s="25" t="s">
        <v>5698</v>
      </c>
      <c r="D1966" s="25" t="s">
        <v>2087</v>
      </c>
      <c r="E1966" s="26" t="b">
        <v>1</v>
      </c>
      <c r="F1966" s="27" t="str">
        <f>HYPERLINK("http://nsgreg.nga.mil/genc/view?v=119921&amp;gencs=T&amp;end_month=12&amp;end_day=31&amp;end_year=2014","Veneto")</f>
        <v>Veneto</v>
      </c>
      <c r="G1966" s="28" t="str">
        <f>HYPERLINK("http://api.nsgreg.nga.mil/geo-division/GENC/6/ed3/IT-34","as:GENC:6:ed3:IT-34")</f>
        <v>as:GENC:6:ed3:IT-34</v>
      </c>
    </row>
    <row r="1967" spans="1:7" x14ac:dyDescent="0.2">
      <c r="A1967" s="85"/>
      <c r="B1967" s="25" t="s">
        <v>5699</v>
      </c>
      <c r="C1967" s="25" t="s">
        <v>5700</v>
      </c>
      <c r="D1967" s="37" t="s">
        <v>1719</v>
      </c>
      <c r="E1967" s="38" t="b">
        <v>0</v>
      </c>
      <c r="F1967" s="27" t="str">
        <f>HYPERLINK("http://nsgreg.nga.mil/genc/view?v=120041&amp;gencs=T&amp;end_month=12&amp;end_day=31&amp;end_year=2014","Venezia")</f>
        <v>Venezia</v>
      </c>
      <c r="G1967" s="28" t="str">
        <f>HYPERLINK("http://api.nsgreg.nga.mil/geo-division/GENC/6/ed3/IT-VE","as:GENC:6:ed3:IT-VE")</f>
        <v>as:GENC:6:ed3:IT-VE</v>
      </c>
    </row>
    <row r="1968" spans="1:7" x14ac:dyDescent="0.2">
      <c r="A1968" s="85"/>
      <c r="B1968" s="25" t="s">
        <v>5701</v>
      </c>
      <c r="C1968" s="25" t="s">
        <v>5702</v>
      </c>
      <c r="D1968" s="37" t="s">
        <v>1719</v>
      </c>
      <c r="E1968" s="38" t="b">
        <v>0</v>
      </c>
      <c r="F1968" s="27" t="str">
        <f>HYPERLINK("http://nsgreg.nga.mil/genc/view?v=120039&amp;gencs=T&amp;end_month=12&amp;end_day=31&amp;end_year=2014","Verbano-Cusio-Ossola")</f>
        <v>Verbano-Cusio-Ossola</v>
      </c>
      <c r="G1968" s="28" t="str">
        <f>HYPERLINK("http://api.nsgreg.nga.mil/geo-division/GENC/6/ed3/IT-VB","as:GENC:6:ed3:IT-VB")</f>
        <v>as:GENC:6:ed3:IT-VB</v>
      </c>
    </row>
    <row r="1969" spans="1:7" x14ac:dyDescent="0.2">
      <c r="A1969" s="85"/>
      <c r="B1969" s="25" t="s">
        <v>5703</v>
      </c>
      <c r="C1969" s="25" t="s">
        <v>5704</v>
      </c>
      <c r="D1969" s="37" t="s">
        <v>1719</v>
      </c>
      <c r="E1969" s="38" t="b">
        <v>0</v>
      </c>
      <c r="F1969" s="27" t="str">
        <f>HYPERLINK("http://nsgreg.nga.mil/genc/view?v=120040&amp;gencs=T&amp;end_month=12&amp;end_day=31&amp;end_year=2014","Vercelli")</f>
        <v>Vercelli</v>
      </c>
      <c r="G1969" s="28" t="str">
        <f>HYPERLINK("http://api.nsgreg.nga.mil/geo-division/GENC/6/ed3/IT-VC","as:GENC:6:ed3:IT-VC")</f>
        <v>as:GENC:6:ed3:IT-VC</v>
      </c>
    </row>
    <row r="1970" spans="1:7" x14ac:dyDescent="0.2">
      <c r="A1970" s="85"/>
      <c r="B1970" s="25" t="s">
        <v>5705</v>
      </c>
      <c r="C1970" s="25" t="s">
        <v>5706</v>
      </c>
      <c r="D1970" s="37" t="s">
        <v>1719</v>
      </c>
      <c r="E1970" s="38" t="b">
        <v>0</v>
      </c>
      <c r="F1970" s="27" t="str">
        <f>HYPERLINK("http://nsgreg.nga.mil/genc/view?v=120043&amp;gencs=T&amp;end_month=12&amp;end_day=31&amp;end_year=2014","Verona")</f>
        <v>Verona</v>
      </c>
      <c r="G1970" s="28" t="str">
        <f>HYPERLINK("http://api.nsgreg.nga.mil/geo-division/GENC/6/ed3/IT-VR","as:GENC:6:ed3:IT-VR")</f>
        <v>as:GENC:6:ed3:IT-VR</v>
      </c>
    </row>
    <row r="1971" spans="1:7" x14ac:dyDescent="0.2">
      <c r="A1971" s="85"/>
      <c r="B1971" s="25" t="s">
        <v>5707</v>
      </c>
      <c r="C1971" s="25" t="s">
        <v>5708</v>
      </c>
      <c r="D1971" s="37" t="s">
        <v>1719</v>
      </c>
      <c r="E1971" s="38" t="b">
        <v>0</v>
      </c>
      <c r="F1971" s="27" t="str">
        <f>HYPERLINK("http://nsgreg.nga.mil/genc/view?v=120046&amp;gencs=T&amp;end_month=12&amp;end_day=31&amp;end_year=2014","Vibo Valentia")</f>
        <v>Vibo Valentia</v>
      </c>
      <c r="G1971" s="28" t="str">
        <f>HYPERLINK("http://api.nsgreg.nga.mil/geo-division/GENC/6/ed3/IT-VV","as:GENC:6:ed3:IT-VV")</f>
        <v>as:GENC:6:ed3:IT-VV</v>
      </c>
    </row>
    <row r="1972" spans="1:7" x14ac:dyDescent="0.2">
      <c r="A1972" s="85"/>
      <c r="B1972" s="25" t="s">
        <v>5709</v>
      </c>
      <c r="C1972" s="25" t="s">
        <v>5710</v>
      </c>
      <c r="D1972" s="37" t="s">
        <v>1719</v>
      </c>
      <c r="E1972" s="38" t="b">
        <v>0</v>
      </c>
      <c r="F1972" s="27" t="str">
        <f>HYPERLINK("http://nsgreg.nga.mil/genc/view?v=120042&amp;gencs=T&amp;end_month=12&amp;end_day=31&amp;end_year=2014","Vicenza")</f>
        <v>Vicenza</v>
      </c>
      <c r="G1972" s="28" t="str">
        <f>HYPERLINK("http://api.nsgreg.nga.mil/geo-division/GENC/6/ed3/IT-VI","as:GENC:6:ed3:IT-VI")</f>
        <v>as:GENC:6:ed3:IT-VI</v>
      </c>
    </row>
    <row r="1973" spans="1:7" x14ac:dyDescent="0.2">
      <c r="A1973" s="86"/>
      <c r="B1973" s="29" t="s">
        <v>5711</v>
      </c>
      <c r="C1973" s="29" t="s">
        <v>5712</v>
      </c>
      <c r="D1973" s="39" t="s">
        <v>1719</v>
      </c>
      <c r="E1973" s="40" t="b">
        <v>0</v>
      </c>
      <c r="F1973" s="31" t="str">
        <f>HYPERLINK("http://nsgreg.nga.mil/genc/view?v=120045&amp;gencs=T&amp;end_month=12&amp;end_day=31&amp;end_year=2014","Viterbo")</f>
        <v>Viterbo</v>
      </c>
      <c r="G1973" s="32" t="str">
        <f>HYPERLINK("http://api.nsgreg.nga.mil/geo-division/GENC/6/ed3/IT-VT","as:GENC:6:ed3:IT-VT")</f>
        <v>as:GENC:6:ed3:IT-VT</v>
      </c>
    </row>
    <row r="1974" spans="1:7" x14ac:dyDescent="0.2">
      <c r="A1974" s="84" t="str">
        <f>HYPERLINK("[#]Codes_for_GE_Names!A132:I132","JAMAICA")</f>
        <v>JAMAICA</v>
      </c>
      <c r="B1974" s="33" t="s">
        <v>5713</v>
      </c>
      <c r="C1974" s="33" t="s">
        <v>5714</v>
      </c>
      <c r="D1974" s="33" t="s">
        <v>1970</v>
      </c>
      <c r="E1974" s="34" t="b">
        <v>1</v>
      </c>
      <c r="F1974" s="35" t="str">
        <f>HYPERLINK("http://nsgreg.nga.mil/genc/view?v=120059&amp;gencs=T&amp;end_month=12&amp;end_day=31&amp;end_year=2014","Clarendon")</f>
        <v>Clarendon</v>
      </c>
      <c r="G1974" s="36" t="str">
        <f>HYPERLINK("http://api.nsgreg.nga.mil/geo-division/GENC/6/ed3/JM-13","as:GENC:6:ed3:JM-13")</f>
        <v>as:GENC:6:ed3:JM-13</v>
      </c>
    </row>
    <row r="1975" spans="1:7" x14ac:dyDescent="0.2">
      <c r="A1975" s="85"/>
      <c r="B1975" s="25" t="s">
        <v>5715</v>
      </c>
      <c r="C1975" s="25" t="s">
        <v>5716</v>
      </c>
      <c r="D1975" s="25" t="s">
        <v>1970</v>
      </c>
      <c r="E1975" s="26" t="b">
        <v>1</v>
      </c>
      <c r="F1975" s="27" t="str">
        <f>HYPERLINK("http://nsgreg.nga.mil/genc/view?v=120055&amp;gencs=T&amp;end_month=12&amp;end_day=31&amp;end_year=2014","Hanover")</f>
        <v>Hanover</v>
      </c>
      <c r="G1975" s="28" t="str">
        <f>HYPERLINK("http://api.nsgreg.nga.mil/geo-division/GENC/6/ed3/JM-09","as:GENC:6:ed3:JM-09")</f>
        <v>as:GENC:6:ed3:JM-09</v>
      </c>
    </row>
    <row r="1976" spans="1:7" x14ac:dyDescent="0.2">
      <c r="A1976" s="85"/>
      <c r="B1976" s="25" t="s">
        <v>5717</v>
      </c>
      <c r="C1976" s="25" t="s">
        <v>5718</v>
      </c>
      <c r="D1976" s="25" t="s">
        <v>1970</v>
      </c>
      <c r="E1976" s="26" t="b">
        <v>1</v>
      </c>
      <c r="F1976" s="27" t="str">
        <f>HYPERLINK("http://nsgreg.nga.mil/genc/view?v=120047&amp;gencs=T&amp;end_month=12&amp;end_day=31&amp;end_year=2014","Kingston")</f>
        <v>Kingston</v>
      </c>
      <c r="G1976" s="28" t="str">
        <f>HYPERLINK("http://api.nsgreg.nga.mil/geo-division/GENC/6/ed3/JM-01","as:GENC:6:ed3:JM-01")</f>
        <v>as:GENC:6:ed3:JM-01</v>
      </c>
    </row>
    <row r="1977" spans="1:7" x14ac:dyDescent="0.2">
      <c r="A1977" s="85"/>
      <c r="B1977" s="25" t="s">
        <v>5719</v>
      </c>
      <c r="C1977" s="25" t="s">
        <v>5720</v>
      </c>
      <c r="D1977" s="25" t="s">
        <v>1970</v>
      </c>
      <c r="E1977" s="26" t="b">
        <v>1</v>
      </c>
      <c r="F1977" s="27" t="str">
        <f>HYPERLINK("http://nsgreg.nga.mil/genc/view?v=120058&amp;gencs=T&amp;end_month=12&amp;end_day=31&amp;end_year=2014","Manchester")</f>
        <v>Manchester</v>
      </c>
      <c r="G1977" s="28" t="str">
        <f>HYPERLINK("http://api.nsgreg.nga.mil/geo-division/GENC/6/ed3/JM-12","as:GENC:6:ed3:JM-12")</f>
        <v>as:GENC:6:ed3:JM-12</v>
      </c>
    </row>
    <row r="1978" spans="1:7" x14ac:dyDescent="0.2">
      <c r="A1978" s="85"/>
      <c r="B1978" s="25" t="s">
        <v>5721</v>
      </c>
      <c r="C1978" s="25" t="s">
        <v>5722</v>
      </c>
      <c r="D1978" s="25" t="s">
        <v>1970</v>
      </c>
      <c r="E1978" s="26" t="b">
        <v>1</v>
      </c>
      <c r="F1978" s="27" t="str">
        <f>HYPERLINK("http://nsgreg.nga.mil/genc/view?v=120050&amp;gencs=T&amp;end_month=12&amp;end_day=31&amp;end_year=2014","Portland")</f>
        <v>Portland</v>
      </c>
      <c r="G1978" s="28" t="str">
        <f>HYPERLINK("http://api.nsgreg.nga.mil/geo-division/GENC/6/ed3/JM-04","as:GENC:6:ed3:JM-04")</f>
        <v>as:GENC:6:ed3:JM-04</v>
      </c>
    </row>
    <row r="1979" spans="1:7" x14ac:dyDescent="0.2">
      <c r="A1979" s="85"/>
      <c r="B1979" s="25" t="s">
        <v>5723</v>
      </c>
      <c r="C1979" s="25" t="s">
        <v>2513</v>
      </c>
      <c r="D1979" s="25" t="s">
        <v>1970</v>
      </c>
      <c r="E1979" s="26" t="b">
        <v>1</v>
      </c>
      <c r="F1979" s="27" t="str">
        <f>HYPERLINK("http://nsgreg.nga.mil/genc/view?v=120048&amp;gencs=T&amp;end_month=12&amp;end_day=31&amp;end_year=2014","Saint Andrew")</f>
        <v>Saint Andrew</v>
      </c>
      <c r="G1979" s="28" t="str">
        <f>HYPERLINK("http://api.nsgreg.nga.mil/geo-division/GENC/6/ed3/JM-02","as:GENC:6:ed3:JM-02")</f>
        <v>as:GENC:6:ed3:JM-02</v>
      </c>
    </row>
    <row r="1980" spans="1:7" x14ac:dyDescent="0.2">
      <c r="A1980" s="85"/>
      <c r="B1980" s="25" t="s">
        <v>5724</v>
      </c>
      <c r="C1980" s="25" t="s">
        <v>5725</v>
      </c>
      <c r="D1980" s="25" t="s">
        <v>1970</v>
      </c>
      <c r="E1980" s="26" t="b">
        <v>1</v>
      </c>
      <c r="F1980" s="27" t="str">
        <f>HYPERLINK("http://nsgreg.nga.mil/genc/view?v=120052&amp;gencs=T&amp;end_month=12&amp;end_day=31&amp;end_year=2014","Saint Ann")</f>
        <v>Saint Ann</v>
      </c>
      <c r="G1980" s="28" t="str">
        <f>HYPERLINK("http://api.nsgreg.nga.mil/geo-division/GENC/6/ed3/JM-06","as:GENC:6:ed3:JM-06")</f>
        <v>as:GENC:6:ed3:JM-06</v>
      </c>
    </row>
    <row r="1981" spans="1:7" x14ac:dyDescent="0.2">
      <c r="A1981" s="85"/>
      <c r="B1981" s="25" t="s">
        <v>5726</v>
      </c>
      <c r="C1981" s="25" t="s">
        <v>5727</v>
      </c>
      <c r="D1981" s="25" t="s">
        <v>1970</v>
      </c>
      <c r="E1981" s="26" t="b">
        <v>1</v>
      </c>
      <c r="F1981" s="27" t="str">
        <f>HYPERLINK("http://nsgreg.nga.mil/genc/view?v=120060&amp;gencs=T&amp;end_month=12&amp;end_day=31&amp;end_year=2014","Saint Catherine")</f>
        <v>Saint Catherine</v>
      </c>
      <c r="G1981" s="28" t="str">
        <f>HYPERLINK("http://api.nsgreg.nga.mil/geo-division/GENC/6/ed3/JM-14","as:GENC:6:ed3:JM-14")</f>
        <v>as:GENC:6:ed3:JM-14</v>
      </c>
    </row>
    <row r="1982" spans="1:7" x14ac:dyDescent="0.2">
      <c r="A1982" s="85"/>
      <c r="B1982" s="25" t="s">
        <v>5728</v>
      </c>
      <c r="C1982" s="25" t="s">
        <v>5729</v>
      </c>
      <c r="D1982" s="25" t="s">
        <v>1970</v>
      </c>
      <c r="E1982" s="26" t="b">
        <v>1</v>
      </c>
      <c r="F1982" s="27" t="str">
        <f>HYPERLINK("http://nsgreg.nga.mil/genc/view?v=120057&amp;gencs=T&amp;end_month=12&amp;end_day=31&amp;end_year=2014","Saint Elizabeth")</f>
        <v>Saint Elizabeth</v>
      </c>
      <c r="G1982" s="28" t="str">
        <f>HYPERLINK("http://api.nsgreg.nga.mil/geo-division/GENC/6/ed3/JM-11","as:GENC:6:ed3:JM-11")</f>
        <v>as:GENC:6:ed3:JM-11</v>
      </c>
    </row>
    <row r="1983" spans="1:7" x14ac:dyDescent="0.2">
      <c r="A1983" s="85"/>
      <c r="B1983" s="25" t="s">
        <v>5730</v>
      </c>
      <c r="C1983" s="25" t="s">
        <v>2516</v>
      </c>
      <c r="D1983" s="25" t="s">
        <v>1970</v>
      </c>
      <c r="E1983" s="26" t="b">
        <v>1</v>
      </c>
      <c r="F1983" s="27" t="str">
        <f>HYPERLINK("http://nsgreg.nga.mil/genc/view?v=120054&amp;gencs=T&amp;end_month=12&amp;end_day=31&amp;end_year=2014","Saint James")</f>
        <v>Saint James</v>
      </c>
      <c r="G1983" s="28" t="str">
        <f>HYPERLINK("http://api.nsgreg.nga.mil/geo-division/GENC/6/ed3/JM-08","as:GENC:6:ed3:JM-08")</f>
        <v>as:GENC:6:ed3:JM-08</v>
      </c>
    </row>
    <row r="1984" spans="1:7" x14ac:dyDescent="0.2">
      <c r="A1984" s="85"/>
      <c r="B1984" s="25" t="s">
        <v>5731</v>
      </c>
      <c r="C1984" s="25" t="s">
        <v>2029</v>
      </c>
      <c r="D1984" s="25" t="s">
        <v>1970</v>
      </c>
      <c r="E1984" s="26" t="b">
        <v>1</v>
      </c>
      <c r="F1984" s="27" t="str">
        <f>HYPERLINK("http://nsgreg.nga.mil/genc/view?v=120051&amp;gencs=T&amp;end_month=12&amp;end_day=31&amp;end_year=2014","Saint Mary")</f>
        <v>Saint Mary</v>
      </c>
      <c r="G1984" s="28" t="str">
        <f>HYPERLINK("http://api.nsgreg.nga.mil/geo-division/GENC/6/ed3/JM-05","as:GENC:6:ed3:JM-05")</f>
        <v>as:GENC:6:ed3:JM-05</v>
      </c>
    </row>
    <row r="1985" spans="1:7" x14ac:dyDescent="0.2">
      <c r="A1985" s="85"/>
      <c r="B1985" s="25" t="s">
        <v>5732</v>
      </c>
      <c r="C1985" s="25" t="s">
        <v>2528</v>
      </c>
      <c r="D1985" s="25" t="s">
        <v>1970</v>
      </c>
      <c r="E1985" s="26" t="b">
        <v>1</v>
      </c>
      <c r="F1985" s="27" t="str">
        <f>HYPERLINK("http://nsgreg.nga.mil/genc/view?v=120049&amp;gencs=T&amp;end_month=12&amp;end_day=31&amp;end_year=2014","Saint Thomas")</f>
        <v>Saint Thomas</v>
      </c>
      <c r="G1985" s="28" t="str">
        <f>HYPERLINK("http://api.nsgreg.nga.mil/geo-division/GENC/6/ed3/JM-03","as:GENC:6:ed3:JM-03")</f>
        <v>as:GENC:6:ed3:JM-03</v>
      </c>
    </row>
    <row r="1986" spans="1:7" x14ac:dyDescent="0.2">
      <c r="A1986" s="85"/>
      <c r="B1986" s="25" t="s">
        <v>5733</v>
      </c>
      <c r="C1986" s="25" t="s">
        <v>5734</v>
      </c>
      <c r="D1986" s="25" t="s">
        <v>1970</v>
      </c>
      <c r="E1986" s="26" t="b">
        <v>1</v>
      </c>
      <c r="F1986" s="27" t="str">
        <f>HYPERLINK("http://nsgreg.nga.mil/genc/view?v=120053&amp;gencs=T&amp;end_month=12&amp;end_day=31&amp;end_year=2014","Trelawny")</f>
        <v>Trelawny</v>
      </c>
      <c r="G1986" s="28" t="str">
        <f>HYPERLINK("http://api.nsgreg.nga.mil/geo-division/GENC/6/ed3/JM-07","as:GENC:6:ed3:JM-07")</f>
        <v>as:GENC:6:ed3:JM-07</v>
      </c>
    </row>
    <row r="1987" spans="1:7" x14ac:dyDescent="0.2">
      <c r="A1987" s="86"/>
      <c r="B1987" s="29" t="s">
        <v>5735</v>
      </c>
      <c r="C1987" s="29" t="s">
        <v>5736</v>
      </c>
      <c r="D1987" s="29" t="s">
        <v>1970</v>
      </c>
      <c r="E1987" s="30" t="b">
        <v>1</v>
      </c>
      <c r="F1987" s="31" t="str">
        <f>HYPERLINK("http://nsgreg.nga.mil/genc/view?v=120056&amp;gencs=T&amp;end_month=12&amp;end_day=31&amp;end_year=2014","Westmoreland")</f>
        <v>Westmoreland</v>
      </c>
      <c r="G1987" s="32" t="str">
        <f>HYPERLINK("http://api.nsgreg.nga.mil/geo-division/GENC/6/ed3/JM-10","as:GENC:6:ed3:JM-10")</f>
        <v>as:GENC:6:ed3:JM-10</v>
      </c>
    </row>
    <row r="1988" spans="1:7" x14ac:dyDescent="0.2">
      <c r="A1988" s="84" t="str">
        <f>HYPERLINK("[#]Codes_for_GE_Names!A134:I134","JAPAN")</f>
        <v>JAPAN</v>
      </c>
      <c r="B1988" s="33" t="s">
        <v>5737</v>
      </c>
      <c r="C1988" s="33" t="s">
        <v>5738</v>
      </c>
      <c r="D1988" s="33" t="s">
        <v>3158</v>
      </c>
      <c r="E1988" s="34" t="b">
        <v>1</v>
      </c>
      <c r="F1988" s="35" t="str">
        <f>HYPERLINK("http://nsgreg.nga.mil/genc/view?v=212075&amp;end_month=12&amp;end_day=31&amp;end_year=2014","Aichi")</f>
        <v>Aichi</v>
      </c>
      <c r="G1988" s="36" t="str">
        <f>HYPERLINK("http://api.nsgreg.nga.mil/geo-division/GENC/6/ed3/JP-23","as:GENC:6:ed3:JP-23")</f>
        <v>as:GENC:6:ed3:JP-23</v>
      </c>
    </row>
    <row r="1989" spans="1:7" x14ac:dyDescent="0.2">
      <c r="A1989" s="85"/>
      <c r="B1989" s="25" t="s">
        <v>5740</v>
      </c>
      <c r="C1989" s="25" t="s">
        <v>5741</v>
      </c>
      <c r="D1989" s="25" t="s">
        <v>3158</v>
      </c>
      <c r="E1989" s="26" t="b">
        <v>1</v>
      </c>
      <c r="F1989" s="27" t="str">
        <f>HYPERLINK("http://nsgreg.nga.mil/genc/view?v=212057&amp;end_month=12&amp;end_day=31&amp;end_year=2014","Akita")</f>
        <v>Akita</v>
      </c>
      <c r="G1989" s="28" t="str">
        <f>HYPERLINK("http://api.nsgreg.nga.mil/geo-division/GENC/6/ed3/JP-05","as:GENC:6:ed3:JP-05")</f>
        <v>as:GENC:6:ed3:JP-05</v>
      </c>
    </row>
    <row r="1990" spans="1:7" x14ac:dyDescent="0.2">
      <c r="A1990" s="85"/>
      <c r="B1990" s="25" t="s">
        <v>5742</v>
      </c>
      <c r="C1990" s="25" t="s">
        <v>5743</v>
      </c>
      <c r="D1990" s="25" t="s">
        <v>3158</v>
      </c>
      <c r="E1990" s="26" t="b">
        <v>1</v>
      </c>
      <c r="F1990" s="27" t="str">
        <f>HYPERLINK("http://nsgreg.nga.mil/genc/view?v=212054&amp;end_month=12&amp;end_day=31&amp;end_year=2014","Aomori")</f>
        <v>Aomori</v>
      </c>
      <c r="G1990" s="28" t="str">
        <f>HYPERLINK("http://api.nsgreg.nga.mil/geo-division/GENC/6/ed3/JP-02","as:GENC:6:ed3:JP-02")</f>
        <v>as:GENC:6:ed3:JP-02</v>
      </c>
    </row>
    <row r="1991" spans="1:7" x14ac:dyDescent="0.2">
      <c r="A1991" s="85"/>
      <c r="B1991" s="25" t="s">
        <v>5744</v>
      </c>
      <c r="C1991" s="25" t="s">
        <v>5745</v>
      </c>
      <c r="D1991" s="25" t="s">
        <v>3158</v>
      </c>
      <c r="E1991" s="26" t="b">
        <v>1</v>
      </c>
      <c r="F1991" s="27" t="str">
        <f>HYPERLINK("http://nsgreg.nga.mil/genc/view?v=212064&amp;end_month=12&amp;end_day=31&amp;end_year=2014","Chiba")</f>
        <v>Chiba</v>
      </c>
      <c r="G1991" s="28" t="str">
        <f>HYPERLINK("http://api.nsgreg.nga.mil/geo-division/GENC/6/ed3/JP-12","as:GENC:6:ed3:JP-12")</f>
        <v>as:GENC:6:ed3:JP-12</v>
      </c>
    </row>
    <row r="1992" spans="1:7" x14ac:dyDescent="0.2">
      <c r="A1992" s="85"/>
      <c r="B1992" s="25" t="s">
        <v>5746</v>
      </c>
      <c r="C1992" s="25" t="s">
        <v>5747</v>
      </c>
      <c r="D1992" s="25" t="s">
        <v>3158</v>
      </c>
      <c r="E1992" s="26" t="b">
        <v>1</v>
      </c>
      <c r="F1992" s="27" t="str">
        <f>HYPERLINK("http://nsgreg.nga.mil/genc/view?v=212090&amp;end_month=12&amp;end_day=31&amp;end_year=2014","Ehime")</f>
        <v>Ehime</v>
      </c>
      <c r="G1992" s="28" t="str">
        <f>HYPERLINK("http://api.nsgreg.nga.mil/geo-division/GENC/6/ed3/JP-38","as:GENC:6:ed3:JP-38")</f>
        <v>as:GENC:6:ed3:JP-38</v>
      </c>
    </row>
    <row r="1993" spans="1:7" x14ac:dyDescent="0.2">
      <c r="A1993" s="85"/>
      <c r="B1993" s="25" t="s">
        <v>5748</v>
      </c>
      <c r="C1993" s="25" t="s">
        <v>5749</v>
      </c>
      <c r="D1993" s="25" t="s">
        <v>3158</v>
      </c>
      <c r="E1993" s="26" t="b">
        <v>1</v>
      </c>
      <c r="F1993" s="27" t="str">
        <f>HYPERLINK("http://nsgreg.nga.mil/genc/view?v=212070&amp;end_month=12&amp;end_day=31&amp;end_year=2014","Fukui")</f>
        <v>Fukui</v>
      </c>
      <c r="G1993" s="28" t="str">
        <f>HYPERLINK("http://api.nsgreg.nga.mil/geo-division/GENC/6/ed3/JP-18","as:GENC:6:ed3:JP-18")</f>
        <v>as:GENC:6:ed3:JP-18</v>
      </c>
    </row>
    <row r="1994" spans="1:7" x14ac:dyDescent="0.2">
      <c r="A1994" s="85"/>
      <c r="B1994" s="25" t="s">
        <v>5750</v>
      </c>
      <c r="C1994" s="25" t="s">
        <v>5751</v>
      </c>
      <c r="D1994" s="25" t="s">
        <v>3158</v>
      </c>
      <c r="E1994" s="26" t="b">
        <v>1</v>
      </c>
      <c r="F1994" s="27" t="str">
        <f>HYPERLINK("http://nsgreg.nga.mil/genc/view?v=212092&amp;end_month=12&amp;end_day=31&amp;end_year=2014","Fukuoka")</f>
        <v>Fukuoka</v>
      </c>
      <c r="G1994" s="28" t="str">
        <f>HYPERLINK("http://api.nsgreg.nga.mil/geo-division/GENC/6/ed3/JP-40","as:GENC:6:ed3:JP-40")</f>
        <v>as:GENC:6:ed3:JP-40</v>
      </c>
    </row>
    <row r="1995" spans="1:7" x14ac:dyDescent="0.2">
      <c r="A1995" s="85"/>
      <c r="B1995" s="25" t="s">
        <v>5752</v>
      </c>
      <c r="C1995" s="25" t="s">
        <v>5753</v>
      </c>
      <c r="D1995" s="25" t="s">
        <v>3158</v>
      </c>
      <c r="E1995" s="26" t="b">
        <v>1</v>
      </c>
      <c r="F1995" s="27" t="str">
        <f>HYPERLINK("http://nsgreg.nga.mil/genc/view?v=212059&amp;end_month=12&amp;end_day=31&amp;end_year=2014","Fukushima")</f>
        <v>Fukushima</v>
      </c>
      <c r="G1995" s="28" t="str">
        <f>HYPERLINK("http://api.nsgreg.nga.mil/geo-division/GENC/6/ed3/JP-07","as:GENC:6:ed3:JP-07")</f>
        <v>as:GENC:6:ed3:JP-07</v>
      </c>
    </row>
    <row r="1996" spans="1:7" x14ac:dyDescent="0.2">
      <c r="A1996" s="85"/>
      <c r="B1996" s="25" t="s">
        <v>5754</v>
      </c>
      <c r="C1996" s="25" t="s">
        <v>5755</v>
      </c>
      <c r="D1996" s="25" t="s">
        <v>3158</v>
      </c>
      <c r="E1996" s="26" t="b">
        <v>1</v>
      </c>
      <c r="F1996" s="27" t="str">
        <f>HYPERLINK("http://nsgreg.nga.mil/genc/view?v=212073&amp;end_month=12&amp;end_day=31&amp;end_year=2014","Gifu")</f>
        <v>Gifu</v>
      </c>
      <c r="G1996" s="28" t="str">
        <f>HYPERLINK("http://api.nsgreg.nga.mil/geo-division/GENC/6/ed3/JP-21","as:GENC:6:ed3:JP-21")</f>
        <v>as:GENC:6:ed3:JP-21</v>
      </c>
    </row>
    <row r="1997" spans="1:7" x14ac:dyDescent="0.2">
      <c r="A1997" s="85"/>
      <c r="B1997" s="25" t="s">
        <v>5757</v>
      </c>
      <c r="C1997" s="25" t="s">
        <v>5758</v>
      </c>
      <c r="D1997" s="25" t="s">
        <v>3158</v>
      </c>
      <c r="E1997" s="26" t="b">
        <v>1</v>
      </c>
      <c r="F1997" s="27" t="str">
        <f>HYPERLINK("http://nsgreg.nga.mil/genc/view?v=212062&amp;end_month=12&amp;end_day=31&amp;end_year=2014","Gunma")</f>
        <v>Gunma</v>
      </c>
      <c r="G1997" s="28" t="str">
        <f>HYPERLINK("http://api.nsgreg.nga.mil/geo-division/GENC/6/ed3/JP-10","as:GENC:6:ed3:JP-10")</f>
        <v>as:GENC:6:ed3:JP-10</v>
      </c>
    </row>
    <row r="1998" spans="1:7" x14ac:dyDescent="0.2">
      <c r="A1998" s="85"/>
      <c r="B1998" s="25" t="s">
        <v>5759</v>
      </c>
      <c r="C1998" s="25" t="s">
        <v>5760</v>
      </c>
      <c r="D1998" s="25" t="s">
        <v>3158</v>
      </c>
      <c r="E1998" s="26" t="b">
        <v>1</v>
      </c>
      <c r="F1998" s="27" t="str">
        <f>HYPERLINK("http://nsgreg.nga.mil/genc/view?v=212086&amp;end_month=12&amp;end_day=31&amp;end_year=2014","Hiroshima")</f>
        <v>Hiroshima</v>
      </c>
      <c r="G1998" s="28" t="str">
        <f>HYPERLINK("http://api.nsgreg.nga.mil/geo-division/GENC/6/ed3/JP-34","as:GENC:6:ed3:JP-34")</f>
        <v>as:GENC:6:ed3:JP-34</v>
      </c>
    </row>
    <row r="1999" spans="1:7" x14ac:dyDescent="0.2">
      <c r="A1999" s="85"/>
      <c r="B1999" s="25" t="s">
        <v>5762</v>
      </c>
      <c r="C1999" s="25" t="s">
        <v>12525</v>
      </c>
      <c r="D1999" s="25" t="s">
        <v>3158</v>
      </c>
      <c r="E1999" s="26" t="b">
        <v>1</v>
      </c>
      <c r="F1999" s="27" t="str">
        <f>HYPERLINK("http://nsgreg.nga.mil/genc/view?v=212053&amp;end_month=12&amp;end_day=31&amp;end_year=2014","Hokkaidō")</f>
        <v>Hokkaidō</v>
      </c>
      <c r="G1999" s="28" t="str">
        <f>HYPERLINK("http://api.nsgreg.nga.mil/geo-division/GENC/6/ed3/JP-01","as:GENC:6:ed3:JP-01")</f>
        <v>as:GENC:6:ed3:JP-01</v>
      </c>
    </row>
    <row r="2000" spans="1:7" x14ac:dyDescent="0.2">
      <c r="A2000" s="85"/>
      <c r="B2000" s="25" t="s">
        <v>5768</v>
      </c>
      <c r="C2000" s="25" t="s">
        <v>12526</v>
      </c>
      <c r="D2000" s="25" t="s">
        <v>3158</v>
      </c>
      <c r="E2000" s="26" t="b">
        <v>1</v>
      </c>
      <c r="F2000" s="27" t="str">
        <f>HYPERLINK("http://nsgreg.nga.mil/genc/view?v=212080&amp;end_month=12&amp;end_day=31&amp;end_year=2014","Hyōgo")</f>
        <v>Hyōgo</v>
      </c>
      <c r="G2000" s="28" t="str">
        <f>HYPERLINK("http://api.nsgreg.nga.mil/geo-division/GENC/6/ed3/JP-28","as:GENC:6:ed3:JP-28")</f>
        <v>as:GENC:6:ed3:JP-28</v>
      </c>
    </row>
    <row r="2001" spans="1:7" x14ac:dyDescent="0.2">
      <c r="A2001" s="85"/>
      <c r="B2001" s="25" t="s">
        <v>5771</v>
      </c>
      <c r="C2001" s="25" t="s">
        <v>5772</v>
      </c>
      <c r="D2001" s="25" t="s">
        <v>3158</v>
      </c>
      <c r="E2001" s="26" t="b">
        <v>1</v>
      </c>
      <c r="F2001" s="27" t="str">
        <f>HYPERLINK("http://nsgreg.nga.mil/genc/view?v=212060&amp;end_month=12&amp;end_day=31&amp;end_year=2014","Ibaraki")</f>
        <v>Ibaraki</v>
      </c>
      <c r="G2001" s="28" t="str">
        <f>HYPERLINK("http://api.nsgreg.nga.mil/geo-division/GENC/6/ed3/JP-08","as:GENC:6:ed3:JP-08")</f>
        <v>as:GENC:6:ed3:JP-08</v>
      </c>
    </row>
    <row r="2002" spans="1:7" x14ac:dyDescent="0.2">
      <c r="A2002" s="85"/>
      <c r="B2002" s="25" t="s">
        <v>5773</v>
      </c>
      <c r="C2002" s="25" t="s">
        <v>5774</v>
      </c>
      <c r="D2002" s="25" t="s">
        <v>3158</v>
      </c>
      <c r="E2002" s="26" t="b">
        <v>1</v>
      </c>
      <c r="F2002" s="27" t="str">
        <f>HYPERLINK("http://nsgreg.nga.mil/genc/view?v=212069&amp;end_month=12&amp;end_day=31&amp;end_year=2014","Ishikawa")</f>
        <v>Ishikawa</v>
      </c>
      <c r="G2002" s="28" t="str">
        <f>HYPERLINK("http://api.nsgreg.nga.mil/geo-division/GENC/6/ed3/JP-17","as:GENC:6:ed3:JP-17")</f>
        <v>as:GENC:6:ed3:JP-17</v>
      </c>
    </row>
    <row r="2003" spans="1:7" x14ac:dyDescent="0.2">
      <c r="A2003" s="85"/>
      <c r="B2003" s="25" t="s">
        <v>5776</v>
      </c>
      <c r="C2003" s="25" t="s">
        <v>5777</v>
      </c>
      <c r="D2003" s="25" t="s">
        <v>3158</v>
      </c>
      <c r="E2003" s="26" t="b">
        <v>1</v>
      </c>
      <c r="F2003" s="27" t="str">
        <f>HYPERLINK("http://nsgreg.nga.mil/genc/view?v=212055&amp;end_month=12&amp;end_day=31&amp;end_year=2014","Iwate")</f>
        <v>Iwate</v>
      </c>
      <c r="G2003" s="28" t="str">
        <f>HYPERLINK("http://api.nsgreg.nga.mil/geo-division/GENC/6/ed3/JP-03","as:GENC:6:ed3:JP-03")</f>
        <v>as:GENC:6:ed3:JP-03</v>
      </c>
    </row>
    <row r="2004" spans="1:7" x14ac:dyDescent="0.2">
      <c r="A2004" s="85"/>
      <c r="B2004" s="25" t="s">
        <v>5778</v>
      </c>
      <c r="C2004" s="25" t="s">
        <v>5779</v>
      </c>
      <c r="D2004" s="25" t="s">
        <v>3158</v>
      </c>
      <c r="E2004" s="26" t="b">
        <v>1</v>
      </c>
      <c r="F2004" s="27" t="str">
        <f>HYPERLINK("http://nsgreg.nga.mil/genc/view?v=212089&amp;end_month=12&amp;end_day=31&amp;end_year=2014","Kagawa")</f>
        <v>Kagawa</v>
      </c>
      <c r="G2004" s="28" t="str">
        <f>HYPERLINK("http://api.nsgreg.nga.mil/geo-division/GENC/6/ed3/JP-37","as:GENC:6:ed3:JP-37")</f>
        <v>as:GENC:6:ed3:JP-37</v>
      </c>
    </row>
    <row r="2005" spans="1:7" x14ac:dyDescent="0.2">
      <c r="A2005" s="85"/>
      <c r="B2005" s="25" t="s">
        <v>5780</v>
      </c>
      <c r="C2005" s="25" t="s">
        <v>5781</v>
      </c>
      <c r="D2005" s="25" t="s">
        <v>3158</v>
      </c>
      <c r="E2005" s="26" t="b">
        <v>1</v>
      </c>
      <c r="F2005" s="27" t="str">
        <f>HYPERLINK("http://nsgreg.nga.mil/genc/view?v=212098&amp;end_month=12&amp;end_day=31&amp;end_year=2014","Kagoshima")</f>
        <v>Kagoshima</v>
      </c>
      <c r="G2005" s="28" t="str">
        <f>HYPERLINK("http://api.nsgreg.nga.mil/geo-division/GENC/6/ed3/JP-46","as:GENC:6:ed3:JP-46")</f>
        <v>as:GENC:6:ed3:JP-46</v>
      </c>
    </row>
    <row r="2006" spans="1:7" x14ac:dyDescent="0.2">
      <c r="A2006" s="85"/>
      <c r="B2006" s="25" t="s">
        <v>5783</v>
      </c>
      <c r="C2006" s="25" t="s">
        <v>5784</v>
      </c>
      <c r="D2006" s="25" t="s">
        <v>3158</v>
      </c>
      <c r="E2006" s="26" t="b">
        <v>1</v>
      </c>
      <c r="F2006" s="27" t="str">
        <f>HYPERLINK("http://nsgreg.nga.mil/genc/view?v=212066&amp;end_month=12&amp;end_day=31&amp;end_year=2014","Kanagawa")</f>
        <v>Kanagawa</v>
      </c>
      <c r="G2006" s="28" t="str">
        <f>HYPERLINK("http://api.nsgreg.nga.mil/geo-division/GENC/6/ed3/JP-14","as:GENC:6:ed3:JP-14")</f>
        <v>as:GENC:6:ed3:JP-14</v>
      </c>
    </row>
    <row r="2007" spans="1:7" x14ac:dyDescent="0.2">
      <c r="A2007" s="85"/>
      <c r="B2007" s="25" t="s">
        <v>5785</v>
      </c>
      <c r="C2007" s="25" t="s">
        <v>12527</v>
      </c>
      <c r="D2007" s="25" t="s">
        <v>3158</v>
      </c>
      <c r="E2007" s="26" t="b">
        <v>1</v>
      </c>
      <c r="F2007" s="27" t="str">
        <f>HYPERLINK("http://nsgreg.nga.mil/genc/view?v=212091&amp;end_month=12&amp;end_day=31&amp;end_year=2014","Kōchi")</f>
        <v>Kōchi</v>
      </c>
      <c r="G2007" s="28" t="str">
        <f>HYPERLINK("http://api.nsgreg.nga.mil/geo-division/GENC/6/ed3/JP-39","as:GENC:6:ed3:JP-39")</f>
        <v>as:GENC:6:ed3:JP-39</v>
      </c>
    </row>
    <row r="2008" spans="1:7" x14ac:dyDescent="0.2">
      <c r="A2008" s="85"/>
      <c r="B2008" s="25" t="s">
        <v>5787</v>
      </c>
      <c r="C2008" s="25" t="s">
        <v>5788</v>
      </c>
      <c r="D2008" s="25" t="s">
        <v>3158</v>
      </c>
      <c r="E2008" s="26" t="b">
        <v>1</v>
      </c>
      <c r="F2008" s="27" t="str">
        <f>HYPERLINK("http://nsgreg.nga.mil/genc/view?v=212095&amp;end_month=12&amp;end_day=31&amp;end_year=2014","Kumamoto")</f>
        <v>Kumamoto</v>
      </c>
      <c r="G2008" s="28" t="str">
        <f>HYPERLINK("http://api.nsgreg.nga.mil/geo-division/GENC/6/ed3/JP-43","as:GENC:6:ed3:JP-43")</f>
        <v>as:GENC:6:ed3:JP-43</v>
      </c>
    </row>
    <row r="2009" spans="1:7" x14ac:dyDescent="0.2">
      <c r="A2009" s="85"/>
      <c r="B2009" s="25" t="s">
        <v>5789</v>
      </c>
      <c r="C2009" s="25" t="s">
        <v>12528</v>
      </c>
      <c r="D2009" s="25" t="s">
        <v>3158</v>
      </c>
      <c r="E2009" s="26" t="b">
        <v>1</v>
      </c>
      <c r="F2009" s="27" t="str">
        <f>HYPERLINK("http://nsgreg.nga.mil/genc/view?v=212078&amp;end_month=12&amp;end_day=31&amp;end_year=2014","Kyōto")</f>
        <v>Kyōto</v>
      </c>
      <c r="G2009" s="28" t="str">
        <f>HYPERLINK("http://api.nsgreg.nga.mil/geo-division/GENC/6/ed3/JP-26","as:GENC:6:ed3:JP-26")</f>
        <v>as:GENC:6:ed3:JP-26</v>
      </c>
    </row>
    <row r="2010" spans="1:7" x14ac:dyDescent="0.2">
      <c r="A2010" s="85"/>
      <c r="B2010" s="25" t="s">
        <v>5793</v>
      </c>
      <c r="C2010" s="25" t="s">
        <v>5794</v>
      </c>
      <c r="D2010" s="25" t="s">
        <v>3158</v>
      </c>
      <c r="E2010" s="26" t="b">
        <v>1</v>
      </c>
      <c r="F2010" s="27" t="str">
        <f>HYPERLINK("http://nsgreg.nga.mil/genc/view?v=212076&amp;end_month=12&amp;end_day=31&amp;end_year=2014","Mie")</f>
        <v>Mie</v>
      </c>
      <c r="G2010" s="28" t="str">
        <f>HYPERLINK("http://api.nsgreg.nga.mil/geo-division/GENC/6/ed3/JP-24","as:GENC:6:ed3:JP-24")</f>
        <v>as:GENC:6:ed3:JP-24</v>
      </c>
    </row>
    <row r="2011" spans="1:7" x14ac:dyDescent="0.2">
      <c r="A2011" s="85"/>
      <c r="B2011" s="25" t="s">
        <v>5795</v>
      </c>
      <c r="C2011" s="25" t="s">
        <v>5796</v>
      </c>
      <c r="D2011" s="25" t="s">
        <v>3158</v>
      </c>
      <c r="E2011" s="26" t="b">
        <v>1</v>
      </c>
      <c r="F2011" s="27" t="str">
        <f>HYPERLINK("http://nsgreg.nga.mil/genc/view?v=212056&amp;end_month=12&amp;end_day=31&amp;end_year=2014","Miyagi")</f>
        <v>Miyagi</v>
      </c>
      <c r="G2011" s="28" t="str">
        <f>HYPERLINK("http://api.nsgreg.nga.mil/geo-division/GENC/6/ed3/JP-04","as:GENC:6:ed3:JP-04")</f>
        <v>as:GENC:6:ed3:JP-04</v>
      </c>
    </row>
    <row r="2012" spans="1:7" x14ac:dyDescent="0.2">
      <c r="A2012" s="85"/>
      <c r="B2012" s="25" t="s">
        <v>5797</v>
      </c>
      <c r="C2012" s="25" t="s">
        <v>5798</v>
      </c>
      <c r="D2012" s="25" t="s">
        <v>3158</v>
      </c>
      <c r="E2012" s="26" t="b">
        <v>1</v>
      </c>
      <c r="F2012" s="27" t="str">
        <f>HYPERLINK("http://nsgreg.nga.mil/genc/view?v=212097&amp;end_month=12&amp;end_day=31&amp;end_year=2014","Miyazaki")</f>
        <v>Miyazaki</v>
      </c>
      <c r="G2012" s="28" t="str">
        <f>HYPERLINK("http://api.nsgreg.nga.mil/geo-division/GENC/6/ed3/JP-45","as:GENC:6:ed3:JP-45")</f>
        <v>as:GENC:6:ed3:JP-45</v>
      </c>
    </row>
    <row r="2013" spans="1:7" x14ac:dyDescent="0.2">
      <c r="A2013" s="85"/>
      <c r="B2013" s="25" t="s">
        <v>5799</v>
      </c>
      <c r="C2013" s="25" t="s">
        <v>5800</v>
      </c>
      <c r="D2013" s="25" t="s">
        <v>3158</v>
      </c>
      <c r="E2013" s="26" t="b">
        <v>1</v>
      </c>
      <c r="F2013" s="27" t="str">
        <f>HYPERLINK("http://nsgreg.nga.mil/genc/view?v=212072&amp;end_month=12&amp;end_day=31&amp;end_year=2014","Nagano")</f>
        <v>Nagano</v>
      </c>
      <c r="G2013" s="28" t="str">
        <f>HYPERLINK("http://api.nsgreg.nga.mil/geo-division/GENC/6/ed3/JP-20","as:GENC:6:ed3:JP-20")</f>
        <v>as:GENC:6:ed3:JP-20</v>
      </c>
    </row>
    <row r="2014" spans="1:7" x14ac:dyDescent="0.2">
      <c r="A2014" s="85"/>
      <c r="B2014" s="25" t="s">
        <v>5801</v>
      </c>
      <c r="C2014" s="25" t="s">
        <v>5802</v>
      </c>
      <c r="D2014" s="25" t="s">
        <v>3158</v>
      </c>
      <c r="E2014" s="26" t="b">
        <v>1</v>
      </c>
      <c r="F2014" s="27" t="str">
        <f>HYPERLINK("http://nsgreg.nga.mil/genc/view?v=212094&amp;end_month=12&amp;end_day=31&amp;end_year=2014","Nagasaki")</f>
        <v>Nagasaki</v>
      </c>
      <c r="G2014" s="28" t="str">
        <f>HYPERLINK("http://api.nsgreg.nga.mil/geo-division/GENC/6/ed3/JP-42","as:GENC:6:ed3:JP-42")</f>
        <v>as:GENC:6:ed3:JP-42</v>
      </c>
    </row>
    <row r="2015" spans="1:7" x14ac:dyDescent="0.2">
      <c r="A2015" s="85"/>
      <c r="B2015" s="25" t="s">
        <v>5803</v>
      </c>
      <c r="C2015" s="25" t="s">
        <v>5804</v>
      </c>
      <c r="D2015" s="25" t="s">
        <v>3158</v>
      </c>
      <c r="E2015" s="26" t="b">
        <v>1</v>
      </c>
      <c r="F2015" s="27" t="str">
        <f>HYPERLINK("http://nsgreg.nga.mil/genc/view?v=212081&amp;end_month=12&amp;end_day=31&amp;end_year=2014","Nara")</f>
        <v>Nara</v>
      </c>
      <c r="G2015" s="28" t="str">
        <f>HYPERLINK("http://api.nsgreg.nga.mil/geo-division/GENC/6/ed3/JP-29","as:GENC:6:ed3:JP-29")</f>
        <v>as:GENC:6:ed3:JP-29</v>
      </c>
    </row>
    <row r="2016" spans="1:7" x14ac:dyDescent="0.2">
      <c r="A2016" s="85"/>
      <c r="B2016" s="25" t="s">
        <v>5805</v>
      </c>
      <c r="C2016" s="25" t="s">
        <v>5806</v>
      </c>
      <c r="D2016" s="25" t="s">
        <v>3158</v>
      </c>
      <c r="E2016" s="26" t="b">
        <v>1</v>
      </c>
      <c r="F2016" s="27" t="str">
        <f>HYPERLINK("http://nsgreg.nga.mil/genc/view?v=212067&amp;end_month=12&amp;end_day=31&amp;end_year=2014","Niigata")</f>
        <v>Niigata</v>
      </c>
      <c r="G2016" s="28" t="str">
        <f>HYPERLINK("http://api.nsgreg.nga.mil/geo-division/GENC/6/ed3/JP-15","as:GENC:6:ed3:JP-15")</f>
        <v>as:GENC:6:ed3:JP-15</v>
      </c>
    </row>
    <row r="2017" spans="1:7" x14ac:dyDescent="0.2">
      <c r="A2017" s="85"/>
      <c r="B2017" s="25" t="s">
        <v>5807</v>
      </c>
      <c r="C2017" s="25" t="s">
        <v>12529</v>
      </c>
      <c r="D2017" s="25" t="s">
        <v>3158</v>
      </c>
      <c r="E2017" s="26" t="b">
        <v>1</v>
      </c>
      <c r="F2017" s="27" t="str">
        <f>HYPERLINK("http://nsgreg.nga.mil/genc/view?v=212096&amp;end_month=12&amp;end_day=31&amp;end_year=2014","Ōita")</f>
        <v>Ōita</v>
      </c>
      <c r="G2017" s="28" t="str">
        <f>HYPERLINK("http://api.nsgreg.nga.mil/geo-division/GENC/6/ed3/JP-44","as:GENC:6:ed3:JP-44")</f>
        <v>as:GENC:6:ed3:JP-44</v>
      </c>
    </row>
    <row r="2018" spans="1:7" x14ac:dyDescent="0.2">
      <c r="A2018" s="85"/>
      <c r="B2018" s="25" t="s">
        <v>5809</v>
      </c>
      <c r="C2018" s="25" t="s">
        <v>5810</v>
      </c>
      <c r="D2018" s="25" t="s">
        <v>3158</v>
      </c>
      <c r="E2018" s="26" t="b">
        <v>1</v>
      </c>
      <c r="F2018" s="27" t="str">
        <f>HYPERLINK("http://nsgreg.nga.mil/genc/view?v=212085&amp;end_month=12&amp;end_day=31&amp;end_year=2014","Okayama")</f>
        <v>Okayama</v>
      </c>
      <c r="G2018" s="28" t="str">
        <f>HYPERLINK("http://api.nsgreg.nga.mil/geo-division/GENC/6/ed3/JP-33","as:GENC:6:ed3:JP-33")</f>
        <v>as:GENC:6:ed3:JP-33</v>
      </c>
    </row>
    <row r="2019" spans="1:7" x14ac:dyDescent="0.2">
      <c r="A2019" s="85"/>
      <c r="B2019" s="25" t="s">
        <v>5811</v>
      </c>
      <c r="C2019" s="25" t="s">
        <v>5812</v>
      </c>
      <c r="D2019" s="25" t="s">
        <v>3158</v>
      </c>
      <c r="E2019" s="26" t="b">
        <v>1</v>
      </c>
      <c r="F2019" s="27" t="str">
        <f>HYPERLINK("http://nsgreg.nga.mil/genc/view?v=212099&amp;end_month=12&amp;end_day=31&amp;end_year=2014","Okinawa")</f>
        <v>Okinawa</v>
      </c>
      <c r="G2019" s="28" t="str">
        <f>HYPERLINK("http://api.nsgreg.nga.mil/geo-division/GENC/6/ed3/JP-47","as:GENC:6:ed3:JP-47")</f>
        <v>as:GENC:6:ed3:JP-47</v>
      </c>
    </row>
    <row r="2020" spans="1:7" x14ac:dyDescent="0.2">
      <c r="A2020" s="85"/>
      <c r="B2020" s="25" t="s">
        <v>5813</v>
      </c>
      <c r="C2020" s="25" t="s">
        <v>12530</v>
      </c>
      <c r="D2020" s="25" t="s">
        <v>3158</v>
      </c>
      <c r="E2020" s="26" t="b">
        <v>1</v>
      </c>
      <c r="F2020" s="27" t="str">
        <f>HYPERLINK("http://nsgreg.nga.mil/genc/view?v=212079&amp;end_month=12&amp;end_day=31&amp;end_year=2014","Ōsaka")</f>
        <v>Ōsaka</v>
      </c>
      <c r="G2020" s="28" t="str">
        <f>HYPERLINK("http://api.nsgreg.nga.mil/geo-division/GENC/6/ed3/JP-27","as:GENC:6:ed3:JP-27")</f>
        <v>as:GENC:6:ed3:JP-27</v>
      </c>
    </row>
    <row r="2021" spans="1:7" x14ac:dyDescent="0.2">
      <c r="A2021" s="85"/>
      <c r="B2021" s="25" t="s">
        <v>5815</v>
      </c>
      <c r="C2021" s="25" t="s">
        <v>5816</v>
      </c>
      <c r="D2021" s="25" t="s">
        <v>3158</v>
      </c>
      <c r="E2021" s="26" t="b">
        <v>1</v>
      </c>
      <c r="F2021" s="27" t="str">
        <f>HYPERLINK("http://nsgreg.nga.mil/genc/view?v=212093&amp;end_month=12&amp;end_day=31&amp;end_year=2014","Saga")</f>
        <v>Saga</v>
      </c>
      <c r="G2021" s="28" t="str">
        <f>HYPERLINK("http://api.nsgreg.nga.mil/geo-division/GENC/6/ed3/JP-41","as:GENC:6:ed3:JP-41")</f>
        <v>as:GENC:6:ed3:JP-41</v>
      </c>
    </row>
    <row r="2022" spans="1:7" x14ac:dyDescent="0.2">
      <c r="A2022" s="85"/>
      <c r="B2022" s="25" t="s">
        <v>5817</v>
      </c>
      <c r="C2022" s="25" t="s">
        <v>5818</v>
      </c>
      <c r="D2022" s="25" t="s">
        <v>3158</v>
      </c>
      <c r="E2022" s="26" t="b">
        <v>1</v>
      </c>
      <c r="F2022" s="27" t="str">
        <f>HYPERLINK("http://nsgreg.nga.mil/genc/view?v=212063&amp;end_month=12&amp;end_day=31&amp;end_year=2014","Saitama")</f>
        <v>Saitama</v>
      </c>
      <c r="G2022" s="28" t="str">
        <f>HYPERLINK("http://api.nsgreg.nga.mil/geo-division/GENC/6/ed3/JP-11","as:GENC:6:ed3:JP-11")</f>
        <v>as:GENC:6:ed3:JP-11</v>
      </c>
    </row>
    <row r="2023" spans="1:7" x14ac:dyDescent="0.2">
      <c r="A2023" s="85"/>
      <c r="B2023" s="25" t="s">
        <v>5819</v>
      </c>
      <c r="C2023" s="25" t="s">
        <v>5820</v>
      </c>
      <c r="D2023" s="25" t="s">
        <v>3158</v>
      </c>
      <c r="E2023" s="26" t="b">
        <v>1</v>
      </c>
      <c r="F2023" s="27" t="str">
        <f>HYPERLINK("http://nsgreg.nga.mil/genc/view?v=212077&amp;end_month=12&amp;end_day=31&amp;end_year=2014","Shiga")</f>
        <v>Shiga</v>
      </c>
      <c r="G2023" s="28" t="str">
        <f>HYPERLINK("http://api.nsgreg.nga.mil/geo-division/GENC/6/ed3/JP-25","as:GENC:6:ed3:JP-25")</f>
        <v>as:GENC:6:ed3:JP-25</v>
      </c>
    </row>
    <row r="2024" spans="1:7" x14ac:dyDescent="0.2">
      <c r="A2024" s="85"/>
      <c r="B2024" s="25" t="s">
        <v>5821</v>
      </c>
      <c r="C2024" s="25" t="s">
        <v>5822</v>
      </c>
      <c r="D2024" s="25" t="s">
        <v>3158</v>
      </c>
      <c r="E2024" s="26" t="b">
        <v>1</v>
      </c>
      <c r="F2024" s="27" t="str">
        <f>HYPERLINK("http://nsgreg.nga.mil/genc/view?v=212084&amp;end_month=12&amp;end_day=31&amp;end_year=2014","Shimane")</f>
        <v>Shimane</v>
      </c>
      <c r="G2024" s="28" t="str">
        <f>HYPERLINK("http://api.nsgreg.nga.mil/geo-division/GENC/6/ed3/JP-32","as:GENC:6:ed3:JP-32")</f>
        <v>as:GENC:6:ed3:JP-32</v>
      </c>
    </row>
    <row r="2025" spans="1:7" x14ac:dyDescent="0.2">
      <c r="A2025" s="85"/>
      <c r="B2025" s="25" t="s">
        <v>5823</v>
      </c>
      <c r="C2025" s="25" t="s">
        <v>5824</v>
      </c>
      <c r="D2025" s="25" t="s">
        <v>3158</v>
      </c>
      <c r="E2025" s="26" t="b">
        <v>1</v>
      </c>
      <c r="F2025" s="27" t="str">
        <f>HYPERLINK("http://nsgreg.nga.mil/genc/view?v=212074&amp;end_month=12&amp;end_day=31&amp;end_year=2014","Shizuoka")</f>
        <v>Shizuoka</v>
      </c>
      <c r="G2025" s="28" t="str">
        <f>HYPERLINK("http://api.nsgreg.nga.mil/geo-division/GENC/6/ed3/JP-22","as:GENC:6:ed3:JP-22")</f>
        <v>as:GENC:6:ed3:JP-22</v>
      </c>
    </row>
    <row r="2026" spans="1:7" x14ac:dyDescent="0.2">
      <c r="A2026" s="85"/>
      <c r="B2026" s="25" t="s">
        <v>5829</v>
      </c>
      <c r="C2026" s="25" t="s">
        <v>5830</v>
      </c>
      <c r="D2026" s="25" t="s">
        <v>3158</v>
      </c>
      <c r="E2026" s="26" t="b">
        <v>1</v>
      </c>
      <c r="F2026" s="27" t="str">
        <f>HYPERLINK("http://nsgreg.nga.mil/genc/view?v=212061&amp;end_month=12&amp;end_day=31&amp;end_year=2014","Tochigi")</f>
        <v>Tochigi</v>
      </c>
      <c r="G2026" s="28" t="str">
        <f>HYPERLINK("http://api.nsgreg.nga.mil/geo-division/GENC/6/ed3/JP-09","as:GENC:6:ed3:JP-09")</f>
        <v>as:GENC:6:ed3:JP-09</v>
      </c>
    </row>
    <row r="2027" spans="1:7" x14ac:dyDescent="0.2">
      <c r="A2027" s="85"/>
      <c r="B2027" s="25" t="s">
        <v>5831</v>
      </c>
      <c r="C2027" s="25" t="s">
        <v>5832</v>
      </c>
      <c r="D2027" s="25" t="s">
        <v>3158</v>
      </c>
      <c r="E2027" s="26" t="b">
        <v>1</v>
      </c>
      <c r="F2027" s="27" t="str">
        <f>HYPERLINK("http://nsgreg.nga.mil/genc/view?v=212088&amp;end_month=12&amp;end_day=31&amp;end_year=2014","Tokushima")</f>
        <v>Tokushima</v>
      </c>
      <c r="G2027" s="28" t="str">
        <f>HYPERLINK("http://api.nsgreg.nga.mil/geo-division/GENC/6/ed3/JP-36","as:GENC:6:ed3:JP-36")</f>
        <v>as:GENC:6:ed3:JP-36</v>
      </c>
    </row>
    <row r="2028" spans="1:7" x14ac:dyDescent="0.2">
      <c r="A2028" s="85"/>
      <c r="B2028" s="25" t="s">
        <v>5834</v>
      </c>
      <c r="C2028" s="25" t="s">
        <v>12531</v>
      </c>
      <c r="D2028" s="25" t="s">
        <v>3404</v>
      </c>
      <c r="E2028" s="26" t="b">
        <v>1</v>
      </c>
      <c r="F2028" s="27" t="str">
        <f>HYPERLINK("http://nsgreg.nga.mil/genc/view?v=212065&amp;end_month=12&amp;end_day=31&amp;end_year=2014","Tōkyō")</f>
        <v>Tōkyō</v>
      </c>
      <c r="G2028" s="28" t="str">
        <f>HYPERLINK("http://api.nsgreg.nga.mil/geo-division/GENC/6/ed3/JP-13","as:GENC:6:ed3:JP-13")</f>
        <v>as:GENC:6:ed3:JP-13</v>
      </c>
    </row>
    <row r="2029" spans="1:7" x14ac:dyDescent="0.2">
      <c r="A2029" s="85"/>
      <c r="B2029" s="25" t="s">
        <v>5837</v>
      </c>
      <c r="C2029" s="25" t="s">
        <v>5838</v>
      </c>
      <c r="D2029" s="25" t="s">
        <v>3158</v>
      </c>
      <c r="E2029" s="26" t="b">
        <v>1</v>
      </c>
      <c r="F2029" s="27" t="str">
        <f>HYPERLINK("http://nsgreg.nga.mil/genc/view?v=212083&amp;end_month=12&amp;end_day=31&amp;end_year=2014","Tottori")</f>
        <v>Tottori</v>
      </c>
      <c r="G2029" s="28" t="str">
        <f>HYPERLINK("http://api.nsgreg.nga.mil/geo-division/GENC/6/ed3/JP-31","as:GENC:6:ed3:JP-31")</f>
        <v>as:GENC:6:ed3:JP-31</v>
      </c>
    </row>
    <row r="2030" spans="1:7" x14ac:dyDescent="0.2">
      <c r="A2030" s="85"/>
      <c r="B2030" s="25" t="s">
        <v>5839</v>
      </c>
      <c r="C2030" s="25" t="s">
        <v>5840</v>
      </c>
      <c r="D2030" s="25" t="s">
        <v>3158</v>
      </c>
      <c r="E2030" s="26" t="b">
        <v>1</v>
      </c>
      <c r="F2030" s="27" t="str">
        <f>HYPERLINK("http://nsgreg.nga.mil/genc/view?v=212068&amp;end_month=12&amp;end_day=31&amp;end_year=2014","Toyama")</f>
        <v>Toyama</v>
      </c>
      <c r="G2030" s="28" t="str">
        <f>HYPERLINK("http://api.nsgreg.nga.mil/geo-division/GENC/6/ed3/JP-16","as:GENC:6:ed3:JP-16")</f>
        <v>as:GENC:6:ed3:JP-16</v>
      </c>
    </row>
    <row r="2031" spans="1:7" x14ac:dyDescent="0.2">
      <c r="A2031" s="85"/>
      <c r="B2031" s="25" t="s">
        <v>5842</v>
      </c>
      <c r="C2031" s="25" t="s">
        <v>5843</v>
      </c>
      <c r="D2031" s="25" t="s">
        <v>3158</v>
      </c>
      <c r="E2031" s="26" t="b">
        <v>1</v>
      </c>
      <c r="F2031" s="27" t="str">
        <f>HYPERLINK("http://nsgreg.nga.mil/genc/view?v=212082&amp;end_month=12&amp;end_day=31&amp;end_year=2014","Wakayama")</f>
        <v>Wakayama</v>
      </c>
      <c r="G2031" s="28" t="str">
        <f>HYPERLINK("http://api.nsgreg.nga.mil/geo-division/GENC/6/ed3/JP-30","as:GENC:6:ed3:JP-30")</f>
        <v>as:GENC:6:ed3:JP-30</v>
      </c>
    </row>
    <row r="2032" spans="1:7" x14ac:dyDescent="0.2">
      <c r="A2032" s="85"/>
      <c r="B2032" s="25" t="s">
        <v>5844</v>
      </c>
      <c r="C2032" s="25" t="s">
        <v>5845</v>
      </c>
      <c r="D2032" s="25" t="s">
        <v>3158</v>
      </c>
      <c r="E2032" s="26" t="b">
        <v>1</v>
      </c>
      <c r="F2032" s="27" t="str">
        <f>HYPERLINK("http://nsgreg.nga.mil/genc/view?v=212058&amp;end_month=12&amp;end_day=31&amp;end_year=2014","Yamagata")</f>
        <v>Yamagata</v>
      </c>
      <c r="G2032" s="28" t="str">
        <f>HYPERLINK("http://api.nsgreg.nga.mil/geo-division/GENC/6/ed3/JP-06","as:GENC:6:ed3:JP-06")</f>
        <v>as:GENC:6:ed3:JP-06</v>
      </c>
    </row>
    <row r="2033" spans="1:7" x14ac:dyDescent="0.2">
      <c r="A2033" s="85"/>
      <c r="B2033" s="25" t="s">
        <v>5846</v>
      </c>
      <c r="C2033" s="25" t="s">
        <v>5847</v>
      </c>
      <c r="D2033" s="25" t="s">
        <v>3158</v>
      </c>
      <c r="E2033" s="26" t="b">
        <v>1</v>
      </c>
      <c r="F2033" s="27" t="str">
        <f>HYPERLINK("http://nsgreg.nga.mil/genc/view?v=212087&amp;end_month=12&amp;end_day=31&amp;end_year=2014","Yamaguchi")</f>
        <v>Yamaguchi</v>
      </c>
      <c r="G2033" s="28" t="str">
        <f>HYPERLINK("http://api.nsgreg.nga.mil/geo-division/GENC/6/ed3/JP-35","as:GENC:6:ed3:JP-35")</f>
        <v>as:GENC:6:ed3:JP-35</v>
      </c>
    </row>
    <row r="2034" spans="1:7" x14ac:dyDescent="0.2">
      <c r="A2034" s="86"/>
      <c r="B2034" s="29" t="s">
        <v>5849</v>
      </c>
      <c r="C2034" s="29" t="s">
        <v>5850</v>
      </c>
      <c r="D2034" s="29" t="s">
        <v>3158</v>
      </c>
      <c r="E2034" s="30" t="b">
        <v>1</v>
      </c>
      <c r="F2034" s="31" t="str">
        <f>HYPERLINK("http://nsgreg.nga.mil/genc/view?v=212071&amp;end_month=12&amp;end_day=31&amp;end_year=2014","Yamanashi")</f>
        <v>Yamanashi</v>
      </c>
      <c r="G2034" s="32" t="str">
        <f>HYPERLINK("http://api.nsgreg.nga.mil/geo-division/GENC/6/ed3/JP-19","as:GENC:6:ed3:JP-19")</f>
        <v>as:GENC:6:ed3:JP-19</v>
      </c>
    </row>
    <row r="2035" spans="1:7" x14ac:dyDescent="0.2">
      <c r="A2035" s="84" t="str">
        <f>HYPERLINK("[#]Codes_for_GE_Names!A138:I138","JORDAN")</f>
        <v>JORDAN</v>
      </c>
      <c r="B2035" s="33" t="s">
        <v>5876</v>
      </c>
      <c r="C2035" s="33" t="s">
        <v>12532</v>
      </c>
      <c r="D2035" s="33" t="s">
        <v>2365</v>
      </c>
      <c r="E2035" s="34" t="b">
        <v>1</v>
      </c>
      <c r="F2035" s="35" t="str">
        <f>HYPERLINK("http://nsgreg.nga.mil/genc/view?v=120061&amp;gencs=T&amp;end_month=12&amp;end_day=31&amp;end_year=2014","‘Ajlūn")</f>
        <v>‘Ajlūn</v>
      </c>
      <c r="G2035" s="36" t="str">
        <f>HYPERLINK("http://api.nsgreg.nga.mil/geo-division/GENC/6/ed3/JO-AJ","as:GENC:6:ed3:JO-AJ")</f>
        <v>as:GENC:6:ed3:JO-AJ</v>
      </c>
    </row>
    <row r="2036" spans="1:7" x14ac:dyDescent="0.2">
      <c r="A2036" s="85"/>
      <c r="B2036" s="25" t="s">
        <v>5862</v>
      </c>
      <c r="C2036" s="25" t="s">
        <v>12533</v>
      </c>
      <c r="D2036" s="25" t="s">
        <v>2365</v>
      </c>
      <c r="E2036" s="26" t="b">
        <v>1</v>
      </c>
      <c r="F2036" s="27" t="str">
        <f>HYPERLINK("http://nsgreg.nga.mil/genc/view?v=120063&amp;gencs=T&amp;end_month=12&amp;end_day=31&amp;end_year=2014","Al ‘Aqabah")</f>
        <v>Al ‘Aqabah</v>
      </c>
      <c r="G2036" s="28" t="str">
        <f>HYPERLINK("http://api.nsgreg.nga.mil/geo-division/GENC/6/ed3/JO-AQ","as:GENC:6:ed3:JO-AQ")</f>
        <v>as:GENC:6:ed3:JO-AQ</v>
      </c>
    </row>
    <row r="2037" spans="1:7" x14ac:dyDescent="0.2">
      <c r="A2037" s="85"/>
      <c r="B2037" s="25" t="s">
        <v>5854</v>
      </c>
      <c r="C2037" s="25" t="s">
        <v>12036</v>
      </c>
      <c r="D2037" s="25" t="s">
        <v>2365</v>
      </c>
      <c r="E2037" s="26" t="b">
        <v>1</v>
      </c>
      <c r="F2037" s="27" t="str">
        <f>HYPERLINK("http://nsgreg.nga.mil/genc/view?v=212052&amp;end_month=12&amp;end_day=31&amp;end_year=2014","Al ‘Āşimah")</f>
        <v>Al ‘Āşimah</v>
      </c>
      <c r="G2037" s="28" t="str">
        <f>HYPERLINK("http://api.nsgreg.nga.mil/geo-division/GENC/6/ed3/JO-AM","as:GENC:6:ed3:JO-AM")</f>
        <v>as:GENC:6:ed3:JO-AM</v>
      </c>
    </row>
    <row r="2038" spans="1:7" x14ac:dyDescent="0.2">
      <c r="A2038" s="85"/>
      <c r="B2038" s="25" t="s">
        <v>5856</v>
      </c>
      <c r="C2038" s="25" t="s">
        <v>12534</v>
      </c>
      <c r="D2038" s="25" t="s">
        <v>2365</v>
      </c>
      <c r="E2038" s="26" t="b">
        <v>1</v>
      </c>
      <c r="F2038" s="27" t="str">
        <f>HYPERLINK("http://nsgreg.nga.mil/genc/view?v=120066&amp;gencs=T&amp;end_month=12&amp;end_day=31&amp;end_year=2014","Al Balqā’")</f>
        <v>Al Balqā’</v>
      </c>
      <c r="G2038" s="28" t="str">
        <f>HYPERLINK("http://api.nsgreg.nga.mil/geo-division/GENC/6/ed3/JO-BA","as:GENC:6:ed3:JO-BA")</f>
        <v>as:GENC:6:ed3:JO-BA</v>
      </c>
    </row>
    <row r="2039" spans="1:7" x14ac:dyDescent="0.2">
      <c r="A2039" s="85"/>
      <c r="B2039" s="25" t="s">
        <v>5858</v>
      </c>
      <c r="C2039" s="25" t="s">
        <v>5859</v>
      </c>
      <c r="D2039" s="25" t="s">
        <v>2365</v>
      </c>
      <c r="E2039" s="26" t="b">
        <v>1</v>
      </c>
      <c r="F2039" s="27" t="str">
        <f>HYPERLINK("http://nsgreg.nga.mil/genc/view?v=120069&amp;gencs=T&amp;end_month=12&amp;end_day=31&amp;end_year=2014","Al Karak")</f>
        <v>Al Karak</v>
      </c>
      <c r="G2039" s="28" t="str">
        <f>HYPERLINK("http://api.nsgreg.nga.mil/geo-division/GENC/6/ed3/JO-KA","as:GENC:6:ed3:JO-KA")</f>
        <v>as:GENC:6:ed3:JO-KA</v>
      </c>
    </row>
    <row r="2040" spans="1:7" x14ac:dyDescent="0.2">
      <c r="A2040" s="85"/>
      <c r="B2040" s="25" t="s">
        <v>5860</v>
      </c>
      <c r="C2040" s="25" t="s">
        <v>5861</v>
      </c>
      <c r="D2040" s="25" t="s">
        <v>2365</v>
      </c>
      <c r="E2040" s="26" t="b">
        <v>1</v>
      </c>
      <c r="F2040" s="27" t="str">
        <f>HYPERLINK("http://nsgreg.nga.mil/genc/view?v=120070&amp;gencs=T&amp;end_month=12&amp;end_day=31&amp;end_year=2014","Al Mafraq")</f>
        <v>Al Mafraq</v>
      </c>
      <c r="G2040" s="28" t="str">
        <f>HYPERLINK("http://api.nsgreg.nga.mil/geo-division/GENC/6/ed3/JO-MA","as:GENC:6:ed3:JO-MA")</f>
        <v>as:GENC:6:ed3:JO-MA</v>
      </c>
    </row>
    <row r="2041" spans="1:7" x14ac:dyDescent="0.2">
      <c r="A2041" s="85"/>
      <c r="B2041" s="25" t="s">
        <v>5866</v>
      </c>
      <c r="C2041" s="25" t="s">
        <v>5867</v>
      </c>
      <c r="D2041" s="25" t="s">
        <v>2365</v>
      </c>
      <c r="E2041" s="26" t="b">
        <v>1</v>
      </c>
      <c r="F2041" s="27" t="str">
        <f>HYPERLINK("http://nsgreg.nga.mil/genc/view?v=120064&amp;gencs=T&amp;end_month=12&amp;end_day=31&amp;end_year=2014","Aţ Ţafīlah")</f>
        <v>Aţ Ţafīlah</v>
      </c>
      <c r="G2041" s="28" t="str">
        <f>HYPERLINK("http://api.nsgreg.nga.mil/geo-division/GENC/6/ed3/JO-AT","as:GENC:6:ed3:JO-AT")</f>
        <v>as:GENC:6:ed3:JO-AT</v>
      </c>
    </row>
    <row r="2042" spans="1:7" x14ac:dyDescent="0.2">
      <c r="A2042" s="85"/>
      <c r="B2042" s="25" t="s">
        <v>5864</v>
      </c>
      <c r="C2042" s="25" t="s">
        <v>12535</v>
      </c>
      <c r="D2042" s="25" t="s">
        <v>2365</v>
      </c>
      <c r="E2042" s="26" t="b">
        <v>1</v>
      </c>
      <c r="F2042" s="27" t="str">
        <f>HYPERLINK("http://nsgreg.nga.mil/genc/view?v=120065&amp;gencs=T&amp;end_month=12&amp;end_day=31&amp;end_year=2014","Az Zarqā’")</f>
        <v>Az Zarqā’</v>
      </c>
      <c r="G2042" s="28" t="str">
        <f>HYPERLINK("http://api.nsgreg.nga.mil/geo-division/GENC/6/ed3/JO-AZ","as:GENC:6:ed3:JO-AZ")</f>
        <v>as:GENC:6:ed3:JO-AZ</v>
      </c>
    </row>
    <row r="2043" spans="1:7" x14ac:dyDescent="0.2">
      <c r="A2043" s="85"/>
      <c r="B2043" s="25" t="s">
        <v>5868</v>
      </c>
      <c r="C2043" s="25" t="s">
        <v>5869</v>
      </c>
      <c r="D2043" s="25" t="s">
        <v>2365</v>
      </c>
      <c r="E2043" s="26" t="b">
        <v>1</v>
      </c>
      <c r="F2043" s="27" t="str">
        <f>HYPERLINK("http://nsgreg.nga.mil/genc/view?v=120067&amp;gencs=T&amp;end_month=12&amp;end_day=31&amp;end_year=2014","Irbid")</f>
        <v>Irbid</v>
      </c>
      <c r="G2043" s="28" t="str">
        <f>HYPERLINK("http://api.nsgreg.nga.mil/geo-division/GENC/6/ed3/JO-IR","as:GENC:6:ed3:JO-IR")</f>
        <v>as:GENC:6:ed3:JO-IR</v>
      </c>
    </row>
    <row r="2044" spans="1:7" x14ac:dyDescent="0.2">
      <c r="A2044" s="85"/>
      <c r="B2044" s="25" t="s">
        <v>5870</v>
      </c>
      <c r="C2044" s="25" t="s">
        <v>5871</v>
      </c>
      <c r="D2044" s="25" t="s">
        <v>2365</v>
      </c>
      <c r="E2044" s="26" t="b">
        <v>1</v>
      </c>
      <c r="F2044" s="27" t="str">
        <f>HYPERLINK("http://nsgreg.nga.mil/genc/view?v=120068&amp;gencs=T&amp;end_month=12&amp;end_day=31&amp;end_year=2014","Jarash")</f>
        <v>Jarash</v>
      </c>
      <c r="G2044" s="28" t="str">
        <f>HYPERLINK("http://api.nsgreg.nga.mil/geo-division/GENC/6/ed3/JO-JA","as:GENC:6:ed3:JO-JA")</f>
        <v>as:GENC:6:ed3:JO-JA</v>
      </c>
    </row>
    <row r="2045" spans="1:7" x14ac:dyDescent="0.2">
      <c r="A2045" s="85"/>
      <c r="B2045" s="25" t="s">
        <v>5872</v>
      </c>
      <c r="C2045" s="25" t="s">
        <v>12536</v>
      </c>
      <c r="D2045" s="25" t="s">
        <v>2365</v>
      </c>
      <c r="E2045" s="26" t="b">
        <v>1</v>
      </c>
      <c r="F2045" s="27" t="str">
        <f>HYPERLINK("http://nsgreg.nga.mil/genc/view?v=120072&amp;gencs=T&amp;end_month=12&amp;end_day=31&amp;end_year=2014","Ma‘ān")</f>
        <v>Ma‘ān</v>
      </c>
      <c r="G2045" s="28" t="str">
        <f>HYPERLINK("http://api.nsgreg.nga.mil/geo-division/GENC/6/ed3/JO-MN","as:GENC:6:ed3:JO-MN")</f>
        <v>as:GENC:6:ed3:JO-MN</v>
      </c>
    </row>
    <row r="2046" spans="1:7" x14ac:dyDescent="0.2">
      <c r="A2046" s="86"/>
      <c r="B2046" s="29" t="s">
        <v>5874</v>
      </c>
      <c r="C2046" s="29" t="s">
        <v>5875</v>
      </c>
      <c r="D2046" s="29" t="s">
        <v>2365</v>
      </c>
      <c r="E2046" s="30" t="b">
        <v>1</v>
      </c>
      <c r="F2046" s="31" t="str">
        <f>HYPERLINK("http://nsgreg.nga.mil/genc/view?v=120071&amp;gencs=T&amp;end_month=12&amp;end_day=31&amp;end_year=2014","Mādabā")</f>
        <v>Mādabā</v>
      </c>
      <c r="G2046" s="32" t="str">
        <f>HYPERLINK("http://api.nsgreg.nga.mil/geo-division/GENC/6/ed3/JO-MD","as:GENC:6:ed3:JO-MD")</f>
        <v>as:GENC:6:ed3:JO-MD</v>
      </c>
    </row>
    <row r="2047" spans="1:7" x14ac:dyDescent="0.2">
      <c r="A2047" s="84" t="str">
        <f>HYPERLINK("[#]Codes_for_GE_Names!A140:I140","KAZAKHSTAN")</f>
        <v>KAZAKHSTAN</v>
      </c>
      <c r="B2047" s="33" t="s">
        <v>5884</v>
      </c>
      <c r="C2047" s="33" t="s">
        <v>5885</v>
      </c>
      <c r="D2047" s="33" t="s">
        <v>2046</v>
      </c>
      <c r="E2047" s="34" t="b">
        <v>1</v>
      </c>
      <c r="F2047" s="35" t="str">
        <f>HYPERLINK("http://nsgreg.nga.mil/genc/view?v=212179&amp;end_month=12&amp;end_day=31&amp;end_year=2014","Almaty")</f>
        <v>Almaty</v>
      </c>
      <c r="G2047" s="36" t="str">
        <f>HYPERLINK("http://api.nsgreg.nga.mil/geo-division/GENC/6/ed3/KZ-ALA","as:GENC:6:ed3:KZ-ALA")</f>
        <v>as:GENC:6:ed3:KZ-ALA</v>
      </c>
    </row>
    <row r="2048" spans="1:7" x14ac:dyDescent="0.2">
      <c r="A2048" s="85"/>
      <c r="B2048" s="25" t="s">
        <v>5882</v>
      </c>
      <c r="C2048" s="25" t="s">
        <v>5885</v>
      </c>
      <c r="D2048" s="25" t="s">
        <v>2087</v>
      </c>
      <c r="E2048" s="26" t="b">
        <v>1</v>
      </c>
      <c r="F2048" s="27" t="str">
        <f>HYPERLINK("http://nsgreg.nga.mil/genc/view?v=212180&amp;end_month=12&amp;end_day=31&amp;end_year=2014","Almaty")</f>
        <v>Almaty</v>
      </c>
      <c r="G2048" s="28" t="str">
        <f>HYPERLINK("http://api.nsgreg.nga.mil/geo-division/GENC/6/ed3/KZ-ALM","as:GENC:6:ed3:KZ-ALM")</f>
        <v>as:GENC:6:ed3:KZ-ALM</v>
      </c>
    </row>
    <row r="2049" spans="1:7" x14ac:dyDescent="0.2">
      <c r="A2049" s="85"/>
      <c r="B2049" s="25" t="s">
        <v>5878</v>
      </c>
      <c r="C2049" s="25" t="s">
        <v>12537</v>
      </c>
      <c r="D2049" s="25" t="s">
        <v>2087</v>
      </c>
      <c r="E2049" s="26" t="b">
        <v>1</v>
      </c>
      <c r="F2049" s="27" t="str">
        <f>HYPERLINK("http://nsgreg.nga.mil/genc/view?v=212177&amp;end_month=12&amp;end_day=31&amp;end_year=2014","Aqmola")</f>
        <v>Aqmola</v>
      </c>
      <c r="G2049" s="28" t="str">
        <f>HYPERLINK("http://api.nsgreg.nga.mil/geo-division/GENC/6/ed3/KZ-AKM","as:GENC:6:ed3:KZ-AKM")</f>
        <v>as:GENC:6:ed3:KZ-AKM</v>
      </c>
    </row>
    <row r="2050" spans="1:7" x14ac:dyDescent="0.2">
      <c r="A2050" s="85"/>
      <c r="B2050" s="25" t="s">
        <v>5880</v>
      </c>
      <c r="C2050" s="25" t="s">
        <v>12538</v>
      </c>
      <c r="D2050" s="25" t="s">
        <v>2087</v>
      </c>
      <c r="E2050" s="26" t="b">
        <v>1</v>
      </c>
      <c r="F2050" s="27" t="str">
        <f>HYPERLINK("http://nsgreg.nga.mil/genc/view?v=212178&amp;end_month=12&amp;end_day=31&amp;end_year=2014","Aqtöbe")</f>
        <v>Aqtöbe</v>
      </c>
      <c r="G2050" s="28" t="str">
        <f>HYPERLINK("http://api.nsgreg.nga.mil/geo-division/GENC/6/ed3/KZ-AKT","as:GENC:6:ed3:KZ-AKT")</f>
        <v>as:GENC:6:ed3:KZ-AKT</v>
      </c>
    </row>
    <row r="2051" spans="1:7" x14ac:dyDescent="0.2">
      <c r="A2051" s="85"/>
      <c r="B2051" s="25" t="s">
        <v>5889</v>
      </c>
      <c r="C2051" s="25" t="s">
        <v>5890</v>
      </c>
      <c r="D2051" s="25" t="s">
        <v>2046</v>
      </c>
      <c r="E2051" s="26" t="b">
        <v>1</v>
      </c>
      <c r="F2051" s="27" t="str">
        <f>HYPERLINK("http://nsgreg.nga.mil/genc/view?v=212181&amp;end_month=12&amp;end_day=31&amp;end_year=2014","Astana")</f>
        <v>Astana</v>
      </c>
      <c r="G2051" s="28" t="str">
        <f>HYPERLINK("http://api.nsgreg.nga.mil/geo-division/GENC/6/ed3/KZ-AST","as:GENC:6:ed3:KZ-AST")</f>
        <v>as:GENC:6:ed3:KZ-AST</v>
      </c>
    </row>
    <row r="2052" spans="1:7" x14ac:dyDescent="0.2">
      <c r="A2052" s="85"/>
      <c r="B2052" s="25" t="s">
        <v>5891</v>
      </c>
      <c r="C2052" s="25" t="s">
        <v>12539</v>
      </c>
      <c r="D2052" s="25" t="s">
        <v>2087</v>
      </c>
      <c r="E2052" s="26" t="b">
        <v>1</v>
      </c>
      <c r="F2052" s="27" t="str">
        <f>HYPERLINK("http://nsgreg.nga.mil/genc/view?v=212182&amp;end_month=12&amp;end_day=31&amp;end_year=2014","Atyraū")</f>
        <v>Atyraū</v>
      </c>
      <c r="G2052" s="28" t="str">
        <f>HYPERLINK("http://api.nsgreg.nga.mil/geo-division/GENC/6/ed3/KZ-ATY","as:GENC:6:ed3:KZ-ATY")</f>
        <v>as:GENC:6:ed3:KZ-ATY</v>
      </c>
    </row>
    <row r="2053" spans="1:7" x14ac:dyDescent="0.2">
      <c r="A2053" s="85"/>
      <c r="B2053" s="25" t="s">
        <v>5894</v>
      </c>
      <c r="C2053" s="25" t="s">
        <v>12540</v>
      </c>
      <c r="D2053" s="25" t="s">
        <v>2087</v>
      </c>
      <c r="E2053" s="26" t="b">
        <v>1</v>
      </c>
      <c r="F2053" s="27" t="str">
        <f>HYPERLINK("http://nsgreg.nga.mil/genc/view?v=212192&amp;end_month=12&amp;end_day=31&amp;end_year=2014","Batys Qazaqstan")</f>
        <v>Batys Qazaqstan</v>
      </c>
      <c r="G2053" s="28" t="str">
        <f>HYPERLINK("http://api.nsgreg.nga.mil/geo-division/GENC/6/ed3/KZ-ZAP","as:GENC:6:ed3:KZ-ZAP")</f>
        <v>as:GENC:6:ed3:KZ-ZAP</v>
      </c>
    </row>
    <row r="2054" spans="1:7" x14ac:dyDescent="0.2">
      <c r="A2054" s="85"/>
      <c r="B2054" s="25" t="s">
        <v>12541</v>
      </c>
      <c r="C2054" s="25" t="s">
        <v>12542</v>
      </c>
      <c r="D2054" s="25" t="s">
        <v>2046</v>
      </c>
      <c r="E2054" s="26" t="b">
        <v>1</v>
      </c>
      <c r="F2054" s="27" t="str">
        <f>HYPERLINK("http://nsgreg.nga.mil/genc/view?v=212183&amp;end_month=12&amp;end_day=31&amp;end_year=2014","Bayqongyr")</f>
        <v>Bayqongyr</v>
      </c>
      <c r="G2054" s="28" t="str">
        <f>HYPERLINK("http://api.nsgreg.nga.mil/geo-division/GENC/6/ed3/KZ-BAY","as:GENC:6:ed3:KZ-BAY")</f>
        <v>as:GENC:6:ed3:KZ-BAY</v>
      </c>
    </row>
    <row r="2055" spans="1:7" x14ac:dyDescent="0.2">
      <c r="A2055" s="85"/>
      <c r="B2055" s="25" t="s">
        <v>5902</v>
      </c>
      <c r="C2055" s="25" t="s">
        <v>12543</v>
      </c>
      <c r="D2055" s="25" t="s">
        <v>2087</v>
      </c>
      <c r="E2055" s="26" t="b">
        <v>1</v>
      </c>
      <c r="F2055" s="27" t="str">
        <f>HYPERLINK("http://nsgreg.nga.mil/genc/view?v=212187&amp;end_month=12&amp;end_day=31&amp;end_year=2014","Mangghystaū")</f>
        <v>Mangghystaū</v>
      </c>
      <c r="G2055" s="28" t="str">
        <f>HYPERLINK("http://api.nsgreg.nga.mil/geo-division/GENC/6/ed3/KZ-MAN","as:GENC:6:ed3:KZ-MAN")</f>
        <v>as:GENC:6:ed3:KZ-MAN</v>
      </c>
    </row>
    <row r="2056" spans="1:7" x14ac:dyDescent="0.2">
      <c r="A2056" s="85"/>
      <c r="B2056" s="25" t="s">
        <v>5905</v>
      </c>
      <c r="C2056" s="25" t="s">
        <v>12544</v>
      </c>
      <c r="D2056" s="25" t="s">
        <v>2087</v>
      </c>
      <c r="E2056" s="26" t="b">
        <v>1</v>
      </c>
      <c r="F2056" s="27" t="str">
        <f>HYPERLINK("http://nsgreg.nga.mil/genc/view?v=212191&amp;end_month=12&amp;end_day=31&amp;end_year=2014","Ongtüstik Qazaqstan")</f>
        <v>Ongtüstik Qazaqstan</v>
      </c>
      <c r="G2056" s="28" t="str">
        <f>HYPERLINK("http://api.nsgreg.nga.mil/geo-division/GENC/6/ed3/KZ-YUZ","as:GENC:6:ed3:KZ-YUZ")</f>
        <v>as:GENC:6:ed3:KZ-YUZ</v>
      </c>
    </row>
    <row r="2057" spans="1:7" x14ac:dyDescent="0.2">
      <c r="A2057" s="85"/>
      <c r="B2057" s="25" t="s">
        <v>5907</v>
      </c>
      <c r="C2057" s="25" t="s">
        <v>12545</v>
      </c>
      <c r="D2057" s="25" t="s">
        <v>2087</v>
      </c>
      <c r="E2057" s="26" t="b">
        <v>1</v>
      </c>
      <c r="F2057" s="27" t="str">
        <f>HYPERLINK("http://nsgreg.nga.mil/genc/view?v=212188&amp;end_month=12&amp;end_day=31&amp;end_year=2014","Pavlodar")</f>
        <v>Pavlodar</v>
      </c>
      <c r="G2057" s="28" t="str">
        <f>HYPERLINK("http://api.nsgreg.nga.mil/geo-division/GENC/6/ed3/KZ-PAV","as:GENC:6:ed3:KZ-PAV")</f>
        <v>as:GENC:6:ed3:KZ-PAV</v>
      </c>
    </row>
    <row r="2058" spans="1:7" x14ac:dyDescent="0.2">
      <c r="A2058" s="85"/>
      <c r="B2058" s="25" t="s">
        <v>5896</v>
      </c>
      <c r="C2058" s="25" t="s">
        <v>12546</v>
      </c>
      <c r="D2058" s="25" t="s">
        <v>2087</v>
      </c>
      <c r="E2058" s="26" t="b">
        <v>1</v>
      </c>
      <c r="F2058" s="27" t="str">
        <f>HYPERLINK("http://nsgreg.nga.mil/genc/view?v=212184&amp;end_month=12&amp;end_day=31&amp;end_year=2014","Qaraghandy")</f>
        <v>Qaraghandy</v>
      </c>
      <c r="G2058" s="28" t="str">
        <f>HYPERLINK("http://api.nsgreg.nga.mil/geo-division/GENC/6/ed3/KZ-KAR","as:GENC:6:ed3:KZ-KAR")</f>
        <v>as:GENC:6:ed3:KZ-KAR</v>
      </c>
    </row>
    <row r="2059" spans="1:7" x14ac:dyDescent="0.2">
      <c r="A2059" s="85"/>
      <c r="B2059" s="25" t="s">
        <v>5898</v>
      </c>
      <c r="C2059" s="25" t="s">
        <v>12547</v>
      </c>
      <c r="D2059" s="25" t="s">
        <v>2087</v>
      </c>
      <c r="E2059" s="26" t="b">
        <v>1</v>
      </c>
      <c r="F2059" s="27" t="str">
        <f>HYPERLINK("http://nsgreg.nga.mil/genc/view?v=212185&amp;end_month=12&amp;end_day=31&amp;end_year=2014","Qostanay")</f>
        <v>Qostanay</v>
      </c>
      <c r="G2059" s="28" t="str">
        <f>HYPERLINK("http://api.nsgreg.nga.mil/geo-division/GENC/6/ed3/KZ-KUS","as:GENC:6:ed3:KZ-KUS")</f>
        <v>as:GENC:6:ed3:KZ-KUS</v>
      </c>
    </row>
    <row r="2060" spans="1:7" x14ac:dyDescent="0.2">
      <c r="A2060" s="85"/>
      <c r="B2060" s="25" t="s">
        <v>5900</v>
      </c>
      <c r="C2060" s="25" t="s">
        <v>12548</v>
      </c>
      <c r="D2060" s="25" t="s">
        <v>2087</v>
      </c>
      <c r="E2060" s="26" t="b">
        <v>1</v>
      </c>
      <c r="F2060" s="27" t="str">
        <f>HYPERLINK("http://nsgreg.nga.mil/genc/view?v=212186&amp;end_month=12&amp;end_day=31&amp;end_year=2014","Qyzylorda")</f>
        <v>Qyzylorda</v>
      </c>
      <c r="G2060" s="28" t="str">
        <f>HYPERLINK("http://api.nsgreg.nga.mil/geo-division/GENC/6/ed3/KZ-KZY","as:GENC:6:ed3:KZ-KZY")</f>
        <v>as:GENC:6:ed3:KZ-KZY</v>
      </c>
    </row>
    <row r="2061" spans="1:7" x14ac:dyDescent="0.2">
      <c r="A2061" s="85"/>
      <c r="B2061" s="25" t="s">
        <v>5915</v>
      </c>
      <c r="C2061" s="25" t="s">
        <v>12549</v>
      </c>
      <c r="D2061" s="25" t="s">
        <v>2087</v>
      </c>
      <c r="E2061" s="26" t="b">
        <v>1</v>
      </c>
      <c r="F2061" s="27" t="str">
        <f>HYPERLINK("http://nsgreg.nga.mil/genc/view?v=212190&amp;end_month=12&amp;end_day=31&amp;end_year=2014","Shyghys Qazaqstan")</f>
        <v>Shyghys Qazaqstan</v>
      </c>
      <c r="G2061" s="28" t="str">
        <f>HYPERLINK("http://api.nsgreg.nga.mil/geo-division/GENC/6/ed3/KZ-VOS","as:GENC:6:ed3:KZ-VOS")</f>
        <v>as:GENC:6:ed3:KZ-VOS</v>
      </c>
    </row>
    <row r="2062" spans="1:7" x14ac:dyDescent="0.2">
      <c r="A2062" s="85"/>
      <c r="B2062" s="25" t="s">
        <v>5913</v>
      </c>
      <c r="C2062" s="25" t="s">
        <v>12550</v>
      </c>
      <c r="D2062" s="25" t="s">
        <v>2087</v>
      </c>
      <c r="E2062" s="26" t="b">
        <v>1</v>
      </c>
      <c r="F2062" s="27" t="str">
        <f>HYPERLINK("http://nsgreg.nga.mil/genc/view?v=212189&amp;end_month=12&amp;end_day=31&amp;end_year=2014","Soltüstik Qazaqstan")</f>
        <v>Soltüstik Qazaqstan</v>
      </c>
      <c r="G2062" s="28" t="str">
        <f>HYPERLINK("http://api.nsgreg.nga.mil/geo-division/GENC/6/ed3/KZ-SEV","as:GENC:6:ed3:KZ-SEV")</f>
        <v>as:GENC:6:ed3:KZ-SEV</v>
      </c>
    </row>
    <row r="2063" spans="1:7" x14ac:dyDescent="0.2">
      <c r="A2063" s="86"/>
      <c r="B2063" s="29" t="s">
        <v>5921</v>
      </c>
      <c r="C2063" s="29" t="s">
        <v>12551</v>
      </c>
      <c r="D2063" s="29" t="s">
        <v>2087</v>
      </c>
      <c r="E2063" s="30" t="b">
        <v>1</v>
      </c>
      <c r="F2063" s="31" t="str">
        <f>HYPERLINK("http://nsgreg.nga.mil/genc/view?v=212193&amp;end_month=12&amp;end_day=31&amp;end_year=2014","Zhambyl")</f>
        <v>Zhambyl</v>
      </c>
      <c r="G2063" s="32" t="str">
        <f>HYPERLINK("http://api.nsgreg.nga.mil/geo-division/GENC/6/ed3/KZ-ZHA","as:GENC:6:ed3:KZ-ZHA")</f>
        <v>as:GENC:6:ed3:KZ-ZHA</v>
      </c>
    </row>
    <row r="2064" spans="1:7" x14ac:dyDescent="0.2">
      <c r="A2064" s="84" t="str">
        <f>HYPERLINK("[#]Codes_for_GE_Names!A141:I141","KENYA")</f>
        <v>KENYA</v>
      </c>
      <c r="B2064" s="33" t="s">
        <v>12552</v>
      </c>
      <c r="C2064" s="33" t="s">
        <v>12553</v>
      </c>
      <c r="D2064" s="33" t="s">
        <v>1788</v>
      </c>
      <c r="E2064" s="34" t="b">
        <v>1</v>
      </c>
      <c r="F2064" s="35" t="str">
        <f>HYPERLINK("http://nsgreg.nga.mil/genc/view?v=120128&amp;gencs=T&amp;end_month=12&amp;end_day=31&amp;end_year=2014","Baringo")</f>
        <v>Baringo</v>
      </c>
      <c r="G2064" s="36" t="str">
        <f>HYPERLINK("http://api.nsgreg.nga.mil/geo-division/GENC/6/ed3/KE-01","as:GENC:6:ed3:KE-01")</f>
        <v>as:GENC:6:ed3:KE-01</v>
      </c>
    </row>
    <row r="2065" spans="1:7" x14ac:dyDescent="0.2">
      <c r="A2065" s="85"/>
      <c r="B2065" s="25" t="s">
        <v>12554</v>
      </c>
      <c r="C2065" s="25" t="s">
        <v>12555</v>
      </c>
      <c r="D2065" s="25" t="s">
        <v>1788</v>
      </c>
      <c r="E2065" s="26" t="b">
        <v>1</v>
      </c>
      <c r="F2065" s="27" t="str">
        <f>HYPERLINK("http://nsgreg.nga.mil/genc/view?v=120129&amp;gencs=T&amp;end_month=12&amp;end_day=31&amp;end_year=2014","Bomet")</f>
        <v>Bomet</v>
      </c>
      <c r="G2065" s="28" t="str">
        <f>HYPERLINK("http://api.nsgreg.nga.mil/geo-division/GENC/6/ed3/KE-02","as:GENC:6:ed3:KE-02")</f>
        <v>as:GENC:6:ed3:KE-02</v>
      </c>
    </row>
    <row r="2066" spans="1:7" x14ac:dyDescent="0.2">
      <c r="A2066" s="85"/>
      <c r="B2066" s="25" t="s">
        <v>12556</v>
      </c>
      <c r="C2066" s="25" t="s">
        <v>12557</v>
      </c>
      <c r="D2066" s="25" t="s">
        <v>1788</v>
      </c>
      <c r="E2066" s="26" t="b">
        <v>1</v>
      </c>
      <c r="F2066" s="27" t="str">
        <f>HYPERLINK("http://nsgreg.nga.mil/genc/view?v=120130&amp;gencs=T&amp;end_month=12&amp;end_day=31&amp;end_year=2014","Bungoma")</f>
        <v>Bungoma</v>
      </c>
      <c r="G2066" s="28" t="str">
        <f>HYPERLINK("http://api.nsgreg.nga.mil/geo-division/GENC/6/ed3/KE-03","as:GENC:6:ed3:KE-03")</f>
        <v>as:GENC:6:ed3:KE-03</v>
      </c>
    </row>
    <row r="2067" spans="1:7" x14ac:dyDescent="0.2">
      <c r="A2067" s="85"/>
      <c r="B2067" s="25" t="s">
        <v>12558</v>
      </c>
      <c r="C2067" s="25" t="s">
        <v>10839</v>
      </c>
      <c r="D2067" s="25" t="s">
        <v>1788</v>
      </c>
      <c r="E2067" s="26" t="b">
        <v>1</v>
      </c>
      <c r="F2067" s="27" t="str">
        <f>HYPERLINK("http://nsgreg.nga.mil/genc/view?v=120131&amp;gencs=T&amp;end_month=12&amp;end_day=31&amp;end_year=2014","Busia")</f>
        <v>Busia</v>
      </c>
      <c r="G2067" s="28" t="str">
        <f>HYPERLINK("http://api.nsgreg.nga.mil/geo-division/GENC/6/ed3/KE-04","as:GENC:6:ed3:KE-04")</f>
        <v>as:GENC:6:ed3:KE-04</v>
      </c>
    </row>
    <row r="2068" spans="1:7" x14ac:dyDescent="0.2">
      <c r="A2068" s="85"/>
      <c r="B2068" s="25" t="s">
        <v>12559</v>
      </c>
      <c r="C2068" s="25" t="s">
        <v>12560</v>
      </c>
      <c r="D2068" s="25" t="s">
        <v>1788</v>
      </c>
      <c r="E2068" s="26" t="b">
        <v>1</v>
      </c>
      <c r="F2068" s="27" t="str">
        <f>HYPERLINK("http://nsgreg.nga.mil/genc/view?v=120132&amp;gencs=T&amp;end_month=12&amp;end_day=31&amp;end_year=2014","Elgeyo/Marakwet")</f>
        <v>Elgeyo/Marakwet</v>
      </c>
      <c r="G2068" s="28" t="str">
        <f>HYPERLINK("http://api.nsgreg.nga.mil/geo-division/GENC/6/ed3/KE-05","as:GENC:6:ed3:KE-05")</f>
        <v>as:GENC:6:ed3:KE-05</v>
      </c>
    </row>
    <row r="2069" spans="1:7" x14ac:dyDescent="0.2">
      <c r="A2069" s="85"/>
      <c r="B2069" s="25" t="s">
        <v>12561</v>
      </c>
      <c r="C2069" s="25" t="s">
        <v>12562</v>
      </c>
      <c r="D2069" s="25" t="s">
        <v>1788</v>
      </c>
      <c r="E2069" s="26" t="b">
        <v>1</v>
      </c>
      <c r="F2069" s="27" t="str">
        <f>HYPERLINK("http://nsgreg.nga.mil/genc/view?v=120133&amp;gencs=T&amp;end_month=12&amp;end_day=31&amp;end_year=2014","Embu")</f>
        <v>Embu</v>
      </c>
      <c r="G2069" s="28" t="str">
        <f>HYPERLINK("http://api.nsgreg.nga.mil/geo-division/GENC/6/ed3/KE-06","as:GENC:6:ed3:KE-06")</f>
        <v>as:GENC:6:ed3:KE-06</v>
      </c>
    </row>
    <row r="2070" spans="1:7" x14ac:dyDescent="0.2">
      <c r="A2070" s="85"/>
      <c r="B2070" s="25" t="s">
        <v>12563</v>
      </c>
      <c r="C2070" s="25" t="s">
        <v>12564</v>
      </c>
      <c r="D2070" s="25" t="s">
        <v>1788</v>
      </c>
      <c r="E2070" s="26" t="b">
        <v>1</v>
      </c>
      <c r="F2070" s="27" t="str">
        <f>HYPERLINK("http://nsgreg.nga.mil/genc/view?v=120134&amp;gencs=T&amp;end_month=12&amp;end_day=31&amp;end_year=2014","Garissa")</f>
        <v>Garissa</v>
      </c>
      <c r="G2070" s="28" t="str">
        <f>HYPERLINK("http://api.nsgreg.nga.mil/geo-division/GENC/6/ed3/KE-07","as:GENC:6:ed3:KE-07")</f>
        <v>as:GENC:6:ed3:KE-07</v>
      </c>
    </row>
    <row r="2071" spans="1:7" x14ac:dyDescent="0.2">
      <c r="A2071" s="85"/>
      <c r="B2071" s="25" t="s">
        <v>12565</v>
      </c>
      <c r="C2071" s="25" t="s">
        <v>12566</v>
      </c>
      <c r="D2071" s="25" t="s">
        <v>1788</v>
      </c>
      <c r="E2071" s="26" t="b">
        <v>1</v>
      </c>
      <c r="F2071" s="27" t="str">
        <f>HYPERLINK("http://nsgreg.nga.mil/genc/view?v=120135&amp;gencs=T&amp;end_month=12&amp;end_day=31&amp;end_year=2014","Homa Bay")</f>
        <v>Homa Bay</v>
      </c>
      <c r="G2071" s="28" t="str">
        <f>HYPERLINK("http://api.nsgreg.nga.mil/geo-division/GENC/6/ed3/KE-08","as:GENC:6:ed3:KE-08")</f>
        <v>as:GENC:6:ed3:KE-08</v>
      </c>
    </row>
    <row r="2072" spans="1:7" x14ac:dyDescent="0.2">
      <c r="A2072" s="85"/>
      <c r="B2072" s="25" t="s">
        <v>12567</v>
      </c>
      <c r="C2072" s="25" t="s">
        <v>12568</v>
      </c>
      <c r="D2072" s="25" t="s">
        <v>1788</v>
      </c>
      <c r="E2072" s="26" t="b">
        <v>1</v>
      </c>
      <c r="F2072" s="27" t="str">
        <f>HYPERLINK("http://nsgreg.nga.mil/genc/view?v=120136&amp;gencs=T&amp;end_month=12&amp;end_day=31&amp;end_year=2014","Isiolo")</f>
        <v>Isiolo</v>
      </c>
      <c r="G2072" s="28" t="str">
        <f>HYPERLINK("http://api.nsgreg.nga.mil/geo-division/GENC/6/ed3/KE-09","as:GENC:6:ed3:KE-09")</f>
        <v>as:GENC:6:ed3:KE-09</v>
      </c>
    </row>
    <row r="2073" spans="1:7" x14ac:dyDescent="0.2">
      <c r="A2073" s="85"/>
      <c r="B2073" s="25" t="s">
        <v>12569</v>
      </c>
      <c r="C2073" s="25" t="s">
        <v>12570</v>
      </c>
      <c r="D2073" s="25" t="s">
        <v>1788</v>
      </c>
      <c r="E2073" s="26" t="b">
        <v>1</v>
      </c>
      <c r="F2073" s="27" t="str">
        <f>HYPERLINK("http://nsgreg.nga.mil/genc/view?v=120137&amp;gencs=T&amp;end_month=12&amp;end_day=31&amp;end_year=2014","Kajiado")</f>
        <v>Kajiado</v>
      </c>
      <c r="G2073" s="28" t="str">
        <f>HYPERLINK("http://api.nsgreg.nga.mil/geo-division/GENC/6/ed3/KE-10","as:GENC:6:ed3:KE-10")</f>
        <v>as:GENC:6:ed3:KE-10</v>
      </c>
    </row>
    <row r="2074" spans="1:7" x14ac:dyDescent="0.2">
      <c r="A2074" s="85"/>
      <c r="B2074" s="25" t="s">
        <v>12571</v>
      </c>
      <c r="C2074" s="25" t="s">
        <v>12572</v>
      </c>
      <c r="D2074" s="25" t="s">
        <v>1788</v>
      </c>
      <c r="E2074" s="26" t="b">
        <v>1</v>
      </c>
      <c r="F2074" s="27" t="str">
        <f>HYPERLINK("http://nsgreg.nga.mil/genc/view?v=120138&amp;gencs=T&amp;end_month=12&amp;end_day=31&amp;end_year=2014","Kakamega")</f>
        <v>Kakamega</v>
      </c>
      <c r="G2074" s="28" t="str">
        <f>HYPERLINK("http://api.nsgreg.nga.mil/geo-division/GENC/6/ed3/KE-11","as:GENC:6:ed3:KE-11")</f>
        <v>as:GENC:6:ed3:KE-11</v>
      </c>
    </row>
    <row r="2075" spans="1:7" x14ac:dyDescent="0.2">
      <c r="A2075" s="85"/>
      <c r="B2075" s="25" t="s">
        <v>12573</v>
      </c>
      <c r="C2075" s="25" t="s">
        <v>12574</v>
      </c>
      <c r="D2075" s="25" t="s">
        <v>1788</v>
      </c>
      <c r="E2075" s="26" t="b">
        <v>1</v>
      </c>
      <c r="F2075" s="27" t="str">
        <f>HYPERLINK("http://nsgreg.nga.mil/genc/view?v=120139&amp;gencs=T&amp;end_month=12&amp;end_day=31&amp;end_year=2014","Kericho")</f>
        <v>Kericho</v>
      </c>
      <c r="G2075" s="28" t="str">
        <f>HYPERLINK("http://api.nsgreg.nga.mil/geo-division/GENC/6/ed3/KE-12","as:GENC:6:ed3:KE-12")</f>
        <v>as:GENC:6:ed3:KE-12</v>
      </c>
    </row>
    <row r="2076" spans="1:7" x14ac:dyDescent="0.2">
      <c r="A2076" s="85"/>
      <c r="B2076" s="25" t="s">
        <v>12575</v>
      </c>
      <c r="C2076" s="25" t="s">
        <v>12576</v>
      </c>
      <c r="D2076" s="25" t="s">
        <v>1788</v>
      </c>
      <c r="E2076" s="26" t="b">
        <v>1</v>
      </c>
      <c r="F2076" s="27" t="str">
        <f>HYPERLINK("http://nsgreg.nga.mil/genc/view?v=120140&amp;gencs=T&amp;end_month=12&amp;end_day=31&amp;end_year=2014","Kiambu")</f>
        <v>Kiambu</v>
      </c>
      <c r="G2076" s="28" t="str">
        <f>HYPERLINK("http://api.nsgreg.nga.mil/geo-division/GENC/6/ed3/KE-13","as:GENC:6:ed3:KE-13")</f>
        <v>as:GENC:6:ed3:KE-13</v>
      </c>
    </row>
    <row r="2077" spans="1:7" x14ac:dyDescent="0.2">
      <c r="A2077" s="85"/>
      <c r="B2077" s="25" t="s">
        <v>12577</v>
      </c>
      <c r="C2077" s="25" t="s">
        <v>12578</v>
      </c>
      <c r="D2077" s="25" t="s">
        <v>1788</v>
      </c>
      <c r="E2077" s="26" t="b">
        <v>1</v>
      </c>
      <c r="F2077" s="27" t="str">
        <f>HYPERLINK("http://nsgreg.nga.mil/genc/view?v=120141&amp;gencs=T&amp;end_month=12&amp;end_day=31&amp;end_year=2014","Kilifi")</f>
        <v>Kilifi</v>
      </c>
      <c r="G2077" s="28" t="str">
        <f>HYPERLINK("http://api.nsgreg.nga.mil/geo-division/GENC/6/ed3/KE-14","as:GENC:6:ed3:KE-14")</f>
        <v>as:GENC:6:ed3:KE-14</v>
      </c>
    </row>
    <row r="2078" spans="1:7" x14ac:dyDescent="0.2">
      <c r="A2078" s="85"/>
      <c r="B2078" s="25" t="s">
        <v>12579</v>
      </c>
      <c r="C2078" s="25" t="s">
        <v>12580</v>
      </c>
      <c r="D2078" s="25" t="s">
        <v>1788</v>
      </c>
      <c r="E2078" s="26" t="b">
        <v>1</v>
      </c>
      <c r="F2078" s="27" t="str">
        <f>HYPERLINK("http://nsgreg.nga.mil/genc/view?v=120142&amp;gencs=T&amp;end_month=12&amp;end_day=31&amp;end_year=2014","Kirinyaga")</f>
        <v>Kirinyaga</v>
      </c>
      <c r="G2078" s="28" t="str">
        <f>HYPERLINK("http://api.nsgreg.nga.mil/geo-division/GENC/6/ed3/KE-15","as:GENC:6:ed3:KE-15")</f>
        <v>as:GENC:6:ed3:KE-15</v>
      </c>
    </row>
    <row r="2079" spans="1:7" x14ac:dyDescent="0.2">
      <c r="A2079" s="85"/>
      <c r="B2079" s="25" t="s">
        <v>12581</v>
      </c>
      <c r="C2079" s="25" t="s">
        <v>12582</v>
      </c>
      <c r="D2079" s="25" t="s">
        <v>1788</v>
      </c>
      <c r="E2079" s="26" t="b">
        <v>1</v>
      </c>
      <c r="F2079" s="27" t="str">
        <f>HYPERLINK("http://nsgreg.nga.mil/genc/view?v=120143&amp;gencs=T&amp;end_month=12&amp;end_day=31&amp;end_year=2014","Kisii")</f>
        <v>Kisii</v>
      </c>
      <c r="G2079" s="28" t="str">
        <f>HYPERLINK("http://api.nsgreg.nga.mil/geo-division/GENC/6/ed3/KE-16","as:GENC:6:ed3:KE-16")</f>
        <v>as:GENC:6:ed3:KE-16</v>
      </c>
    </row>
    <row r="2080" spans="1:7" x14ac:dyDescent="0.2">
      <c r="A2080" s="85"/>
      <c r="B2080" s="25" t="s">
        <v>12583</v>
      </c>
      <c r="C2080" s="25" t="s">
        <v>12584</v>
      </c>
      <c r="D2080" s="25" t="s">
        <v>1788</v>
      </c>
      <c r="E2080" s="26" t="b">
        <v>1</v>
      </c>
      <c r="F2080" s="27" t="str">
        <f>HYPERLINK("http://nsgreg.nga.mil/genc/view?v=120144&amp;gencs=T&amp;end_month=12&amp;end_day=31&amp;end_year=2014","Kisumu")</f>
        <v>Kisumu</v>
      </c>
      <c r="G2080" s="28" t="str">
        <f>HYPERLINK("http://api.nsgreg.nga.mil/geo-division/GENC/6/ed3/KE-17","as:GENC:6:ed3:KE-17")</f>
        <v>as:GENC:6:ed3:KE-17</v>
      </c>
    </row>
    <row r="2081" spans="1:7" x14ac:dyDescent="0.2">
      <c r="A2081" s="85"/>
      <c r="B2081" s="25" t="s">
        <v>12585</v>
      </c>
      <c r="C2081" s="25" t="s">
        <v>12586</v>
      </c>
      <c r="D2081" s="25" t="s">
        <v>1788</v>
      </c>
      <c r="E2081" s="26" t="b">
        <v>1</v>
      </c>
      <c r="F2081" s="27" t="str">
        <f>HYPERLINK("http://nsgreg.nga.mil/genc/view?v=120145&amp;gencs=T&amp;end_month=12&amp;end_day=31&amp;end_year=2014","Kitui")</f>
        <v>Kitui</v>
      </c>
      <c r="G2081" s="28" t="str">
        <f>HYPERLINK("http://api.nsgreg.nga.mil/geo-division/GENC/6/ed3/KE-18","as:GENC:6:ed3:KE-18")</f>
        <v>as:GENC:6:ed3:KE-18</v>
      </c>
    </row>
    <row r="2082" spans="1:7" x14ac:dyDescent="0.2">
      <c r="A2082" s="85"/>
      <c r="B2082" s="25" t="s">
        <v>12587</v>
      </c>
      <c r="C2082" s="25" t="s">
        <v>12588</v>
      </c>
      <c r="D2082" s="25" t="s">
        <v>1788</v>
      </c>
      <c r="E2082" s="26" t="b">
        <v>1</v>
      </c>
      <c r="F2082" s="27" t="str">
        <f>HYPERLINK("http://nsgreg.nga.mil/genc/view?v=120146&amp;gencs=T&amp;end_month=12&amp;end_day=31&amp;end_year=2014","Kwale")</f>
        <v>Kwale</v>
      </c>
      <c r="G2082" s="28" t="str">
        <f>HYPERLINK("http://api.nsgreg.nga.mil/geo-division/GENC/6/ed3/KE-19","as:GENC:6:ed3:KE-19")</f>
        <v>as:GENC:6:ed3:KE-19</v>
      </c>
    </row>
    <row r="2083" spans="1:7" x14ac:dyDescent="0.2">
      <c r="A2083" s="85"/>
      <c r="B2083" s="25" t="s">
        <v>12589</v>
      </c>
      <c r="C2083" s="25" t="s">
        <v>12590</v>
      </c>
      <c r="D2083" s="25" t="s">
        <v>1788</v>
      </c>
      <c r="E2083" s="26" t="b">
        <v>1</v>
      </c>
      <c r="F2083" s="27" t="str">
        <f>HYPERLINK("http://nsgreg.nga.mil/genc/view?v=120147&amp;gencs=T&amp;end_month=12&amp;end_day=31&amp;end_year=2014","Laikipia")</f>
        <v>Laikipia</v>
      </c>
      <c r="G2083" s="28" t="str">
        <f>HYPERLINK("http://api.nsgreg.nga.mil/geo-division/GENC/6/ed3/KE-20","as:GENC:6:ed3:KE-20")</f>
        <v>as:GENC:6:ed3:KE-20</v>
      </c>
    </row>
    <row r="2084" spans="1:7" x14ac:dyDescent="0.2">
      <c r="A2084" s="85"/>
      <c r="B2084" s="25" t="s">
        <v>12591</v>
      </c>
      <c r="C2084" s="25" t="s">
        <v>12592</v>
      </c>
      <c r="D2084" s="25" t="s">
        <v>1788</v>
      </c>
      <c r="E2084" s="26" t="b">
        <v>1</v>
      </c>
      <c r="F2084" s="27" t="str">
        <f>HYPERLINK("http://nsgreg.nga.mil/genc/view?v=120148&amp;gencs=T&amp;end_month=12&amp;end_day=31&amp;end_year=2014","Lamu")</f>
        <v>Lamu</v>
      </c>
      <c r="G2084" s="28" t="str">
        <f>HYPERLINK("http://api.nsgreg.nga.mil/geo-division/GENC/6/ed3/KE-21","as:GENC:6:ed3:KE-21")</f>
        <v>as:GENC:6:ed3:KE-21</v>
      </c>
    </row>
    <row r="2085" spans="1:7" x14ac:dyDescent="0.2">
      <c r="A2085" s="85"/>
      <c r="B2085" s="25" t="s">
        <v>12593</v>
      </c>
      <c r="C2085" s="25" t="s">
        <v>12594</v>
      </c>
      <c r="D2085" s="25" t="s">
        <v>1788</v>
      </c>
      <c r="E2085" s="26" t="b">
        <v>1</v>
      </c>
      <c r="F2085" s="27" t="str">
        <f>HYPERLINK("http://nsgreg.nga.mil/genc/view?v=120149&amp;gencs=T&amp;end_month=12&amp;end_day=31&amp;end_year=2014","Machakos")</f>
        <v>Machakos</v>
      </c>
      <c r="G2085" s="28" t="str">
        <f>HYPERLINK("http://api.nsgreg.nga.mil/geo-division/GENC/6/ed3/KE-22","as:GENC:6:ed3:KE-22")</f>
        <v>as:GENC:6:ed3:KE-22</v>
      </c>
    </row>
    <row r="2086" spans="1:7" x14ac:dyDescent="0.2">
      <c r="A2086" s="85"/>
      <c r="B2086" s="25" t="s">
        <v>12595</v>
      </c>
      <c r="C2086" s="25" t="s">
        <v>12596</v>
      </c>
      <c r="D2086" s="25" t="s">
        <v>1788</v>
      </c>
      <c r="E2086" s="26" t="b">
        <v>1</v>
      </c>
      <c r="F2086" s="27" t="str">
        <f>HYPERLINK("http://nsgreg.nga.mil/genc/view?v=120150&amp;gencs=T&amp;end_month=12&amp;end_day=31&amp;end_year=2014","Makueni")</f>
        <v>Makueni</v>
      </c>
      <c r="G2086" s="28" t="str">
        <f>HYPERLINK("http://api.nsgreg.nga.mil/geo-division/GENC/6/ed3/KE-23","as:GENC:6:ed3:KE-23")</f>
        <v>as:GENC:6:ed3:KE-23</v>
      </c>
    </row>
    <row r="2087" spans="1:7" x14ac:dyDescent="0.2">
      <c r="A2087" s="85"/>
      <c r="B2087" s="25" t="s">
        <v>12597</v>
      </c>
      <c r="C2087" s="25" t="s">
        <v>12598</v>
      </c>
      <c r="D2087" s="25" t="s">
        <v>1788</v>
      </c>
      <c r="E2087" s="26" t="b">
        <v>1</v>
      </c>
      <c r="F2087" s="27" t="str">
        <f>HYPERLINK("http://nsgreg.nga.mil/genc/view?v=120151&amp;gencs=T&amp;end_month=12&amp;end_day=31&amp;end_year=2014","Mandera")</f>
        <v>Mandera</v>
      </c>
      <c r="G2087" s="28" t="str">
        <f>HYPERLINK("http://api.nsgreg.nga.mil/geo-division/GENC/6/ed3/KE-24","as:GENC:6:ed3:KE-24")</f>
        <v>as:GENC:6:ed3:KE-24</v>
      </c>
    </row>
    <row r="2088" spans="1:7" x14ac:dyDescent="0.2">
      <c r="A2088" s="85"/>
      <c r="B2088" s="25" t="s">
        <v>12599</v>
      </c>
      <c r="C2088" s="25" t="s">
        <v>12600</v>
      </c>
      <c r="D2088" s="25" t="s">
        <v>1788</v>
      </c>
      <c r="E2088" s="26" t="b">
        <v>1</v>
      </c>
      <c r="F2088" s="27" t="str">
        <f>HYPERLINK("http://nsgreg.nga.mil/genc/view?v=120152&amp;gencs=T&amp;end_month=12&amp;end_day=31&amp;end_year=2014","Marsabit")</f>
        <v>Marsabit</v>
      </c>
      <c r="G2088" s="28" t="str">
        <f>HYPERLINK("http://api.nsgreg.nga.mil/geo-division/GENC/6/ed3/KE-25","as:GENC:6:ed3:KE-25")</f>
        <v>as:GENC:6:ed3:KE-25</v>
      </c>
    </row>
    <row r="2089" spans="1:7" x14ac:dyDescent="0.2">
      <c r="A2089" s="85"/>
      <c r="B2089" s="25" t="s">
        <v>12601</v>
      </c>
      <c r="C2089" s="25" t="s">
        <v>12602</v>
      </c>
      <c r="D2089" s="25" t="s">
        <v>1788</v>
      </c>
      <c r="E2089" s="26" t="b">
        <v>1</v>
      </c>
      <c r="F2089" s="27" t="str">
        <f>HYPERLINK("http://nsgreg.nga.mil/genc/view?v=120153&amp;gencs=T&amp;end_month=12&amp;end_day=31&amp;end_year=2014","Meru")</f>
        <v>Meru</v>
      </c>
      <c r="G2089" s="28" t="str">
        <f>HYPERLINK("http://api.nsgreg.nga.mil/geo-division/GENC/6/ed3/KE-26","as:GENC:6:ed3:KE-26")</f>
        <v>as:GENC:6:ed3:KE-26</v>
      </c>
    </row>
    <row r="2090" spans="1:7" x14ac:dyDescent="0.2">
      <c r="A2090" s="85"/>
      <c r="B2090" s="25" t="s">
        <v>12603</v>
      </c>
      <c r="C2090" s="25" t="s">
        <v>12604</v>
      </c>
      <c r="D2090" s="25" t="s">
        <v>1788</v>
      </c>
      <c r="E2090" s="26" t="b">
        <v>1</v>
      </c>
      <c r="F2090" s="27" t="str">
        <f>HYPERLINK("http://nsgreg.nga.mil/genc/view?v=120154&amp;gencs=T&amp;end_month=12&amp;end_day=31&amp;end_year=2014","Migori")</f>
        <v>Migori</v>
      </c>
      <c r="G2090" s="28" t="str">
        <f>HYPERLINK("http://api.nsgreg.nga.mil/geo-division/GENC/6/ed3/KE-27","as:GENC:6:ed3:KE-27")</f>
        <v>as:GENC:6:ed3:KE-27</v>
      </c>
    </row>
    <row r="2091" spans="1:7" x14ac:dyDescent="0.2">
      <c r="A2091" s="85"/>
      <c r="B2091" s="25" t="s">
        <v>12605</v>
      </c>
      <c r="C2091" s="25" t="s">
        <v>12606</v>
      </c>
      <c r="D2091" s="25" t="s">
        <v>1788</v>
      </c>
      <c r="E2091" s="26" t="b">
        <v>1</v>
      </c>
      <c r="F2091" s="27" t="str">
        <f>HYPERLINK("http://nsgreg.nga.mil/genc/view?v=120155&amp;gencs=T&amp;end_month=12&amp;end_day=31&amp;end_year=2014","Mombasa")</f>
        <v>Mombasa</v>
      </c>
      <c r="G2091" s="28" t="str">
        <f>HYPERLINK("http://api.nsgreg.nga.mil/geo-division/GENC/6/ed3/KE-28","as:GENC:6:ed3:KE-28")</f>
        <v>as:GENC:6:ed3:KE-28</v>
      </c>
    </row>
    <row r="2092" spans="1:7" x14ac:dyDescent="0.2">
      <c r="A2092" s="85"/>
      <c r="B2092" s="25" t="s">
        <v>12607</v>
      </c>
      <c r="C2092" s="25" t="s">
        <v>12608</v>
      </c>
      <c r="D2092" s="25" t="s">
        <v>1788</v>
      </c>
      <c r="E2092" s="26" t="b">
        <v>1</v>
      </c>
      <c r="F2092" s="27" t="str">
        <f>HYPERLINK("http://nsgreg.nga.mil/genc/view?v=213797&amp;end_month=12&amp;end_day=31&amp;end_year=2014","Murang’a")</f>
        <v>Murang’a</v>
      </c>
      <c r="G2092" s="28" t="str">
        <f>HYPERLINK("http://api.nsgreg.nga.mil/geo-division/GENC/6/ed3/KE-29","as:GENC:6:ed3:KE-29")</f>
        <v>as:GENC:6:ed3:KE-29</v>
      </c>
    </row>
    <row r="2093" spans="1:7" x14ac:dyDescent="0.2">
      <c r="A2093" s="85"/>
      <c r="B2093" s="25" t="s">
        <v>12609</v>
      </c>
      <c r="C2093" s="25" t="s">
        <v>12610</v>
      </c>
      <c r="D2093" s="25" t="s">
        <v>1788</v>
      </c>
      <c r="E2093" s="26" t="b">
        <v>1</v>
      </c>
      <c r="F2093" s="27" t="str">
        <f>HYPERLINK("http://nsgreg.nga.mil/genc/view?v=120157&amp;gencs=T&amp;end_month=12&amp;end_day=31&amp;end_year=2014","Nairobi City")</f>
        <v>Nairobi City</v>
      </c>
      <c r="G2093" s="28" t="str">
        <f>HYPERLINK("http://api.nsgreg.nga.mil/geo-division/GENC/6/ed3/KE-30","as:GENC:6:ed3:KE-30")</f>
        <v>as:GENC:6:ed3:KE-30</v>
      </c>
    </row>
    <row r="2094" spans="1:7" x14ac:dyDescent="0.2">
      <c r="A2094" s="85"/>
      <c r="B2094" s="25" t="s">
        <v>12611</v>
      </c>
      <c r="C2094" s="25" t="s">
        <v>12612</v>
      </c>
      <c r="D2094" s="25" t="s">
        <v>1788</v>
      </c>
      <c r="E2094" s="26" t="b">
        <v>1</v>
      </c>
      <c r="F2094" s="27" t="str">
        <f>HYPERLINK("http://nsgreg.nga.mil/genc/view?v=120158&amp;gencs=T&amp;end_month=12&amp;end_day=31&amp;end_year=2014","Nakuru")</f>
        <v>Nakuru</v>
      </c>
      <c r="G2094" s="28" t="str">
        <f>HYPERLINK("http://api.nsgreg.nga.mil/geo-division/GENC/6/ed3/KE-31","as:GENC:6:ed3:KE-31")</f>
        <v>as:GENC:6:ed3:KE-31</v>
      </c>
    </row>
    <row r="2095" spans="1:7" x14ac:dyDescent="0.2">
      <c r="A2095" s="85"/>
      <c r="B2095" s="25" t="s">
        <v>12613</v>
      </c>
      <c r="C2095" s="25" t="s">
        <v>12614</v>
      </c>
      <c r="D2095" s="25" t="s">
        <v>1788</v>
      </c>
      <c r="E2095" s="26" t="b">
        <v>1</v>
      </c>
      <c r="F2095" s="27" t="str">
        <f>HYPERLINK("http://nsgreg.nga.mil/genc/view?v=120159&amp;gencs=T&amp;end_month=12&amp;end_day=31&amp;end_year=2014","Nandi")</f>
        <v>Nandi</v>
      </c>
      <c r="G2095" s="28" t="str">
        <f>HYPERLINK("http://api.nsgreg.nga.mil/geo-division/GENC/6/ed3/KE-32","as:GENC:6:ed3:KE-32")</f>
        <v>as:GENC:6:ed3:KE-32</v>
      </c>
    </row>
    <row r="2096" spans="1:7" x14ac:dyDescent="0.2">
      <c r="A2096" s="85"/>
      <c r="B2096" s="25" t="s">
        <v>12615</v>
      </c>
      <c r="C2096" s="25" t="s">
        <v>12616</v>
      </c>
      <c r="D2096" s="25" t="s">
        <v>1788</v>
      </c>
      <c r="E2096" s="26" t="b">
        <v>1</v>
      </c>
      <c r="F2096" s="27" t="str">
        <f>HYPERLINK("http://nsgreg.nga.mil/genc/view?v=120160&amp;gencs=T&amp;end_month=12&amp;end_day=31&amp;end_year=2014","Narok")</f>
        <v>Narok</v>
      </c>
      <c r="G2096" s="28" t="str">
        <f>HYPERLINK("http://api.nsgreg.nga.mil/geo-division/GENC/6/ed3/KE-33","as:GENC:6:ed3:KE-33")</f>
        <v>as:GENC:6:ed3:KE-33</v>
      </c>
    </row>
    <row r="2097" spans="1:7" x14ac:dyDescent="0.2">
      <c r="A2097" s="85"/>
      <c r="B2097" s="25" t="s">
        <v>12617</v>
      </c>
      <c r="C2097" s="25" t="s">
        <v>12618</v>
      </c>
      <c r="D2097" s="25" t="s">
        <v>1788</v>
      </c>
      <c r="E2097" s="26" t="b">
        <v>1</v>
      </c>
      <c r="F2097" s="27" t="str">
        <f>HYPERLINK("http://nsgreg.nga.mil/genc/view?v=120161&amp;gencs=T&amp;end_month=12&amp;end_day=31&amp;end_year=2014","Nyamira")</f>
        <v>Nyamira</v>
      </c>
      <c r="G2097" s="28" t="str">
        <f>HYPERLINK("http://api.nsgreg.nga.mil/geo-division/GENC/6/ed3/KE-34","as:GENC:6:ed3:KE-34")</f>
        <v>as:GENC:6:ed3:KE-34</v>
      </c>
    </row>
    <row r="2098" spans="1:7" x14ac:dyDescent="0.2">
      <c r="A2098" s="85"/>
      <c r="B2098" s="25" t="s">
        <v>12619</v>
      </c>
      <c r="C2098" s="25" t="s">
        <v>12620</v>
      </c>
      <c r="D2098" s="25" t="s">
        <v>1788</v>
      </c>
      <c r="E2098" s="26" t="b">
        <v>1</v>
      </c>
      <c r="F2098" s="27" t="str">
        <f>HYPERLINK("http://nsgreg.nga.mil/genc/view?v=120162&amp;gencs=T&amp;end_month=12&amp;end_day=31&amp;end_year=2014","Nyandarua")</f>
        <v>Nyandarua</v>
      </c>
      <c r="G2098" s="28" t="str">
        <f>HYPERLINK("http://api.nsgreg.nga.mil/geo-division/GENC/6/ed3/KE-35","as:GENC:6:ed3:KE-35")</f>
        <v>as:GENC:6:ed3:KE-35</v>
      </c>
    </row>
    <row r="2099" spans="1:7" x14ac:dyDescent="0.2">
      <c r="A2099" s="85"/>
      <c r="B2099" s="25" t="s">
        <v>12621</v>
      </c>
      <c r="C2099" s="25" t="s">
        <v>12622</v>
      </c>
      <c r="D2099" s="25" t="s">
        <v>1788</v>
      </c>
      <c r="E2099" s="26" t="b">
        <v>1</v>
      </c>
      <c r="F2099" s="27" t="str">
        <f>HYPERLINK("http://nsgreg.nga.mil/genc/view?v=120163&amp;gencs=T&amp;end_month=12&amp;end_day=31&amp;end_year=2014","Nyeri")</f>
        <v>Nyeri</v>
      </c>
      <c r="G2099" s="28" t="str">
        <f>HYPERLINK("http://api.nsgreg.nga.mil/geo-division/GENC/6/ed3/KE-36","as:GENC:6:ed3:KE-36")</f>
        <v>as:GENC:6:ed3:KE-36</v>
      </c>
    </row>
    <row r="2100" spans="1:7" x14ac:dyDescent="0.2">
      <c r="A2100" s="85"/>
      <c r="B2100" s="25" t="s">
        <v>12623</v>
      </c>
      <c r="C2100" s="25" t="s">
        <v>12624</v>
      </c>
      <c r="D2100" s="25" t="s">
        <v>1788</v>
      </c>
      <c r="E2100" s="26" t="b">
        <v>1</v>
      </c>
      <c r="F2100" s="27" t="str">
        <f>HYPERLINK("http://nsgreg.nga.mil/genc/view?v=120164&amp;gencs=T&amp;end_month=12&amp;end_day=31&amp;end_year=2014","Samburu")</f>
        <v>Samburu</v>
      </c>
      <c r="G2100" s="28" t="str">
        <f>HYPERLINK("http://api.nsgreg.nga.mil/geo-division/GENC/6/ed3/KE-37","as:GENC:6:ed3:KE-37")</f>
        <v>as:GENC:6:ed3:KE-37</v>
      </c>
    </row>
    <row r="2101" spans="1:7" x14ac:dyDescent="0.2">
      <c r="A2101" s="85"/>
      <c r="B2101" s="25" t="s">
        <v>12625</v>
      </c>
      <c r="C2101" s="25" t="s">
        <v>12626</v>
      </c>
      <c r="D2101" s="25" t="s">
        <v>1788</v>
      </c>
      <c r="E2101" s="26" t="b">
        <v>1</v>
      </c>
      <c r="F2101" s="27" t="str">
        <f>HYPERLINK("http://nsgreg.nga.mil/genc/view?v=120165&amp;gencs=T&amp;end_month=12&amp;end_day=31&amp;end_year=2014","Siaya")</f>
        <v>Siaya</v>
      </c>
      <c r="G2101" s="28" t="str">
        <f>HYPERLINK("http://api.nsgreg.nga.mil/geo-division/GENC/6/ed3/KE-38","as:GENC:6:ed3:KE-38")</f>
        <v>as:GENC:6:ed3:KE-38</v>
      </c>
    </row>
    <row r="2102" spans="1:7" x14ac:dyDescent="0.2">
      <c r="A2102" s="85"/>
      <c r="B2102" s="25" t="s">
        <v>12627</v>
      </c>
      <c r="C2102" s="25" t="s">
        <v>12628</v>
      </c>
      <c r="D2102" s="25" t="s">
        <v>1788</v>
      </c>
      <c r="E2102" s="26" t="b">
        <v>1</v>
      </c>
      <c r="F2102" s="27" t="str">
        <f>HYPERLINK("http://nsgreg.nga.mil/genc/view?v=120166&amp;gencs=T&amp;end_month=12&amp;end_day=31&amp;end_year=2014","Taita/Taveta")</f>
        <v>Taita/Taveta</v>
      </c>
      <c r="G2102" s="28" t="str">
        <f>HYPERLINK("http://api.nsgreg.nga.mil/geo-division/GENC/6/ed3/KE-39","as:GENC:6:ed3:KE-39")</f>
        <v>as:GENC:6:ed3:KE-39</v>
      </c>
    </row>
    <row r="2103" spans="1:7" x14ac:dyDescent="0.2">
      <c r="A2103" s="85"/>
      <c r="B2103" s="25" t="s">
        <v>12629</v>
      </c>
      <c r="C2103" s="25" t="s">
        <v>12630</v>
      </c>
      <c r="D2103" s="25" t="s">
        <v>1788</v>
      </c>
      <c r="E2103" s="26" t="b">
        <v>1</v>
      </c>
      <c r="F2103" s="27" t="str">
        <f>HYPERLINK("http://nsgreg.nga.mil/genc/view?v=120167&amp;gencs=T&amp;end_month=12&amp;end_day=31&amp;end_year=2014","Tana River")</f>
        <v>Tana River</v>
      </c>
      <c r="G2103" s="28" t="str">
        <f>HYPERLINK("http://api.nsgreg.nga.mil/geo-division/GENC/6/ed3/KE-40","as:GENC:6:ed3:KE-40")</f>
        <v>as:GENC:6:ed3:KE-40</v>
      </c>
    </row>
    <row r="2104" spans="1:7" x14ac:dyDescent="0.2">
      <c r="A2104" s="85"/>
      <c r="B2104" s="25" t="s">
        <v>12631</v>
      </c>
      <c r="C2104" s="25" t="s">
        <v>12632</v>
      </c>
      <c r="D2104" s="25" t="s">
        <v>1788</v>
      </c>
      <c r="E2104" s="26" t="b">
        <v>1</v>
      </c>
      <c r="F2104" s="27" t="str">
        <f>HYPERLINK("http://nsgreg.nga.mil/genc/view?v=213798&amp;end_month=12&amp;end_day=31&amp;end_year=2014","Tharaka-Nithi")</f>
        <v>Tharaka-Nithi</v>
      </c>
      <c r="G2104" s="28" t="str">
        <f>HYPERLINK("http://api.nsgreg.nga.mil/geo-division/GENC/6/ed3/KE-41","as:GENC:6:ed3:KE-41")</f>
        <v>as:GENC:6:ed3:KE-41</v>
      </c>
    </row>
    <row r="2105" spans="1:7" x14ac:dyDescent="0.2">
      <c r="A2105" s="85"/>
      <c r="B2105" s="25" t="s">
        <v>12633</v>
      </c>
      <c r="C2105" s="25" t="s">
        <v>12634</v>
      </c>
      <c r="D2105" s="25" t="s">
        <v>1788</v>
      </c>
      <c r="E2105" s="26" t="b">
        <v>1</v>
      </c>
      <c r="F2105" s="27" t="str">
        <f>HYPERLINK("http://nsgreg.nga.mil/genc/view?v=120169&amp;gencs=T&amp;end_month=12&amp;end_day=31&amp;end_year=2014","Trans Nzoia")</f>
        <v>Trans Nzoia</v>
      </c>
      <c r="G2105" s="28" t="str">
        <f>HYPERLINK("http://api.nsgreg.nga.mil/geo-division/GENC/6/ed3/KE-42","as:GENC:6:ed3:KE-42")</f>
        <v>as:GENC:6:ed3:KE-42</v>
      </c>
    </row>
    <row r="2106" spans="1:7" x14ac:dyDescent="0.2">
      <c r="A2106" s="85"/>
      <c r="B2106" s="25" t="s">
        <v>12635</v>
      </c>
      <c r="C2106" s="25" t="s">
        <v>12636</v>
      </c>
      <c r="D2106" s="25" t="s">
        <v>1788</v>
      </c>
      <c r="E2106" s="26" t="b">
        <v>1</v>
      </c>
      <c r="F2106" s="27" t="str">
        <f>HYPERLINK("http://nsgreg.nga.mil/genc/view?v=120170&amp;gencs=T&amp;end_month=12&amp;end_day=31&amp;end_year=2014","Turkana")</f>
        <v>Turkana</v>
      </c>
      <c r="G2106" s="28" t="str">
        <f>HYPERLINK("http://api.nsgreg.nga.mil/geo-division/GENC/6/ed3/KE-43","as:GENC:6:ed3:KE-43")</f>
        <v>as:GENC:6:ed3:KE-43</v>
      </c>
    </row>
    <row r="2107" spans="1:7" x14ac:dyDescent="0.2">
      <c r="A2107" s="85"/>
      <c r="B2107" s="25" t="s">
        <v>12637</v>
      </c>
      <c r="C2107" s="25" t="s">
        <v>12638</v>
      </c>
      <c r="D2107" s="25" t="s">
        <v>1788</v>
      </c>
      <c r="E2107" s="26" t="b">
        <v>1</v>
      </c>
      <c r="F2107" s="27" t="str">
        <f>HYPERLINK("http://nsgreg.nga.mil/genc/view?v=120171&amp;gencs=T&amp;end_month=12&amp;end_day=31&amp;end_year=2014","Uasin Gishu")</f>
        <v>Uasin Gishu</v>
      </c>
      <c r="G2107" s="28" t="str">
        <f>HYPERLINK("http://api.nsgreg.nga.mil/geo-division/GENC/6/ed3/KE-44","as:GENC:6:ed3:KE-44")</f>
        <v>as:GENC:6:ed3:KE-44</v>
      </c>
    </row>
    <row r="2108" spans="1:7" x14ac:dyDescent="0.2">
      <c r="A2108" s="85"/>
      <c r="B2108" s="25" t="s">
        <v>12639</v>
      </c>
      <c r="C2108" s="25" t="s">
        <v>12640</v>
      </c>
      <c r="D2108" s="25" t="s">
        <v>1788</v>
      </c>
      <c r="E2108" s="26" t="b">
        <v>1</v>
      </c>
      <c r="F2108" s="27" t="str">
        <f>HYPERLINK("http://nsgreg.nga.mil/genc/view?v=120172&amp;gencs=T&amp;end_month=12&amp;end_day=31&amp;end_year=2014","Vihiga")</f>
        <v>Vihiga</v>
      </c>
      <c r="G2108" s="28" t="str">
        <f>HYPERLINK("http://api.nsgreg.nga.mil/geo-division/GENC/6/ed3/KE-45","as:GENC:6:ed3:KE-45")</f>
        <v>as:GENC:6:ed3:KE-45</v>
      </c>
    </row>
    <row r="2109" spans="1:7" x14ac:dyDescent="0.2">
      <c r="A2109" s="85"/>
      <c r="B2109" s="25" t="s">
        <v>12641</v>
      </c>
      <c r="C2109" s="25" t="s">
        <v>12642</v>
      </c>
      <c r="D2109" s="25" t="s">
        <v>1788</v>
      </c>
      <c r="E2109" s="26" t="b">
        <v>1</v>
      </c>
      <c r="F2109" s="27" t="str">
        <f>HYPERLINK("http://nsgreg.nga.mil/genc/view?v=120173&amp;gencs=T&amp;end_month=12&amp;end_day=31&amp;end_year=2014","Wajir")</f>
        <v>Wajir</v>
      </c>
      <c r="G2109" s="28" t="str">
        <f>HYPERLINK("http://api.nsgreg.nga.mil/geo-division/GENC/6/ed3/KE-46","as:GENC:6:ed3:KE-46")</f>
        <v>as:GENC:6:ed3:KE-46</v>
      </c>
    </row>
    <row r="2110" spans="1:7" x14ac:dyDescent="0.2">
      <c r="A2110" s="86"/>
      <c r="B2110" s="29" t="s">
        <v>12643</v>
      </c>
      <c r="C2110" s="29" t="s">
        <v>12644</v>
      </c>
      <c r="D2110" s="29" t="s">
        <v>1788</v>
      </c>
      <c r="E2110" s="30" t="b">
        <v>1</v>
      </c>
      <c r="F2110" s="31" t="str">
        <f>HYPERLINK("http://nsgreg.nga.mil/genc/view?v=120174&amp;gencs=T&amp;end_month=12&amp;end_day=31&amp;end_year=2014","West Pokot")</f>
        <v>West Pokot</v>
      </c>
      <c r="G2110" s="32" t="str">
        <f>HYPERLINK("http://api.nsgreg.nga.mil/geo-division/GENC/6/ed3/KE-47","as:GENC:6:ed3:KE-47")</f>
        <v>as:GENC:6:ed3:KE-47</v>
      </c>
    </row>
    <row r="2111" spans="1:7" x14ac:dyDescent="0.2">
      <c r="A2111" s="84" t="str">
        <f>HYPERLINK("[#]Codes_for_GE_Names!A144:I144","KOREA, NORTH")</f>
        <v>KOREA, NORTH</v>
      </c>
      <c r="B2111" s="33" t="s">
        <v>5958</v>
      </c>
      <c r="C2111" s="33" t="s">
        <v>12645</v>
      </c>
      <c r="D2111" s="33" t="s">
        <v>1719</v>
      </c>
      <c r="E2111" s="34" t="b">
        <v>1</v>
      </c>
      <c r="F2111" s="35" t="str">
        <f>HYPERLINK("http://nsgreg.nga.mil/genc/view?v=212152&amp;end_month=12&amp;end_day=31&amp;end_year=2014","Chagang")</f>
        <v>Chagang</v>
      </c>
      <c r="G2111" s="36" t="str">
        <f>HYPERLINK("http://api.nsgreg.nga.mil/geo-division/GENC/6/ed3/KP-04","as:GENC:6:ed3:KP-04")</f>
        <v>as:GENC:6:ed3:KP-04</v>
      </c>
    </row>
    <row r="2112" spans="1:7" x14ac:dyDescent="0.2">
      <c r="A2112" s="85"/>
      <c r="B2112" s="25" t="s">
        <v>5952</v>
      </c>
      <c r="C2112" s="25" t="s">
        <v>12646</v>
      </c>
      <c r="D2112" s="25" t="s">
        <v>1719</v>
      </c>
      <c r="E2112" s="26" t="b">
        <v>1</v>
      </c>
      <c r="F2112" s="27" t="str">
        <f>HYPERLINK("http://nsgreg.nga.mil/genc/view?v=212157&amp;end_month=12&amp;end_day=31&amp;end_year=2014","Hambuk")</f>
        <v>Hambuk</v>
      </c>
      <c r="G2112" s="28" t="str">
        <f>HYPERLINK("http://api.nsgreg.nga.mil/geo-division/GENC/6/ed3/KP-09","as:GENC:6:ed3:KP-09")</f>
        <v>as:GENC:6:ed3:KP-09</v>
      </c>
    </row>
    <row r="2113" spans="1:7" x14ac:dyDescent="0.2">
      <c r="A2113" s="85"/>
      <c r="B2113" s="25" t="s">
        <v>5950</v>
      </c>
      <c r="C2113" s="25" t="s">
        <v>12647</v>
      </c>
      <c r="D2113" s="25" t="s">
        <v>1719</v>
      </c>
      <c r="E2113" s="26" t="b">
        <v>1</v>
      </c>
      <c r="F2113" s="27" t="str">
        <f>HYPERLINK("http://nsgreg.nga.mil/genc/view?v=212156&amp;end_month=12&amp;end_day=31&amp;end_year=2014","Hamnam")</f>
        <v>Hamnam</v>
      </c>
      <c r="G2113" s="28" t="str">
        <f>HYPERLINK("http://api.nsgreg.nga.mil/geo-division/GENC/6/ed3/KP-08","as:GENC:6:ed3:KP-08")</f>
        <v>as:GENC:6:ed3:KP-08</v>
      </c>
    </row>
    <row r="2114" spans="1:7" x14ac:dyDescent="0.2">
      <c r="A2114" s="85"/>
      <c r="B2114" s="25" t="s">
        <v>5956</v>
      </c>
      <c r="C2114" s="25" t="s">
        <v>12648</v>
      </c>
      <c r="D2114" s="25" t="s">
        <v>1719</v>
      </c>
      <c r="E2114" s="26" t="b">
        <v>1</v>
      </c>
      <c r="F2114" s="27" t="str">
        <f>HYPERLINK("http://nsgreg.nga.mil/genc/view?v=212154&amp;end_month=12&amp;end_day=31&amp;end_year=2014","Hwangbuk")</f>
        <v>Hwangbuk</v>
      </c>
      <c r="G2114" s="28" t="str">
        <f>HYPERLINK("http://api.nsgreg.nga.mil/geo-division/GENC/6/ed3/KP-06","as:GENC:6:ed3:KP-06")</f>
        <v>as:GENC:6:ed3:KP-06</v>
      </c>
    </row>
    <row r="2115" spans="1:7" x14ac:dyDescent="0.2">
      <c r="A2115" s="85"/>
      <c r="B2115" s="25" t="s">
        <v>5954</v>
      </c>
      <c r="C2115" s="25" t="s">
        <v>12649</v>
      </c>
      <c r="D2115" s="25" t="s">
        <v>1719</v>
      </c>
      <c r="E2115" s="26" t="b">
        <v>1</v>
      </c>
      <c r="F2115" s="27" t="str">
        <f>HYPERLINK("http://nsgreg.nga.mil/genc/view?v=212153&amp;end_month=12&amp;end_day=31&amp;end_year=2014","Hwangnam")</f>
        <v>Hwangnam</v>
      </c>
      <c r="G2115" s="28" t="str">
        <f>HYPERLINK("http://api.nsgreg.nga.mil/geo-division/GENC/6/ed3/KP-05","as:GENC:6:ed3:KP-05")</f>
        <v>as:GENC:6:ed3:KP-05</v>
      </c>
    </row>
    <row r="2116" spans="1:7" x14ac:dyDescent="0.2">
      <c r="A2116" s="85"/>
      <c r="B2116" s="25" t="s">
        <v>5960</v>
      </c>
      <c r="C2116" s="25" t="s">
        <v>12650</v>
      </c>
      <c r="D2116" s="25" t="s">
        <v>1719</v>
      </c>
      <c r="E2116" s="26" t="b">
        <v>1</v>
      </c>
      <c r="F2116" s="27" t="str">
        <f>HYPERLINK("http://nsgreg.nga.mil/genc/view?v=212155&amp;end_month=12&amp;end_day=31&amp;end_year=2014","Kangwŏn")</f>
        <v>Kangwŏn</v>
      </c>
      <c r="G2116" s="28" t="str">
        <f>HYPERLINK("http://api.nsgreg.nga.mil/geo-division/GENC/6/ed3/KP-07","as:GENC:6:ed3:KP-07")</f>
        <v>as:GENC:6:ed3:KP-07</v>
      </c>
    </row>
    <row r="2117" spans="1:7" x14ac:dyDescent="0.2">
      <c r="A2117" s="85"/>
      <c r="B2117" s="25" t="s">
        <v>5962</v>
      </c>
      <c r="C2117" s="25" t="s">
        <v>12651</v>
      </c>
      <c r="D2117" s="25" t="s">
        <v>5964</v>
      </c>
      <c r="E2117" s="26" t="b">
        <v>1</v>
      </c>
      <c r="F2117" s="27" t="str">
        <f>HYPERLINK("http://nsgreg.nga.mil/genc/view?v=212159&amp;end_month=12&amp;end_day=31&amp;end_year=2014","Nasŏn")</f>
        <v>Nasŏn</v>
      </c>
      <c r="G2117" s="28" t="str">
        <f>HYPERLINK("http://api.nsgreg.nga.mil/geo-division/GENC/6/ed3/KP-13","as:GENC:6:ed3:KP-13")</f>
        <v>as:GENC:6:ed3:KP-13</v>
      </c>
    </row>
    <row r="2118" spans="1:7" x14ac:dyDescent="0.2">
      <c r="A2118" s="85"/>
      <c r="B2118" s="25" t="s">
        <v>5967</v>
      </c>
      <c r="C2118" s="25" t="s">
        <v>12652</v>
      </c>
      <c r="D2118" s="25" t="s">
        <v>1719</v>
      </c>
      <c r="E2118" s="26" t="b">
        <v>1</v>
      </c>
      <c r="F2118" s="27" t="str">
        <f>HYPERLINK("http://nsgreg.nga.mil/genc/view?v=212151&amp;end_month=12&amp;end_day=31&amp;end_year=2014","P’yŏngbuk")</f>
        <v>P’yŏngbuk</v>
      </c>
      <c r="G2118" s="28" t="str">
        <f>HYPERLINK("http://api.nsgreg.nga.mil/geo-division/GENC/6/ed3/KP-03","as:GENC:6:ed3:KP-03")</f>
        <v>as:GENC:6:ed3:KP-03</v>
      </c>
    </row>
    <row r="2119" spans="1:7" x14ac:dyDescent="0.2">
      <c r="A2119" s="85"/>
      <c r="B2119" s="25" t="s">
        <v>5965</v>
      </c>
      <c r="C2119" s="25" t="s">
        <v>12653</v>
      </c>
      <c r="D2119" s="25" t="s">
        <v>1719</v>
      </c>
      <c r="E2119" s="26" t="b">
        <v>1</v>
      </c>
      <c r="F2119" s="27" t="str">
        <f>HYPERLINK("http://nsgreg.nga.mil/genc/view?v=212150&amp;end_month=12&amp;end_day=31&amp;end_year=2014","P’yŏngnam")</f>
        <v>P’yŏngnam</v>
      </c>
      <c r="G2119" s="28" t="str">
        <f>HYPERLINK("http://api.nsgreg.nga.mil/geo-division/GENC/6/ed3/KP-02","as:GENC:6:ed3:KP-02")</f>
        <v>as:GENC:6:ed3:KP-02</v>
      </c>
    </row>
    <row r="2120" spans="1:7" x14ac:dyDescent="0.2">
      <c r="A2120" s="85"/>
      <c r="B2120" s="25" t="s">
        <v>5969</v>
      </c>
      <c r="C2120" s="25" t="s">
        <v>12654</v>
      </c>
      <c r="D2120" s="25" t="s">
        <v>5964</v>
      </c>
      <c r="E2120" s="26" t="b">
        <v>1</v>
      </c>
      <c r="F2120" s="27" t="str">
        <f>HYPERLINK("http://nsgreg.nga.mil/genc/view?v=212149&amp;end_month=12&amp;end_day=31&amp;end_year=2014","P’yŏngyang")</f>
        <v>P’yŏngyang</v>
      </c>
      <c r="G2120" s="28" t="str">
        <f>HYPERLINK("http://api.nsgreg.nga.mil/geo-division/GENC/6/ed3/KP-01","as:GENC:6:ed3:KP-01")</f>
        <v>as:GENC:6:ed3:KP-01</v>
      </c>
    </row>
    <row r="2121" spans="1:7" x14ac:dyDescent="0.2">
      <c r="A2121" s="86"/>
      <c r="B2121" s="29" t="s">
        <v>5971</v>
      </c>
      <c r="C2121" s="29" t="s">
        <v>12655</v>
      </c>
      <c r="D2121" s="29" t="s">
        <v>1719</v>
      </c>
      <c r="E2121" s="30" t="b">
        <v>1</v>
      </c>
      <c r="F2121" s="31" t="str">
        <f>HYPERLINK("http://nsgreg.nga.mil/genc/view?v=212158&amp;end_month=12&amp;end_day=31&amp;end_year=2014","Yanggang")</f>
        <v>Yanggang</v>
      </c>
      <c r="G2121" s="32" t="str">
        <f>HYPERLINK("http://api.nsgreg.nga.mil/geo-division/GENC/6/ed3/KP-10","as:GENC:6:ed3:KP-10")</f>
        <v>as:GENC:6:ed3:KP-10</v>
      </c>
    </row>
    <row r="2122" spans="1:7" x14ac:dyDescent="0.2">
      <c r="A2122" s="84" t="str">
        <f>HYPERLINK("[#]Codes_for_GE_Names!A145:I145","KOREA, SOUTH")</f>
        <v>KOREA, SOUTH</v>
      </c>
      <c r="B2122" s="33" t="s">
        <v>5973</v>
      </c>
      <c r="C2122" s="33" t="s">
        <v>12656</v>
      </c>
      <c r="D2122" s="33" t="s">
        <v>5975</v>
      </c>
      <c r="E2122" s="34" t="b">
        <v>1</v>
      </c>
      <c r="F2122" s="35" t="str">
        <f>HYPERLINK("http://nsgreg.nga.mil/genc/view?v=212161&amp;end_month=12&amp;end_day=31&amp;end_year=2014","Busan")</f>
        <v>Busan</v>
      </c>
      <c r="G2122" s="36" t="str">
        <f>HYPERLINK("http://api.nsgreg.nga.mil/geo-division/GENC/6/ed3/KR-26","as:GENC:6:ed3:KR-26")</f>
        <v>as:GENC:6:ed3:KR-26</v>
      </c>
    </row>
    <row r="2123" spans="1:7" x14ac:dyDescent="0.2">
      <c r="A2123" s="85"/>
      <c r="B2123" s="25" t="s">
        <v>5976</v>
      </c>
      <c r="C2123" s="25" t="s">
        <v>12657</v>
      </c>
      <c r="D2123" s="25" t="s">
        <v>1719</v>
      </c>
      <c r="E2123" s="26" t="b">
        <v>1</v>
      </c>
      <c r="F2123" s="27" t="str">
        <f>HYPERLINK("http://nsgreg.nga.mil/genc/view?v=212169&amp;end_month=12&amp;end_day=31&amp;end_year=2014","Chungbuk")</f>
        <v>Chungbuk</v>
      </c>
      <c r="G2123" s="28" t="str">
        <f>HYPERLINK("http://api.nsgreg.nga.mil/geo-division/GENC/6/ed3/KR-43","as:GENC:6:ed3:KR-43")</f>
        <v>as:GENC:6:ed3:KR-43</v>
      </c>
    </row>
    <row r="2124" spans="1:7" x14ac:dyDescent="0.2">
      <c r="A2124" s="85"/>
      <c r="B2124" s="25" t="s">
        <v>5978</v>
      </c>
      <c r="C2124" s="25" t="s">
        <v>12658</v>
      </c>
      <c r="D2124" s="25" t="s">
        <v>1719</v>
      </c>
      <c r="E2124" s="26" t="b">
        <v>1</v>
      </c>
      <c r="F2124" s="27" t="str">
        <f>HYPERLINK("http://nsgreg.nga.mil/genc/view?v=212170&amp;end_month=12&amp;end_day=31&amp;end_year=2014","Chungnam")</f>
        <v>Chungnam</v>
      </c>
      <c r="G2124" s="28" t="str">
        <f>HYPERLINK("http://api.nsgreg.nga.mil/geo-division/GENC/6/ed3/KR-44","as:GENC:6:ed3:KR-44")</f>
        <v>as:GENC:6:ed3:KR-44</v>
      </c>
    </row>
    <row r="2125" spans="1:7" x14ac:dyDescent="0.2">
      <c r="A2125" s="85"/>
      <c r="B2125" s="25" t="s">
        <v>5980</v>
      </c>
      <c r="C2125" s="25" t="s">
        <v>12659</v>
      </c>
      <c r="D2125" s="25" t="s">
        <v>5975</v>
      </c>
      <c r="E2125" s="26" t="b">
        <v>1</v>
      </c>
      <c r="F2125" s="27" t="str">
        <f>HYPERLINK("http://nsgreg.nga.mil/genc/view?v=212162&amp;end_month=12&amp;end_day=31&amp;end_year=2014","Daegu")</f>
        <v>Daegu</v>
      </c>
      <c r="G2125" s="28" t="str">
        <f>HYPERLINK("http://api.nsgreg.nga.mil/geo-division/GENC/6/ed3/KR-27","as:GENC:6:ed3:KR-27")</f>
        <v>as:GENC:6:ed3:KR-27</v>
      </c>
    </row>
    <row r="2126" spans="1:7" x14ac:dyDescent="0.2">
      <c r="A2126" s="85"/>
      <c r="B2126" s="25" t="s">
        <v>5982</v>
      </c>
      <c r="C2126" s="25" t="s">
        <v>12660</v>
      </c>
      <c r="D2126" s="25" t="s">
        <v>5975</v>
      </c>
      <c r="E2126" s="26" t="b">
        <v>1</v>
      </c>
      <c r="F2126" s="27" t="str">
        <f>HYPERLINK("http://nsgreg.nga.mil/genc/view?v=212165&amp;end_month=12&amp;end_day=31&amp;end_year=2014","Daejeon")</f>
        <v>Daejeon</v>
      </c>
      <c r="G2126" s="28" t="str">
        <f>HYPERLINK("http://api.nsgreg.nga.mil/geo-division/GENC/6/ed3/KR-30","as:GENC:6:ed3:KR-30")</f>
        <v>as:GENC:6:ed3:KR-30</v>
      </c>
    </row>
    <row r="2127" spans="1:7" x14ac:dyDescent="0.2">
      <c r="A2127" s="85"/>
      <c r="B2127" s="25" t="s">
        <v>5984</v>
      </c>
      <c r="C2127" s="25" t="s">
        <v>12661</v>
      </c>
      <c r="D2127" s="25" t="s">
        <v>1719</v>
      </c>
      <c r="E2127" s="26" t="b">
        <v>1</v>
      </c>
      <c r="F2127" s="27" t="str">
        <f>HYPERLINK("http://nsgreg.nga.mil/genc/view?v=212168&amp;end_month=12&amp;end_day=31&amp;end_year=2014","Gangwon")</f>
        <v>Gangwon</v>
      </c>
      <c r="G2127" s="28" t="str">
        <f>HYPERLINK("http://api.nsgreg.nga.mil/geo-division/GENC/6/ed3/KR-42","as:GENC:6:ed3:KR-42")</f>
        <v>as:GENC:6:ed3:KR-42</v>
      </c>
    </row>
    <row r="2128" spans="1:7" x14ac:dyDescent="0.2">
      <c r="A2128" s="85"/>
      <c r="B2128" s="25" t="s">
        <v>5986</v>
      </c>
      <c r="C2128" s="25" t="s">
        <v>12662</v>
      </c>
      <c r="D2128" s="25" t="s">
        <v>5975</v>
      </c>
      <c r="E2128" s="26" t="b">
        <v>1</v>
      </c>
      <c r="F2128" s="27" t="str">
        <f>HYPERLINK("http://nsgreg.nga.mil/genc/view?v=212164&amp;end_month=12&amp;end_day=31&amp;end_year=2014","Gwangju")</f>
        <v>Gwangju</v>
      </c>
      <c r="G2128" s="28" t="str">
        <f>HYPERLINK("http://api.nsgreg.nga.mil/geo-division/GENC/6/ed3/KR-29","as:GENC:6:ed3:KR-29")</f>
        <v>as:GENC:6:ed3:KR-29</v>
      </c>
    </row>
    <row r="2129" spans="1:7" x14ac:dyDescent="0.2">
      <c r="A2129" s="85"/>
      <c r="B2129" s="25" t="s">
        <v>5990</v>
      </c>
      <c r="C2129" s="25" t="s">
        <v>12663</v>
      </c>
      <c r="D2129" s="25" t="s">
        <v>1719</v>
      </c>
      <c r="E2129" s="26" t="b">
        <v>1</v>
      </c>
      <c r="F2129" s="27" t="str">
        <f>HYPERLINK("http://nsgreg.nga.mil/genc/view?v=212173&amp;end_month=12&amp;end_day=31&amp;end_year=2014","Gyeongbuk")</f>
        <v>Gyeongbuk</v>
      </c>
      <c r="G2129" s="28" t="str">
        <f>HYPERLINK("http://api.nsgreg.nga.mil/geo-division/GENC/6/ed3/KR-47","as:GENC:6:ed3:KR-47")</f>
        <v>as:GENC:6:ed3:KR-47</v>
      </c>
    </row>
    <row r="2130" spans="1:7" x14ac:dyDescent="0.2">
      <c r="A2130" s="85"/>
      <c r="B2130" s="25" t="s">
        <v>5988</v>
      </c>
      <c r="C2130" s="25" t="s">
        <v>12664</v>
      </c>
      <c r="D2130" s="25" t="s">
        <v>1719</v>
      </c>
      <c r="E2130" s="26" t="b">
        <v>1</v>
      </c>
      <c r="F2130" s="27" t="str">
        <f>HYPERLINK("http://nsgreg.nga.mil/genc/view?v=212167&amp;end_month=12&amp;end_day=31&amp;end_year=2014","Gyeonggi")</f>
        <v>Gyeonggi</v>
      </c>
      <c r="G2130" s="28" t="str">
        <f>HYPERLINK("http://api.nsgreg.nga.mil/geo-division/GENC/6/ed3/KR-41","as:GENC:6:ed3:KR-41")</f>
        <v>as:GENC:6:ed3:KR-41</v>
      </c>
    </row>
    <row r="2131" spans="1:7" x14ac:dyDescent="0.2">
      <c r="A2131" s="85"/>
      <c r="B2131" s="25" t="s">
        <v>5992</v>
      </c>
      <c r="C2131" s="25" t="s">
        <v>12665</v>
      </c>
      <c r="D2131" s="25" t="s">
        <v>1719</v>
      </c>
      <c r="E2131" s="26" t="b">
        <v>1</v>
      </c>
      <c r="F2131" s="27" t="str">
        <f>HYPERLINK("http://nsgreg.nga.mil/genc/view?v=212174&amp;end_month=12&amp;end_day=31&amp;end_year=2014","Gyeongnam")</f>
        <v>Gyeongnam</v>
      </c>
      <c r="G2131" s="28" t="str">
        <f>HYPERLINK("http://api.nsgreg.nga.mil/geo-division/GENC/6/ed3/KR-48","as:GENC:6:ed3:KR-48")</f>
        <v>as:GENC:6:ed3:KR-48</v>
      </c>
    </row>
    <row r="2132" spans="1:7" x14ac:dyDescent="0.2">
      <c r="A2132" s="85"/>
      <c r="B2132" s="25" t="s">
        <v>5994</v>
      </c>
      <c r="C2132" s="25" t="s">
        <v>12666</v>
      </c>
      <c r="D2132" s="25" t="s">
        <v>5975</v>
      </c>
      <c r="E2132" s="26" t="b">
        <v>1</v>
      </c>
      <c r="F2132" s="27" t="str">
        <f>HYPERLINK("http://nsgreg.nga.mil/genc/view?v=212163&amp;end_month=12&amp;end_day=31&amp;end_year=2014","Incheon")</f>
        <v>Incheon</v>
      </c>
      <c r="G2132" s="28" t="str">
        <f>HYPERLINK("http://api.nsgreg.nga.mil/geo-division/GENC/6/ed3/KR-28","as:GENC:6:ed3:KR-28")</f>
        <v>as:GENC:6:ed3:KR-28</v>
      </c>
    </row>
    <row r="2133" spans="1:7" x14ac:dyDescent="0.2">
      <c r="A2133" s="85"/>
      <c r="B2133" s="25" t="s">
        <v>5996</v>
      </c>
      <c r="C2133" s="25" t="s">
        <v>12667</v>
      </c>
      <c r="D2133" s="25" t="s">
        <v>1719</v>
      </c>
      <c r="E2133" s="26" t="b">
        <v>1</v>
      </c>
      <c r="F2133" s="27" t="str">
        <f>HYPERLINK("http://nsgreg.nga.mil/genc/view?v=212175&amp;end_month=12&amp;end_day=31&amp;end_year=2014","Jeju")</f>
        <v>Jeju</v>
      </c>
      <c r="G2133" s="28" t="str">
        <f>HYPERLINK("http://api.nsgreg.nga.mil/geo-division/GENC/6/ed3/KR-49","as:GENC:6:ed3:KR-49")</f>
        <v>as:GENC:6:ed3:KR-49</v>
      </c>
    </row>
    <row r="2134" spans="1:7" x14ac:dyDescent="0.2">
      <c r="A2134" s="85"/>
      <c r="B2134" s="25" t="s">
        <v>5998</v>
      </c>
      <c r="C2134" s="25" t="s">
        <v>12668</v>
      </c>
      <c r="D2134" s="25" t="s">
        <v>1719</v>
      </c>
      <c r="E2134" s="26" t="b">
        <v>1</v>
      </c>
      <c r="F2134" s="27" t="str">
        <f>HYPERLINK("http://nsgreg.nga.mil/genc/view?v=212171&amp;end_month=12&amp;end_day=31&amp;end_year=2014","Jeonbuk")</f>
        <v>Jeonbuk</v>
      </c>
      <c r="G2134" s="28" t="str">
        <f>HYPERLINK("http://api.nsgreg.nga.mil/geo-division/GENC/6/ed3/KR-45","as:GENC:6:ed3:KR-45")</f>
        <v>as:GENC:6:ed3:KR-45</v>
      </c>
    </row>
    <row r="2135" spans="1:7" x14ac:dyDescent="0.2">
      <c r="A2135" s="85"/>
      <c r="B2135" s="25" t="s">
        <v>6000</v>
      </c>
      <c r="C2135" s="25" t="s">
        <v>12669</v>
      </c>
      <c r="D2135" s="25" t="s">
        <v>1719</v>
      </c>
      <c r="E2135" s="26" t="b">
        <v>1</v>
      </c>
      <c r="F2135" s="27" t="str">
        <f>HYPERLINK("http://nsgreg.nga.mil/genc/view?v=212172&amp;end_month=12&amp;end_day=31&amp;end_year=2014","Jeonnam")</f>
        <v>Jeonnam</v>
      </c>
      <c r="G2135" s="28" t="str">
        <f>HYPERLINK("http://api.nsgreg.nga.mil/geo-division/GENC/6/ed3/KR-46","as:GENC:6:ed3:KR-46")</f>
        <v>as:GENC:6:ed3:KR-46</v>
      </c>
    </row>
    <row r="2136" spans="1:7" x14ac:dyDescent="0.2">
      <c r="A2136" s="85"/>
      <c r="B2136" s="25" t="s">
        <v>12670</v>
      </c>
      <c r="C2136" s="25" t="s">
        <v>12671</v>
      </c>
      <c r="D2136" s="25" t="s">
        <v>12672</v>
      </c>
      <c r="E2136" s="26" t="b">
        <v>1</v>
      </c>
      <c r="F2136" s="27" t="str">
        <f>HYPERLINK("http://nsgreg.nga.mil/genc/view?v=120257&amp;gencs=T&amp;end_month=12&amp;end_day=31&amp;end_year=2014","Sejong")</f>
        <v>Sejong</v>
      </c>
      <c r="G2136" s="28" t="str">
        <f>HYPERLINK("http://api.nsgreg.nga.mil/geo-division/GENC/6/ed3/KR-50","as:GENC:6:ed3:KR-50")</f>
        <v>as:GENC:6:ed3:KR-50</v>
      </c>
    </row>
    <row r="2137" spans="1:7" x14ac:dyDescent="0.2">
      <c r="A2137" s="85"/>
      <c r="B2137" s="25" t="s">
        <v>6002</v>
      </c>
      <c r="C2137" s="25" t="s">
        <v>12673</v>
      </c>
      <c r="D2137" s="25" t="s">
        <v>4996</v>
      </c>
      <c r="E2137" s="26" t="b">
        <v>1</v>
      </c>
      <c r="F2137" s="27" t="str">
        <f>HYPERLINK("http://nsgreg.nga.mil/genc/view?v=212160&amp;end_month=12&amp;end_day=31&amp;end_year=2014","Seoul")</f>
        <v>Seoul</v>
      </c>
      <c r="G2137" s="28" t="str">
        <f>HYPERLINK("http://api.nsgreg.nga.mil/geo-division/GENC/6/ed3/KR-11","as:GENC:6:ed3:KR-11")</f>
        <v>as:GENC:6:ed3:KR-11</v>
      </c>
    </row>
    <row r="2138" spans="1:7" x14ac:dyDescent="0.2">
      <c r="A2138" s="86"/>
      <c r="B2138" s="29" t="s">
        <v>6005</v>
      </c>
      <c r="C2138" s="29" t="s">
        <v>12674</v>
      </c>
      <c r="D2138" s="29" t="s">
        <v>5975</v>
      </c>
      <c r="E2138" s="30" t="b">
        <v>1</v>
      </c>
      <c r="F2138" s="31" t="str">
        <f>HYPERLINK("http://nsgreg.nga.mil/genc/view?v=212166&amp;end_month=12&amp;end_day=31&amp;end_year=2014","Ulsan")</f>
        <v>Ulsan</v>
      </c>
      <c r="G2138" s="32" t="str">
        <f>HYPERLINK("http://api.nsgreg.nga.mil/geo-division/GENC/6/ed3/KR-31","as:GENC:6:ed3:KR-31")</f>
        <v>as:GENC:6:ed3:KR-31</v>
      </c>
    </row>
    <row r="2139" spans="1:7" x14ac:dyDescent="0.2">
      <c r="A2139" s="84" t="str">
        <f>HYPERLINK("[#]Codes_for_GE_Names!A146:I146","KOSOVO")</f>
        <v>KOSOVO</v>
      </c>
      <c r="B2139" s="33" t="s">
        <v>12675</v>
      </c>
      <c r="C2139" s="33" t="s">
        <v>12676</v>
      </c>
      <c r="D2139" s="33" t="s">
        <v>2164</v>
      </c>
      <c r="E2139" s="34" t="b">
        <v>1</v>
      </c>
      <c r="F2139" s="35" t="str">
        <f>HYPERLINK("http://nsgreg.nga.mil/genc/view?v=213740&amp;end_month=12&amp;end_day=31&amp;end_year=2014","Deçan")</f>
        <v>Deçan</v>
      </c>
      <c r="G2139" s="36" t="str">
        <f>HYPERLINK("http://api.nsgreg.nga.mil/geo-division/GENC/6/ed3/XK-01","as:GENC:6:ed3:XK-01")</f>
        <v>as:GENC:6:ed3:XK-01</v>
      </c>
    </row>
    <row r="2140" spans="1:7" x14ac:dyDescent="0.2">
      <c r="A2140" s="85"/>
      <c r="B2140" s="25" t="s">
        <v>12677</v>
      </c>
      <c r="C2140" s="25" t="s">
        <v>12678</v>
      </c>
      <c r="D2140" s="25" t="s">
        <v>2164</v>
      </c>
      <c r="E2140" s="26" t="b">
        <v>1</v>
      </c>
      <c r="F2140" s="27" t="str">
        <f>HYPERLINK("http://nsgreg.nga.mil/genc/view?v=213741&amp;end_month=12&amp;end_day=31&amp;end_year=2014","Dragash")</f>
        <v>Dragash</v>
      </c>
      <c r="G2140" s="28" t="str">
        <f>HYPERLINK("http://api.nsgreg.nga.mil/geo-division/GENC/6/ed3/XK-02","as:GENC:6:ed3:XK-02")</f>
        <v>as:GENC:6:ed3:XK-02</v>
      </c>
    </row>
    <row r="2141" spans="1:7" x14ac:dyDescent="0.2">
      <c r="A2141" s="85"/>
      <c r="B2141" s="25" t="s">
        <v>12679</v>
      </c>
      <c r="C2141" s="25" t="s">
        <v>12680</v>
      </c>
      <c r="D2141" s="25" t="s">
        <v>2164</v>
      </c>
      <c r="E2141" s="26" t="b">
        <v>1</v>
      </c>
      <c r="F2141" s="27" t="str">
        <f>HYPERLINK("http://nsgreg.nga.mil/genc/view?v=213742&amp;end_month=12&amp;end_day=31&amp;end_year=2014","Ferizaj")</f>
        <v>Ferizaj</v>
      </c>
      <c r="G2141" s="28" t="str">
        <f>HYPERLINK("http://api.nsgreg.nga.mil/geo-division/GENC/6/ed3/XK-03","as:GENC:6:ed3:XK-03")</f>
        <v>as:GENC:6:ed3:XK-03</v>
      </c>
    </row>
    <row r="2142" spans="1:7" x14ac:dyDescent="0.2">
      <c r="A2142" s="85"/>
      <c r="B2142" s="25" t="s">
        <v>12681</v>
      </c>
      <c r="C2142" s="25" t="s">
        <v>12682</v>
      </c>
      <c r="D2142" s="25" t="s">
        <v>2164</v>
      </c>
      <c r="E2142" s="26" t="b">
        <v>1</v>
      </c>
      <c r="F2142" s="27" t="str">
        <f>HYPERLINK("http://nsgreg.nga.mil/genc/view?v=213743&amp;end_month=12&amp;end_day=31&amp;end_year=2014","Fushë Kosovë")</f>
        <v>Fushë Kosovë</v>
      </c>
      <c r="G2142" s="28" t="str">
        <f>HYPERLINK("http://api.nsgreg.nga.mil/geo-division/GENC/6/ed3/XK-04","as:GENC:6:ed3:XK-04")</f>
        <v>as:GENC:6:ed3:XK-04</v>
      </c>
    </row>
    <row r="2143" spans="1:7" x14ac:dyDescent="0.2">
      <c r="A2143" s="85"/>
      <c r="B2143" s="25" t="s">
        <v>12683</v>
      </c>
      <c r="C2143" s="25" t="s">
        <v>12684</v>
      </c>
      <c r="D2143" s="25" t="s">
        <v>2164</v>
      </c>
      <c r="E2143" s="26" t="b">
        <v>1</v>
      </c>
      <c r="F2143" s="27" t="str">
        <f>HYPERLINK("http://nsgreg.nga.mil/genc/view?v=213744&amp;end_month=12&amp;end_day=31&amp;end_year=2014","Gjakovë")</f>
        <v>Gjakovë</v>
      </c>
      <c r="G2143" s="28" t="str">
        <f>HYPERLINK("http://api.nsgreg.nga.mil/geo-division/GENC/6/ed3/XK-05","as:GENC:6:ed3:XK-05")</f>
        <v>as:GENC:6:ed3:XK-05</v>
      </c>
    </row>
    <row r="2144" spans="1:7" x14ac:dyDescent="0.2">
      <c r="A2144" s="85"/>
      <c r="B2144" s="25" t="s">
        <v>12685</v>
      </c>
      <c r="C2144" s="25" t="s">
        <v>12686</v>
      </c>
      <c r="D2144" s="25" t="s">
        <v>2164</v>
      </c>
      <c r="E2144" s="26" t="b">
        <v>1</v>
      </c>
      <c r="F2144" s="27" t="str">
        <f>HYPERLINK("http://nsgreg.nga.mil/genc/view?v=213745&amp;end_month=12&amp;end_day=31&amp;end_year=2014","Gjilan")</f>
        <v>Gjilan</v>
      </c>
      <c r="G2144" s="28" t="str">
        <f>HYPERLINK("http://api.nsgreg.nga.mil/geo-division/GENC/6/ed3/XK-06","as:GENC:6:ed3:XK-06")</f>
        <v>as:GENC:6:ed3:XK-06</v>
      </c>
    </row>
    <row r="2145" spans="1:7" x14ac:dyDescent="0.2">
      <c r="A2145" s="85"/>
      <c r="B2145" s="25" t="s">
        <v>12687</v>
      </c>
      <c r="C2145" s="25" t="s">
        <v>12688</v>
      </c>
      <c r="D2145" s="25" t="s">
        <v>2164</v>
      </c>
      <c r="E2145" s="26" t="b">
        <v>1</v>
      </c>
      <c r="F2145" s="27" t="str">
        <f>HYPERLINK("http://nsgreg.nga.mil/genc/view?v=213746&amp;end_month=12&amp;end_day=31&amp;end_year=2014","Gllogovc")</f>
        <v>Gllogovc</v>
      </c>
      <c r="G2145" s="28" t="str">
        <f>HYPERLINK("http://api.nsgreg.nga.mil/geo-division/GENC/6/ed3/XK-07","as:GENC:6:ed3:XK-07")</f>
        <v>as:GENC:6:ed3:XK-07</v>
      </c>
    </row>
    <row r="2146" spans="1:7" x14ac:dyDescent="0.2">
      <c r="A2146" s="85"/>
      <c r="B2146" s="25" t="s">
        <v>12689</v>
      </c>
      <c r="C2146" s="25" t="s">
        <v>12690</v>
      </c>
      <c r="D2146" s="25" t="s">
        <v>2164</v>
      </c>
      <c r="E2146" s="26" t="b">
        <v>1</v>
      </c>
      <c r="F2146" s="27" t="str">
        <f>HYPERLINK("http://nsgreg.nga.mil/genc/view?v=213747&amp;end_month=12&amp;end_day=31&amp;end_year=2014","Graçanicë")</f>
        <v>Graçanicë</v>
      </c>
      <c r="G2146" s="28" t="str">
        <f>HYPERLINK("http://api.nsgreg.nga.mil/geo-division/GENC/6/ed3/XK-08","as:GENC:6:ed3:XK-08")</f>
        <v>as:GENC:6:ed3:XK-08</v>
      </c>
    </row>
    <row r="2147" spans="1:7" x14ac:dyDescent="0.2">
      <c r="A2147" s="85"/>
      <c r="B2147" s="25" t="s">
        <v>12691</v>
      </c>
      <c r="C2147" s="25" t="s">
        <v>12692</v>
      </c>
      <c r="D2147" s="25" t="s">
        <v>2164</v>
      </c>
      <c r="E2147" s="26" t="b">
        <v>1</v>
      </c>
      <c r="F2147" s="27" t="str">
        <f>HYPERLINK("http://nsgreg.nga.mil/genc/view?v=213748&amp;end_month=12&amp;end_day=31&amp;end_year=2014","Hani i Elezit")</f>
        <v>Hani i Elezit</v>
      </c>
      <c r="G2147" s="28" t="str">
        <f>HYPERLINK("http://api.nsgreg.nga.mil/geo-division/GENC/6/ed3/XK-09","as:GENC:6:ed3:XK-09")</f>
        <v>as:GENC:6:ed3:XK-09</v>
      </c>
    </row>
    <row r="2148" spans="1:7" x14ac:dyDescent="0.2">
      <c r="A2148" s="85"/>
      <c r="B2148" s="25" t="s">
        <v>12693</v>
      </c>
      <c r="C2148" s="25" t="s">
        <v>12694</v>
      </c>
      <c r="D2148" s="25" t="s">
        <v>2164</v>
      </c>
      <c r="E2148" s="26" t="b">
        <v>1</v>
      </c>
      <c r="F2148" s="27" t="str">
        <f>HYPERLINK("http://nsgreg.nga.mil/genc/view?v=213749&amp;end_month=12&amp;end_day=31&amp;end_year=2014","Istog")</f>
        <v>Istog</v>
      </c>
      <c r="G2148" s="28" t="str">
        <f>HYPERLINK("http://api.nsgreg.nga.mil/geo-division/GENC/6/ed3/XK-10","as:GENC:6:ed3:XK-10")</f>
        <v>as:GENC:6:ed3:XK-10</v>
      </c>
    </row>
    <row r="2149" spans="1:7" x14ac:dyDescent="0.2">
      <c r="A2149" s="85"/>
      <c r="B2149" s="25" t="s">
        <v>12695</v>
      </c>
      <c r="C2149" s="25" t="s">
        <v>12696</v>
      </c>
      <c r="D2149" s="25" t="s">
        <v>2164</v>
      </c>
      <c r="E2149" s="26" t="b">
        <v>1</v>
      </c>
      <c r="F2149" s="27" t="str">
        <f>HYPERLINK("http://nsgreg.nga.mil/genc/view?v=213750&amp;end_month=12&amp;end_day=31&amp;end_year=2014","Junik")</f>
        <v>Junik</v>
      </c>
      <c r="G2149" s="28" t="str">
        <f>HYPERLINK("http://api.nsgreg.nga.mil/geo-division/GENC/6/ed3/XK-11","as:GENC:6:ed3:XK-11")</f>
        <v>as:GENC:6:ed3:XK-11</v>
      </c>
    </row>
    <row r="2150" spans="1:7" x14ac:dyDescent="0.2">
      <c r="A2150" s="85"/>
      <c r="B2150" s="25" t="s">
        <v>12697</v>
      </c>
      <c r="C2150" s="25" t="s">
        <v>12698</v>
      </c>
      <c r="D2150" s="25" t="s">
        <v>2164</v>
      </c>
      <c r="E2150" s="26" t="b">
        <v>1</v>
      </c>
      <c r="F2150" s="27" t="str">
        <f>HYPERLINK("http://nsgreg.nga.mil/genc/view?v=213751&amp;end_month=12&amp;end_day=31&amp;end_year=2014","Kaçanik")</f>
        <v>Kaçanik</v>
      </c>
      <c r="G2150" s="28" t="str">
        <f>HYPERLINK("http://api.nsgreg.nga.mil/geo-division/GENC/6/ed3/XK-12","as:GENC:6:ed3:XK-12")</f>
        <v>as:GENC:6:ed3:XK-12</v>
      </c>
    </row>
    <row r="2151" spans="1:7" x14ac:dyDescent="0.2">
      <c r="A2151" s="85"/>
      <c r="B2151" s="25" t="s">
        <v>12699</v>
      </c>
      <c r="C2151" s="25" t="s">
        <v>12700</v>
      </c>
      <c r="D2151" s="25" t="s">
        <v>2164</v>
      </c>
      <c r="E2151" s="26" t="b">
        <v>1</v>
      </c>
      <c r="F2151" s="27" t="str">
        <f>HYPERLINK("http://nsgreg.nga.mil/genc/view?v=213752&amp;end_month=12&amp;end_day=31&amp;end_year=2014","Kamenicë")</f>
        <v>Kamenicë</v>
      </c>
      <c r="G2151" s="28" t="str">
        <f>HYPERLINK("http://api.nsgreg.nga.mil/geo-division/GENC/6/ed3/XK-13","as:GENC:6:ed3:XK-13")</f>
        <v>as:GENC:6:ed3:XK-13</v>
      </c>
    </row>
    <row r="2152" spans="1:7" x14ac:dyDescent="0.2">
      <c r="A2152" s="85"/>
      <c r="B2152" s="25" t="s">
        <v>12701</v>
      </c>
      <c r="C2152" s="25" t="s">
        <v>12702</v>
      </c>
      <c r="D2152" s="25" t="s">
        <v>2164</v>
      </c>
      <c r="E2152" s="26" t="b">
        <v>1</v>
      </c>
      <c r="F2152" s="27" t="str">
        <f>HYPERLINK("http://nsgreg.nga.mil/genc/view?v=213753&amp;end_month=12&amp;end_day=31&amp;end_year=2014","Klinë")</f>
        <v>Klinë</v>
      </c>
      <c r="G2152" s="28" t="str">
        <f>HYPERLINK("http://api.nsgreg.nga.mil/geo-division/GENC/6/ed3/XK-14","as:GENC:6:ed3:XK-14")</f>
        <v>as:GENC:6:ed3:XK-14</v>
      </c>
    </row>
    <row r="2153" spans="1:7" x14ac:dyDescent="0.2">
      <c r="A2153" s="85"/>
      <c r="B2153" s="25" t="s">
        <v>12703</v>
      </c>
      <c r="C2153" s="25" t="s">
        <v>12704</v>
      </c>
      <c r="D2153" s="25" t="s">
        <v>2164</v>
      </c>
      <c r="E2153" s="26" t="b">
        <v>1</v>
      </c>
      <c r="F2153" s="27" t="str">
        <f>HYPERLINK("http://nsgreg.nga.mil/genc/view?v=213754&amp;end_month=12&amp;end_day=31&amp;end_year=2014","Kllokot")</f>
        <v>Kllokot</v>
      </c>
      <c r="G2153" s="28" t="str">
        <f>HYPERLINK("http://api.nsgreg.nga.mil/geo-division/GENC/6/ed3/XK-15","as:GENC:6:ed3:XK-15")</f>
        <v>as:GENC:6:ed3:XK-15</v>
      </c>
    </row>
    <row r="2154" spans="1:7" x14ac:dyDescent="0.2">
      <c r="A2154" s="85"/>
      <c r="B2154" s="25" t="s">
        <v>12705</v>
      </c>
      <c r="C2154" s="25" t="s">
        <v>12706</v>
      </c>
      <c r="D2154" s="25" t="s">
        <v>2164</v>
      </c>
      <c r="E2154" s="26" t="b">
        <v>1</v>
      </c>
      <c r="F2154" s="27" t="str">
        <f>HYPERLINK("http://nsgreg.nga.mil/genc/view?v=213755&amp;end_month=12&amp;end_day=31&amp;end_year=2014","Leposaviq")</f>
        <v>Leposaviq</v>
      </c>
      <c r="G2154" s="28" t="str">
        <f>HYPERLINK("http://api.nsgreg.nga.mil/geo-division/GENC/6/ed3/XK-16","as:GENC:6:ed3:XK-16")</f>
        <v>as:GENC:6:ed3:XK-16</v>
      </c>
    </row>
    <row r="2155" spans="1:7" x14ac:dyDescent="0.2">
      <c r="A2155" s="85"/>
      <c r="B2155" s="25" t="s">
        <v>12707</v>
      </c>
      <c r="C2155" s="25" t="s">
        <v>12708</v>
      </c>
      <c r="D2155" s="25" t="s">
        <v>2164</v>
      </c>
      <c r="E2155" s="26" t="b">
        <v>1</v>
      </c>
      <c r="F2155" s="27" t="str">
        <f>HYPERLINK("http://nsgreg.nga.mil/genc/view?v=213756&amp;end_month=12&amp;end_day=31&amp;end_year=2014","Lipjan")</f>
        <v>Lipjan</v>
      </c>
      <c r="G2155" s="28" t="str">
        <f>HYPERLINK("http://api.nsgreg.nga.mil/geo-division/GENC/6/ed3/XK-17","as:GENC:6:ed3:XK-17")</f>
        <v>as:GENC:6:ed3:XK-17</v>
      </c>
    </row>
    <row r="2156" spans="1:7" x14ac:dyDescent="0.2">
      <c r="A2156" s="85"/>
      <c r="B2156" s="25" t="s">
        <v>12709</v>
      </c>
      <c r="C2156" s="25" t="s">
        <v>12710</v>
      </c>
      <c r="D2156" s="25" t="s">
        <v>2164</v>
      </c>
      <c r="E2156" s="26" t="b">
        <v>1</v>
      </c>
      <c r="F2156" s="27" t="str">
        <f>HYPERLINK("http://nsgreg.nga.mil/genc/view?v=213757&amp;end_month=12&amp;end_day=31&amp;end_year=2014","Malishevë")</f>
        <v>Malishevë</v>
      </c>
      <c r="G2156" s="28" t="str">
        <f>HYPERLINK("http://api.nsgreg.nga.mil/geo-division/GENC/6/ed3/XK-18","as:GENC:6:ed3:XK-18")</f>
        <v>as:GENC:6:ed3:XK-18</v>
      </c>
    </row>
    <row r="2157" spans="1:7" x14ac:dyDescent="0.2">
      <c r="A2157" s="85"/>
      <c r="B2157" s="25" t="s">
        <v>12711</v>
      </c>
      <c r="C2157" s="25" t="s">
        <v>12712</v>
      </c>
      <c r="D2157" s="25" t="s">
        <v>2164</v>
      </c>
      <c r="E2157" s="26" t="b">
        <v>1</v>
      </c>
      <c r="F2157" s="27" t="str">
        <f>HYPERLINK("http://nsgreg.nga.mil/genc/view?v=213758&amp;end_month=12&amp;end_day=31&amp;end_year=2014","Mamushë")</f>
        <v>Mamushë</v>
      </c>
      <c r="G2157" s="28" t="str">
        <f>HYPERLINK("http://api.nsgreg.nga.mil/geo-division/GENC/6/ed3/XK-19","as:GENC:6:ed3:XK-19")</f>
        <v>as:GENC:6:ed3:XK-19</v>
      </c>
    </row>
    <row r="2158" spans="1:7" x14ac:dyDescent="0.2">
      <c r="A2158" s="85"/>
      <c r="B2158" s="25" t="s">
        <v>12713</v>
      </c>
      <c r="C2158" s="25" t="s">
        <v>12714</v>
      </c>
      <c r="D2158" s="25" t="s">
        <v>2164</v>
      </c>
      <c r="E2158" s="26" t="b">
        <v>1</v>
      </c>
      <c r="F2158" s="27" t="str">
        <f>HYPERLINK("http://nsgreg.nga.mil/genc/view?v=213759&amp;end_month=12&amp;end_day=31&amp;end_year=2014","Mitrovicë")</f>
        <v>Mitrovicë</v>
      </c>
      <c r="G2158" s="28" t="str">
        <f>HYPERLINK("http://api.nsgreg.nga.mil/geo-division/GENC/6/ed3/XK-20","as:GENC:6:ed3:XK-20")</f>
        <v>as:GENC:6:ed3:XK-20</v>
      </c>
    </row>
    <row r="2159" spans="1:7" x14ac:dyDescent="0.2">
      <c r="A2159" s="85"/>
      <c r="B2159" s="25" t="s">
        <v>12715</v>
      </c>
      <c r="C2159" s="25" t="s">
        <v>12716</v>
      </c>
      <c r="D2159" s="25" t="s">
        <v>2164</v>
      </c>
      <c r="E2159" s="26" t="b">
        <v>1</v>
      </c>
      <c r="F2159" s="27" t="str">
        <f>HYPERLINK("http://nsgreg.nga.mil/genc/view?v=213760&amp;end_month=12&amp;end_day=31&amp;end_year=2014","Novobërdë")</f>
        <v>Novobërdë</v>
      </c>
      <c r="G2159" s="28" t="str">
        <f>HYPERLINK("http://api.nsgreg.nga.mil/geo-division/GENC/6/ed3/XK-21","as:GENC:6:ed3:XK-21")</f>
        <v>as:GENC:6:ed3:XK-21</v>
      </c>
    </row>
    <row r="2160" spans="1:7" x14ac:dyDescent="0.2">
      <c r="A2160" s="85"/>
      <c r="B2160" s="25" t="s">
        <v>12717</v>
      </c>
      <c r="C2160" s="25" t="s">
        <v>12718</v>
      </c>
      <c r="D2160" s="25" t="s">
        <v>2164</v>
      </c>
      <c r="E2160" s="26" t="b">
        <v>1</v>
      </c>
      <c r="F2160" s="27" t="str">
        <f>HYPERLINK("http://nsgreg.nga.mil/genc/view?v=213761&amp;end_month=12&amp;end_day=31&amp;end_year=2014","Obiliq")</f>
        <v>Obiliq</v>
      </c>
      <c r="G2160" s="28" t="str">
        <f>HYPERLINK("http://api.nsgreg.nga.mil/geo-division/GENC/6/ed3/XK-22","as:GENC:6:ed3:XK-22")</f>
        <v>as:GENC:6:ed3:XK-22</v>
      </c>
    </row>
    <row r="2161" spans="1:7" x14ac:dyDescent="0.2">
      <c r="A2161" s="85"/>
      <c r="B2161" s="25" t="s">
        <v>12719</v>
      </c>
      <c r="C2161" s="25" t="s">
        <v>12720</v>
      </c>
      <c r="D2161" s="25" t="s">
        <v>2164</v>
      </c>
      <c r="E2161" s="26" t="b">
        <v>1</v>
      </c>
      <c r="F2161" s="27" t="str">
        <f>HYPERLINK("http://nsgreg.nga.mil/genc/view?v=213762&amp;end_month=12&amp;end_day=31&amp;end_year=2014","Partesh")</f>
        <v>Partesh</v>
      </c>
      <c r="G2161" s="28" t="str">
        <f>HYPERLINK("http://api.nsgreg.nga.mil/geo-division/GENC/6/ed3/XK-23","as:GENC:6:ed3:XK-23")</f>
        <v>as:GENC:6:ed3:XK-23</v>
      </c>
    </row>
    <row r="2162" spans="1:7" x14ac:dyDescent="0.2">
      <c r="A2162" s="85"/>
      <c r="B2162" s="25" t="s">
        <v>12721</v>
      </c>
      <c r="C2162" s="25" t="s">
        <v>12722</v>
      </c>
      <c r="D2162" s="25" t="s">
        <v>2164</v>
      </c>
      <c r="E2162" s="26" t="b">
        <v>1</v>
      </c>
      <c r="F2162" s="27" t="str">
        <f>HYPERLINK("http://nsgreg.nga.mil/genc/view?v=213763&amp;end_month=12&amp;end_day=31&amp;end_year=2014","Pejë")</f>
        <v>Pejë</v>
      </c>
      <c r="G2162" s="28" t="str">
        <f>HYPERLINK("http://api.nsgreg.nga.mil/geo-division/GENC/6/ed3/XK-24","as:GENC:6:ed3:XK-24")</f>
        <v>as:GENC:6:ed3:XK-24</v>
      </c>
    </row>
    <row r="2163" spans="1:7" x14ac:dyDescent="0.2">
      <c r="A2163" s="85"/>
      <c r="B2163" s="25" t="s">
        <v>12723</v>
      </c>
      <c r="C2163" s="25" t="s">
        <v>12724</v>
      </c>
      <c r="D2163" s="25" t="s">
        <v>2164</v>
      </c>
      <c r="E2163" s="26" t="b">
        <v>1</v>
      </c>
      <c r="F2163" s="27" t="str">
        <f>HYPERLINK("http://nsgreg.nga.mil/genc/view?v=213764&amp;end_month=12&amp;end_day=31&amp;end_year=2014","Podujevë")</f>
        <v>Podujevë</v>
      </c>
      <c r="G2163" s="28" t="str">
        <f>HYPERLINK("http://api.nsgreg.nga.mil/geo-division/GENC/6/ed3/XK-25","as:GENC:6:ed3:XK-25")</f>
        <v>as:GENC:6:ed3:XK-25</v>
      </c>
    </row>
    <row r="2164" spans="1:7" x14ac:dyDescent="0.2">
      <c r="A2164" s="85"/>
      <c r="B2164" s="25" t="s">
        <v>12725</v>
      </c>
      <c r="C2164" s="25" t="s">
        <v>12726</v>
      </c>
      <c r="D2164" s="25" t="s">
        <v>2164</v>
      </c>
      <c r="E2164" s="26" t="b">
        <v>1</v>
      </c>
      <c r="F2164" s="27" t="str">
        <f>HYPERLINK("http://nsgreg.nga.mil/genc/view?v=213765&amp;end_month=12&amp;end_day=31&amp;end_year=2014","Prishtinë")</f>
        <v>Prishtinë</v>
      </c>
      <c r="G2164" s="28" t="str">
        <f>HYPERLINK("http://api.nsgreg.nga.mil/geo-division/GENC/6/ed3/XK-26","as:GENC:6:ed3:XK-26")</f>
        <v>as:GENC:6:ed3:XK-26</v>
      </c>
    </row>
    <row r="2165" spans="1:7" x14ac:dyDescent="0.2">
      <c r="A2165" s="85"/>
      <c r="B2165" s="25" t="s">
        <v>12727</v>
      </c>
      <c r="C2165" s="25" t="s">
        <v>12728</v>
      </c>
      <c r="D2165" s="25" t="s">
        <v>2164</v>
      </c>
      <c r="E2165" s="26" t="b">
        <v>1</v>
      </c>
      <c r="F2165" s="27" t="str">
        <f>HYPERLINK("http://nsgreg.nga.mil/genc/view?v=213766&amp;end_month=12&amp;end_day=31&amp;end_year=2014","Prizren")</f>
        <v>Prizren</v>
      </c>
      <c r="G2165" s="28" t="str">
        <f>HYPERLINK("http://api.nsgreg.nga.mil/geo-division/GENC/6/ed3/XK-27","as:GENC:6:ed3:XK-27")</f>
        <v>as:GENC:6:ed3:XK-27</v>
      </c>
    </row>
    <row r="2166" spans="1:7" x14ac:dyDescent="0.2">
      <c r="A2166" s="85"/>
      <c r="B2166" s="25" t="s">
        <v>12729</v>
      </c>
      <c r="C2166" s="25" t="s">
        <v>12730</v>
      </c>
      <c r="D2166" s="25" t="s">
        <v>2164</v>
      </c>
      <c r="E2166" s="26" t="b">
        <v>1</v>
      </c>
      <c r="F2166" s="27" t="str">
        <f>HYPERLINK("http://nsgreg.nga.mil/genc/view?v=213767&amp;end_month=12&amp;end_day=31&amp;end_year=2014","Rahovec")</f>
        <v>Rahovec</v>
      </c>
      <c r="G2166" s="28" t="str">
        <f>HYPERLINK("http://api.nsgreg.nga.mil/geo-division/GENC/6/ed3/XK-28","as:GENC:6:ed3:XK-28")</f>
        <v>as:GENC:6:ed3:XK-28</v>
      </c>
    </row>
    <row r="2167" spans="1:7" x14ac:dyDescent="0.2">
      <c r="A2167" s="85"/>
      <c r="B2167" s="25" t="s">
        <v>12731</v>
      </c>
      <c r="C2167" s="25" t="s">
        <v>12732</v>
      </c>
      <c r="D2167" s="25" t="s">
        <v>2164</v>
      </c>
      <c r="E2167" s="26" t="b">
        <v>1</v>
      </c>
      <c r="F2167" s="27" t="str">
        <f>HYPERLINK("http://nsgreg.nga.mil/genc/view?v=213768&amp;end_month=12&amp;end_day=31&amp;end_year=2014","Ranillug")</f>
        <v>Ranillug</v>
      </c>
      <c r="G2167" s="28" t="str">
        <f>HYPERLINK("http://api.nsgreg.nga.mil/geo-division/GENC/6/ed3/XK-29","as:GENC:6:ed3:XK-29")</f>
        <v>as:GENC:6:ed3:XK-29</v>
      </c>
    </row>
    <row r="2168" spans="1:7" x14ac:dyDescent="0.2">
      <c r="A2168" s="85"/>
      <c r="B2168" s="25" t="s">
        <v>12733</v>
      </c>
      <c r="C2168" s="25" t="s">
        <v>12734</v>
      </c>
      <c r="D2168" s="25" t="s">
        <v>2164</v>
      </c>
      <c r="E2168" s="26" t="b">
        <v>1</v>
      </c>
      <c r="F2168" s="27" t="str">
        <f>HYPERLINK("http://nsgreg.nga.mil/genc/view?v=213769&amp;end_month=12&amp;end_day=31&amp;end_year=2014","Shtërpcë")</f>
        <v>Shtërpcë</v>
      </c>
      <c r="G2168" s="28" t="str">
        <f>HYPERLINK("http://api.nsgreg.nga.mil/geo-division/GENC/6/ed3/XK-30","as:GENC:6:ed3:XK-30")</f>
        <v>as:GENC:6:ed3:XK-30</v>
      </c>
    </row>
    <row r="2169" spans="1:7" x14ac:dyDescent="0.2">
      <c r="A2169" s="85"/>
      <c r="B2169" s="25" t="s">
        <v>12735</v>
      </c>
      <c r="C2169" s="25" t="s">
        <v>12736</v>
      </c>
      <c r="D2169" s="25" t="s">
        <v>2164</v>
      </c>
      <c r="E2169" s="26" t="b">
        <v>1</v>
      </c>
      <c r="F2169" s="27" t="str">
        <f>HYPERLINK("http://nsgreg.nga.mil/genc/view?v=213770&amp;end_month=12&amp;end_day=31&amp;end_year=2014","Shtime")</f>
        <v>Shtime</v>
      </c>
      <c r="G2169" s="28" t="str">
        <f>HYPERLINK("http://api.nsgreg.nga.mil/geo-division/GENC/6/ed3/XK-31","as:GENC:6:ed3:XK-31")</f>
        <v>as:GENC:6:ed3:XK-31</v>
      </c>
    </row>
    <row r="2170" spans="1:7" x14ac:dyDescent="0.2">
      <c r="A2170" s="85"/>
      <c r="B2170" s="25" t="s">
        <v>12737</v>
      </c>
      <c r="C2170" s="25" t="s">
        <v>12738</v>
      </c>
      <c r="D2170" s="25" t="s">
        <v>2164</v>
      </c>
      <c r="E2170" s="26" t="b">
        <v>1</v>
      </c>
      <c r="F2170" s="27" t="str">
        <f>HYPERLINK("http://nsgreg.nga.mil/genc/view?v=213771&amp;end_month=12&amp;end_day=31&amp;end_year=2014","Skënderaj")</f>
        <v>Skënderaj</v>
      </c>
      <c r="G2170" s="28" t="str">
        <f>HYPERLINK("http://api.nsgreg.nga.mil/geo-division/GENC/6/ed3/XK-32","as:GENC:6:ed3:XK-32")</f>
        <v>as:GENC:6:ed3:XK-32</v>
      </c>
    </row>
    <row r="2171" spans="1:7" x14ac:dyDescent="0.2">
      <c r="A2171" s="85"/>
      <c r="B2171" s="25" t="s">
        <v>12739</v>
      </c>
      <c r="C2171" s="25" t="s">
        <v>12740</v>
      </c>
      <c r="D2171" s="25" t="s">
        <v>2164</v>
      </c>
      <c r="E2171" s="26" t="b">
        <v>1</v>
      </c>
      <c r="F2171" s="27" t="str">
        <f>HYPERLINK("http://nsgreg.nga.mil/genc/view?v=213772&amp;end_month=12&amp;end_day=31&amp;end_year=2014","Suharekë")</f>
        <v>Suharekë</v>
      </c>
      <c r="G2171" s="28" t="str">
        <f>HYPERLINK("http://api.nsgreg.nga.mil/geo-division/GENC/6/ed3/XK-33","as:GENC:6:ed3:XK-33")</f>
        <v>as:GENC:6:ed3:XK-33</v>
      </c>
    </row>
    <row r="2172" spans="1:7" x14ac:dyDescent="0.2">
      <c r="A2172" s="85"/>
      <c r="B2172" s="25" t="s">
        <v>12741</v>
      </c>
      <c r="C2172" s="25" t="s">
        <v>12742</v>
      </c>
      <c r="D2172" s="25" t="s">
        <v>2164</v>
      </c>
      <c r="E2172" s="26" t="b">
        <v>1</v>
      </c>
      <c r="F2172" s="27" t="str">
        <f>HYPERLINK("http://nsgreg.nga.mil/genc/view?v=213773&amp;end_month=12&amp;end_day=31&amp;end_year=2014","Viti")</f>
        <v>Viti</v>
      </c>
      <c r="G2172" s="28" t="str">
        <f>HYPERLINK("http://api.nsgreg.nga.mil/geo-division/GENC/6/ed3/XK-34","as:GENC:6:ed3:XK-34")</f>
        <v>as:GENC:6:ed3:XK-34</v>
      </c>
    </row>
    <row r="2173" spans="1:7" x14ac:dyDescent="0.2">
      <c r="A2173" s="85"/>
      <c r="B2173" s="25" t="s">
        <v>12743</v>
      </c>
      <c r="C2173" s="25" t="s">
        <v>12744</v>
      </c>
      <c r="D2173" s="25" t="s">
        <v>2164</v>
      </c>
      <c r="E2173" s="26" t="b">
        <v>1</v>
      </c>
      <c r="F2173" s="27" t="str">
        <f>HYPERLINK("http://nsgreg.nga.mil/genc/view?v=213774&amp;end_month=12&amp;end_day=31&amp;end_year=2014","Vushtrri")</f>
        <v>Vushtrri</v>
      </c>
      <c r="G2173" s="28" t="str">
        <f>HYPERLINK("http://api.nsgreg.nga.mil/geo-division/GENC/6/ed3/XK-35","as:GENC:6:ed3:XK-35")</f>
        <v>as:GENC:6:ed3:XK-35</v>
      </c>
    </row>
    <row r="2174" spans="1:7" x14ac:dyDescent="0.2">
      <c r="A2174" s="85"/>
      <c r="B2174" s="25" t="s">
        <v>12745</v>
      </c>
      <c r="C2174" s="25" t="s">
        <v>12746</v>
      </c>
      <c r="D2174" s="25" t="s">
        <v>2164</v>
      </c>
      <c r="E2174" s="26" t="b">
        <v>1</v>
      </c>
      <c r="F2174" s="27" t="str">
        <f>HYPERLINK("http://nsgreg.nga.mil/genc/view?v=213775&amp;end_month=12&amp;end_day=31&amp;end_year=2014","Zubin Potok")</f>
        <v>Zubin Potok</v>
      </c>
      <c r="G2174" s="28" t="str">
        <f>HYPERLINK("http://api.nsgreg.nga.mil/geo-division/GENC/6/ed3/XK-36","as:GENC:6:ed3:XK-36")</f>
        <v>as:GENC:6:ed3:XK-36</v>
      </c>
    </row>
    <row r="2175" spans="1:7" x14ac:dyDescent="0.2">
      <c r="A2175" s="86"/>
      <c r="B2175" s="29" t="s">
        <v>12747</v>
      </c>
      <c r="C2175" s="29" t="s">
        <v>12748</v>
      </c>
      <c r="D2175" s="29" t="s">
        <v>2164</v>
      </c>
      <c r="E2175" s="30" t="b">
        <v>1</v>
      </c>
      <c r="F2175" s="31" t="str">
        <f>HYPERLINK("http://nsgreg.nga.mil/genc/view?v=213776&amp;end_month=12&amp;end_day=31&amp;end_year=2014","Zveçan")</f>
        <v>Zveçan</v>
      </c>
      <c r="G2175" s="32" t="str">
        <f>HYPERLINK("http://api.nsgreg.nga.mil/geo-division/GENC/6/ed3/XK-37","as:GENC:6:ed3:XK-37")</f>
        <v>as:GENC:6:ed3:XK-37</v>
      </c>
    </row>
    <row r="2176" spans="1:7" x14ac:dyDescent="0.2">
      <c r="A2176" s="84" t="str">
        <f>HYPERLINK("[#]Codes_for_GE_Names!A147:I147","KUWAIT")</f>
        <v>KUWAIT</v>
      </c>
      <c r="B2176" s="33" t="s">
        <v>6007</v>
      </c>
      <c r="C2176" s="33" t="s">
        <v>6008</v>
      </c>
      <c r="D2176" s="33" t="s">
        <v>2365</v>
      </c>
      <c r="E2176" s="34" t="b">
        <v>1</v>
      </c>
      <c r="F2176" s="35" t="str">
        <f>HYPERLINK("http://nsgreg.nga.mil/genc/view?v=120258&amp;gencs=T&amp;end_month=12&amp;end_day=31&amp;end_year=2014","Al Aḩmadī")</f>
        <v>Al Aḩmadī</v>
      </c>
      <c r="G2176" s="36" t="str">
        <f>HYPERLINK("http://api.nsgreg.nga.mil/geo-division/GENC/6/ed3/KW-AH","as:GENC:6:ed3:KW-AH")</f>
        <v>as:GENC:6:ed3:KW-AH</v>
      </c>
    </row>
    <row r="2177" spans="1:7" x14ac:dyDescent="0.2">
      <c r="A2177" s="85"/>
      <c r="B2177" s="25" t="s">
        <v>6013</v>
      </c>
      <c r="C2177" s="25" t="s">
        <v>12036</v>
      </c>
      <c r="D2177" s="25" t="s">
        <v>2365</v>
      </c>
      <c r="E2177" s="26" t="b">
        <v>1</v>
      </c>
      <c r="F2177" s="27" t="str">
        <f>HYPERLINK("http://nsgreg.nga.mil/genc/view?v=212176&amp;end_month=12&amp;end_day=31&amp;end_year=2014","Al ‘Āşimah")</f>
        <v>Al ‘Āşimah</v>
      </c>
      <c r="G2177" s="28" t="str">
        <f>HYPERLINK("http://api.nsgreg.nga.mil/geo-division/GENC/6/ed3/KW-KU","as:GENC:6:ed3:KW-KU")</f>
        <v>as:GENC:6:ed3:KW-KU</v>
      </c>
    </row>
    <row r="2178" spans="1:7" x14ac:dyDescent="0.2">
      <c r="A2178" s="85"/>
      <c r="B2178" s="25" t="s">
        <v>6009</v>
      </c>
      <c r="C2178" s="25" t="s">
        <v>6010</v>
      </c>
      <c r="D2178" s="25" t="s">
        <v>2365</v>
      </c>
      <c r="E2178" s="26" t="b">
        <v>1</v>
      </c>
      <c r="F2178" s="27" t="str">
        <f>HYPERLINK("http://nsgreg.nga.mil/genc/view?v=120259&amp;gencs=T&amp;end_month=12&amp;end_day=31&amp;end_year=2014","Al Farwānīyah")</f>
        <v>Al Farwānīyah</v>
      </c>
      <c r="G2178" s="28" t="str">
        <f>HYPERLINK("http://api.nsgreg.nga.mil/geo-division/GENC/6/ed3/KW-FA","as:GENC:6:ed3:KW-FA")</f>
        <v>as:GENC:6:ed3:KW-FA</v>
      </c>
    </row>
    <row r="2179" spans="1:7" x14ac:dyDescent="0.2">
      <c r="A2179" s="85"/>
      <c r="B2179" s="25" t="s">
        <v>6011</v>
      </c>
      <c r="C2179" s="25" t="s">
        <v>12749</v>
      </c>
      <c r="D2179" s="25" t="s">
        <v>2365</v>
      </c>
      <c r="E2179" s="26" t="b">
        <v>1</v>
      </c>
      <c r="F2179" s="27" t="str">
        <f>HYPERLINK("http://nsgreg.nga.mil/genc/view?v=120261&amp;gencs=T&amp;end_month=12&amp;end_day=31&amp;end_year=2014","Al Jahrā’")</f>
        <v>Al Jahrā’</v>
      </c>
      <c r="G2179" s="28" t="str">
        <f>HYPERLINK("http://api.nsgreg.nga.mil/geo-division/GENC/6/ed3/KW-JA","as:GENC:6:ed3:KW-JA")</f>
        <v>as:GENC:6:ed3:KW-JA</v>
      </c>
    </row>
    <row r="2180" spans="1:7" x14ac:dyDescent="0.2">
      <c r="A2180" s="85"/>
      <c r="B2180" s="25" t="s">
        <v>6017</v>
      </c>
      <c r="C2180" s="25" t="s">
        <v>6018</v>
      </c>
      <c r="D2180" s="25" t="s">
        <v>2365</v>
      </c>
      <c r="E2180" s="26" t="b">
        <v>1</v>
      </c>
      <c r="F2180" s="27" t="str">
        <f>HYPERLINK("http://nsgreg.nga.mil/genc/view?v=120260&amp;gencs=T&amp;end_month=12&amp;end_day=31&amp;end_year=2014","Ḩawallī")</f>
        <v>Ḩawallī</v>
      </c>
      <c r="G2180" s="28" t="str">
        <f>HYPERLINK("http://api.nsgreg.nga.mil/geo-division/GENC/6/ed3/KW-HA","as:GENC:6:ed3:KW-HA")</f>
        <v>as:GENC:6:ed3:KW-HA</v>
      </c>
    </row>
    <row r="2181" spans="1:7" x14ac:dyDescent="0.2">
      <c r="A2181" s="86"/>
      <c r="B2181" s="29" t="s">
        <v>6015</v>
      </c>
      <c r="C2181" s="29" t="s">
        <v>6016</v>
      </c>
      <c r="D2181" s="29" t="s">
        <v>2365</v>
      </c>
      <c r="E2181" s="30" t="b">
        <v>1</v>
      </c>
      <c r="F2181" s="31" t="str">
        <f>HYPERLINK("http://nsgreg.nga.mil/genc/view?v=120263&amp;gencs=T&amp;end_month=12&amp;end_day=31&amp;end_year=2014","Mubārak al Kabīr")</f>
        <v>Mubārak al Kabīr</v>
      </c>
      <c r="G2181" s="32" t="str">
        <f>HYPERLINK("http://api.nsgreg.nga.mil/geo-division/GENC/6/ed3/KW-MU","as:GENC:6:ed3:KW-MU")</f>
        <v>as:GENC:6:ed3:KW-MU</v>
      </c>
    </row>
    <row r="2182" spans="1:7" x14ac:dyDescent="0.2">
      <c r="A2182" s="84" t="str">
        <f>HYPERLINK("[#]Codes_for_GE_Names!A148:I148","KYRGYZSTAN")</f>
        <v>KYRGYZSTAN</v>
      </c>
      <c r="B2182" s="33" t="s">
        <v>6019</v>
      </c>
      <c r="C2182" s="33" t="s">
        <v>6020</v>
      </c>
      <c r="D2182" s="33" t="s">
        <v>1719</v>
      </c>
      <c r="E2182" s="34" t="b">
        <v>1</v>
      </c>
      <c r="F2182" s="35" t="str">
        <f>HYPERLINK("http://nsgreg.nga.mil/genc/view?v=212108&amp;end_month=12&amp;end_day=31&amp;end_year=2014","Batken")</f>
        <v>Batken</v>
      </c>
      <c r="G2182" s="36" t="str">
        <f>HYPERLINK("http://api.nsgreg.nga.mil/geo-division/GENC/6/ed3/KG-B","as:GENC:6:ed3:KG-B")</f>
        <v>as:GENC:6:ed3:KG-B</v>
      </c>
    </row>
    <row r="2183" spans="1:7" x14ac:dyDescent="0.2">
      <c r="A2183" s="85"/>
      <c r="B2183" s="25" t="s">
        <v>6022</v>
      </c>
      <c r="C2183" s="25" t="s">
        <v>6023</v>
      </c>
      <c r="D2183" s="25" t="s">
        <v>2046</v>
      </c>
      <c r="E2183" s="26" t="b">
        <v>1</v>
      </c>
      <c r="F2183" s="27" t="str">
        <f>HYPERLINK("http://nsgreg.nga.mil/genc/view?v=212110&amp;end_month=12&amp;end_day=31&amp;end_year=2014","Bishkek")</f>
        <v>Bishkek</v>
      </c>
      <c r="G2183" s="28" t="str">
        <f>HYPERLINK("http://api.nsgreg.nga.mil/geo-division/GENC/6/ed3/KG-GB","as:GENC:6:ed3:KG-GB")</f>
        <v>as:GENC:6:ed3:KG-GB</v>
      </c>
    </row>
    <row r="2184" spans="1:7" x14ac:dyDescent="0.2">
      <c r="A2184" s="85"/>
      <c r="B2184" s="25" t="s">
        <v>6024</v>
      </c>
      <c r="C2184" s="25" t="s">
        <v>12750</v>
      </c>
      <c r="D2184" s="25" t="s">
        <v>1719</v>
      </c>
      <c r="E2184" s="26" t="b">
        <v>1</v>
      </c>
      <c r="F2184" s="27" t="str">
        <f>HYPERLINK("http://nsgreg.nga.mil/genc/view?v=212109&amp;end_month=12&amp;end_day=31&amp;end_year=2014","Chüy")</f>
        <v>Chüy</v>
      </c>
      <c r="G2184" s="28" t="str">
        <f>HYPERLINK("http://api.nsgreg.nga.mil/geo-division/GENC/6/ed3/KG-C","as:GENC:6:ed3:KG-C")</f>
        <v>as:GENC:6:ed3:KG-C</v>
      </c>
    </row>
    <row r="2185" spans="1:7" x14ac:dyDescent="0.2">
      <c r="A2185" s="85"/>
      <c r="B2185" s="25" t="s">
        <v>6027</v>
      </c>
      <c r="C2185" s="25" t="s">
        <v>6032</v>
      </c>
      <c r="D2185" s="25" t="s">
        <v>1719</v>
      </c>
      <c r="E2185" s="26" t="b">
        <v>1</v>
      </c>
      <c r="F2185" s="27" t="str">
        <f>HYPERLINK("http://nsgreg.nga.mil/genc/view?v=212111&amp;end_month=12&amp;end_day=31&amp;end_year=2014","Jalal-Abad")</f>
        <v>Jalal-Abad</v>
      </c>
      <c r="G2185" s="28" t="str">
        <f>HYPERLINK("http://api.nsgreg.nga.mil/geo-division/GENC/6/ed3/KG-J","as:GENC:6:ed3:KG-J")</f>
        <v>as:GENC:6:ed3:KG-J</v>
      </c>
    </row>
    <row r="2186" spans="1:7" x14ac:dyDescent="0.2">
      <c r="A2186" s="85"/>
      <c r="B2186" s="25" t="s">
        <v>6033</v>
      </c>
      <c r="C2186" s="25" t="s">
        <v>6034</v>
      </c>
      <c r="D2186" s="25" t="s">
        <v>1719</v>
      </c>
      <c r="E2186" s="26" t="b">
        <v>1</v>
      </c>
      <c r="F2186" s="27" t="str">
        <f>HYPERLINK("http://nsgreg.nga.mil/genc/view?v=212112&amp;end_month=12&amp;end_day=31&amp;end_year=2014","Naryn")</f>
        <v>Naryn</v>
      </c>
      <c r="G2186" s="28" t="str">
        <f>HYPERLINK("http://api.nsgreg.nga.mil/geo-division/GENC/6/ed3/KG-N","as:GENC:6:ed3:KG-N")</f>
        <v>as:GENC:6:ed3:KG-N</v>
      </c>
    </row>
    <row r="2187" spans="1:7" x14ac:dyDescent="0.2">
      <c r="A2187" s="85"/>
      <c r="B2187" s="25" t="s">
        <v>12751</v>
      </c>
      <c r="C2187" s="25" t="s">
        <v>6037</v>
      </c>
      <c r="D2187" s="25" t="s">
        <v>2046</v>
      </c>
      <c r="E2187" s="26" t="b">
        <v>1</v>
      </c>
      <c r="F2187" s="27" t="str">
        <f>HYPERLINK("http://nsgreg.nga.mil/genc/view?v=120178&amp;gencs=T&amp;end_month=12&amp;end_day=31&amp;end_year=2014","Osh")</f>
        <v>Osh</v>
      </c>
      <c r="G2187" s="28" t="str">
        <f>HYPERLINK("http://api.nsgreg.nga.mil/geo-division/GENC/6/ed3/KG-GO","as:GENC:6:ed3:KG-GO")</f>
        <v>as:GENC:6:ed3:KG-GO</v>
      </c>
    </row>
    <row r="2188" spans="1:7" x14ac:dyDescent="0.2">
      <c r="A2188" s="85"/>
      <c r="B2188" s="25" t="s">
        <v>6036</v>
      </c>
      <c r="C2188" s="25" t="s">
        <v>6037</v>
      </c>
      <c r="D2188" s="25" t="s">
        <v>1719</v>
      </c>
      <c r="E2188" s="26" t="b">
        <v>1</v>
      </c>
      <c r="F2188" s="27" t="str">
        <f>HYPERLINK("http://nsgreg.nga.mil/genc/view?v=212113&amp;end_month=12&amp;end_day=31&amp;end_year=2014","Osh")</f>
        <v>Osh</v>
      </c>
      <c r="G2188" s="28" t="str">
        <f>HYPERLINK("http://api.nsgreg.nga.mil/geo-division/GENC/6/ed3/KG-O","as:GENC:6:ed3:KG-O")</f>
        <v>as:GENC:6:ed3:KG-O</v>
      </c>
    </row>
    <row r="2189" spans="1:7" x14ac:dyDescent="0.2">
      <c r="A2189" s="85"/>
      <c r="B2189" s="25" t="s">
        <v>6039</v>
      </c>
      <c r="C2189" s="25" t="s">
        <v>6040</v>
      </c>
      <c r="D2189" s="25" t="s">
        <v>1719</v>
      </c>
      <c r="E2189" s="26" t="b">
        <v>1</v>
      </c>
      <c r="F2189" s="27" t="str">
        <f>HYPERLINK("http://nsgreg.nga.mil/genc/view?v=212114&amp;end_month=12&amp;end_day=31&amp;end_year=2014","Talas")</f>
        <v>Talas</v>
      </c>
      <c r="G2189" s="28" t="str">
        <f>HYPERLINK("http://api.nsgreg.nga.mil/geo-division/GENC/6/ed3/KG-T","as:GENC:6:ed3:KG-T")</f>
        <v>as:GENC:6:ed3:KG-T</v>
      </c>
    </row>
    <row r="2190" spans="1:7" x14ac:dyDescent="0.2">
      <c r="A2190" s="86"/>
      <c r="B2190" s="29" t="s">
        <v>6030</v>
      </c>
      <c r="C2190" s="29" t="s">
        <v>6042</v>
      </c>
      <c r="D2190" s="29" t="s">
        <v>1719</v>
      </c>
      <c r="E2190" s="30" t="b">
        <v>1</v>
      </c>
      <c r="F2190" s="31" t="str">
        <f>HYPERLINK("http://nsgreg.nga.mil/genc/view?v=212115&amp;end_month=12&amp;end_day=31&amp;end_year=2014","Ysyk-Köl")</f>
        <v>Ysyk-Köl</v>
      </c>
      <c r="G2190" s="32" t="str">
        <f>HYPERLINK("http://api.nsgreg.nga.mil/geo-division/GENC/6/ed3/KG-Y","as:GENC:6:ed3:KG-Y")</f>
        <v>as:GENC:6:ed3:KG-Y</v>
      </c>
    </row>
    <row r="2191" spans="1:7" x14ac:dyDescent="0.2">
      <c r="A2191" s="84" t="str">
        <f>HYPERLINK("[#]Codes_for_GE_Names!A149:I149","LAOS")</f>
        <v>LAOS</v>
      </c>
      <c r="B2191" s="33" t="s">
        <v>6043</v>
      </c>
      <c r="C2191" s="33" t="s">
        <v>12752</v>
      </c>
      <c r="D2191" s="33" t="s">
        <v>1719</v>
      </c>
      <c r="E2191" s="34" t="b">
        <v>1</v>
      </c>
      <c r="F2191" s="35" t="str">
        <f>HYPERLINK("http://nsgreg.nga.mil/genc/view?v=212194&amp;end_month=12&amp;end_day=31&amp;end_year=2014","Attapu")</f>
        <v>Attapu</v>
      </c>
      <c r="G2191" s="36" t="str">
        <f>HYPERLINK("http://api.nsgreg.nga.mil/geo-division/GENC/6/ed3/LA-AT","as:GENC:6:ed3:LA-AT")</f>
        <v>as:GENC:6:ed3:LA-AT</v>
      </c>
    </row>
    <row r="2192" spans="1:7" x14ac:dyDescent="0.2">
      <c r="A2192" s="85"/>
      <c r="B2192" s="25" t="s">
        <v>6046</v>
      </c>
      <c r="C2192" s="25" t="s">
        <v>6047</v>
      </c>
      <c r="D2192" s="25" t="s">
        <v>1719</v>
      </c>
      <c r="E2192" s="26" t="b">
        <v>1</v>
      </c>
      <c r="F2192" s="27" t="str">
        <f>HYPERLINK("http://nsgreg.nga.mil/genc/view?v=120281&amp;gencs=T&amp;end_month=12&amp;end_day=31&amp;end_year=2014","Bokèo")</f>
        <v>Bokèo</v>
      </c>
      <c r="G2192" s="28" t="str">
        <f>HYPERLINK("http://api.nsgreg.nga.mil/geo-division/GENC/6/ed3/LA-BK","as:GENC:6:ed3:LA-BK")</f>
        <v>as:GENC:6:ed3:LA-BK</v>
      </c>
    </row>
    <row r="2193" spans="1:7" x14ac:dyDescent="0.2">
      <c r="A2193" s="85"/>
      <c r="B2193" s="25" t="s">
        <v>6048</v>
      </c>
      <c r="C2193" s="25" t="s">
        <v>12753</v>
      </c>
      <c r="D2193" s="25" t="s">
        <v>1719</v>
      </c>
      <c r="E2193" s="26" t="b">
        <v>1</v>
      </c>
      <c r="F2193" s="27" t="str">
        <f>HYPERLINK("http://nsgreg.nga.mil/genc/view?v=212195&amp;end_month=12&amp;end_day=31&amp;end_year=2014","Bolikhamxai")</f>
        <v>Bolikhamxai</v>
      </c>
      <c r="G2193" s="28" t="str">
        <f>HYPERLINK("http://api.nsgreg.nga.mil/geo-division/GENC/6/ed3/LA-BL","as:GENC:6:ed3:LA-BL")</f>
        <v>as:GENC:6:ed3:LA-BL</v>
      </c>
    </row>
    <row r="2194" spans="1:7" x14ac:dyDescent="0.2">
      <c r="A2194" s="85"/>
      <c r="B2194" s="25" t="s">
        <v>6051</v>
      </c>
      <c r="C2194" s="25" t="s">
        <v>12754</v>
      </c>
      <c r="D2194" s="25" t="s">
        <v>1719</v>
      </c>
      <c r="E2194" s="26" t="b">
        <v>1</v>
      </c>
      <c r="F2194" s="27" t="str">
        <f>HYPERLINK("http://nsgreg.nga.mil/genc/view?v=212196&amp;end_month=12&amp;end_day=31&amp;end_year=2014","Champasak")</f>
        <v>Champasak</v>
      </c>
      <c r="G2194" s="28" t="str">
        <f>HYPERLINK("http://api.nsgreg.nga.mil/geo-division/GENC/6/ed3/LA-CH","as:GENC:6:ed3:LA-CH")</f>
        <v>as:GENC:6:ed3:LA-CH</v>
      </c>
    </row>
    <row r="2195" spans="1:7" x14ac:dyDescent="0.2">
      <c r="A2195" s="85"/>
      <c r="B2195" s="25" t="s">
        <v>6054</v>
      </c>
      <c r="C2195" s="25" t="s">
        <v>6055</v>
      </c>
      <c r="D2195" s="25" t="s">
        <v>1719</v>
      </c>
      <c r="E2195" s="26" t="b">
        <v>1</v>
      </c>
      <c r="F2195" s="27" t="str">
        <f>HYPERLINK("http://nsgreg.nga.mil/genc/view?v=120284&amp;gencs=T&amp;end_month=12&amp;end_day=31&amp;end_year=2014","Houaphan")</f>
        <v>Houaphan</v>
      </c>
      <c r="G2195" s="28" t="str">
        <f>HYPERLINK("http://api.nsgreg.nga.mil/geo-division/GENC/6/ed3/LA-HO","as:GENC:6:ed3:LA-HO")</f>
        <v>as:GENC:6:ed3:LA-HO</v>
      </c>
    </row>
    <row r="2196" spans="1:7" x14ac:dyDescent="0.2">
      <c r="A2196" s="85"/>
      <c r="B2196" s="25" t="s">
        <v>6056</v>
      </c>
      <c r="C2196" s="25" t="s">
        <v>6057</v>
      </c>
      <c r="D2196" s="25" t="s">
        <v>1719</v>
      </c>
      <c r="E2196" s="26" t="b">
        <v>1</v>
      </c>
      <c r="F2196" s="27" t="str">
        <f>HYPERLINK("http://nsgreg.nga.mil/genc/view?v=120285&amp;gencs=T&amp;end_month=12&amp;end_day=31&amp;end_year=2014","Khammouan")</f>
        <v>Khammouan</v>
      </c>
      <c r="G2196" s="28" t="str">
        <f>HYPERLINK("http://api.nsgreg.nga.mil/geo-division/GENC/6/ed3/LA-KH","as:GENC:6:ed3:LA-KH")</f>
        <v>as:GENC:6:ed3:LA-KH</v>
      </c>
    </row>
    <row r="2197" spans="1:7" x14ac:dyDescent="0.2">
      <c r="A2197" s="85"/>
      <c r="B2197" s="25" t="s">
        <v>6058</v>
      </c>
      <c r="C2197" s="25" t="s">
        <v>12755</v>
      </c>
      <c r="D2197" s="25" t="s">
        <v>1719</v>
      </c>
      <c r="E2197" s="26" t="b">
        <v>1</v>
      </c>
      <c r="F2197" s="27" t="str">
        <f>HYPERLINK("http://nsgreg.nga.mil/genc/view?v=212197&amp;end_month=12&amp;end_day=31&amp;end_year=2014","Louangnamtha")</f>
        <v>Louangnamtha</v>
      </c>
      <c r="G2197" s="28" t="str">
        <f>HYPERLINK("http://api.nsgreg.nga.mil/geo-division/GENC/6/ed3/LA-LM","as:GENC:6:ed3:LA-LM")</f>
        <v>as:GENC:6:ed3:LA-LM</v>
      </c>
    </row>
    <row r="2198" spans="1:7" x14ac:dyDescent="0.2">
      <c r="A2198" s="85"/>
      <c r="B2198" s="25" t="s">
        <v>6060</v>
      </c>
      <c r="C2198" s="25" t="s">
        <v>12756</v>
      </c>
      <c r="D2198" s="25" t="s">
        <v>1719</v>
      </c>
      <c r="E2198" s="26" t="b">
        <v>1</v>
      </c>
      <c r="F2198" s="27" t="str">
        <f>HYPERLINK("http://nsgreg.nga.mil/genc/view?v=212198&amp;end_month=12&amp;end_day=31&amp;end_year=2014","Louangphabang")</f>
        <v>Louangphabang</v>
      </c>
      <c r="G2198" s="28" t="str">
        <f>HYPERLINK("http://api.nsgreg.nga.mil/geo-division/GENC/6/ed3/LA-LP","as:GENC:6:ed3:LA-LP")</f>
        <v>as:GENC:6:ed3:LA-LP</v>
      </c>
    </row>
    <row r="2199" spans="1:7" x14ac:dyDescent="0.2">
      <c r="A2199" s="85"/>
      <c r="B2199" s="25" t="s">
        <v>6063</v>
      </c>
      <c r="C2199" s="25" t="s">
        <v>12757</v>
      </c>
      <c r="D2199" s="25" t="s">
        <v>1719</v>
      </c>
      <c r="E2199" s="26" t="b">
        <v>1</v>
      </c>
      <c r="F2199" s="27" t="str">
        <f>HYPERLINK("http://nsgreg.nga.mil/genc/view?v=212199&amp;end_month=12&amp;end_day=31&amp;end_year=2014","Oudômxai")</f>
        <v>Oudômxai</v>
      </c>
      <c r="G2199" s="28" t="str">
        <f>HYPERLINK("http://api.nsgreg.nga.mil/geo-division/GENC/6/ed3/LA-OU","as:GENC:6:ed3:LA-OU")</f>
        <v>as:GENC:6:ed3:LA-OU</v>
      </c>
    </row>
    <row r="2200" spans="1:7" x14ac:dyDescent="0.2">
      <c r="A2200" s="85"/>
      <c r="B2200" s="25" t="s">
        <v>6066</v>
      </c>
      <c r="C2200" s="25" t="s">
        <v>12758</v>
      </c>
      <c r="D2200" s="25" t="s">
        <v>1719</v>
      </c>
      <c r="E2200" s="26" t="b">
        <v>1</v>
      </c>
      <c r="F2200" s="27" t="str">
        <f>HYPERLINK("http://nsgreg.nga.mil/genc/view?v=212200&amp;end_month=12&amp;end_day=31&amp;end_year=2014","Phôngsali")</f>
        <v>Phôngsali</v>
      </c>
      <c r="G2200" s="28" t="str">
        <f>HYPERLINK("http://api.nsgreg.nga.mil/geo-division/GENC/6/ed3/LA-PH","as:GENC:6:ed3:LA-PH")</f>
        <v>as:GENC:6:ed3:LA-PH</v>
      </c>
    </row>
    <row r="2201" spans="1:7" x14ac:dyDescent="0.2">
      <c r="A2201" s="85"/>
      <c r="B2201" s="25" t="s">
        <v>6069</v>
      </c>
      <c r="C2201" s="25" t="s">
        <v>12759</v>
      </c>
      <c r="D2201" s="25" t="s">
        <v>1719</v>
      </c>
      <c r="E2201" s="26" t="b">
        <v>1</v>
      </c>
      <c r="F2201" s="27" t="str">
        <f>HYPERLINK("http://nsgreg.nga.mil/genc/view?v=212201&amp;end_month=12&amp;end_day=31&amp;end_year=2014","Salavan")</f>
        <v>Salavan</v>
      </c>
      <c r="G2201" s="28" t="str">
        <f>HYPERLINK("http://api.nsgreg.nga.mil/geo-division/GENC/6/ed3/LA-SL","as:GENC:6:ed3:LA-SL")</f>
        <v>as:GENC:6:ed3:LA-SL</v>
      </c>
    </row>
    <row r="2202" spans="1:7" x14ac:dyDescent="0.2">
      <c r="A2202" s="85"/>
      <c r="B2202" s="25" t="s">
        <v>6072</v>
      </c>
      <c r="C2202" s="25" t="s">
        <v>6073</v>
      </c>
      <c r="D2202" s="25" t="s">
        <v>1719</v>
      </c>
      <c r="E2202" s="26" t="b">
        <v>1</v>
      </c>
      <c r="F2202" s="27" t="str">
        <f>HYPERLINK("http://nsgreg.nga.mil/genc/view?v=120291&amp;gencs=T&amp;end_month=12&amp;end_day=31&amp;end_year=2014","Savannakhét")</f>
        <v>Savannakhét</v>
      </c>
      <c r="G2202" s="28" t="str">
        <f>HYPERLINK("http://api.nsgreg.nga.mil/geo-division/GENC/6/ed3/LA-SV","as:GENC:6:ed3:LA-SV")</f>
        <v>as:GENC:6:ed3:LA-SV</v>
      </c>
    </row>
    <row r="2203" spans="1:7" x14ac:dyDescent="0.2">
      <c r="A2203" s="85"/>
      <c r="B2203" s="25" t="s">
        <v>6080</v>
      </c>
      <c r="C2203" s="25" t="s">
        <v>12760</v>
      </c>
      <c r="D2203" s="25" t="s">
        <v>3158</v>
      </c>
      <c r="E2203" s="26" t="b">
        <v>1</v>
      </c>
      <c r="F2203" s="27" t="str">
        <f>HYPERLINK("http://nsgreg.nga.mil/genc/view?v=212203&amp;end_month=12&amp;end_day=31&amp;end_year=2014","Viangchan")</f>
        <v>Viangchan</v>
      </c>
      <c r="G2203" s="28" t="str">
        <f>HYPERLINK("http://api.nsgreg.nga.mil/geo-division/GENC/6/ed3/LA-VT","as:GENC:6:ed3:LA-VT")</f>
        <v>as:GENC:6:ed3:LA-VT</v>
      </c>
    </row>
    <row r="2204" spans="1:7" x14ac:dyDescent="0.2">
      <c r="A2204" s="85"/>
      <c r="B2204" s="25" t="s">
        <v>6078</v>
      </c>
      <c r="C2204" s="25" t="s">
        <v>12760</v>
      </c>
      <c r="D2204" s="25" t="s">
        <v>1719</v>
      </c>
      <c r="E2204" s="26" t="b">
        <v>1</v>
      </c>
      <c r="F2204" s="27" t="str">
        <f>HYPERLINK("http://nsgreg.nga.mil/genc/view?v=212202&amp;end_month=12&amp;end_day=31&amp;end_year=2014","Viangchan")</f>
        <v>Viangchan</v>
      </c>
      <c r="G2204" s="28" t="str">
        <f>HYPERLINK("http://api.nsgreg.nga.mil/geo-division/GENC/6/ed3/LA-VI","as:GENC:6:ed3:LA-VI")</f>
        <v>as:GENC:6:ed3:LA-VI</v>
      </c>
    </row>
    <row r="2205" spans="1:7" x14ac:dyDescent="0.2">
      <c r="A2205" s="85"/>
      <c r="B2205" s="25" t="s">
        <v>6074</v>
      </c>
      <c r="C2205" s="25" t="s">
        <v>12761</v>
      </c>
      <c r="D2205" s="25" t="s">
        <v>1719</v>
      </c>
      <c r="E2205" s="26" t="b">
        <v>1</v>
      </c>
      <c r="F2205" s="27" t="str">
        <f>HYPERLINK("http://nsgreg.nga.mil/genc/view?v=212204&amp;end_month=12&amp;end_day=31&amp;end_year=2014","Xaignabouli")</f>
        <v>Xaignabouli</v>
      </c>
      <c r="G2205" s="28" t="str">
        <f>HYPERLINK("http://api.nsgreg.nga.mil/geo-division/GENC/6/ed3/LA-XA","as:GENC:6:ed3:LA-XA")</f>
        <v>as:GENC:6:ed3:LA-XA</v>
      </c>
    </row>
    <row r="2206" spans="1:7" x14ac:dyDescent="0.2">
      <c r="A2206" s="85"/>
      <c r="B2206" s="25" t="s">
        <v>6082</v>
      </c>
      <c r="C2206" s="25" t="s">
        <v>6083</v>
      </c>
      <c r="D2206" s="25" t="s">
        <v>1719</v>
      </c>
      <c r="E2206" s="26" t="b">
        <v>1</v>
      </c>
      <c r="F2206" s="27" t="str">
        <f>HYPERLINK("http://nsgreg.nga.mil/genc/view?v=212207&amp;end_month=12&amp;end_day=31&amp;end_year=2014","Xaisômboun")</f>
        <v>Xaisômboun</v>
      </c>
      <c r="G2206" s="28" t="str">
        <f>HYPERLINK("http://api.nsgreg.nga.mil/geo-division/GENC/6/ed3/LA-XN","as:GENC:6:ed3:LA-XN")</f>
        <v>as:GENC:6:ed3:LA-XN</v>
      </c>
    </row>
    <row r="2207" spans="1:7" x14ac:dyDescent="0.2">
      <c r="A2207" s="85"/>
      <c r="B2207" s="25" t="s">
        <v>6076</v>
      </c>
      <c r="C2207" s="25" t="s">
        <v>12762</v>
      </c>
      <c r="D2207" s="25" t="s">
        <v>1719</v>
      </c>
      <c r="E2207" s="26" t="b">
        <v>1</v>
      </c>
      <c r="F2207" s="27" t="str">
        <f>HYPERLINK("http://nsgreg.nga.mil/genc/view?v=212205&amp;end_month=12&amp;end_day=31&amp;end_year=2014","Xékong")</f>
        <v>Xékong</v>
      </c>
      <c r="G2207" s="28" t="str">
        <f>HYPERLINK("http://api.nsgreg.nga.mil/geo-division/GENC/6/ed3/LA-XE","as:GENC:6:ed3:LA-XE")</f>
        <v>as:GENC:6:ed3:LA-XE</v>
      </c>
    </row>
    <row r="2208" spans="1:7" x14ac:dyDescent="0.2">
      <c r="A2208" s="86"/>
      <c r="B2208" s="29" t="s">
        <v>6084</v>
      </c>
      <c r="C2208" s="29" t="s">
        <v>12763</v>
      </c>
      <c r="D2208" s="29" t="s">
        <v>1719</v>
      </c>
      <c r="E2208" s="30" t="b">
        <v>1</v>
      </c>
      <c r="F2208" s="31" t="str">
        <f>HYPERLINK("http://nsgreg.nga.mil/genc/view?v=212206&amp;end_month=12&amp;end_day=31&amp;end_year=2014","Xiangkhouang")</f>
        <v>Xiangkhouang</v>
      </c>
      <c r="G2208" s="32" t="str">
        <f>HYPERLINK("http://api.nsgreg.nga.mil/geo-division/GENC/6/ed3/LA-XI","as:GENC:6:ed3:LA-XI")</f>
        <v>as:GENC:6:ed3:LA-XI</v>
      </c>
    </row>
    <row r="2209" spans="1:7" x14ac:dyDescent="0.2">
      <c r="A2209" s="84" t="str">
        <f>HYPERLINK("[#]Codes_for_GE_Names!A150:I150","LATVIA")</f>
        <v>LATVIA</v>
      </c>
      <c r="B2209" s="33" t="s">
        <v>6318</v>
      </c>
      <c r="C2209" s="33" t="s">
        <v>12764</v>
      </c>
      <c r="D2209" s="33" t="s">
        <v>2164</v>
      </c>
      <c r="E2209" s="34" t="b">
        <v>1</v>
      </c>
      <c r="F2209" s="35" t="str">
        <f>HYPERLINK("http://nsgreg.nga.mil/genc/view?v=212300&amp;end_month=12&amp;end_day=31&amp;end_year=2014","Ādažu Novads")</f>
        <v>Ādažu Novads</v>
      </c>
      <c r="G2209" s="36" t="str">
        <f>HYPERLINK("http://api.nsgreg.nga.mil/geo-division/GENC/6/ed3/LV-011","as:GENC:6:ed3:LV-011")</f>
        <v>as:GENC:6:ed3:LV-011</v>
      </c>
    </row>
    <row r="2210" spans="1:7" x14ac:dyDescent="0.2">
      <c r="A2210" s="85"/>
      <c r="B2210" s="25" t="s">
        <v>6088</v>
      </c>
      <c r="C2210" s="25" t="s">
        <v>12765</v>
      </c>
      <c r="D2210" s="25" t="s">
        <v>2164</v>
      </c>
      <c r="E2210" s="26" t="b">
        <v>1</v>
      </c>
      <c r="F2210" s="27" t="str">
        <f>HYPERLINK("http://nsgreg.nga.mil/genc/view?v=212290&amp;end_month=12&amp;end_day=31&amp;end_year=2014","Aglonas Novads")</f>
        <v>Aglonas Novads</v>
      </c>
      <c r="G2210" s="28" t="str">
        <f>HYPERLINK("http://api.nsgreg.nga.mil/geo-division/GENC/6/ed3/LV-001","as:GENC:6:ed3:LV-001")</f>
        <v>as:GENC:6:ed3:LV-001</v>
      </c>
    </row>
    <row r="2211" spans="1:7" x14ac:dyDescent="0.2">
      <c r="A2211" s="85"/>
      <c r="B2211" s="25" t="s">
        <v>6090</v>
      </c>
      <c r="C2211" s="25" t="s">
        <v>12766</v>
      </c>
      <c r="D2211" s="25" t="s">
        <v>2164</v>
      </c>
      <c r="E2211" s="26" t="b">
        <v>1</v>
      </c>
      <c r="F2211" s="27" t="str">
        <f>HYPERLINK("http://nsgreg.nga.mil/genc/view?v=212291&amp;end_month=12&amp;end_day=31&amp;end_year=2014","Aizkraukles Novads")</f>
        <v>Aizkraukles Novads</v>
      </c>
      <c r="G2211" s="28" t="str">
        <f>HYPERLINK("http://api.nsgreg.nga.mil/geo-division/GENC/6/ed3/LV-002","as:GENC:6:ed3:LV-002")</f>
        <v>as:GENC:6:ed3:LV-002</v>
      </c>
    </row>
    <row r="2212" spans="1:7" x14ac:dyDescent="0.2">
      <c r="A2212" s="85"/>
      <c r="B2212" s="25" t="s">
        <v>6092</v>
      </c>
      <c r="C2212" s="25" t="s">
        <v>12767</v>
      </c>
      <c r="D2212" s="25" t="s">
        <v>2164</v>
      </c>
      <c r="E2212" s="26" t="b">
        <v>1</v>
      </c>
      <c r="F2212" s="27" t="str">
        <f>HYPERLINK("http://nsgreg.nga.mil/genc/view?v=212292&amp;end_month=12&amp;end_day=31&amp;end_year=2014","Aizputes Novads")</f>
        <v>Aizputes Novads</v>
      </c>
      <c r="G2212" s="28" t="str">
        <f>HYPERLINK("http://api.nsgreg.nga.mil/geo-division/GENC/6/ed3/LV-003","as:GENC:6:ed3:LV-003")</f>
        <v>as:GENC:6:ed3:LV-003</v>
      </c>
    </row>
    <row r="2213" spans="1:7" x14ac:dyDescent="0.2">
      <c r="A2213" s="85"/>
      <c r="B2213" s="25" t="s">
        <v>6094</v>
      </c>
      <c r="C2213" s="25" t="s">
        <v>12768</v>
      </c>
      <c r="D2213" s="25" t="s">
        <v>2164</v>
      </c>
      <c r="E2213" s="26" t="b">
        <v>1</v>
      </c>
      <c r="F2213" s="27" t="str">
        <f>HYPERLINK("http://nsgreg.nga.mil/genc/view?v=212293&amp;end_month=12&amp;end_day=31&amp;end_year=2014","Aknīstes Novads")</f>
        <v>Aknīstes Novads</v>
      </c>
      <c r="G2213" s="28" t="str">
        <f>HYPERLINK("http://api.nsgreg.nga.mil/geo-division/GENC/6/ed3/LV-004","as:GENC:6:ed3:LV-004")</f>
        <v>as:GENC:6:ed3:LV-004</v>
      </c>
    </row>
    <row r="2214" spans="1:7" x14ac:dyDescent="0.2">
      <c r="A2214" s="85"/>
      <c r="B2214" s="25" t="s">
        <v>6096</v>
      </c>
      <c r="C2214" s="25" t="s">
        <v>12769</v>
      </c>
      <c r="D2214" s="25" t="s">
        <v>2164</v>
      </c>
      <c r="E2214" s="26" t="b">
        <v>1</v>
      </c>
      <c r="F2214" s="27" t="str">
        <f>HYPERLINK("http://nsgreg.nga.mil/genc/view?v=212294&amp;end_month=12&amp;end_day=31&amp;end_year=2014","Alojas Novads")</f>
        <v>Alojas Novads</v>
      </c>
      <c r="G2214" s="28" t="str">
        <f>HYPERLINK("http://api.nsgreg.nga.mil/geo-division/GENC/6/ed3/LV-005","as:GENC:6:ed3:LV-005")</f>
        <v>as:GENC:6:ed3:LV-005</v>
      </c>
    </row>
    <row r="2215" spans="1:7" x14ac:dyDescent="0.2">
      <c r="A2215" s="85"/>
      <c r="B2215" s="25" t="s">
        <v>6098</v>
      </c>
      <c r="C2215" s="25" t="s">
        <v>12770</v>
      </c>
      <c r="D2215" s="25" t="s">
        <v>2164</v>
      </c>
      <c r="E2215" s="26" t="b">
        <v>1</v>
      </c>
      <c r="F2215" s="27" t="str">
        <f>HYPERLINK("http://nsgreg.nga.mil/genc/view?v=212295&amp;end_month=12&amp;end_day=31&amp;end_year=2014","Alsungas Novads")</f>
        <v>Alsungas Novads</v>
      </c>
      <c r="G2215" s="28" t="str">
        <f>HYPERLINK("http://api.nsgreg.nga.mil/geo-division/GENC/6/ed3/LV-006","as:GENC:6:ed3:LV-006")</f>
        <v>as:GENC:6:ed3:LV-006</v>
      </c>
    </row>
    <row r="2216" spans="1:7" x14ac:dyDescent="0.2">
      <c r="A2216" s="85"/>
      <c r="B2216" s="25" t="s">
        <v>6100</v>
      </c>
      <c r="C2216" s="25" t="s">
        <v>12771</v>
      </c>
      <c r="D2216" s="25" t="s">
        <v>2164</v>
      </c>
      <c r="E2216" s="26" t="b">
        <v>1</v>
      </c>
      <c r="F2216" s="27" t="str">
        <f>HYPERLINK("http://nsgreg.nga.mil/genc/view?v=212296&amp;end_month=12&amp;end_day=31&amp;end_year=2014","Alūksnes Novads")</f>
        <v>Alūksnes Novads</v>
      </c>
      <c r="G2216" s="28" t="str">
        <f>HYPERLINK("http://api.nsgreg.nga.mil/geo-division/GENC/6/ed3/LV-007","as:GENC:6:ed3:LV-007")</f>
        <v>as:GENC:6:ed3:LV-007</v>
      </c>
    </row>
    <row r="2217" spans="1:7" x14ac:dyDescent="0.2">
      <c r="A2217" s="85"/>
      <c r="B2217" s="25" t="s">
        <v>6102</v>
      </c>
      <c r="C2217" s="25" t="s">
        <v>12772</v>
      </c>
      <c r="D2217" s="25" t="s">
        <v>2164</v>
      </c>
      <c r="E2217" s="26" t="b">
        <v>1</v>
      </c>
      <c r="F2217" s="27" t="str">
        <f>HYPERLINK("http://nsgreg.nga.mil/genc/view?v=212297&amp;end_month=12&amp;end_day=31&amp;end_year=2014","Amatas Novads")</f>
        <v>Amatas Novads</v>
      </c>
      <c r="G2217" s="28" t="str">
        <f>HYPERLINK("http://api.nsgreg.nga.mil/geo-division/GENC/6/ed3/LV-008","as:GENC:6:ed3:LV-008")</f>
        <v>as:GENC:6:ed3:LV-008</v>
      </c>
    </row>
    <row r="2218" spans="1:7" x14ac:dyDescent="0.2">
      <c r="A2218" s="85"/>
      <c r="B2218" s="25" t="s">
        <v>6104</v>
      </c>
      <c r="C2218" s="25" t="s">
        <v>12773</v>
      </c>
      <c r="D2218" s="25" t="s">
        <v>2164</v>
      </c>
      <c r="E2218" s="26" t="b">
        <v>1</v>
      </c>
      <c r="F2218" s="27" t="str">
        <f>HYPERLINK("http://nsgreg.nga.mil/genc/view?v=212298&amp;end_month=12&amp;end_day=31&amp;end_year=2014","Apes Novads")</f>
        <v>Apes Novads</v>
      </c>
      <c r="G2218" s="28" t="str">
        <f>HYPERLINK("http://api.nsgreg.nga.mil/geo-division/GENC/6/ed3/LV-009","as:GENC:6:ed3:LV-009")</f>
        <v>as:GENC:6:ed3:LV-009</v>
      </c>
    </row>
    <row r="2219" spans="1:7" x14ac:dyDescent="0.2">
      <c r="A2219" s="85"/>
      <c r="B2219" s="25" t="s">
        <v>6106</v>
      </c>
      <c r="C2219" s="25" t="s">
        <v>12774</v>
      </c>
      <c r="D2219" s="25" t="s">
        <v>2164</v>
      </c>
      <c r="E2219" s="26" t="b">
        <v>1</v>
      </c>
      <c r="F2219" s="27" t="str">
        <f>HYPERLINK("http://nsgreg.nga.mil/genc/view?v=212299&amp;end_month=12&amp;end_day=31&amp;end_year=2014","Auces Novads")</f>
        <v>Auces Novads</v>
      </c>
      <c r="G2219" s="28" t="str">
        <f>HYPERLINK("http://api.nsgreg.nga.mil/geo-division/GENC/6/ed3/LV-010","as:GENC:6:ed3:LV-010")</f>
        <v>as:GENC:6:ed3:LV-010</v>
      </c>
    </row>
    <row r="2220" spans="1:7" x14ac:dyDescent="0.2">
      <c r="A2220" s="85"/>
      <c r="B2220" s="25" t="s">
        <v>6108</v>
      </c>
      <c r="C2220" s="25" t="s">
        <v>12775</v>
      </c>
      <c r="D2220" s="25" t="s">
        <v>2164</v>
      </c>
      <c r="E2220" s="26" t="b">
        <v>1</v>
      </c>
      <c r="F2220" s="27" t="str">
        <f>HYPERLINK("http://nsgreg.nga.mil/genc/view?v=212301&amp;end_month=12&amp;end_day=31&amp;end_year=2014","Babītes Novads")</f>
        <v>Babītes Novads</v>
      </c>
      <c r="G2220" s="28" t="str">
        <f>HYPERLINK("http://api.nsgreg.nga.mil/geo-division/GENC/6/ed3/LV-012","as:GENC:6:ed3:LV-012")</f>
        <v>as:GENC:6:ed3:LV-012</v>
      </c>
    </row>
    <row r="2221" spans="1:7" x14ac:dyDescent="0.2">
      <c r="A2221" s="85"/>
      <c r="B2221" s="25" t="s">
        <v>6110</v>
      </c>
      <c r="C2221" s="25" t="s">
        <v>12776</v>
      </c>
      <c r="D2221" s="25" t="s">
        <v>2164</v>
      </c>
      <c r="E2221" s="26" t="b">
        <v>1</v>
      </c>
      <c r="F2221" s="27" t="str">
        <f>HYPERLINK("http://nsgreg.nga.mil/genc/view?v=212302&amp;end_month=12&amp;end_day=31&amp;end_year=2014","Baldones Novads")</f>
        <v>Baldones Novads</v>
      </c>
      <c r="G2221" s="28" t="str">
        <f>HYPERLINK("http://api.nsgreg.nga.mil/geo-division/GENC/6/ed3/LV-013","as:GENC:6:ed3:LV-013")</f>
        <v>as:GENC:6:ed3:LV-013</v>
      </c>
    </row>
    <row r="2222" spans="1:7" x14ac:dyDescent="0.2">
      <c r="A2222" s="85"/>
      <c r="B2222" s="25" t="s">
        <v>6112</v>
      </c>
      <c r="C2222" s="25" t="s">
        <v>12777</v>
      </c>
      <c r="D2222" s="25" t="s">
        <v>2164</v>
      </c>
      <c r="E2222" s="26" t="b">
        <v>1</v>
      </c>
      <c r="F2222" s="27" t="str">
        <f>HYPERLINK("http://nsgreg.nga.mil/genc/view?v=212303&amp;end_month=12&amp;end_day=31&amp;end_year=2014","Baltinavas Novads")</f>
        <v>Baltinavas Novads</v>
      </c>
      <c r="G2222" s="28" t="str">
        <f>HYPERLINK("http://api.nsgreg.nga.mil/geo-division/GENC/6/ed3/LV-014","as:GENC:6:ed3:LV-014")</f>
        <v>as:GENC:6:ed3:LV-014</v>
      </c>
    </row>
    <row r="2223" spans="1:7" x14ac:dyDescent="0.2">
      <c r="A2223" s="85"/>
      <c r="B2223" s="25" t="s">
        <v>6114</v>
      </c>
      <c r="C2223" s="25" t="s">
        <v>12778</v>
      </c>
      <c r="D2223" s="25" t="s">
        <v>2164</v>
      </c>
      <c r="E2223" s="26" t="b">
        <v>1</v>
      </c>
      <c r="F2223" s="27" t="str">
        <f>HYPERLINK("http://nsgreg.nga.mil/genc/view?v=212304&amp;end_month=12&amp;end_day=31&amp;end_year=2014","Balvu Novads")</f>
        <v>Balvu Novads</v>
      </c>
      <c r="G2223" s="28" t="str">
        <f>HYPERLINK("http://api.nsgreg.nga.mil/geo-division/GENC/6/ed3/LV-015","as:GENC:6:ed3:LV-015")</f>
        <v>as:GENC:6:ed3:LV-015</v>
      </c>
    </row>
    <row r="2224" spans="1:7" x14ac:dyDescent="0.2">
      <c r="A2224" s="85"/>
      <c r="B2224" s="25" t="s">
        <v>6116</v>
      </c>
      <c r="C2224" s="25" t="s">
        <v>12779</v>
      </c>
      <c r="D2224" s="25" t="s">
        <v>2164</v>
      </c>
      <c r="E2224" s="26" t="b">
        <v>1</v>
      </c>
      <c r="F2224" s="27" t="str">
        <f>HYPERLINK("http://nsgreg.nga.mil/genc/view?v=212305&amp;end_month=12&amp;end_day=31&amp;end_year=2014","Bauskas Novads")</f>
        <v>Bauskas Novads</v>
      </c>
      <c r="G2224" s="28" t="str">
        <f>HYPERLINK("http://api.nsgreg.nga.mil/geo-division/GENC/6/ed3/LV-016","as:GENC:6:ed3:LV-016")</f>
        <v>as:GENC:6:ed3:LV-016</v>
      </c>
    </row>
    <row r="2225" spans="1:7" x14ac:dyDescent="0.2">
      <c r="A2225" s="85"/>
      <c r="B2225" s="25" t="s">
        <v>6118</v>
      </c>
      <c r="C2225" s="25" t="s">
        <v>12780</v>
      </c>
      <c r="D2225" s="25" t="s">
        <v>2164</v>
      </c>
      <c r="E2225" s="26" t="b">
        <v>1</v>
      </c>
      <c r="F2225" s="27" t="str">
        <f>HYPERLINK("http://nsgreg.nga.mil/genc/view?v=212306&amp;end_month=12&amp;end_day=31&amp;end_year=2014","Beverīnas Novads")</f>
        <v>Beverīnas Novads</v>
      </c>
      <c r="G2225" s="28" t="str">
        <f>HYPERLINK("http://api.nsgreg.nga.mil/geo-division/GENC/6/ed3/LV-017","as:GENC:6:ed3:LV-017")</f>
        <v>as:GENC:6:ed3:LV-017</v>
      </c>
    </row>
    <row r="2226" spans="1:7" x14ac:dyDescent="0.2">
      <c r="A2226" s="85"/>
      <c r="B2226" s="25" t="s">
        <v>6120</v>
      </c>
      <c r="C2226" s="25" t="s">
        <v>12781</v>
      </c>
      <c r="D2226" s="25" t="s">
        <v>2164</v>
      </c>
      <c r="E2226" s="26" t="b">
        <v>1</v>
      </c>
      <c r="F2226" s="27" t="str">
        <f>HYPERLINK("http://nsgreg.nga.mil/genc/view?v=212307&amp;end_month=12&amp;end_day=31&amp;end_year=2014","Brocēnu Novads")</f>
        <v>Brocēnu Novads</v>
      </c>
      <c r="G2226" s="28" t="str">
        <f>HYPERLINK("http://api.nsgreg.nga.mil/geo-division/GENC/6/ed3/LV-018","as:GENC:6:ed3:LV-018")</f>
        <v>as:GENC:6:ed3:LV-018</v>
      </c>
    </row>
    <row r="2227" spans="1:7" x14ac:dyDescent="0.2">
      <c r="A2227" s="85"/>
      <c r="B2227" s="25" t="s">
        <v>6122</v>
      </c>
      <c r="C2227" s="25" t="s">
        <v>12782</v>
      </c>
      <c r="D2227" s="25" t="s">
        <v>2164</v>
      </c>
      <c r="E2227" s="26" t="b">
        <v>1</v>
      </c>
      <c r="F2227" s="27" t="str">
        <f>HYPERLINK("http://nsgreg.nga.mil/genc/view?v=212308&amp;end_month=12&amp;end_day=31&amp;end_year=2014","Burtnieku Novads")</f>
        <v>Burtnieku Novads</v>
      </c>
      <c r="G2227" s="28" t="str">
        <f>HYPERLINK("http://api.nsgreg.nga.mil/geo-division/GENC/6/ed3/LV-019","as:GENC:6:ed3:LV-019")</f>
        <v>as:GENC:6:ed3:LV-019</v>
      </c>
    </row>
    <row r="2228" spans="1:7" x14ac:dyDescent="0.2">
      <c r="A2228" s="85"/>
      <c r="B2228" s="25" t="s">
        <v>6124</v>
      </c>
      <c r="C2228" s="25" t="s">
        <v>12783</v>
      </c>
      <c r="D2228" s="25" t="s">
        <v>2164</v>
      </c>
      <c r="E2228" s="26" t="b">
        <v>1</v>
      </c>
      <c r="F2228" s="27" t="str">
        <f>HYPERLINK("http://nsgreg.nga.mil/genc/view?v=212309&amp;end_month=12&amp;end_day=31&amp;end_year=2014","Carnikavas Novads")</f>
        <v>Carnikavas Novads</v>
      </c>
      <c r="G2228" s="28" t="str">
        <f>HYPERLINK("http://api.nsgreg.nga.mil/geo-division/GENC/6/ed3/LV-020","as:GENC:6:ed3:LV-020")</f>
        <v>as:GENC:6:ed3:LV-020</v>
      </c>
    </row>
    <row r="2229" spans="1:7" x14ac:dyDescent="0.2">
      <c r="A2229" s="85"/>
      <c r="B2229" s="25" t="s">
        <v>6130</v>
      </c>
      <c r="C2229" s="25" t="s">
        <v>12784</v>
      </c>
      <c r="D2229" s="25" t="s">
        <v>2164</v>
      </c>
      <c r="E2229" s="26" t="b">
        <v>1</v>
      </c>
      <c r="F2229" s="27" t="str">
        <f>HYPERLINK("http://nsgreg.nga.mil/genc/view?v=212311&amp;end_month=12&amp;end_day=31&amp;end_year=2014","Cēsu Novads")</f>
        <v>Cēsu Novads</v>
      </c>
      <c r="G2229" s="28" t="str">
        <f>HYPERLINK("http://api.nsgreg.nga.mil/geo-division/GENC/6/ed3/LV-022","as:GENC:6:ed3:LV-022")</f>
        <v>as:GENC:6:ed3:LV-022</v>
      </c>
    </row>
    <row r="2230" spans="1:7" x14ac:dyDescent="0.2">
      <c r="A2230" s="85"/>
      <c r="B2230" s="25" t="s">
        <v>6126</v>
      </c>
      <c r="C2230" s="25" t="s">
        <v>12785</v>
      </c>
      <c r="D2230" s="25" t="s">
        <v>2164</v>
      </c>
      <c r="E2230" s="26" t="b">
        <v>1</v>
      </c>
      <c r="F2230" s="27" t="str">
        <f>HYPERLINK("http://nsgreg.nga.mil/genc/view?v=212310&amp;end_month=12&amp;end_day=31&amp;end_year=2014","Cesvaines Novads")</f>
        <v>Cesvaines Novads</v>
      </c>
      <c r="G2230" s="28" t="str">
        <f>HYPERLINK("http://api.nsgreg.nga.mil/geo-division/GENC/6/ed3/LV-021","as:GENC:6:ed3:LV-021")</f>
        <v>as:GENC:6:ed3:LV-021</v>
      </c>
    </row>
    <row r="2231" spans="1:7" x14ac:dyDescent="0.2">
      <c r="A2231" s="85"/>
      <c r="B2231" s="25" t="s">
        <v>6128</v>
      </c>
      <c r="C2231" s="25" t="s">
        <v>12786</v>
      </c>
      <c r="D2231" s="25" t="s">
        <v>2164</v>
      </c>
      <c r="E2231" s="26" t="b">
        <v>1</v>
      </c>
      <c r="F2231" s="27" t="str">
        <f>HYPERLINK("http://nsgreg.nga.mil/genc/view?v=212312&amp;end_month=12&amp;end_day=31&amp;end_year=2014","Ciblas Novads")</f>
        <v>Ciblas Novads</v>
      </c>
      <c r="G2231" s="28" t="str">
        <f>HYPERLINK("http://api.nsgreg.nga.mil/geo-division/GENC/6/ed3/LV-023","as:GENC:6:ed3:LV-023")</f>
        <v>as:GENC:6:ed3:LV-023</v>
      </c>
    </row>
    <row r="2232" spans="1:7" x14ac:dyDescent="0.2">
      <c r="A2232" s="85"/>
      <c r="B2232" s="25" t="s">
        <v>6132</v>
      </c>
      <c r="C2232" s="25" t="s">
        <v>12787</v>
      </c>
      <c r="D2232" s="25" t="s">
        <v>2164</v>
      </c>
      <c r="E2232" s="26" t="b">
        <v>1</v>
      </c>
      <c r="F2232" s="27" t="str">
        <f>HYPERLINK("http://nsgreg.nga.mil/genc/view?v=212313&amp;end_month=12&amp;end_day=31&amp;end_year=2014","Dagdas Novads")</f>
        <v>Dagdas Novads</v>
      </c>
      <c r="G2232" s="28" t="str">
        <f>HYPERLINK("http://api.nsgreg.nga.mil/geo-division/GENC/6/ed3/LV-024","as:GENC:6:ed3:LV-024")</f>
        <v>as:GENC:6:ed3:LV-024</v>
      </c>
    </row>
    <row r="2233" spans="1:7" x14ac:dyDescent="0.2">
      <c r="A2233" s="85"/>
      <c r="B2233" s="25" t="s">
        <v>6134</v>
      </c>
      <c r="C2233" s="25" t="s">
        <v>6135</v>
      </c>
      <c r="D2233" s="25" t="s">
        <v>12788</v>
      </c>
      <c r="E2233" s="26" t="b">
        <v>1</v>
      </c>
      <c r="F2233" s="27" t="str">
        <f>HYPERLINK("http://nsgreg.nga.mil/genc/view?v=212400&amp;end_month=12&amp;end_day=31&amp;end_year=2014","Daugavpils")</f>
        <v>Daugavpils</v>
      </c>
      <c r="G2233" s="28" t="str">
        <f>HYPERLINK("http://api.nsgreg.nga.mil/geo-division/GENC/6/ed3/LV-DGV","as:GENC:6:ed3:LV-DGV")</f>
        <v>as:GENC:6:ed3:LV-DGV</v>
      </c>
    </row>
    <row r="2234" spans="1:7" x14ac:dyDescent="0.2">
      <c r="A2234" s="85"/>
      <c r="B2234" s="25" t="s">
        <v>6136</v>
      </c>
      <c r="C2234" s="25" t="s">
        <v>12789</v>
      </c>
      <c r="D2234" s="25" t="s">
        <v>2164</v>
      </c>
      <c r="E2234" s="26" t="b">
        <v>1</v>
      </c>
      <c r="F2234" s="27" t="str">
        <f>HYPERLINK("http://nsgreg.nga.mil/genc/view?v=212314&amp;end_month=12&amp;end_day=31&amp;end_year=2014","Daugavpils Novads")</f>
        <v>Daugavpils Novads</v>
      </c>
      <c r="G2234" s="28" t="str">
        <f>HYPERLINK("http://api.nsgreg.nga.mil/geo-division/GENC/6/ed3/LV-025","as:GENC:6:ed3:LV-025")</f>
        <v>as:GENC:6:ed3:LV-025</v>
      </c>
    </row>
    <row r="2235" spans="1:7" x14ac:dyDescent="0.2">
      <c r="A2235" s="85"/>
      <c r="B2235" s="25" t="s">
        <v>6138</v>
      </c>
      <c r="C2235" s="25" t="s">
        <v>12790</v>
      </c>
      <c r="D2235" s="25" t="s">
        <v>2164</v>
      </c>
      <c r="E2235" s="26" t="b">
        <v>1</v>
      </c>
      <c r="F2235" s="27" t="str">
        <f>HYPERLINK("http://nsgreg.nga.mil/genc/view?v=212315&amp;end_month=12&amp;end_day=31&amp;end_year=2014","Dobeles Novads")</f>
        <v>Dobeles Novads</v>
      </c>
      <c r="G2235" s="28" t="str">
        <f>HYPERLINK("http://api.nsgreg.nga.mil/geo-division/GENC/6/ed3/LV-026","as:GENC:6:ed3:LV-026")</f>
        <v>as:GENC:6:ed3:LV-026</v>
      </c>
    </row>
    <row r="2236" spans="1:7" x14ac:dyDescent="0.2">
      <c r="A2236" s="85"/>
      <c r="B2236" s="25" t="s">
        <v>6140</v>
      </c>
      <c r="C2236" s="25" t="s">
        <v>12791</v>
      </c>
      <c r="D2236" s="25" t="s">
        <v>2164</v>
      </c>
      <c r="E2236" s="26" t="b">
        <v>1</v>
      </c>
      <c r="F2236" s="27" t="str">
        <f>HYPERLINK("http://nsgreg.nga.mil/genc/view?v=212316&amp;end_month=12&amp;end_day=31&amp;end_year=2014","Dundagas Novads")</f>
        <v>Dundagas Novads</v>
      </c>
      <c r="G2236" s="28" t="str">
        <f>HYPERLINK("http://api.nsgreg.nga.mil/geo-division/GENC/6/ed3/LV-027","as:GENC:6:ed3:LV-027")</f>
        <v>as:GENC:6:ed3:LV-027</v>
      </c>
    </row>
    <row r="2237" spans="1:7" x14ac:dyDescent="0.2">
      <c r="A2237" s="85"/>
      <c r="B2237" s="25" t="s">
        <v>6142</v>
      </c>
      <c r="C2237" s="25" t="s">
        <v>12792</v>
      </c>
      <c r="D2237" s="25" t="s">
        <v>2164</v>
      </c>
      <c r="E2237" s="26" t="b">
        <v>1</v>
      </c>
      <c r="F2237" s="27" t="str">
        <f>HYPERLINK("http://nsgreg.nga.mil/genc/view?v=212317&amp;end_month=12&amp;end_day=31&amp;end_year=2014","Durbes Novads")</f>
        <v>Durbes Novads</v>
      </c>
      <c r="G2237" s="28" t="str">
        <f>HYPERLINK("http://api.nsgreg.nga.mil/geo-division/GENC/6/ed3/LV-028","as:GENC:6:ed3:LV-028")</f>
        <v>as:GENC:6:ed3:LV-028</v>
      </c>
    </row>
    <row r="2238" spans="1:7" x14ac:dyDescent="0.2">
      <c r="A2238" s="85"/>
      <c r="B2238" s="25" t="s">
        <v>6144</v>
      </c>
      <c r="C2238" s="25" t="s">
        <v>12793</v>
      </c>
      <c r="D2238" s="25" t="s">
        <v>2164</v>
      </c>
      <c r="E2238" s="26" t="b">
        <v>1</v>
      </c>
      <c r="F2238" s="27" t="str">
        <f>HYPERLINK("http://nsgreg.nga.mil/genc/view?v=212318&amp;end_month=12&amp;end_day=31&amp;end_year=2014","Engures Novads")</f>
        <v>Engures Novads</v>
      </c>
      <c r="G2238" s="28" t="str">
        <f>HYPERLINK("http://api.nsgreg.nga.mil/geo-division/GENC/6/ed3/LV-029","as:GENC:6:ed3:LV-029")</f>
        <v>as:GENC:6:ed3:LV-029</v>
      </c>
    </row>
    <row r="2239" spans="1:7" x14ac:dyDescent="0.2">
      <c r="A2239" s="85"/>
      <c r="B2239" s="25" t="s">
        <v>6320</v>
      </c>
      <c r="C2239" s="25" t="s">
        <v>12794</v>
      </c>
      <c r="D2239" s="25" t="s">
        <v>2164</v>
      </c>
      <c r="E2239" s="26" t="b">
        <v>1</v>
      </c>
      <c r="F2239" s="27" t="str">
        <f>HYPERLINK("http://nsgreg.nga.mil/genc/view?v=212319&amp;end_month=12&amp;end_day=31&amp;end_year=2014","Ērgļu Novads")</f>
        <v>Ērgļu Novads</v>
      </c>
      <c r="G2239" s="28" t="str">
        <f>HYPERLINK("http://api.nsgreg.nga.mil/geo-division/GENC/6/ed3/LV-030","as:GENC:6:ed3:LV-030")</f>
        <v>as:GENC:6:ed3:LV-030</v>
      </c>
    </row>
    <row r="2240" spans="1:7" x14ac:dyDescent="0.2">
      <c r="A2240" s="85"/>
      <c r="B2240" s="25" t="s">
        <v>6146</v>
      </c>
      <c r="C2240" s="25" t="s">
        <v>12795</v>
      </c>
      <c r="D2240" s="25" t="s">
        <v>2164</v>
      </c>
      <c r="E2240" s="26" t="b">
        <v>1</v>
      </c>
      <c r="F2240" s="27" t="str">
        <f>HYPERLINK("http://nsgreg.nga.mil/genc/view?v=212320&amp;end_month=12&amp;end_day=31&amp;end_year=2014","Garkalnes Novads")</f>
        <v>Garkalnes Novads</v>
      </c>
      <c r="G2240" s="28" t="str">
        <f>HYPERLINK("http://api.nsgreg.nga.mil/geo-division/GENC/6/ed3/LV-031","as:GENC:6:ed3:LV-031")</f>
        <v>as:GENC:6:ed3:LV-031</v>
      </c>
    </row>
    <row r="2241" spans="1:7" x14ac:dyDescent="0.2">
      <c r="A2241" s="85"/>
      <c r="B2241" s="25" t="s">
        <v>6148</v>
      </c>
      <c r="C2241" s="25" t="s">
        <v>12796</v>
      </c>
      <c r="D2241" s="25" t="s">
        <v>2164</v>
      </c>
      <c r="E2241" s="26" t="b">
        <v>1</v>
      </c>
      <c r="F2241" s="27" t="str">
        <f>HYPERLINK("http://nsgreg.nga.mil/genc/view?v=212321&amp;end_month=12&amp;end_day=31&amp;end_year=2014","Grobiņas Novads")</f>
        <v>Grobiņas Novads</v>
      </c>
      <c r="G2241" s="28" t="str">
        <f>HYPERLINK("http://api.nsgreg.nga.mil/geo-division/GENC/6/ed3/LV-032","as:GENC:6:ed3:LV-032")</f>
        <v>as:GENC:6:ed3:LV-032</v>
      </c>
    </row>
    <row r="2242" spans="1:7" x14ac:dyDescent="0.2">
      <c r="A2242" s="85"/>
      <c r="B2242" s="25" t="s">
        <v>6150</v>
      </c>
      <c r="C2242" s="25" t="s">
        <v>12797</v>
      </c>
      <c r="D2242" s="25" t="s">
        <v>2164</v>
      </c>
      <c r="E2242" s="26" t="b">
        <v>1</v>
      </c>
      <c r="F2242" s="27" t="str">
        <f>HYPERLINK("http://nsgreg.nga.mil/genc/view?v=212322&amp;end_month=12&amp;end_day=31&amp;end_year=2014","Gulbenes Novads")</f>
        <v>Gulbenes Novads</v>
      </c>
      <c r="G2242" s="28" t="str">
        <f>HYPERLINK("http://api.nsgreg.nga.mil/geo-division/GENC/6/ed3/LV-033","as:GENC:6:ed3:LV-033")</f>
        <v>as:GENC:6:ed3:LV-033</v>
      </c>
    </row>
    <row r="2243" spans="1:7" x14ac:dyDescent="0.2">
      <c r="A2243" s="85"/>
      <c r="B2243" s="25" t="s">
        <v>6152</v>
      </c>
      <c r="C2243" s="25" t="s">
        <v>12798</v>
      </c>
      <c r="D2243" s="25" t="s">
        <v>2164</v>
      </c>
      <c r="E2243" s="26" t="b">
        <v>1</v>
      </c>
      <c r="F2243" s="27" t="str">
        <f>HYPERLINK("http://nsgreg.nga.mil/genc/view?v=212323&amp;end_month=12&amp;end_day=31&amp;end_year=2014","Iecavas Novads")</f>
        <v>Iecavas Novads</v>
      </c>
      <c r="G2243" s="28" t="str">
        <f>HYPERLINK("http://api.nsgreg.nga.mil/geo-division/GENC/6/ed3/LV-034","as:GENC:6:ed3:LV-034")</f>
        <v>as:GENC:6:ed3:LV-034</v>
      </c>
    </row>
    <row r="2244" spans="1:7" x14ac:dyDescent="0.2">
      <c r="A2244" s="85"/>
      <c r="B2244" s="25" t="s">
        <v>6154</v>
      </c>
      <c r="C2244" s="25" t="s">
        <v>12799</v>
      </c>
      <c r="D2244" s="25" t="s">
        <v>2164</v>
      </c>
      <c r="E2244" s="26" t="b">
        <v>1</v>
      </c>
      <c r="F2244" s="27" t="str">
        <f>HYPERLINK("http://nsgreg.nga.mil/genc/view?v=212324&amp;end_month=12&amp;end_day=31&amp;end_year=2014","Ikšķiles Novads")</f>
        <v>Ikšķiles Novads</v>
      </c>
      <c r="G2244" s="28" t="str">
        <f>HYPERLINK("http://api.nsgreg.nga.mil/geo-division/GENC/6/ed3/LV-035","as:GENC:6:ed3:LV-035")</f>
        <v>as:GENC:6:ed3:LV-035</v>
      </c>
    </row>
    <row r="2245" spans="1:7" x14ac:dyDescent="0.2">
      <c r="A2245" s="85"/>
      <c r="B2245" s="25" t="s">
        <v>6156</v>
      </c>
      <c r="C2245" s="25" t="s">
        <v>12800</v>
      </c>
      <c r="D2245" s="25" t="s">
        <v>2164</v>
      </c>
      <c r="E2245" s="26" t="b">
        <v>1</v>
      </c>
      <c r="F2245" s="27" t="str">
        <f>HYPERLINK("http://nsgreg.nga.mil/genc/view?v=212325&amp;end_month=12&amp;end_day=31&amp;end_year=2014","Ilūkstes Novads")</f>
        <v>Ilūkstes Novads</v>
      </c>
      <c r="G2245" s="28" t="str">
        <f>HYPERLINK("http://api.nsgreg.nga.mil/geo-division/GENC/6/ed3/LV-036","as:GENC:6:ed3:LV-036")</f>
        <v>as:GENC:6:ed3:LV-036</v>
      </c>
    </row>
    <row r="2246" spans="1:7" x14ac:dyDescent="0.2">
      <c r="A2246" s="85"/>
      <c r="B2246" s="25" t="s">
        <v>6158</v>
      </c>
      <c r="C2246" s="25" t="s">
        <v>12801</v>
      </c>
      <c r="D2246" s="25" t="s">
        <v>2164</v>
      </c>
      <c r="E2246" s="26" t="b">
        <v>1</v>
      </c>
      <c r="F2246" s="27" t="str">
        <f>HYPERLINK("http://nsgreg.nga.mil/genc/view?v=212326&amp;end_month=12&amp;end_day=31&amp;end_year=2014","Inčukalna Novads")</f>
        <v>Inčukalna Novads</v>
      </c>
      <c r="G2246" s="28" t="str">
        <f>HYPERLINK("http://api.nsgreg.nga.mil/geo-division/GENC/6/ed3/LV-037","as:GENC:6:ed3:LV-037")</f>
        <v>as:GENC:6:ed3:LV-037</v>
      </c>
    </row>
    <row r="2247" spans="1:7" x14ac:dyDescent="0.2">
      <c r="A2247" s="85"/>
      <c r="B2247" s="25" t="s">
        <v>6160</v>
      </c>
      <c r="C2247" s="25" t="s">
        <v>12802</v>
      </c>
      <c r="D2247" s="25" t="s">
        <v>2164</v>
      </c>
      <c r="E2247" s="26" t="b">
        <v>1</v>
      </c>
      <c r="F2247" s="27" t="str">
        <f>HYPERLINK("http://nsgreg.nga.mil/genc/view?v=212327&amp;end_month=12&amp;end_day=31&amp;end_year=2014","Jaunjelgavas Novads")</f>
        <v>Jaunjelgavas Novads</v>
      </c>
      <c r="G2247" s="28" t="str">
        <f>HYPERLINK("http://api.nsgreg.nga.mil/geo-division/GENC/6/ed3/LV-038","as:GENC:6:ed3:LV-038")</f>
        <v>as:GENC:6:ed3:LV-038</v>
      </c>
    </row>
    <row r="2248" spans="1:7" x14ac:dyDescent="0.2">
      <c r="A2248" s="85"/>
      <c r="B2248" s="25" t="s">
        <v>6162</v>
      </c>
      <c r="C2248" s="25" t="s">
        <v>12803</v>
      </c>
      <c r="D2248" s="25" t="s">
        <v>2164</v>
      </c>
      <c r="E2248" s="26" t="b">
        <v>1</v>
      </c>
      <c r="F2248" s="27" t="str">
        <f>HYPERLINK("http://nsgreg.nga.mil/genc/view?v=212328&amp;end_month=12&amp;end_day=31&amp;end_year=2014","Jaunpiebalgas Novads")</f>
        <v>Jaunpiebalgas Novads</v>
      </c>
      <c r="G2248" s="28" t="str">
        <f>HYPERLINK("http://api.nsgreg.nga.mil/geo-division/GENC/6/ed3/LV-039","as:GENC:6:ed3:LV-039")</f>
        <v>as:GENC:6:ed3:LV-039</v>
      </c>
    </row>
    <row r="2249" spans="1:7" x14ac:dyDescent="0.2">
      <c r="A2249" s="85"/>
      <c r="B2249" s="25" t="s">
        <v>6164</v>
      </c>
      <c r="C2249" s="25" t="s">
        <v>12804</v>
      </c>
      <c r="D2249" s="25" t="s">
        <v>2164</v>
      </c>
      <c r="E2249" s="26" t="b">
        <v>1</v>
      </c>
      <c r="F2249" s="27" t="str">
        <f>HYPERLINK("http://nsgreg.nga.mil/genc/view?v=212329&amp;end_month=12&amp;end_day=31&amp;end_year=2014","Jaunpils Novads")</f>
        <v>Jaunpils Novads</v>
      </c>
      <c r="G2249" s="28" t="str">
        <f>HYPERLINK("http://api.nsgreg.nga.mil/geo-division/GENC/6/ed3/LV-040","as:GENC:6:ed3:LV-040")</f>
        <v>as:GENC:6:ed3:LV-040</v>
      </c>
    </row>
    <row r="2250" spans="1:7" x14ac:dyDescent="0.2">
      <c r="A2250" s="85"/>
      <c r="B2250" s="25" t="s">
        <v>6170</v>
      </c>
      <c r="C2250" s="25" t="s">
        <v>6171</v>
      </c>
      <c r="D2250" s="25" t="s">
        <v>12788</v>
      </c>
      <c r="E2250" s="26" t="b">
        <v>1</v>
      </c>
      <c r="F2250" s="27" t="str">
        <f>HYPERLINK("http://nsgreg.nga.mil/genc/view?v=212402&amp;end_month=12&amp;end_day=31&amp;end_year=2014","Jēkabpils")</f>
        <v>Jēkabpils</v>
      </c>
      <c r="G2250" s="28" t="str">
        <f>HYPERLINK("http://api.nsgreg.nga.mil/geo-division/GENC/6/ed3/LV-JKB","as:GENC:6:ed3:LV-JKB")</f>
        <v>as:GENC:6:ed3:LV-JKB</v>
      </c>
    </row>
    <row r="2251" spans="1:7" x14ac:dyDescent="0.2">
      <c r="A2251" s="85"/>
      <c r="B2251" s="25" t="s">
        <v>6172</v>
      </c>
      <c r="C2251" s="25" t="s">
        <v>12805</v>
      </c>
      <c r="D2251" s="25" t="s">
        <v>2164</v>
      </c>
      <c r="E2251" s="26" t="b">
        <v>1</v>
      </c>
      <c r="F2251" s="27" t="str">
        <f>HYPERLINK("http://nsgreg.nga.mil/genc/view?v=212331&amp;end_month=12&amp;end_day=31&amp;end_year=2014","Jēkabpils Novads")</f>
        <v>Jēkabpils Novads</v>
      </c>
      <c r="G2251" s="28" t="str">
        <f>HYPERLINK("http://api.nsgreg.nga.mil/geo-division/GENC/6/ed3/LV-042","as:GENC:6:ed3:LV-042")</f>
        <v>as:GENC:6:ed3:LV-042</v>
      </c>
    </row>
    <row r="2252" spans="1:7" x14ac:dyDescent="0.2">
      <c r="A2252" s="85"/>
      <c r="B2252" s="25" t="s">
        <v>6166</v>
      </c>
      <c r="C2252" s="25" t="s">
        <v>6167</v>
      </c>
      <c r="D2252" s="25" t="s">
        <v>12788</v>
      </c>
      <c r="E2252" s="26" t="b">
        <v>1</v>
      </c>
      <c r="F2252" s="27" t="str">
        <f>HYPERLINK("http://nsgreg.nga.mil/genc/view?v=212401&amp;end_month=12&amp;end_day=31&amp;end_year=2014","Jelgava")</f>
        <v>Jelgava</v>
      </c>
      <c r="G2252" s="28" t="str">
        <f>HYPERLINK("http://api.nsgreg.nga.mil/geo-division/GENC/6/ed3/LV-JEL","as:GENC:6:ed3:LV-JEL")</f>
        <v>as:GENC:6:ed3:LV-JEL</v>
      </c>
    </row>
    <row r="2253" spans="1:7" x14ac:dyDescent="0.2">
      <c r="A2253" s="85"/>
      <c r="B2253" s="25" t="s">
        <v>6168</v>
      </c>
      <c r="C2253" s="25" t="s">
        <v>12806</v>
      </c>
      <c r="D2253" s="25" t="s">
        <v>2164</v>
      </c>
      <c r="E2253" s="26" t="b">
        <v>1</v>
      </c>
      <c r="F2253" s="27" t="str">
        <f>HYPERLINK("http://nsgreg.nga.mil/genc/view?v=212330&amp;end_month=12&amp;end_day=31&amp;end_year=2014","Jelgavas Novads")</f>
        <v>Jelgavas Novads</v>
      </c>
      <c r="G2253" s="28" t="str">
        <f>HYPERLINK("http://api.nsgreg.nga.mil/geo-division/GENC/6/ed3/LV-041","as:GENC:6:ed3:LV-041")</f>
        <v>as:GENC:6:ed3:LV-041</v>
      </c>
    </row>
    <row r="2254" spans="1:7" x14ac:dyDescent="0.2">
      <c r="A2254" s="85"/>
      <c r="B2254" s="25" t="s">
        <v>6174</v>
      </c>
      <c r="C2254" s="25" t="s">
        <v>6175</v>
      </c>
      <c r="D2254" s="25" t="s">
        <v>12788</v>
      </c>
      <c r="E2254" s="26" t="b">
        <v>1</v>
      </c>
      <c r="F2254" s="27" t="str">
        <f>HYPERLINK("http://nsgreg.nga.mil/genc/view?v=212403&amp;end_month=12&amp;end_day=31&amp;end_year=2014","Jūrmala")</f>
        <v>Jūrmala</v>
      </c>
      <c r="G2254" s="28" t="str">
        <f>HYPERLINK("http://api.nsgreg.nga.mil/geo-division/GENC/6/ed3/LV-JUR","as:GENC:6:ed3:LV-JUR")</f>
        <v>as:GENC:6:ed3:LV-JUR</v>
      </c>
    </row>
    <row r="2255" spans="1:7" x14ac:dyDescent="0.2">
      <c r="A2255" s="85"/>
      <c r="B2255" s="25" t="s">
        <v>6176</v>
      </c>
      <c r="C2255" s="25" t="s">
        <v>12807</v>
      </c>
      <c r="D2255" s="25" t="s">
        <v>2164</v>
      </c>
      <c r="E2255" s="26" t="b">
        <v>1</v>
      </c>
      <c r="F2255" s="27" t="str">
        <f>HYPERLINK("http://nsgreg.nga.mil/genc/view?v=212332&amp;end_month=12&amp;end_day=31&amp;end_year=2014","Kandavas Novads")</f>
        <v>Kandavas Novads</v>
      </c>
      <c r="G2255" s="28" t="str">
        <f>HYPERLINK("http://api.nsgreg.nga.mil/geo-division/GENC/6/ed3/LV-043","as:GENC:6:ed3:LV-043")</f>
        <v>as:GENC:6:ed3:LV-043</v>
      </c>
    </row>
    <row r="2256" spans="1:7" x14ac:dyDescent="0.2">
      <c r="A2256" s="85"/>
      <c r="B2256" s="25" t="s">
        <v>6190</v>
      </c>
      <c r="C2256" s="25" t="s">
        <v>12808</v>
      </c>
      <c r="D2256" s="25" t="s">
        <v>2164</v>
      </c>
      <c r="E2256" s="26" t="b">
        <v>1</v>
      </c>
      <c r="F2256" s="27" t="str">
        <f>HYPERLINK("http://nsgreg.nga.mil/genc/view?v=212333&amp;end_month=12&amp;end_day=31&amp;end_year=2014","Kārsavas Novads")</f>
        <v>Kārsavas Novads</v>
      </c>
      <c r="G2256" s="28" t="str">
        <f>HYPERLINK("http://api.nsgreg.nga.mil/geo-division/GENC/6/ed3/LV-044","as:GENC:6:ed3:LV-044")</f>
        <v>as:GENC:6:ed3:LV-044</v>
      </c>
    </row>
    <row r="2257" spans="1:7" x14ac:dyDescent="0.2">
      <c r="A2257" s="85"/>
      <c r="B2257" s="25" t="s">
        <v>6322</v>
      </c>
      <c r="C2257" s="25" t="s">
        <v>12809</v>
      </c>
      <c r="D2257" s="25" t="s">
        <v>2164</v>
      </c>
      <c r="E2257" s="26" t="b">
        <v>1</v>
      </c>
      <c r="F2257" s="27" t="str">
        <f>HYPERLINK("http://nsgreg.nga.mil/genc/view?v=212340&amp;end_month=12&amp;end_day=31&amp;end_year=2014","Ķeguma Novads")</f>
        <v>Ķeguma Novads</v>
      </c>
      <c r="G2257" s="28" t="str">
        <f>HYPERLINK("http://api.nsgreg.nga.mil/geo-division/GENC/6/ed3/LV-051","as:GENC:6:ed3:LV-051")</f>
        <v>as:GENC:6:ed3:LV-051</v>
      </c>
    </row>
    <row r="2258" spans="1:7" x14ac:dyDescent="0.2">
      <c r="A2258" s="85"/>
      <c r="B2258" s="25" t="s">
        <v>6324</v>
      </c>
      <c r="C2258" s="25" t="s">
        <v>12810</v>
      </c>
      <c r="D2258" s="25" t="s">
        <v>2164</v>
      </c>
      <c r="E2258" s="26" t="b">
        <v>1</v>
      </c>
      <c r="F2258" s="27" t="str">
        <f>HYPERLINK("http://nsgreg.nga.mil/genc/view?v=212341&amp;end_month=12&amp;end_day=31&amp;end_year=2014","Ķekavas Novads")</f>
        <v>Ķekavas Novads</v>
      </c>
      <c r="G2258" s="28" t="str">
        <f>HYPERLINK("http://api.nsgreg.nga.mil/geo-division/GENC/6/ed3/LV-052","as:GENC:6:ed3:LV-052")</f>
        <v>as:GENC:6:ed3:LV-052</v>
      </c>
    </row>
    <row r="2259" spans="1:7" x14ac:dyDescent="0.2">
      <c r="A2259" s="85"/>
      <c r="B2259" s="25" t="s">
        <v>6178</v>
      </c>
      <c r="C2259" s="25" t="s">
        <v>12811</v>
      </c>
      <c r="D2259" s="25" t="s">
        <v>2164</v>
      </c>
      <c r="E2259" s="26" t="b">
        <v>1</v>
      </c>
      <c r="F2259" s="27" t="str">
        <f>HYPERLINK("http://nsgreg.nga.mil/genc/view?v=212334&amp;end_month=12&amp;end_day=31&amp;end_year=2014","Kocēnu Novads")</f>
        <v>Kocēnu Novads</v>
      </c>
      <c r="G2259" s="28" t="str">
        <f>HYPERLINK("http://api.nsgreg.nga.mil/geo-division/GENC/6/ed3/LV-045","as:GENC:6:ed3:LV-045")</f>
        <v>as:GENC:6:ed3:LV-045</v>
      </c>
    </row>
    <row r="2260" spans="1:7" x14ac:dyDescent="0.2">
      <c r="A2260" s="85"/>
      <c r="B2260" s="25" t="s">
        <v>6180</v>
      </c>
      <c r="C2260" s="25" t="s">
        <v>12812</v>
      </c>
      <c r="D2260" s="25" t="s">
        <v>2164</v>
      </c>
      <c r="E2260" s="26" t="b">
        <v>1</v>
      </c>
      <c r="F2260" s="27" t="str">
        <f>HYPERLINK("http://nsgreg.nga.mil/genc/view?v=212335&amp;end_month=12&amp;end_day=31&amp;end_year=2014","Kokneses Novads")</f>
        <v>Kokneses Novads</v>
      </c>
      <c r="G2260" s="28" t="str">
        <f>HYPERLINK("http://api.nsgreg.nga.mil/geo-division/GENC/6/ed3/LV-046","as:GENC:6:ed3:LV-046")</f>
        <v>as:GENC:6:ed3:LV-046</v>
      </c>
    </row>
    <row r="2261" spans="1:7" x14ac:dyDescent="0.2">
      <c r="A2261" s="85"/>
      <c r="B2261" s="25" t="s">
        <v>6186</v>
      </c>
      <c r="C2261" s="25" t="s">
        <v>12813</v>
      </c>
      <c r="D2261" s="25" t="s">
        <v>2164</v>
      </c>
      <c r="E2261" s="26" t="b">
        <v>1</v>
      </c>
      <c r="F2261" s="27" t="str">
        <f>HYPERLINK("http://nsgreg.nga.mil/genc/view?v=212336&amp;end_month=12&amp;end_day=31&amp;end_year=2014","Krāslavas Novads")</f>
        <v>Krāslavas Novads</v>
      </c>
      <c r="G2261" s="28" t="str">
        <f>HYPERLINK("http://api.nsgreg.nga.mil/geo-division/GENC/6/ed3/LV-047","as:GENC:6:ed3:LV-047")</f>
        <v>as:GENC:6:ed3:LV-047</v>
      </c>
    </row>
    <row r="2262" spans="1:7" x14ac:dyDescent="0.2">
      <c r="A2262" s="85"/>
      <c r="B2262" s="25" t="s">
        <v>6182</v>
      </c>
      <c r="C2262" s="25" t="s">
        <v>12814</v>
      </c>
      <c r="D2262" s="25" t="s">
        <v>2164</v>
      </c>
      <c r="E2262" s="26" t="b">
        <v>1</v>
      </c>
      <c r="F2262" s="27" t="str">
        <f>HYPERLINK("http://nsgreg.nga.mil/genc/view?v=212337&amp;end_month=12&amp;end_day=31&amp;end_year=2014","Krimuldas Novads")</f>
        <v>Krimuldas Novads</v>
      </c>
      <c r="G2262" s="28" t="str">
        <f>HYPERLINK("http://api.nsgreg.nga.mil/geo-division/GENC/6/ed3/LV-048","as:GENC:6:ed3:LV-048")</f>
        <v>as:GENC:6:ed3:LV-048</v>
      </c>
    </row>
    <row r="2263" spans="1:7" x14ac:dyDescent="0.2">
      <c r="A2263" s="85"/>
      <c r="B2263" s="25" t="s">
        <v>6184</v>
      </c>
      <c r="C2263" s="25" t="s">
        <v>12815</v>
      </c>
      <c r="D2263" s="25" t="s">
        <v>2164</v>
      </c>
      <c r="E2263" s="26" t="b">
        <v>1</v>
      </c>
      <c r="F2263" s="27" t="str">
        <f>HYPERLINK("http://nsgreg.nga.mil/genc/view?v=212338&amp;end_month=12&amp;end_day=31&amp;end_year=2014","Krustpils Novads")</f>
        <v>Krustpils Novads</v>
      </c>
      <c r="G2263" s="28" t="str">
        <f>HYPERLINK("http://api.nsgreg.nga.mil/geo-division/GENC/6/ed3/LV-049","as:GENC:6:ed3:LV-049")</f>
        <v>as:GENC:6:ed3:LV-049</v>
      </c>
    </row>
    <row r="2264" spans="1:7" x14ac:dyDescent="0.2">
      <c r="A2264" s="85"/>
      <c r="B2264" s="25" t="s">
        <v>6188</v>
      </c>
      <c r="C2264" s="25" t="s">
        <v>12816</v>
      </c>
      <c r="D2264" s="25" t="s">
        <v>2164</v>
      </c>
      <c r="E2264" s="26" t="b">
        <v>1</v>
      </c>
      <c r="F2264" s="27" t="str">
        <f>HYPERLINK("http://nsgreg.nga.mil/genc/view?v=212339&amp;end_month=12&amp;end_day=31&amp;end_year=2014","Kuldīgas Novads")</f>
        <v>Kuldīgas Novads</v>
      </c>
      <c r="G2264" s="28" t="str">
        <f>HYPERLINK("http://api.nsgreg.nga.mil/geo-division/GENC/6/ed3/LV-050","as:GENC:6:ed3:LV-050")</f>
        <v>as:GENC:6:ed3:LV-050</v>
      </c>
    </row>
    <row r="2265" spans="1:7" x14ac:dyDescent="0.2">
      <c r="A2265" s="85"/>
      <c r="B2265" s="25" t="s">
        <v>6192</v>
      </c>
      <c r="C2265" s="25" t="s">
        <v>12817</v>
      </c>
      <c r="D2265" s="25" t="s">
        <v>2164</v>
      </c>
      <c r="E2265" s="26" t="b">
        <v>1</v>
      </c>
      <c r="F2265" s="27" t="str">
        <f>HYPERLINK("http://nsgreg.nga.mil/genc/view?v=212342&amp;end_month=12&amp;end_day=31&amp;end_year=2014","Lielvārdes Novads")</f>
        <v>Lielvārdes Novads</v>
      </c>
      <c r="G2265" s="28" t="str">
        <f>HYPERLINK("http://api.nsgreg.nga.mil/geo-division/GENC/6/ed3/LV-053","as:GENC:6:ed3:LV-053")</f>
        <v>as:GENC:6:ed3:LV-053</v>
      </c>
    </row>
    <row r="2266" spans="1:7" x14ac:dyDescent="0.2">
      <c r="A2266" s="85"/>
      <c r="B2266" s="25" t="s">
        <v>6194</v>
      </c>
      <c r="C2266" s="25" t="s">
        <v>6195</v>
      </c>
      <c r="D2266" s="25" t="s">
        <v>12788</v>
      </c>
      <c r="E2266" s="26" t="b">
        <v>1</v>
      </c>
      <c r="F2266" s="27" t="str">
        <f>HYPERLINK("http://nsgreg.nga.mil/genc/view?v=212404&amp;end_month=12&amp;end_day=31&amp;end_year=2014","Liepāja")</f>
        <v>Liepāja</v>
      </c>
      <c r="G2266" s="28" t="str">
        <f>HYPERLINK("http://api.nsgreg.nga.mil/geo-division/GENC/6/ed3/LV-LPX","as:GENC:6:ed3:LV-LPX")</f>
        <v>as:GENC:6:ed3:LV-LPX</v>
      </c>
    </row>
    <row r="2267" spans="1:7" x14ac:dyDescent="0.2">
      <c r="A2267" s="85"/>
      <c r="B2267" s="25" t="s">
        <v>6202</v>
      </c>
      <c r="C2267" s="25" t="s">
        <v>12818</v>
      </c>
      <c r="D2267" s="25" t="s">
        <v>2164</v>
      </c>
      <c r="E2267" s="26" t="b">
        <v>1</v>
      </c>
      <c r="F2267" s="27" t="str">
        <f>HYPERLINK("http://nsgreg.nga.mil/genc/view?v=212344&amp;end_month=12&amp;end_day=31&amp;end_year=2014","Līgatnes Novads")</f>
        <v>Līgatnes Novads</v>
      </c>
      <c r="G2267" s="28" t="str">
        <f>HYPERLINK("http://api.nsgreg.nga.mil/geo-division/GENC/6/ed3/LV-055","as:GENC:6:ed3:LV-055")</f>
        <v>as:GENC:6:ed3:LV-055</v>
      </c>
    </row>
    <row r="2268" spans="1:7" x14ac:dyDescent="0.2">
      <c r="A2268" s="85"/>
      <c r="B2268" s="25" t="s">
        <v>6196</v>
      </c>
      <c r="C2268" s="25" t="s">
        <v>12819</v>
      </c>
      <c r="D2268" s="25" t="s">
        <v>2164</v>
      </c>
      <c r="E2268" s="26" t="b">
        <v>1</v>
      </c>
      <c r="F2268" s="27" t="str">
        <f>HYPERLINK("http://nsgreg.nga.mil/genc/view?v=212343&amp;end_month=12&amp;end_day=31&amp;end_year=2014","Limbažu Novads")</f>
        <v>Limbažu Novads</v>
      </c>
      <c r="G2268" s="28" t="str">
        <f>HYPERLINK("http://api.nsgreg.nga.mil/geo-division/GENC/6/ed3/LV-054","as:GENC:6:ed3:LV-054")</f>
        <v>as:GENC:6:ed3:LV-054</v>
      </c>
    </row>
    <row r="2269" spans="1:7" x14ac:dyDescent="0.2">
      <c r="A2269" s="85"/>
      <c r="B2269" s="25" t="s">
        <v>6204</v>
      </c>
      <c r="C2269" s="25" t="s">
        <v>12820</v>
      </c>
      <c r="D2269" s="25" t="s">
        <v>2164</v>
      </c>
      <c r="E2269" s="26" t="b">
        <v>1</v>
      </c>
      <c r="F2269" s="27" t="str">
        <f>HYPERLINK("http://nsgreg.nga.mil/genc/view?v=212345&amp;end_month=12&amp;end_day=31&amp;end_year=2014","Līvānu Novads")</f>
        <v>Līvānu Novads</v>
      </c>
      <c r="G2269" s="28" t="str">
        <f>HYPERLINK("http://api.nsgreg.nga.mil/geo-division/GENC/6/ed3/LV-056","as:GENC:6:ed3:LV-056")</f>
        <v>as:GENC:6:ed3:LV-056</v>
      </c>
    </row>
    <row r="2270" spans="1:7" x14ac:dyDescent="0.2">
      <c r="A2270" s="85"/>
      <c r="B2270" s="25" t="s">
        <v>6198</v>
      </c>
      <c r="C2270" s="25" t="s">
        <v>12821</v>
      </c>
      <c r="D2270" s="25" t="s">
        <v>2164</v>
      </c>
      <c r="E2270" s="26" t="b">
        <v>1</v>
      </c>
      <c r="F2270" s="27" t="str">
        <f>HYPERLINK("http://nsgreg.nga.mil/genc/view?v=212346&amp;end_month=12&amp;end_day=31&amp;end_year=2014","Lubānas Novads")</f>
        <v>Lubānas Novads</v>
      </c>
      <c r="G2270" s="28" t="str">
        <f>HYPERLINK("http://api.nsgreg.nga.mil/geo-division/GENC/6/ed3/LV-057","as:GENC:6:ed3:LV-057")</f>
        <v>as:GENC:6:ed3:LV-057</v>
      </c>
    </row>
    <row r="2271" spans="1:7" x14ac:dyDescent="0.2">
      <c r="A2271" s="85"/>
      <c r="B2271" s="25" t="s">
        <v>6200</v>
      </c>
      <c r="C2271" s="25" t="s">
        <v>12822</v>
      </c>
      <c r="D2271" s="25" t="s">
        <v>2164</v>
      </c>
      <c r="E2271" s="26" t="b">
        <v>1</v>
      </c>
      <c r="F2271" s="27" t="str">
        <f>HYPERLINK("http://nsgreg.nga.mil/genc/view?v=212347&amp;end_month=12&amp;end_day=31&amp;end_year=2014","Ludzas Novads")</f>
        <v>Ludzas Novads</v>
      </c>
      <c r="G2271" s="28" t="str">
        <f>HYPERLINK("http://api.nsgreg.nga.mil/geo-division/GENC/6/ed3/LV-058","as:GENC:6:ed3:LV-058")</f>
        <v>as:GENC:6:ed3:LV-058</v>
      </c>
    </row>
    <row r="2272" spans="1:7" x14ac:dyDescent="0.2">
      <c r="A2272" s="85"/>
      <c r="B2272" s="25" t="s">
        <v>6206</v>
      </c>
      <c r="C2272" s="25" t="s">
        <v>12823</v>
      </c>
      <c r="D2272" s="25" t="s">
        <v>2164</v>
      </c>
      <c r="E2272" s="26" t="b">
        <v>1</v>
      </c>
      <c r="F2272" s="27" t="str">
        <f>HYPERLINK("http://nsgreg.nga.mil/genc/view?v=212348&amp;end_month=12&amp;end_day=31&amp;end_year=2014","Madonas Novads")</f>
        <v>Madonas Novads</v>
      </c>
      <c r="G2272" s="28" t="str">
        <f>HYPERLINK("http://api.nsgreg.nga.mil/geo-division/GENC/6/ed3/LV-059","as:GENC:6:ed3:LV-059")</f>
        <v>as:GENC:6:ed3:LV-059</v>
      </c>
    </row>
    <row r="2273" spans="1:7" x14ac:dyDescent="0.2">
      <c r="A2273" s="85"/>
      <c r="B2273" s="25" t="s">
        <v>6210</v>
      </c>
      <c r="C2273" s="25" t="s">
        <v>12824</v>
      </c>
      <c r="D2273" s="25" t="s">
        <v>2164</v>
      </c>
      <c r="E2273" s="26" t="b">
        <v>1</v>
      </c>
      <c r="F2273" s="27" t="str">
        <f>HYPERLINK("http://nsgreg.nga.mil/genc/view?v=212350&amp;end_month=12&amp;end_day=31&amp;end_year=2014","Mālpils Novads")</f>
        <v>Mālpils Novads</v>
      </c>
      <c r="G2273" s="28" t="str">
        <f>HYPERLINK("http://api.nsgreg.nga.mil/geo-division/GENC/6/ed3/LV-061","as:GENC:6:ed3:LV-061")</f>
        <v>as:GENC:6:ed3:LV-061</v>
      </c>
    </row>
    <row r="2274" spans="1:7" x14ac:dyDescent="0.2">
      <c r="A2274" s="85"/>
      <c r="B2274" s="25" t="s">
        <v>6212</v>
      </c>
      <c r="C2274" s="25" t="s">
        <v>12825</v>
      </c>
      <c r="D2274" s="25" t="s">
        <v>2164</v>
      </c>
      <c r="E2274" s="26" t="b">
        <v>1</v>
      </c>
      <c r="F2274" s="27" t="str">
        <f>HYPERLINK("http://nsgreg.nga.mil/genc/view?v=212351&amp;end_month=12&amp;end_day=31&amp;end_year=2014","Mārupes Novads")</f>
        <v>Mārupes Novads</v>
      </c>
      <c r="G2274" s="28" t="str">
        <f>HYPERLINK("http://api.nsgreg.nga.mil/geo-division/GENC/6/ed3/LV-062","as:GENC:6:ed3:LV-062")</f>
        <v>as:GENC:6:ed3:LV-062</v>
      </c>
    </row>
    <row r="2275" spans="1:7" x14ac:dyDescent="0.2">
      <c r="A2275" s="85"/>
      <c r="B2275" s="25" t="s">
        <v>6208</v>
      </c>
      <c r="C2275" s="25" t="s">
        <v>12826</v>
      </c>
      <c r="D2275" s="25" t="s">
        <v>2164</v>
      </c>
      <c r="E2275" s="26" t="b">
        <v>1</v>
      </c>
      <c r="F2275" s="27" t="str">
        <f>HYPERLINK("http://nsgreg.nga.mil/genc/view?v=212349&amp;end_month=12&amp;end_day=31&amp;end_year=2014","Mazsalacas Novads")</f>
        <v>Mazsalacas Novads</v>
      </c>
      <c r="G2275" s="28" t="str">
        <f>HYPERLINK("http://api.nsgreg.nga.mil/geo-division/GENC/6/ed3/LV-060","as:GENC:6:ed3:LV-060")</f>
        <v>as:GENC:6:ed3:LV-060</v>
      </c>
    </row>
    <row r="2276" spans="1:7" x14ac:dyDescent="0.2">
      <c r="A2276" s="85"/>
      <c r="B2276" s="25" t="s">
        <v>6214</v>
      </c>
      <c r="C2276" s="25" t="s">
        <v>12827</v>
      </c>
      <c r="D2276" s="25" t="s">
        <v>2164</v>
      </c>
      <c r="E2276" s="26" t="b">
        <v>1</v>
      </c>
      <c r="F2276" s="27" t="str">
        <f>HYPERLINK("http://nsgreg.nga.mil/genc/view?v=212352&amp;end_month=12&amp;end_day=31&amp;end_year=2014","Mērsraga Novads")</f>
        <v>Mērsraga Novads</v>
      </c>
      <c r="G2276" s="28" t="str">
        <f>HYPERLINK("http://api.nsgreg.nga.mil/geo-division/GENC/6/ed3/LV-063","as:GENC:6:ed3:LV-063")</f>
        <v>as:GENC:6:ed3:LV-063</v>
      </c>
    </row>
    <row r="2277" spans="1:7" x14ac:dyDescent="0.2">
      <c r="A2277" s="85"/>
      <c r="B2277" s="25" t="s">
        <v>6216</v>
      </c>
      <c r="C2277" s="25" t="s">
        <v>12828</v>
      </c>
      <c r="D2277" s="25" t="s">
        <v>2164</v>
      </c>
      <c r="E2277" s="26" t="b">
        <v>1</v>
      </c>
      <c r="F2277" s="27" t="str">
        <f>HYPERLINK("http://nsgreg.nga.mil/genc/view?v=212353&amp;end_month=12&amp;end_day=31&amp;end_year=2014","Naukšēnu Novads")</f>
        <v>Naukšēnu Novads</v>
      </c>
      <c r="G2277" s="28" t="str">
        <f>HYPERLINK("http://api.nsgreg.nga.mil/geo-division/GENC/6/ed3/LV-064","as:GENC:6:ed3:LV-064")</f>
        <v>as:GENC:6:ed3:LV-064</v>
      </c>
    </row>
    <row r="2278" spans="1:7" x14ac:dyDescent="0.2">
      <c r="A2278" s="85"/>
      <c r="B2278" s="25" t="s">
        <v>6218</v>
      </c>
      <c r="C2278" s="25" t="s">
        <v>12829</v>
      </c>
      <c r="D2278" s="25" t="s">
        <v>2164</v>
      </c>
      <c r="E2278" s="26" t="b">
        <v>1</v>
      </c>
      <c r="F2278" s="27" t="str">
        <f>HYPERLINK("http://nsgreg.nga.mil/genc/view?v=212354&amp;end_month=12&amp;end_day=31&amp;end_year=2014","Neretas Novads")</f>
        <v>Neretas Novads</v>
      </c>
      <c r="G2278" s="28" t="str">
        <f>HYPERLINK("http://api.nsgreg.nga.mil/geo-division/GENC/6/ed3/LV-065","as:GENC:6:ed3:LV-065")</f>
        <v>as:GENC:6:ed3:LV-065</v>
      </c>
    </row>
    <row r="2279" spans="1:7" x14ac:dyDescent="0.2">
      <c r="A2279" s="85"/>
      <c r="B2279" s="25" t="s">
        <v>6220</v>
      </c>
      <c r="C2279" s="25" t="s">
        <v>12830</v>
      </c>
      <c r="D2279" s="25" t="s">
        <v>2164</v>
      </c>
      <c r="E2279" s="26" t="b">
        <v>1</v>
      </c>
      <c r="F2279" s="27" t="str">
        <f>HYPERLINK("http://nsgreg.nga.mil/genc/view?v=212355&amp;end_month=12&amp;end_day=31&amp;end_year=2014","Nīcas Novads")</f>
        <v>Nīcas Novads</v>
      </c>
      <c r="G2279" s="28" t="str">
        <f>HYPERLINK("http://api.nsgreg.nga.mil/geo-division/GENC/6/ed3/LV-066","as:GENC:6:ed3:LV-066")</f>
        <v>as:GENC:6:ed3:LV-066</v>
      </c>
    </row>
    <row r="2280" spans="1:7" x14ac:dyDescent="0.2">
      <c r="A2280" s="85"/>
      <c r="B2280" s="25" t="s">
        <v>6222</v>
      </c>
      <c r="C2280" s="25" t="s">
        <v>12831</v>
      </c>
      <c r="D2280" s="25" t="s">
        <v>2164</v>
      </c>
      <c r="E2280" s="26" t="b">
        <v>1</v>
      </c>
      <c r="F2280" s="27" t="str">
        <f>HYPERLINK("http://nsgreg.nga.mil/genc/view?v=212356&amp;end_month=12&amp;end_day=31&amp;end_year=2014","Ogres Novads")</f>
        <v>Ogres Novads</v>
      </c>
      <c r="G2280" s="28" t="str">
        <f>HYPERLINK("http://api.nsgreg.nga.mil/geo-division/GENC/6/ed3/LV-067","as:GENC:6:ed3:LV-067")</f>
        <v>as:GENC:6:ed3:LV-067</v>
      </c>
    </row>
    <row r="2281" spans="1:7" x14ac:dyDescent="0.2">
      <c r="A2281" s="85"/>
      <c r="B2281" s="25" t="s">
        <v>6224</v>
      </c>
      <c r="C2281" s="25" t="s">
        <v>12832</v>
      </c>
      <c r="D2281" s="25" t="s">
        <v>2164</v>
      </c>
      <c r="E2281" s="26" t="b">
        <v>1</v>
      </c>
      <c r="F2281" s="27" t="str">
        <f>HYPERLINK("http://nsgreg.nga.mil/genc/view?v=212357&amp;end_month=12&amp;end_day=31&amp;end_year=2014","Olaines Novads")</f>
        <v>Olaines Novads</v>
      </c>
      <c r="G2281" s="28" t="str">
        <f>HYPERLINK("http://api.nsgreg.nga.mil/geo-division/GENC/6/ed3/LV-068","as:GENC:6:ed3:LV-068")</f>
        <v>as:GENC:6:ed3:LV-068</v>
      </c>
    </row>
    <row r="2282" spans="1:7" x14ac:dyDescent="0.2">
      <c r="A2282" s="85"/>
      <c r="B2282" s="25" t="s">
        <v>6226</v>
      </c>
      <c r="C2282" s="25" t="s">
        <v>12833</v>
      </c>
      <c r="D2282" s="25" t="s">
        <v>2164</v>
      </c>
      <c r="E2282" s="26" t="b">
        <v>1</v>
      </c>
      <c r="F2282" s="27" t="str">
        <f>HYPERLINK("http://nsgreg.nga.mil/genc/view?v=212358&amp;end_month=12&amp;end_day=31&amp;end_year=2014","Ozolnieku Novads")</f>
        <v>Ozolnieku Novads</v>
      </c>
      <c r="G2282" s="28" t="str">
        <f>HYPERLINK("http://api.nsgreg.nga.mil/geo-division/GENC/6/ed3/LV-069","as:GENC:6:ed3:LV-069")</f>
        <v>as:GENC:6:ed3:LV-069</v>
      </c>
    </row>
    <row r="2283" spans="1:7" x14ac:dyDescent="0.2">
      <c r="A2283" s="85"/>
      <c r="B2283" s="25" t="s">
        <v>6234</v>
      </c>
      <c r="C2283" s="25" t="s">
        <v>12834</v>
      </c>
      <c r="D2283" s="25" t="s">
        <v>2164</v>
      </c>
      <c r="E2283" s="26" t="b">
        <v>1</v>
      </c>
      <c r="F2283" s="27" t="str">
        <f>HYPERLINK("http://nsgreg.nga.mil/genc/view?v=212359&amp;end_month=12&amp;end_day=31&amp;end_year=2014","Pārgaujas Novads")</f>
        <v>Pārgaujas Novads</v>
      </c>
      <c r="G2283" s="28" t="str">
        <f>HYPERLINK("http://api.nsgreg.nga.mil/geo-division/GENC/6/ed3/LV-070","as:GENC:6:ed3:LV-070")</f>
        <v>as:GENC:6:ed3:LV-070</v>
      </c>
    </row>
    <row r="2284" spans="1:7" x14ac:dyDescent="0.2">
      <c r="A2284" s="85"/>
      <c r="B2284" s="25" t="s">
        <v>6236</v>
      </c>
      <c r="C2284" s="25" t="s">
        <v>12835</v>
      </c>
      <c r="D2284" s="25" t="s">
        <v>2164</v>
      </c>
      <c r="E2284" s="26" t="b">
        <v>1</v>
      </c>
      <c r="F2284" s="27" t="str">
        <f>HYPERLINK("http://nsgreg.nga.mil/genc/view?v=212360&amp;end_month=12&amp;end_day=31&amp;end_year=2014","Pāvilostas Novads")</f>
        <v>Pāvilostas Novads</v>
      </c>
      <c r="G2284" s="28" t="str">
        <f>HYPERLINK("http://api.nsgreg.nga.mil/geo-division/GENC/6/ed3/LV-071","as:GENC:6:ed3:LV-071")</f>
        <v>as:GENC:6:ed3:LV-071</v>
      </c>
    </row>
    <row r="2285" spans="1:7" x14ac:dyDescent="0.2">
      <c r="A2285" s="85"/>
      <c r="B2285" s="25" t="s">
        <v>6238</v>
      </c>
      <c r="C2285" s="25" t="s">
        <v>12836</v>
      </c>
      <c r="D2285" s="25" t="s">
        <v>2164</v>
      </c>
      <c r="E2285" s="26" t="b">
        <v>1</v>
      </c>
      <c r="F2285" s="27" t="str">
        <f>HYPERLINK("http://nsgreg.nga.mil/genc/view?v=212361&amp;end_month=12&amp;end_day=31&amp;end_year=2014","Pļaviņu Novads")</f>
        <v>Pļaviņu Novads</v>
      </c>
      <c r="G2285" s="28" t="str">
        <f>HYPERLINK("http://api.nsgreg.nga.mil/geo-division/GENC/6/ed3/LV-072","as:GENC:6:ed3:LV-072")</f>
        <v>as:GENC:6:ed3:LV-072</v>
      </c>
    </row>
    <row r="2286" spans="1:7" x14ac:dyDescent="0.2">
      <c r="A2286" s="85"/>
      <c r="B2286" s="25" t="s">
        <v>6228</v>
      </c>
      <c r="C2286" s="25" t="s">
        <v>12837</v>
      </c>
      <c r="D2286" s="25" t="s">
        <v>2164</v>
      </c>
      <c r="E2286" s="26" t="b">
        <v>1</v>
      </c>
      <c r="F2286" s="27" t="str">
        <f>HYPERLINK("http://nsgreg.nga.mil/genc/view?v=212362&amp;end_month=12&amp;end_day=31&amp;end_year=2014","Preiļu Novads")</f>
        <v>Preiļu Novads</v>
      </c>
      <c r="G2286" s="28" t="str">
        <f>HYPERLINK("http://api.nsgreg.nga.mil/geo-division/GENC/6/ed3/LV-073","as:GENC:6:ed3:LV-073")</f>
        <v>as:GENC:6:ed3:LV-073</v>
      </c>
    </row>
    <row r="2287" spans="1:7" x14ac:dyDescent="0.2">
      <c r="A2287" s="85"/>
      <c r="B2287" s="25" t="s">
        <v>6230</v>
      </c>
      <c r="C2287" s="25" t="s">
        <v>12838</v>
      </c>
      <c r="D2287" s="25" t="s">
        <v>2164</v>
      </c>
      <c r="E2287" s="26" t="b">
        <v>1</v>
      </c>
      <c r="F2287" s="27" t="str">
        <f>HYPERLINK("http://nsgreg.nga.mil/genc/view?v=212363&amp;end_month=12&amp;end_day=31&amp;end_year=2014","Priekules Novads")</f>
        <v>Priekules Novads</v>
      </c>
      <c r="G2287" s="28" t="str">
        <f>HYPERLINK("http://api.nsgreg.nga.mil/geo-division/GENC/6/ed3/LV-074","as:GENC:6:ed3:LV-074")</f>
        <v>as:GENC:6:ed3:LV-074</v>
      </c>
    </row>
    <row r="2288" spans="1:7" x14ac:dyDescent="0.2">
      <c r="A2288" s="85"/>
      <c r="B2288" s="25" t="s">
        <v>6232</v>
      </c>
      <c r="C2288" s="25" t="s">
        <v>12839</v>
      </c>
      <c r="D2288" s="25" t="s">
        <v>2164</v>
      </c>
      <c r="E2288" s="26" t="b">
        <v>1</v>
      </c>
      <c r="F2288" s="27" t="str">
        <f>HYPERLINK("http://nsgreg.nga.mil/genc/view?v=212364&amp;end_month=12&amp;end_day=31&amp;end_year=2014","Priekuļu Novads")</f>
        <v>Priekuļu Novads</v>
      </c>
      <c r="G2288" s="28" t="str">
        <f>HYPERLINK("http://api.nsgreg.nga.mil/geo-division/GENC/6/ed3/LV-075","as:GENC:6:ed3:LV-075")</f>
        <v>as:GENC:6:ed3:LV-075</v>
      </c>
    </row>
    <row r="2289" spans="1:7" x14ac:dyDescent="0.2">
      <c r="A2289" s="85"/>
      <c r="B2289" s="25" t="s">
        <v>6240</v>
      </c>
      <c r="C2289" s="25" t="s">
        <v>12840</v>
      </c>
      <c r="D2289" s="25" t="s">
        <v>2164</v>
      </c>
      <c r="E2289" s="26" t="b">
        <v>1</v>
      </c>
      <c r="F2289" s="27" t="str">
        <f>HYPERLINK("http://nsgreg.nga.mil/genc/view?v=212365&amp;end_month=12&amp;end_day=31&amp;end_year=2014","Raunas Novads")</f>
        <v>Raunas Novads</v>
      </c>
      <c r="G2289" s="28" t="str">
        <f>HYPERLINK("http://api.nsgreg.nga.mil/geo-division/GENC/6/ed3/LV-076","as:GENC:6:ed3:LV-076")</f>
        <v>as:GENC:6:ed3:LV-076</v>
      </c>
    </row>
    <row r="2290" spans="1:7" x14ac:dyDescent="0.2">
      <c r="A2290" s="85"/>
      <c r="B2290" s="25" t="s">
        <v>6254</v>
      </c>
      <c r="C2290" s="25" t="s">
        <v>6255</v>
      </c>
      <c r="D2290" s="25" t="s">
        <v>12788</v>
      </c>
      <c r="E2290" s="26" t="b">
        <v>1</v>
      </c>
      <c r="F2290" s="27" t="str">
        <f>HYPERLINK("http://nsgreg.nga.mil/genc/view?v=212405&amp;end_month=12&amp;end_day=31&amp;end_year=2014","Rēzekne")</f>
        <v>Rēzekne</v>
      </c>
      <c r="G2290" s="28" t="str">
        <f>HYPERLINK("http://api.nsgreg.nga.mil/geo-division/GENC/6/ed3/LV-REZ","as:GENC:6:ed3:LV-REZ")</f>
        <v>as:GENC:6:ed3:LV-REZ</v>
      </c>
    </row>
    <row r="2291" spans="1:7" x14ac:dyDescent="0.2">
      <c r="A2291" s="85"/>
      <c r="B2291" s="25" t="s">
        <v>6256</v>
      </c>
      <c r="C2291" s="25" t="s">
        <v>12841</v>
      </c>
      <c r="D2291" s="25" t="s">
        <v>2164</v>
      </c>
      <c r="E2291" s="26" t="b">
        <v>1</v>
      </c>
      <c r="F2291" s="27" t="str">
        <f>HYPERLINK("http://nsgreg.nga.mil/genc/view?v=212366&amp;end_month=12&amp;end_day=31&amp;end_year=2014","Rēzeknes Novads")</f>
        <v>Rēzeknes Novads</v>
      </c>
      <c r="G2291" s="28" t="str">
        <f>HYPERLINK("http://api.nsgreg.nga.mil/geo-division/GENC/6/ed3/LV-077","as:GENC:6:ed3:LV-077")</f>
        <v>as:GENC:6:ed3:LV-077</v>
      </c>
    </row>
    <row r="2292" spans="1:7" x14ac:dyDescent="0.2">
      <c r="A2292" s="85"/>
      <c r="B2292" s="25" t="s">
        <v>6242</v>
      </c>
      <c r="C2292" s="25" t="s">
        <v>12842</v>
      </c>
      <c r="D2292" s="25" t="s">
        <v>2164</v>
      </c>
      <c r="E2292" s="26" t="b">
        <v>1</v>
      </c>
      <c r="F2292" s="27" t="str">
        <f>HYPERLINK("http://nsgreg.nga.mil/genc/view?v=212367&amp;end_month=12&amp;end_day=31&amp;end_year=2014","Riebiņu Novads")</f>
        <v>Riebiņu Novads</v>
      </c>
      <c r="G2292" s="28" t="str">
        <f>HYPERLINK("http://api.nsgreg.nga.mil/geo-division/GENC/6/ed3/LV-078","as:GENC:6:ed3:LV-078")</f>
        <v>as:GENC:6:ed3:LV-078</v>
      </c>
    </row>
    <row r="2293" spans="1:7" x14ac:dyDescent="0.2">
      <c r="A2293" s="85"/>
      <c r="B2293" s="25" t="s">
        <v>6258</v>
      </c>
      <c r="C2293" s="25" t="s">
        <v>6259</v>
      </c>
      <c r="D2293" s="25" t="s">
        <v>12788</v>
      </c>
      <c r="E2293" s="26" t="b">
        <v>1</v>
      </c>
      <c r="F2293" s="27" t="str">
        <f>HYPERLINK("http://nsgreg.nga.mil/genc/view?v=212406&amp;end_month=12&amp;end_day=31&amp;end_year=2014","Rīga")</f>
        <v>Rīga</v>
      </c>
      <c r="G2293" s="28" t="str">
        <f>HYPERLINK("http://api.nsgreg.nga.mil/geo-division/GENC/6/ed3/LV-RIX","as:GENC:6:ed3:LV-RIX")</f>
        <v>as:GENC:6:ed3:LV-RIX</v>
      </c>
    </row>
    <row r="2294" spans="1:7" x14ac:dyDescent="0.2">
      <c r="A2294" s="85"/>
      <c r="B2294" s="25" t="s">
        <v>6244</v>
      </c>
      <c r="C2294" s="25" t="s">
        <v>12843</v>
      </c>
      <c r="D2294" s="25" t="s">
        <v>2164</v>
      </c>
      <c r="E2294" s="26" t="b">
        <v>1</v>
      </c>
      <c r="F2294" s="27" t="str">
        <f>HYPERLINK("http://nsgreg.nga.mil/genc/view?v=212368&amp;end_month=12&amp;end_day=31&amp;end_year=2014","Rojas Novads")</f>
        <v>Rojas Novads</v>
      </c>
      <c r="G2294" s="28" t="str">
        <f>HYPERLINK("http://api.nsgreg.nga.mil/geo-division/GENC/6/ed3/LV-079","as:GENC:6:ed3:LV-079")</f>
        <v>as:GENC:6:ed3:LV-079</v>
      </c>
    </row>
    <row r="2295" spans="1:7" x14ac:dyDescent="0.2">
      <c r="A2295" s="85"/>
      <c r="B2295" s="25" t="s">
        <v>6246</v>
      </c>
      <c r="C2295" s="25" t="s">
        <v>12844</v>
      </c>
      <c r="D2295" s="25" t="s">
        <v>2164</v>
      </c>
      <c r="E2295" s="26" t="b">
        <v>1</v>
      </c>
      <c r="F2295" s="27" t="str">
        <f>HYPERLINK("http://nsgreg.nga.mil/genc/view?v=212369&amp;end_month=12&amp;end_day=31&amp;end_year=2014","Ropažu Novads")</f>
        <v>Ropažu Novads</v>
      </c>
      <c r="G2295" s="28" t="str">
        <f>HYPERLINK("http://api.nsgreg.nga.mil/geo-division/GENC/6/ed3/LV-080","as:GENC:6:ed3:LV-080")</f>
        <v>as:GENC:6:ed3:LV-080</v>
      </c>
    </row>
    <row r="2296" spans="1:7" x14ac:dyDescent="0.2">
      <c r="A2296" s="85"/>
      <c r="B2296" s="25" t="s">
        <v>6248</v>
      </c>
      <c r="C2296" s="25" t="s">
        <v>12845</v>
      </c>
      <c r="D2296" s="25" t="s">
        <v>2164</v>
      </c>
      <c r="E2296" s="26" t="b">
        <v>1</v>
      </c>
      <c r="F2296" s="27" t="str">
        <f>HYPERLINK("http://nsgreg.nga.mil/genc/view?v=212370&amp;end_month=12&amp;end_day=31&amp;end_year=2014","Rucavas Novads")</f>
        <v>Rucavas Novads</v>
      </c>
      <c r="G2296" s="28" t="str">
        <f>HYPERLINK("http://api.nsgreg.nga.mil/geo-division/GENC/6/ed3/LV-081","as:GENC:6:ed3:LV-081")</f>
        <v>as:GENC:6:ed3:LV-081</v>
      </c>
    </row>
    <row r="2297" spans="1:7" x14ac:dyDescent="0.2">
      <c r="A2297" s="85"/>
      <c r="B2297" s="25" t="s">
        <v>6250</v>
      </c>
      <c r="C2297" s="25" t="s">
        <v>12846</v>
      </c>
      <c r="D2297" s="25" t="s">
        <v>2164</v>
      </c>
      <c r="E2297" s="26" t="b">
        <v>1</v>
      </c>
      <c r="F2297" s="27" t="str">
        <f>HYPERLINK("http://nsgreg.nga.mil/genc/view?v=212371&amp;end_month=12&amp;end_day=31&amp;end_year=2014","Rugāju Novads")</f>
        <v>Rugāju Novads</v>
      </c>
      <c r="G2297" s="28" t="str">
        <f>HYPERLINK("http://api.nsgreg.nga.mil/geo-division/GENC/6/ed3/LV-082","as:GENC:6:ed3:LV-082")</f>
        <v>as:GENC:6:ed3:LV-082</v>
      </c>
    </row>
    <row r="2298" spans="1:7" x14ac:dyDescent="0.2">
      <c r="A2298" s="85"/>
      <c r="B2298" s="25" t="s">
        <v>6260</v>
      </c>
      <c r="C2298" s="25" t="s">
        <v>12847</v>
      </c>
      <c r="D2298" s="25" t="s">
        <v>2164</v>
      </c>
      <c r="E2298" s="26" t="b">
        <v>1</v>
      </c>
      <c r="F2298" s="27" t="str">
        <f>HYPERLINK("http://nsgreg.nga.mil/genc/view?v=212373&amp;end_month=12&amp;end_day=31&amp;end_year=2014","Rūjienas Novads")</f>
        <v>Rūjienas Novads</v>
      </c>
      <c r="G2298" s="28" t="str">
        <f>HYPERLINK("http://api.nsgreg.nga.mil/geo-division/GENC/6/ed3/LV-084","as:GENC:6:ed3:LV-084")</f>
        <v>as:GENC:6:ed3:LV-084</v>
      </c>
    </row>
    <row r="2299" spans="1:7" x14ac:dyDescent="0.2">
      <c r="A2299" s="85"/>
      <c r="B2299" s="25" t="s">
        <v>6252</v>
      </c>
      <c r="C2299" s="25" t="s">
        <v>12848</v>
      </c>
      <c r="D2299" s="25" t="s">
        <v>2164</v>
      </c>
      <c r="E2299" s="26" t="b">
        <v>1</v>
      </c>
      <c r="F2299" s="27" t="str">
        <f>HYPERLINK("http://nsgreg.nga.mil/genc/view?v=212372&amp;end_month=12&amp;end_day=31&amp;end_year=2014","Rundāles Novads")</f>
        <v>Rundāles Novads</v>
      </c>
      <c r="G2299" s="28" t="str">
        <f>HYPERLINK("http://api.nsgreg.nga.mil/geo-division/GENC/6/ed3/LV-083","as:GENC:6:ed3:LV-083")</f>
        <v>as:GENC:6:ed3:LV-083</v>
      </c>
    </row>
    <row r="2300" spans="1:7" x14ac:dyDescent="0.2">
      <c r="A2300" s="85"/>
      <c r="B2300" s="25" t="s">
        <v>6262</v>
      </c>
      <c r="C2300" s="25" t="s">
        <v>12849</v>
      </c>
      <c r="D2300" s="25" t="s">
        <v>2164</v>
      </c>
      <c r="E2300" s="26" t="b">
        <v>1</v>
      </c>
      <c r="F2300" s="27" t="str">
        <f>HYPERLINK("http://nsgreg.nga.mil/genc/view?v=212375&amp;end_month=12&amp;end_day=31&amp;end_year=2014","Salacgrīvas Novads")</f>
        <v>Salacgrīvas Novads</v>
      </c>
      <c r="G2300" s="28" t="str">
        <f>HYPERLINK("http://api.nsgreg.nga.mil/geo-division/GENC/6/ed3/LV-086","as:GENC:6:ed3:LV-086")</f>
        <v>as:GENC:6:ed3:LV-086</v>
      </c>
    </row>
    <row r="2301" spans="1:7" x14ac:dyDescent="0.2">
      <c r="A2301" s="85"/>
      <c r="B2301" s="25" t="s">
        <v>6264</v>
      </c>
      <c r="C2301" s="25" t="s">
        <v>12850</v>
      </c>
      <c r="D2301" s="25" t="s">
        <v>2164</v>
      </c>
      <c r="E2301" s="26" t="b">
        <v>1</v>
      </c>
      <c r="F2301" s="27" t="str">
        <f>HYPERLINK("http://nsgreg.nga.mil/genc/view?v=212374&amp;end_month=12&amp;end_day=31&amp;end_year=2014","Salas Novads")</f>
        <v>Salas Novads</v>
      </c>
      <c r="G2301" s="28" t="str">
        <f>HYPERLINK("http://api.nsgreg.nga.mil/geo-division/GENC/6/ed3/LV-085","as:GENC:6:ed3:LV-085")</f>
        <v>as:GENC:6:ed3:LV-085</v>
      </c>
    </row>
    <row r="2302" spans="1:7" x14ac:dyDescent="0.2">
      <c r="A2302" s="85"/>
      <c r="B2302" s="25" t="s">
        <v>6266</v>
      </c>
      <c r="C2302" s="25" t="s">
        <v>12851</v>
      </c>
      <c r="D2302" s="25" t="s">
        <v>2164</v>
      </c>
      <c r="E2302" s="26" t="b">
        <v>1</v>
      </c>
      <c r="F2302" s="27" t="str">
        <f>HYPERLINK("http://nsgreg.nga.mil/genc/view?v=212376&amp;end_month=12&amp;end_day=31&amp;end_year=2014","Salaspils Novads")</f>
        <v>Salaspils Novads</v>
      </c>
      <c r="G2302" s="28" t="str">
        <f>HYPERLINK("http://api.nsgreg.nga.mil/geo-division/GENC/6/ed3/LV-087","as:GENC:6:ed3:LV-087")</f>
        <v>as:GENC:6:ed3:LV-087</v>
      </c>
    </row>
    <row r="2303" spans="1:7" x14ac:dyDescent="0.2">
      <c r="A2303" s="85"/>
      <c r="B2303" s="25" t="s">
        <v>6268</v>
      </c>
      <c r="C2303" s="25" t="s">
        <v>12852</v>
      </c>
      <c r="D2303" s="25" t="s">
        <v>2164</v>
      </c>
      <c r="E2303" s="26" t="b">
        <v>1</v>
      </c>
      <c r="F2303" s="27" t="str">
        <f>HYPERLINK("http://nsgreg.nga.mil/genc/view?v=212377&amp;end_month=12&amp;end_day=31&amp;end_year=2014","Saldus Novads")</f>
        <v>Saldus Novads</v>
      </c>
      <c r="G2303" s="28" t="str">
        <f>HYPERLINK("http://api.nsgreg.nga.mil/geo-division/GENC/6/ed3/LV-088","as:GENC:6:ed3:LV-088")</f>
        <v>as:GENC:6:ed3:LV-088</v>
      </c>
    </row>
    <row r="2304" spans="1:7" x14ac:dyDescent="0.2">
      <c r="A2304" s="85"/>
      <c r="B2304" s="25" t="s">
        <v>6270</v>
      </c>
      <c r="C2304" s="25" t="s">
        <v>12853</v>
      </c>
      <c r="D2304" s="25" t="s">
        <v>2164</v>
      </c>
      <c r="E2304" s="26" t="b">
        <v>1</v>
      </c>
      <c r="F2304" s="27" t="str">
        <f>HYPERLINK("http://nsgreg.nga.mil/genc/view?v=212378&amp;end_month=12&amp;end_day=31&amp;end_year=2014","Saulkrastu Novads")</f>
        <v>Saulkrastu Novads</v>
      </c>
      <c r="G2304" s="28" t="str">
        <f>HYPERLINK("http://api.nsgreg.nga.mil/geo-division/GENC/6/ed3/LV-089","as:GENC:6:ed3:LV-089")</f>
        <v>as:GENC:6:ed3:LV-089</v>
      </c>
    </row>
    <row r="2305" spans="1:7" x14ac:dyDescent="0.2">
      <c r="A2305" s="85"/>
      <c r="B2305" s="25" t="s">
        <v>6284</v>
      </c>
      <c r="C2305" s="25" t="s">
        <v>12854</v>
      </c>
      <c r="D2305" s="25" t="s">
        <v>2164</v>
      </c>
      <c r="E2305" s="26" t="b">
        <v>1</v>
      </c>
      <c r="F2305" s="27" t="str">
        <f>HYPERLINK("http://nsgreg.nga.mil/genc/view?v=212379&amp;end_month=12&amp;end_day=31&amp;end_year=2014","Sējas Novads")</f>
        <v>Sējas Novads</v>
      </c>
      <c r="G2305" s="28" t="str">
        <f>HYPERLINK("http://api.nsgreg.nga.mil/geo-division/GENC/6/ed3/LV-090","as:GENC:6:ed3:LV-090")</f>
        <v>as:GENC:6:ed3:LV-090</v>
      </c>
    </row>
    <row r="2306" spans="1:7" x14ac:dyDescent="0.2">
      <c r="A2306" s="85"/>
      <c r="B2306" s="25" t="s">
        <v>6272</v>
      </c>
      <c r="C2306" s="25" t="s">
        <v>12855</v>
      </c>
      <c r="D2306" s="25" t="s">
        <v>2164</v>
      </c>
      <c r="E2306" s="26" t="b">
        <v>1</v>
      </c>
      <c r="F2306" s="27" t="str">
        <f>HYPERLINK("http://nsgreg.nga.mil/genc/view?v=212380&amp;end_month=12&amp;end_day=31&amp;end_year=2014","Siguldas Novads")</f>
        <v>Siguldas Novads</v>
      </c>
      <c r="G2306" s="28" t="str">
        <f>HYPERLINK("http://api.nsgreg.nga.mil/geo-division/GENC/6/ed3/LV-091","as:GENC:6:ed3:LV-091")</f>
        <v>as:GENC:6:ed3:LV-091</v>
      </c>
    </row>
    <row r="2307" spans="1:7" x14ac:dyDescent="0.2">
      <c r="A2307" s="85"/>
      <c r="B2307" s="25" t="s">
        <v>6276</v>
      </c>
      <c r="C2307" s="25" t="s">
        <v>12856</v>
      </c>
      <c r="D2307" s="25" t="s">
        <v>2164</v>
      </c>
      <c r="E2307" s="26" t="b">
        <v>1</v>
      </c>
      <c r="F2307" s="27" t="str">
        <f>HYPERLINK("http://nsgreg.nga.mil/genc/view?v=212381&amp;end_month=12&amp;end_day=31&amp;end_year=2014","Skrīveru Novads")</f>
        <v>Skrīveru Novads</v>
      </c>
      <c r="G2307" s="28" t="str">
        <f>HYPERLINK("http://api.nsgreg.nga.mil/geo-division/GENC/6/ed3/LV-092","as:GENC:6:ed3:LV-092")</f>
        <v>as:GENC:6:ed3:LV-092</v>
      </c>
    </row>
    <row r="2308" spans="1:7" x14ac:dyDescent="0.2">
      <c r="A2308" s="85"/>
      <c r="B2308" s="25" t="s">
        <v>6274</v>
      </c>
      <c r="C2308" s="25" t="s">
        <v>12857</v>
      </c>
      <c r="D2308" s="25" t="s">
        <v>2164</v>
      </c>
      <c r="E2308" s="26" t="b">
        <v>1</v>
      </c>
      <c r="F2308" s="27" t="str">
        <f>HYPERLINK("http://nsgreg.nga.mil/genc/view?v=212382&amp;end_month=12&amp;end_day=31&amp;end_year=2014","Skrundas Novads")</f>
        <v>Skrundas Novads</v>
      </c>
      <c r="G2308" s="28" t="str">
        <f>HYPERLINK("http://api.nsgreg.nga.mil/geo-division/GENC/6/ed3/LV-093","as:GENC:6:ed3:LV-093")</f>
        <v>as:GENC:6:ed3:LV-093</v>
      </c>
    </row>
    <row r="2309" spans="1:7" x14ac:dyDescent="0.2">
      <c r="A2309" s="85"/>
      <c r="B2309" s="25" t="s">
        <v>6278</v>
      </c>
      <c r="C2309" s="25" t="s">
        <v>12858</v>
      </c>
      <c r="D2309" s="25" t="s">
        <v>2164</v>
      </c>
      <c r="E2309" s="26" t="b">
        <v>1</v>
      </c>
      <c r="F2309" s="27" t="str">
        <f>HYPERLINK("http://nsgreg.nga.mil/genc/view?v=212383&amp;end_month=12&amp;end_day=31&amp;end_year=2014","Smiltenes Novads")</f>
        <v>Smiltenes Novads</v>
      </c>
      <c r="G2309" s="28" t="str">
        <f>HYPERLINK("http://api.nsgreg.nga.mil/geo-division/GENC/6/ed3/LV-094","as:GENC:6:ed3:LV-094")</f>
        <v>as:GENC:6:ed3:LV-094</v>
      </c>
    </row>
    <row r="2310" spans="1:7" x14ac:dyDescent="0.2">
      <c r="A2310" s="85"/>
      <c r="B2310" s="25" t="s">
        <v>6280</v>
      </c>
      <c r="C2310" s="25" t="s">
        <v>12859</v>
      </c>
      <c r="D2310" s="25" t="s">
        <v>2164</v>
      </c>
      <c r="E2310" s="26" t="b">
        <v>1</v>
      </c>
      <c r="F2310" s="27" t="str">
        <f>HYPERLINK("http://nsgreg.nga.mil/genc/view?v=212384&amp;end_month=12&amp;end_day=31&amp;end_year=2014","Stopiņu Novads")</f>
        <v>Stopiņu Novads</v>
      </c>
      <c r="G2310" s="28" t="str">
        <f>HYPERLINK("http://api.nsgreg.nga.mil/geo-division/GENC/6/ed3/LV-095","as:GENC:6:ed3:LV-095")</f>
        <v>as:GENC:6:ed3:LV-095</v>
      </c>
    </row>
    <row r="2311" spans="1:7" x14ac:dyDescent="0.2">
      <c r="A2311" s="85"/>
      <c r="B2311" s="25" t="s">
        <v>6282</v>
      </c>
      <c r="C2311" s="25" t="s">
        <v>12860</v>
      </c>
      <c r="D2311" s="25" t="s">
        <v>2164</v>
      </c>
      <c r="E2311" s="26" t="b">
        <v>1</v>
      </c>
      <c r="F2311" s="27" t="str">
        <f>HYPERLINK("http://nsgreg.nga.mil/genc/view?v=212385&amp;end_month=12&amp;end_day=31&amp;end_year=2014","Strenču Novads")</f>
        <v>Strenču Novads</v>
      </c>
      <c r="G2311" s="28" t="str">
        <f>HYPERLINK("http://api.nsgreg.nga.mil/geo-division/GENC/6/ed3/LV-096","as:GENC:6:ed3:LV-096")</f>
        <v>as:GENC:6:ed3:LV-096</v>
      </c>
    </row>
    <row r="2312" spans="1:7" x14ac:dyDescent="0.2">
      <c r="A2312" s="85"/>
      <c r="B2312" s="25" t="s">
        <v>6286</v>
      </c>
      <c r="C2312" s="25" t="s">
        <v>12861</v>
      </c>
      <c r="D2312" s="25" t="s">
        <v>2164</v>
      </c>
      <c r="E2312" s="26" t="b">
        <v>1</v>
      </c>
      <c r="F2312" s="27" t="str">
        <f>HYPERLINK("http://nsgreg.nga.mil/genc/view?v=212386&amp;end_month=12&amp;end_day=31&amp;end_year=2014","Talsu Novads")</f>
        <v>Talsu Novads</v>
      </c>
      <c r="G2312" s="28" t="str">
        <f>HYPERLINK("http://api.nsgreg.nga.mil/geo-division/GENC/6/ed3/LV-097","as:GENC:6:ed3:LV-097")</f>
        <v>as:GENC:6:ed3:LV-097</v>
      </c>
    </row>
    <row r="2313" spans="1:7" x14ac:dyDescent="0.2">
      <c r="A2313" s="85"/>
      <c r="B2313" s="25" t="s">
        <v>6290</v>
      </c>
      <c r="C2313" s="25" t="s">
        <v>12862</v>
      </c>
      <c r="D2313" s="25" t="s">
        <v>2164</v>
      </c>
      <c r="E2313" s="26" t="b">
        <v>1</v>
      </c>
      <c r="F2313" s="27" t="str">
        <f>HYPERLINK("http://nsgreg.nga.mil/genc/view?v=212387&amp;end_month=12&amp;end_day=31&amp;end_year=2014","Tērvetes Novads")</f>
        <v>Tērvetes Novads</v>
      </c>
      <c r="G2313" s="28" t="str">
        <f>HYPERLINK("http://api.nsgreg.nga.mil/geo-division/GENC/6/ed3/LV-098","as:GENC:6:ed3:LV-098")</f>
        <v>as:GENC:6:ed3:LV-098</v>
      </c>
    </row>
    <row r="2314" spans="1:7" x14ac:dyDescent="0.2">
      <c r="A2314" s="85"/>
      <c r="B2314" s="25" t="s">
        <v>6288</v>
      </c>
      <c r="C2314" s="25" t="s">
        <v>12863</v>
      </c>
      <c r="D2314" s="25" t="s">
        <v>2164</v>
      </c>
      <c r="E2314" s="26" t="b">
        <v>1</v>
      </c>
      <c r="F2314" s="27" t="str">
        <f>HYPERLINK("http://nsgreg.nga.mil/genc/view?v=212388&amp;end_month=12&amp;end_day=31&amp;end_year=2014","Tukuma Novads")</f>
        <v>Tukuma Novads</v>
      </c>
      <c r="G2314" s="28" t="str">
        <f>HYPERLINK("http://api.nsgreg.nga.mil/geo-division/GENC/6/ed3/LV-099","as:GENC:6:ed3:LV-099")</f>
        <v>as:GENC:6:ed3:LV-099</v>
      </c>
    </row>
    <row r="2315" spans="1:7" x14ac:dyDescent="0.2">
      <c r="A2315" s="85"/>
      <c r="B2315" s="25" t="s">
        <v>6292</v>
      </c>
      <c r="C2315" s="25" t="s">
        <v>12864</v>
      </c>
      <c r="D2315" s="25" t="s">
        <v>2164</v>
      </c>
      <c r="E2315" s="26" t="b">
        <v>1</v>
      </c>
      <c r="F2315" s="27" t="str">
        <f>HYPERLINK("http://nsgreg.nga.mil/genc/view?v=212389&amp;end_month=12&amp;end_day=31&amp;end_year=2014","Vaiņodes Novads")</f>
        <v>Vaiņodes Novads</v>
      </c>
      <c r="G2315" s="28" t="str">
        <f>HYPERLINK("http://api.nsgreg.nga.mil/geo-division/GENC/6/ed3/LV-100","as:GENC:6:ed3:LV-100")</f>
        <v>as:GENC:6:ed3:LV-100</v>
      </c>
    </row>
    <row r="2316" spans="1:7" x14ac:dyDescent="0.2">
      <c r="A2316" s="85"/>
      <c r="B2316" s="25" t="s">
        <v>6294</v>
      </c>
      <c r="C2316" s="25" t="s">
        <v>12865</v>
      </c>
      <c r="D2316" s="25" t="s">
        <v>2164</v>
      </c>
      <c r="E2316" s="26" t="b">
        <v>1</v>
      </c>
      <c r="F2316" s="27" t="str">
        <f>HYPERLINK("http://nsgreg.nga.mil/genc/view?v=212390&amp;end_month=12&amp;end_day=31&amp;end_year=2014","Valkas Novads")</f>
        <v>Valkas Novads</v>
      </c>
      <c r="G2316" s="28" t="str">
        <f>HYPERLINK("http://api.nsgreg.nga.mil/geo-division/GENC/6/ed3/LV-101","as:GENC:6:ed3:LV-101")</f>
        <v>as:GENC:6:ed3:LV-101</v>
      </c>
    </row>
    <row r="2317" spans="1:7" x14ac:dyDescent="0.2">
      <c r="A2317" s="85"/>
      <c r="B2317" s="25" t="s">
        <v>6296</v>
      </c>
      <c r="C2317" s="25" t="s">
        <v>6297</v>
      </c>
      <c r="D2317" s="25" t="s">
        <v>12788</v>
      </c>
      <c r="E2317" s="26" t="b">
        <v>1</v>
      </c>
      <c r="F2317" s="27" t="str">
        <f>HYPERLINK("http://nsgreg.nga.mil/genc/view?v=212408&amp;end_month=12&amp;end_day=31&amp;end_year=2014","Valmiera")</f>
        <v>Valmiera</v>
      </c>
      <c r="G2317" s="28" t="str">
        <f>HYPERLINK("http://api.nsgreg.nga.mil/geo-division/GENC/6/ed3/LV-VMR","as:GENC:6:ed3:LV-VMR")</f>
        <v>as:GENC:6:ed3:LV-VMR</v>
      </c>
    </row>
    <row r="2318" spans="1:7" x14ac:dyDescent="0.2">
      <c r="A2318" s="85"/>
      <c r="B2318" s="25" t="s">
        <v>6298</v>
      </c>
      <c r="C2318" s="25" t="s">
        <v>12866</v>
      </c>
      <c r="D2318" s="25" t="s">
        <v>2164</v>
      </c>
      <c r="E2318" s="26" t="b">
        <v>1</v>
      </c>
      <c r="F2318" s="27" t="str">
        <f>HYPERLINK("http://nsgreg.nga.mil/genc/view?v=212391&amp;end_month=12&amp;end_day=31&amp;end_year=2014","Varakļānu Novads")</f>
        <v>Varakļānu Novads</v>
      </c>
      <c r="G2318" s="28" t="str">
        <f>HYPERLINK("http://api.nsgreg.nga.mil/geo-division/GENC/6/ed3/LV-102","as:GENC:6:ed3:LV-102")</f>
        <v>as:GENC:6:ed3:LV-102</v>
      </c>
    </row>
    <row r="2319" spans="1:7" x14ac:dyDescent="0.2">
      <c r="A2319" s="85"/>
      <c r="B2319" s="25" t="s">
        <v>6314</v>
      </c>
      <c r="C2319" s="25" t="s">
        <v>12867</v>
      </c>
      <c r="D2319" s="25" t="s">
        <v>2164</v>
      </c>
      <c r="E2319" s="26" t="b">
        <v>1</v>
      </c>
      <c r="F2319" s="27" t="str">
        <f>HYPERLINK("http://nsgreg.nga.mil/genc/view?v=212392&amp;end_month=12&amp;end_day=31&amp;end_year=2014","Vārkavas Novads")</f>
        <v>Vārkavas Novads</v>
      </c>
      <c r="G2319" s="28" t="str">
        <f>HYPERLINK("http://api.nsgreg.nga.mil/geo-division/GENC/6/ed3/LV-103","as:GENC:6:ed3:LV-103")</f>
        <v>as:GENC:6:ed3:LV-103</v>
      </c>
    </row>
    <row r="2320" spans="1:7" x14ac:dyDescent="0.2">
      <c r="A2320" s="85"/>
      <c r="B2320" s="25" t="s">
        <v>6300</v>
      </c>
      <c r="C2320" s="25" t="s">
        <v>12868</v>
      </c>
      <c r="D2320" s="25" t="s">
        <v>2164</v>
      </c>
      <c r="E2320" s="26" t="b">
        <v>1</v>
      </c>
      <c r="F2320" s="27" t="str">
        <f>HYPERLINK("http://nsgreg.nga.mil/genc/view?v=212393&amp;end_month=12&amp;end_day=31&amp;end_year=2014","Vecpiebalgas Novads")</f>
        <v>Vecpiebalgas Novads</v>
      </c>
      <c r="G2320" s="28" t="str">
        <f>HYPERLINK("http://api.nsgreg.nga.mil/geo-division/GENC/6/ed3/LV-104","as:GENC:6:ed3:LV-104")</f>
        <v>as:GENC:6:ed3:LV-104</v>
      </c>
    </row>
    <row r="2321" spans="1:7" x14ac:dyDescent="0.2">
      <c r="A2321" s="85"/>
      <c r="B2321" s="25" t="s">
        <v>6302</v>
      </c>
      <c r="C2321" s="25" t="s">
        <v>12869</v>
      </c>
      <c r="D2321" s="25" t="s">
        <v>2164</v>
      </c>
      <c r="E2321" s="26" t="b">
        <v>1</v>
      </c>
      <c r="F2321" s="27" t="str">
        <f>HYPERLINK("http://nsgreg.nga.mil/genc/view?v=212394&amp;end_month=12&amp;end_day=31&amp;end_year=2014","Vecumnieku Novads")</f>
        <v>Vecumnieku Novads</v>
      </c>
      <c r="G2321" s="28" t="str">
        <f>HYPERLINK("http://api.nsgreg.nga.mil/geo-division/GENC/6/ed3/LV-105","as:GENC:6:ed3:LV-105")</f>
        <v>as:GENC:6:ed3:LV-105</v>
      </c>
    </row>
    <row r="2322" spans="1:7" x14ac:dyDescent="0.2">
      <c r="A2322" s="85"/>
      <c r="B2322" s="25" t="s">
        <v>6304</v>
      </c>
      <c r="C2322" s="25" t="s">
        <v>6305</v>
      </c>
      <c r="D2322" s="25" t="s">
        <v>12788</v>
      </c>
      <c r="E2322" s="26" t="b">
        <v>1</v>
      </c>
      <c r="F2322" s="27" t="str">
        <f>HYPERLINK("http://nsgreg.nga.mil/genc/view?v=212407&amp;end_month=12&amp;end_day=31&amp;end_year=2014","Ventspils")</f>
        <v>Ventspils</v>
      </c>
      <c r="G2322" s="28" t="str">
        <f>HYPERLINK("http://api.nsgreg.nga.mil/geo-division/GENC/6/ed3/LV-VEN","as:GENC:6:ed3:LV-VEN")</f>
        <v>as:GENC:6:ed3:LV-VEN</v>
      </c>
    </row>
    <row r="2323" spans="1:7" x14ac:dyDescent="0.2">
      <c r="A2323" s="85"/>
      <c r="B2323" s="25" t="s">
        <v>6306</v>
      </c>
      <c r="C2323" s="25" t="s">
        <v>12870</v>
      </c>
      <c r="D2323" s="25" t="s">
        <v>2164</v>
      </c>
      <c r="E2323" s="26" t="b">
        <v>1</v>
      </c>
      <c r="F2323" s="27" t="str">
        <f>HYPERLINK("http://nsgreg.nga.mil/genc/view?v=212395&amp;end_month=12&amp;end_day=31&amp;end_year=2014","Ventspils Novads")</f>
        <v>Ventspils Novads</v>
      </c>
      <c r="G2323" s="28" t="str">
        <f>HYPERLINK("http://api.nsgreg.nga.mil/geo-division/GENC/6/ed3/LV-106","as:GENC:6:ed3:LV-106")</f>
        <v>as:GENC:6:ed3:LV-106</v>
      </c>
    </row>
    <row r="2324" spans="1:7" x14ac:dyDescent="0.2">
      <c r="A2324" s="85"/>
      <c r="B2324" s="25" t="s">
        <v>6308</v>
      </c>
      <c r="C2324" s="25" t="s">
        <v>12871</v>
      </c>
      <c r="D2324" s="25" t="s">
        <v>2164</v>
      </c>
      <c r="E2324" s="26" t="b">
        <v>1</v>
      </c>
      <c r="F2324" s="27" t="str">
        <f>HYPERLINK("http://nsgreg.nga.mil/genc/view?v=212396&amp;end_month=12&amp;end_day=31&amp;end_year=2014","Viesītes Novads")</f>
        <v>Viesītes Novads</v>
      </c>
      <c r="G2324" s="28" t="str">
        <f>HYPERLINK("http://api.nsgreg.nga.mil/geo-division/GENC/6/ed3/LV-107","as:GENC:6:ed3:LV-107")</f>
        <v>as:GENC:6:ed3:LV-107</v>
      </c>
    </row>
    <row r="2325" spans="1:7" x14ac:dyDescent="0.2">
      <c r="A2325" s="85"/>
      <c r="B2325" s="25" t="s">
        <v>6310</v>
      </c>
      <c r="C2325" s="25" t="s">
        <v>12872</v>
      </c>
      <c r="D2325" s="25" t="s">
        <v>2164</v>
      </c>
      <c r="E2325" s="26" t="b">
        <v>1</v>
      </c>
      <c r="F2325" s="27" t="str">
        <f>HYPERLINK("http://nsgreg.nga.mil/genc/view?v=212397&amp;end_month=12&amp;end_day=31&amp;end_year=2014","Viļakas Novads")</f>
        <v>Viļakas Novads</v>
      </c>
      <c r="G2325" s="28" t="str">
        <f>HYPERLINK("http://api.nsgreg.nga.mil/geo-division/GENC/6/ed3/LV-108","as:GENC:6:ed3:LV-108")</f>
        <v>as:GENC:6:ed3:LV-108</v>
      </c>
    </row>
    <row r="2326" spans="1:7" x14ac:dyDescent="0.2">
      <c r="A2326" s="85"/>
      <c r="B2326" s="25" t="s">
        <v>6312</v>
      </c>
      <c r="C2326" s="25" t="s">
        <v>12873</v>
      </c>
      <c r="D2326" s="25" t="s">
        <v>2164</v>
      </c>
      <c r="E2326" s="26" t="b">
        <v>1</v>
      </c>
      <c r="F2326" s="27" t="str">
        <f>HYPERLINK("http://nsgreg.nga.mil/genc/view?v=212398&amp;end_month=12&amp;end_day=31&amp;end_year=2014","Viļānu Novads")</f>
        <v>Viļānu Novads</v>
      </c>
      <c r="G2326" s="28" t="str">
        <f>HYPERLINK("http://api.nsgreg.nga.mil/geo-division/GENC/6/ed3/LV-109","as:GENC:6:ed3:LV-109")</f>
        <v>as:GENC:6:ed3:LV-109</v>
      </c>
    </row>
    <row r="2327" spans="1:7" x14ac:dyDescent="0.2">
      <c r="A2327" s="86"/>
      <c r="B2327" s="29" t="s">
        <v>6316</v>
      </c>
      <c r="C2327" s="29" t="s">
        <v>12874</v>
      </c>
      <c r="D2327" s="29" t="s">
        <v>2164</v>
      </c>
      <c r="E2327" s="30" t="b">
        <v>1</v>
      </c>
      <c r="F2327" s="31" t="str">
        <f>HYPERLINK("http://nsgreg.nga.mil/genc/view?v=212399&amp;end_month=12&amp;end_day=31&amp;end_year=2014","Zilupes Novads")</f>
        <v>Zilupes Novads</v>
      </c>
      <c r="G2327" s="32" t="str">
        <f>HYPERLINK("http://api.nsgreg.nga.mil/geo-division/GENC/6/ed3/LV-110","as:GENC:6:ed3:LV-110")</f>
        <v>as:GENC:6:ed3:LV-110</v>
      </c>
    </row>
    <row r="2328" spans="1:7" x14ac:dyDescent="0.2">
      <c r="A2328" s="84" t="str">
        <f>HYPERLINK("[#]Codes_for_GE_Names!A151:I151","LEBANON")</f>
        <v>LEBANON</v>
      </c>
      <c r="B2328" s="33" t="s">
        <v>6326</v>
      </c>
      <c r="C2328" s="33" t="s">
        <v>6327</v>
      </c>
      <c r="D2328" s="33" t="s">
        <v>2365</v>
      </c>
      <c r="E2328" s="34" t="b">
        <v>1</v>
      </c>
      <c r="F2328" s="35" t="str">
        <f>HYPERLINK("http://nsgreg.nga.mil/genc/view?v=212208&amp;end_month=12&amp;end_day=31&amp;end_year=2014","Aakkâr")</f>
        <v>Aakkâr</v>
      </c>
      <c r="G2328" s="36" t="str">
        <f>HYPERLINK("http://api.nsgreg.nga.mil/geo-division/GENC/6/ed3/LB-AK","as:GENC:6:ed3:LB-AK")</f>
        <v>as:GENC:6:ed3:LB-AK</v>
      </c>
    </row>
    <row r="2329" spans="1:7" x14ac:dyDescent="0.2">
      <c r="A2329" s="85"/>
      <c r="B2329" s="25" t="s">
        <v>6328</v>
      </c>
      <c r="C2329" s="25" t="s">
        <v>6329</v>
      </c>
      <c r="D2329" s="25" t="s">
        <v>2365</v>
      </c>
      <c r="E2329" s="26" t="b">
        <v>1</v>
      </c>
      <c r="F2329" s="27" t="str">
        <f>HYPERLINK("http://nsgreg.nga.mil/genc/view?v=212211&amp;end_month=12&amp;end_day=31&amp;end_year=2014","Baalbek-Hermel")</f>
        <v>Baalbek-Hermel</v>
      </c>
      <c r="G2329" s="28" t="str">
        <f>HYPERLINK("http://api.nsgreg.nga.mil/geo-division/GENC/6/ed3/LB-BH","as:GENC:6:ed3:LB-BH")</f>
        <v>as:GENC:6:ed3:LB-BH</v>
      </c>
    </row>
    <row r="2330" spans="1:7" x14ac:dyDescent="0.2">
      <c r="A2330" s="85"/>
      <c r="B2330" s="25" t="s">
        <v>6332</v>
      </c>
      <c r="C2330" s="25" t="s">
        <v>6333</v>
      </c>
      <c r="D2330" s="25" t="s">
        <v>2365</v>
      </c>
      <c r="E2330" s="26" t="b">
        <v>1</v>
      </c>
      <c r="F2330" s="27" t="str">
        <f>HYPERLINK("http://nsgreg.nga.mil/genc/view?v=212212&amp;end_month=12&amp;end_day=31&amp;end_year=2014","Béqaa")</f>
        <v>Béqaa</v>
      </c>
      <c r="G2330" s="28" t="str">
        <f>HYPERLINK("http://api.nsgreg.nga.mil/geo-division/GENC/6/ed3/LB-BI","as:GENC:6:ed3:LB-BI")</f>
        <v>as:GENC:6:ed3:LB-BI</v>
      </c>
    </row>
    <row r="2331" spans="1:7" x14ac:dyDescent="0.2">
      <c r="A2331" s="85"/>
      <c r="B2331" s="25" t="s">
        <v>6330</v>
      </c>
      <c r="C2331" s="25" t="s">
        <v>6331</v>
      </c>
      <c r="D2331" s="25" t="s">
        <v>2365</v>
      </c>
      <c r="E2331" s="26" t="b">
        <v>1</v>
      </c>
      <c r="F2331" s="27" t="str">
        <f>HYPERLINK("http://nsgreg.nga.mil/genc/view?v=212210&amp;end_month=12&amp;end_day=31&amp;end_year=2014","Beyrouth")</f>
        <v>Beyrouth</v>
      </c>
      <c r="G2331" s="28" t="str">
        <f>HYPERLINK("http://api.nsgreg.nga.mil/geo-division/GENC/6/ed3/LB-BA","as:GENC:6:ed3:LB-BA")</f>
        <v>as:GENC:6:ed3:LB-BA</v>
      </c>
    </row>
    <row r="2332" spans="1:7" x14ac:dyDescent="0.2">
      <c r="A2332" s="85"/>
      <c r="B2332" s="25" t="s">
        <v>6334</v>
      </c>
      <c r="C2332" s="25" t="s">
        <v>6335</v>
      </c>
      <c r="D2332" s="25" t="s">
        <v>2365</v>
      </c>
      <c r="E2332" s="26" t="b">
        <v>1</v>
      </c>
      <c r="F2332" s="27" t="str">
        <f>HYPERLINK("http://nsgreg.nga.mil/genc/view?v=212209&amp;end_month=12&amp;end_day=31&amp;end_year=2014","Liban-Nord")</f>
        <v>Liban-Nord</v>
      </c>
      <c r="G2332" s="28" t="str">
        <f>HYPERLINK("http://api.nsgreg.nga.mil/geo-division/GENC/6/ed3/LB-AS","as:GENC:6:ed3:LB-AS")</f>
        <v>as:GENC:6:ed3:LB-AS</v>
      </c>
    </row>
    <row r="2333" spans="1:7" x14ac:dyDescent="0.2">
      <c r="A2333" s="85"/>
      <c r="B2333" s="25" t="s">
        <v>6336</v>
      </c>
      <c r="C2333" s="25" t="s">
        <v>6337</v>
      </c>
      <c r="D2333" s="25" t="s">
        <v>2365</v>
      </c>
      <c r="E2333" s="26" t="b">
        <v>1</v>
      </c>
      <c r="F2333" s="27" t="str">
        <f>HYPERLINK("http://nsgreg.nga.mil/genc/view?v=212213&amp;end_month=12&amp;end_day=31&amp;end_year=2014","Liban-Sud")</f>
        <v>Liban-Sud</v>
      </c>
      <c r="G2333" s="28" t="str">
        <f>HYPERLINK("http://api.nsgreg.nga.mil/geo-division/GENC/6/ed3/LB-JA","as:GENC:6:ed3:LB-JA")</f>
        <v>as:GENC:6:ed3:LB-JA</v>
      </c>
    </row>
    <row r="2334" spans="1:7" x14ac:dyDescent="0.2">
      <c r="A2334" s="85"/>
      <c r="B2334" s="25" t="s">
        <v>6338</v>
      </c>
      <c r="C2334" s="25" t="s">
        <v>6339</v>
      </c>
      <c r="D2334" s="25" t="s">
        <v>2365</v>
      </c>
      <c r="E2334" s="26" t="b">
        <v>1</v>
      </c>
      <c r="F2334" s="27" t="str">
        <f>HYPERLINK("http://nsgreg.nga.mil/genc/view?v=212214&amp;end_month=12&amp;end_day=31&amp;end_year=2014","Mont-Liban")</f>
        <v>Mont-Liban</v>
      </c>
      <c r="G2334" s="28" t="str">
        <f>HYPERLINK("http://api.nsgreg.nga.mil/geo-division/GENC/6/ed3/LB-JL","as:GENC:6:ed3:LB-JL")</f>
        <v>as:GENC:6:ed3:LB-JL</v>
      </c>
    </row>
    <row r="2335" spans="1:7" x14ac:dyDescent="0.2">
      <c r="A2335" s="86"/>
      <c r="B2335" s="29" t="s">
        <v>6340</v>
      </c>
      <c r="C2335" s="29" t="s">
        <v>6341</v>
      </c>
      <c r="D2335" s="29" t="s">
        <v>2365</v>
      </c>
      <c r="E2335" s="30" t="b">
        <v>1</v>
      </c>
      <c r="F2335" s="31" t="str">
        <f>HYPERLINK("http://nsgreg.nga.mil/genc/view?v=212215&amp;end_month=12&amp;end_day=31&amp;end_year=2014","Nabatîyé")</f>
        <v>Nabatîyé</v>
      </c>
      <c r="G2335" s="32" t="str">
        <f>HYPERLINK("http://api.nsgreg.nga.mil/geo-division/GENC/6/ed3/LB-NA","as:GENC:6:ed3:LB-NA")</f>
        <v>as:GENC:6:ed3:LB-NA</v>
      </c>
    </row>
    <row r="2336" spans="1:7" x14ac:dyDescent="0.2">
      <c r="A2336" s="84" t="str">
        <f>HYPERLINK("[#]Codes_for_GE_Names!A152:I152","LESOTHO")</f>
        <v>LESOTHO</v>
      </c>
      <c r="B2336" s="33" t="s">
        <v>6342</v>
      </c>
      <c r="C2336" s="33" t="s">
        <v>6343</v>
      </c>
      <c r="D2336" s="33" t="s">
        <v>1790</v>
      </c>
      <c r="E2336" s="34" t="b">
        <v>1</v>
      </c>
      <c r="F2336" s="35" t="str">
        <f>HYPERLINK("http://nsgreg.nga.mil/genc/view?v=212270&amp;end_month=12&amp;end_day=31&amp;end_year=2014","Berea")</f>
        <v>Berea</v>
      </c>
      <c r="G2336" s="36" t="str">
        <f>HYPERLINK("http://api.nsgreg.nga.mil/geo-division/GENC/6/ed3/LS-D","as:GENC:6:ed3:LS-D")</f>
        <v>as:GENC:6:ed3:LS-D</v>
      </c>
    </row>
    <row r="2337" spans="1:7" x14ac:dyDescent="0.2">
      <c r="A2337" s="85"/>
      <c r="B2337" s="25" t="s">
        <v>6344</v>
      </c>
      <c r="C2337" s="25" t="s">
        <v>6345</v>
      </c>
      <c r="D2337" s="25" t="s">
        <v>1790</v>
      </c>
      <c r="E2337" s="26" t="b">
        <v>1</v>
      </c>
      <c r="F2337" s="27" t="str">
        <f>HYPERLINK("http://nsgreg.nga.mil/genc/view?v=212268&amp;end_month=12&amp;end_day=31&amp;end_year=2014","Butha-Buthe")</f>
        <v>Butha-Buthe</v>
      </c>
      <c r="G2337" s="28" t="str">
        <f>HYPERLINK("http://api.nsgreg.nga.mil/geo-division/GENC/6/ed3/LS-B","as:GENC:6:ed3:LS-B")</f>
        <v>as:GENC:6:ed3:LS-B</v>
      </c>
    </row>
    <row r="2338" spans="1:7" x14ac:dyDescent="0.2">
      <c r="A2338" s="85"/>
      <c r="B2338" s="25" t="s">
        <v>6346</v>
      </c>
      <c r="C2338" s="25" t="s">
        <v>6347</v>
      </c>
      <c r="D2338" s="25" t="s">
        <v>1790</v>
      </c>
      <c r="E2338" s="26" t="b">
        <v>1</v>
      </c>
      <c r="F2338" s="27" t="str">
        <f>HYPERLINK("http://nsgreg.nga.mil/genc/view?v=212269&amp;end_month=12&amp;end_day=31&amp;end_year=2014","Leribe")</f>
        <v>Leribe</v>
      </c>
      <c r="G2338" s="28" t="str">
        <f>HYPERLINK("http://api.nsgreg.nga.mil/geo-division/GENC/6/ed3/LS-C","as:GENC:6:ed3:LS-C")</f>
        <v>as:GENC:6:ed3:LS-C</v>
      </c>
    </row>
    <row r="2339" spans="1:7" x14ac:dyDescent="0.2">
      <c r="A2339" s="85"/>
      <c r="B2339" s="25" t="s">
        <v>6348</v>
      </c>
      <c r="C2339" s="25" t="s">
        <v>6349</v>
      </c>
      <c r="D2339" s="25" t="s">
        <v>1790</v>
      </c>
      <c r="E2339" s="26" t="b">
        <v>1</v>
      </c>
      <c r="F2339" s="27" t="str">
        <f>HYPERLINK("http://nsgreg.nga.mil/genc/view?v=212271&amp;end_month=12&amp;end_day=31&amp;end_year=2014","Mafeteng")</f>
        <v>Mafeteng</v>
      </c>
      <c r="G2339" s="28" t="str">
        <f>HYPERLINK("http://api.nsgreg.nga.mil/geo-division/GENC/6/ed3/LS-E","as:GENC:6:ed3:LS-E")</f>
        <v>as:GENC:6:ed3:LS-E</v>
      </c>
    </row>
    <row r="2340" spans="1:7" x14ac:dyDescent="0.2">
      <c r="A2340" s="85"/>
      <c r="B2340" s="25" t="s">
        <v>6350</v>
      </c>
      <c r="C2340" s="25" t="s">
        <v>6351</v>
      </c>
      <c r="D2340" s="25" t="s">
        <v>1790</v>
      </c>
      <c r="E2340" s="26" t="b">
        <v>1</v>
      </c>
      <c r="F2340" s="27" t="str">
        <f>HYPERLINK("http://nsgreg.nga.mil/genc/view?v=212267&amp;end_month=12&amp;end_day=31&amp;end_year=2014","Maseru")</f>
        <v>Maseru</v>
      </c>
      <c r="G2340" s="28" t="str">
        <f>HYPERLINK("http://api.nsgreg.nga.mil/geo-division/GENC/6/ed3/LS-A","as:GENC:6:ed3:LS-A")</f>
        <v>as:GENC:6:ed3:LS-A</v>
      </c>
    </row>
    <row r="2341" spans="1:7" x14ac:dyDescent="0.2">
      <c r="A2341" s="85"/>
      <c r="B2341" s="25" t="s">
        <v>6352</v>
      </c>
      <c r="C2341" s="25" t="s">
        <v>12875</v>
      </c>
      <c r="D2341" s="25" t="s">
        <v>1790</v>
      </c>
      <c r="E2341" s="26" t="b">
        <v>1</v>
      </c>
      <c r="F2341" s="27" t="str">
        <f>HYPERLINK("http://nsgreg.nga.mil/genc/view?v=212272&amp;end_month=12&amp;end_day=31&amp;end_year=2014","Mohale’s Hoek")</f>
        <v>Mohale’s Hoek</v>
      </c>
      <c r="G2341" s="28" t="str">
        <f>HYPERLINK("http://api.nsgreg.nga.mil/geo-division/GENC/6/ed3/LS-F","as:GENC:6:ed3:LS-F")</f>
        <v>as:GENC:6:ed3:LS-F</v>
      </c>
    </row>
    <row r="2342" spans="1:7" x14ac:dyDescent="0.2">
      <c r="A2342" s="85"/>
      <c r="B2342" s="25" t="s">
        <v>6354</v>
      </c>
      <c r="C2342" s="25" t="s">
        <v>6355</v>
      </c>
      <c r="D2342" s="25" t="s">
        <v>1790</v>
      </c>
      <c r="E2342" s="26" t="b">
        <v>1</v>
      </c>
      <c r="F2342" s="27" t="str">
        <f>HYPERLINK("http://nsgreg.nga.mil/genc/view?v=212275&amp;end_month=12&amp;end_day=31&amp;end_year=2014","Mokhotlong")</f>
        <v>Mokhotlong</v>
      </c>
      <c r="G2342" s="28" t="str">
        <f>HYPERLINK("http://api.nsgreg.nga.mil/geo-division/GENC/6/ed3/LS-J","as:GENC:6:ed3:LS-J")</f>
        <v>as:GENC:6:ed3:LS-J</v>
      </c>
    </row>
    <row r="2343" spans="1:7" x14ac:dyDescent="0.2">
      <c r="A2343" s="85"/>
      <c r="B2343" s="25" t="s">
        <v>6356</v>
      </c>
      <c r="C2343" s="25" t="s">
        <v>12876</v>
      </c>
      <c r="D2343" s="25" t="s">
        <v>1790</v>
      </c>
      <c r="E2343" s="26" t="b">
        <v>1</v>
      </c>
      <c r="F2343" s="27" t="str">
        <f>HYPERLINK("http://nsgreg.nga.mil/genc/view?v=212274&amp;end_month=12&amp;end_day=31&amp;end_year=2014","Qacha’s Nek")</f>
        <v>Qacha’s Nek</v>
      </c>
      <c r="G2343" s="28" t="str">
        <f>HYPERLINK("http://api.nsgreg.nga.mil/geo-division/GENC/6/ed3/LS-H","as:GENC:6:ed3:LS-H")</f>
        <v>as:GENC:6:ed3:LS-H</v>
      </c>
    </row>
    <row r="2344" spans="1:7" x14ac:dyDescent="0.2">
      <c r="A2344" s="85"/>
      <c r="B2344" s="25" t="s">
        <v>6358</v>
      </c>
      <c r="C2344" s="25" t="s">
        <v>6359</v>
      </c>
      <c r="D2344" s="25" t="s">
        <v>1790</v>
      </c>
      <c r="E2344" s="26" t="b">
        <v>1</v>
      </c>
      <c r="F2344" s="27" t="str">
        <f>HYPERLINK("http://nsgreg.nga.mil/genc/view?v=212273&amp;end_month=12&amp;end_day=31&amp;end_year=2014","Quthing")</f>
        <v>Quthing</v>
      </c>
      <c r="G2344" s="28" t="str">
        <f>HYPERLINK("http://api.nsgreg.nga.mil/geo-division/GENC/6/ed3/LS-G","as:GENC:6:ed3:LS-G")</f>
        <v>as:GENC:6:ed3:LS-G</v>
      </c>
    </row>
    <row r="2345" spans="1:7" x14ac:dyDescent="0.2">
      <c r="A2345" s="86"/>
      <c r="B2345" s="29" t="s">
        <v>6360</v>
      </c>
      <c r="C2345" s="29" t="s">
        <v>6361</v>
      </c>
      <c r="D2345" s="29" t="s">
        <v>1790</v>
      </c>
      <c r="E2345" s="30" t="b">
        <v>1</v>
      </c>
      <c r="F2345" s="31" t="str">
        <f>HYPERLINK("http://nsgreg.nga.mil/genc/view?v=212276&amp;end_month=12&amp;end_day=31&amp;end_year=2014","Thaba-Tseka")</f>
        <v>Thaba-Tseka</v>
      </c>
      <c r="G2345" s="32" t="str">
        <f>HYPERLINK("http://api.nsgreg.nga.mil/geo-division/GENC/6/ed3/LS-K","as:GENC:6:ed3:LS-K")</f>
        <v>as:GENC:6:ed3:LS-K</v>
      </c>
    </row>
    <row r="2346" spans="1:7" x14ac:dyDescent="0.2">
      <c r="A2346" s="84" t="str">
        <f>HYPERLINK("[#]Codes_for_GE_Names!A153:I153","LIBERIA")</f>
        <v>LIBERIA</v>
      </c>
      <c r="B2346" s="33" t="s">
        <v>6362</v>
      </c>
      <c r="C2346" s="33" t="s">
        <v>6363</v>
      </c>
      <c r="D2346" s="33" t="s">
        <v>1788</v>
      </c>
      <c r="E2346" s="34" t="b">
        <v>1</v>
      </c>
      <c r="F2346" s="35" t="str">
        <f>HYPERLINK("http://nsgreg.nga.mil/genc/view?v=120364&amp;gencs=T&amp;end_month=12&amp;end_day=31&amp;end_year=2014","Bomi")</f>
        <v>Bomi</v>
      </c>
      <c r="G2346" s="36" t="str">
        <f>HYPERLINK("http://api.nsgreg.nga.mil/geo-division/GENC/6/ed3/LR-BM","as:GENC:6:ed3:LR-BM")</f>
        <v>as:GENC:6:ed3:LR-BM</v>
      </c>
    </row>
    <row r="2347" spans="1:7" x14ac:dyDescent="0.2">
      <c r="A2347" s="85"/>
      <c r="B2347" s="25" t="s">
        <v>6364</v>
      </c>
      <c r="C2347" s="25" t="s">
        <v>6365</v>
      </c>
      <c r="D2347" s="25" t="s">
        <v>1788</v>
      </c>
      <c r="E2347" s="26" t="b">
        <v>1</v>
      </c>
      <c r="F2347" s="27" t="str">
        <f>HYPERLINK("http://nsgreg.nga.mil/genc/view?v=120363&amp;gencs=T&amp;end_month=12&amp;end_day=31&amp;end_year=2014","Bong")</f>
        <v>Bong</v>
      </c>
      <c r="G2347" s="28" t="str">
        <f>HYPERLINK("http://api.nsgreg.nga.mil/geo-division/GENC/6/ed3/LR-BG","as:GENC:6:ed3:LR-BG")</f>
        <v>as:GENC:6:ed3:LR-BG</v>
      </c>
    </row>
    <row r="2348" spans="1:7" x14ac:dyDescent="0.2">
      <c r="A2348" s="85"/>
      <c r="B2348" s="25" t="s">
        <v>6366</v>
      </c>
      <c r="C2348" s="25" t="s">
        <v>6367</v>
      </c>
      <c r="D2348" s="25" t="s">
        <v>1788</v>
      </c>
      <c r="E2348" s="26" t="b">
        <v>1</v>
      </c>
      <c r="F2348" s="27" t="str">
        <f>HYPERLINK("http://nsgreg.nga.mil/genc/view?v=120369&amp;gencs=T&amp;end_month=12&amp;end_day=31&amp;end_year=2014","Gbarpolu")</f>
        <v>Gbarpolu</v>
      </c>
      <c r="G2348" s="28" t="str">
        <f>HYPERLINK("http://api.nsgreg.nga.mil/geo-division/GENC/6/ed3/LR-GP","as:GENC:6:ed3:LR-GP")</f>
        <v>as:GENC:6:ed3:LR-GP</v>
      </c>
    </row>
    <row r="2349" spans="1:7" x14ac:dyDescent="0.2">
      <c r="A2349" s="85"/>
      <c r="B2349" s="25" t="s">
        <v>6368</v>
      </c>
      <c r="C2349" s="25" t="s">
        <v>6369</v>
      </c>
      <c r="D2349" s="25" t="s">
        <v>1788</v>
      </c>
      <c r="E2349" s="26" t="b">
        <v>1</v>
      </c>
      <c r="F2349" s="27" t="str">
        <f>HYPERLINK("http://nsgreg.nga.mil/genc/view?v=120366&amp;gencs=T&amp;end_month=12&amp;end_day=31&amp;end_year=2014","Grand Bassa")</f>
        <v>Grand Bassa</v>
      </c>
      <c r="G2349" s="28" t="str">
        <f>HYPERLINK("http://api.nsgreg.nga.mil/geo-division/GENC/6/ed3/LR-GB","as:GENC:6:ed3:LR-GB")</f>
        <v>as:GENC:6:ed3:LR-GB</v>
      </c>
    </row>
    <row r="2350" spans="1:7" x14ac:dyDescent="0.2">
      <c r="A2350" s="85"/>
      <c r="B2350" s="25" t="s">
        <v>6370</v>
      </c>
      <c r="C2350" s="25" t="s">
        <v>6371</v>
      </c>
      <c r="D2350" s="25" t="s">
        <v>1788</v>
      </c>
      <c r="E2350" s="26" t="b">
        <v>1</v>
      </c>
      <c r="F2350" s="27" t="str">
        <f>HYPERLINK("http://nsgreg.nga.mil/genc/view?v=120365&amp;gencs=T&amp;end_month=12&amp;end_day=31&amp;end_year=2014","Grand Cape Mount")</f>
        <v>Grand Cape Mount</v>
      </c>
      <c r="G2350" s="28" t="str">
        <f>HYPERLINK("http://api.nsgreg.nga.mil/geo-division/GENC/6/ed3/LR-CM","as:GENC:6:ed3:LR-CM")</f>
        <v>as:GENC:6:ed3:LR-CM</v>
      </c>
    </row>
    <row r="2351" spans="1:7" x14ac:dyDescent="0.2">
      <c r="A2351" s="85"/>
      <c r="B2351" s="25" t="s">
        <v>6372</v>
      </c>
      <c r="C2351" s="25" t="s">
        <v>6373</v>
      </c>
      <c r="D2351" s="25" t="s">
        <v>1788</v>
      </c>
      <c r="E2351" s="26" t="b">
        <v>1</v>
      </c>
      <c r="F2351" s="27" t="str">
        <f>HYPERLINK("http://nsgreg.nga.mil/genc/view?v=120367&amp;gencs=T&amp;end_month=12&amp;end_day=31&amp;end_year=2014","Grand Gedeh")</f>
        <v>Grand Gedeh</v>
      </c>
      <c r="G2351" s="28" t="str">
        <f>HYPERLINK("http://api.nsgreg.nga.mil/geo-division/GENC/6/ed3/LR-GG","as:GENC:6:ed3:LR-GG")</f>
        <v>as:GENC:6:ed3:LR-GG</v>
      </c>
    </row>
    <row r="2352" spans="1:7" x14ac:dyDescent="0.2">
      <c r="A2352" s="85"/>
      <c r="B2352" s="25" t="s">
        <v>6374</v>
      </c>
      <c r="C2352" s="25" t="s">
        <v>6375</v>
      </c>
      <c r="D2352" s="25" t="s">
        <v>1788</v>
      </c>
      <c r="E2352" s="26" t="b">
        <v>1</v>
      </c>
      <c r="F2352" s="27" t="str">
        <f>HYPERLINK("http://nsgreg.nga.mil/genc/view?v=120368&amp;gencs=T&amp;end_month=12&amp;end_day=31&amp;end_year=2014","Grand Kru")</f>
        <v>Grand Kru</v>
      </c>
      <c r="G2352" s="28" t="str">
        <f>HYPERLINK("http://api.nsgreg.nga.mil/geo-division/GENC/6/ed3/LR-GK","as:GENC:6:ed3:LR-GK")</f>
        <v>as:GENC:6:ed3:LR-GK</v>
      </c>
    </row>
    <row r="2353" spans="1:7" x14ac:dyDescent="0.2">
      <c r="A2353" s="85"/>
      <c r="B2353" s="25" t="s">
        <v>6376</v>
      </c>
      <c r="C2353" s="25" t="s">
        <v>6377</v>
      </c>
      <c r="D2353" s="25" t="s">
        <v>1788</v>
      </c>
      <c r="E2353" s="26" t="b">
        <v>1</v>
      </c>
      <c r="F2353" s="27" t="str">
        <f>HYPERLINK("http://nsgreg.nga.mil/genc/view?v=120370&amp;gencs=T&amp;end_month=12&amp;end_day=31&amp;end_year=2014","Lofa")</f>
        <v>Lofa</v>
      </c>
      <c r="G2353" s="28" t="str">
        <f>HYPERLINK("http://api.nsgreg.nga.mil/geo-division/GENC/6/ed3/LR-LO","as:GENC:6:ed3:LR-LO")</f>
        <v>as:GENC:6:ed3:LR-LO</v>
      </c>
    </row>
    <row r="2354" spans="1:7" x14ac:dyDescent="0.2">
      <c r="A2354" s="85"/>
      <c r="B2354" s="25" t="s">
        <v>6378</v>
      </c>
      <c r="C2354" s="25" t="s">
        <v>6379</v>
      </c>
      <c r="D2354" s="25" t="s">
        <v>1788</v>
      </c>
      <c r="E2354" s="26" t="b">
        <v>1</v>
      </c>
      <c r="F2354" s="27" t="str">
        <f>HYPERLINK("http://nsgreg.nga.mil/genc/view?v=120371&amp;gencs=T&amp;end_month=12&amp;end_day=31&amp;end_year=2014","Margibi")</f>
        <v>Margibi</v>
      </c>
      <c r="G2354" s="28" t="str">
        <f>HYPERLINK("http://api.nsgreg.nga.mil/geo-division/GENC/6/ed3/LR-MG","as:GENC:6:ed3:LR-MG")</f>
        <v>as:GENC:6:ed3:LR-MG</v>
      </c>
    </row>
    <row r="2355" spans="1:7" x14ac:dyDescent="0.2">
      <c r="A2355" s="85"/>
      <c r="B2355" s="25" t="s">
        <v>6380</v>
      </c>
      <c r="C2355" s="25" t="s">
        <v>6381</v>
      </c>
      <c r="D2355" s="25" t="s">
        <v>1788</v>
      </c>
      <c r="E2355" s="26" t="b">
        <v>1</v>
      </c>
      <c r="F2355" s="27" t="str">
        <f>HYPERLINK("http://nsgreg.nga.mil/genc/view?v=120373&amp;gencs=T&amp;end_month=12&amp;end_day=31&amp;end_year=2014","Maryland")</f>
        <v>Maryland</v>
      </c>
      <c r="G2355" s="28" t="str">
        <f>HYPERLINK("http://api.nsgreg.nga.mil/geo-division/GENC/6/ed3/LR-MY","as:GENC:6:ed3:LR-MY")</f>
        <v>as:GENC:6:ed3:LR-MY</v>
      </c>
    </row>
    <row r="2356" spans="1:7" x14ac:dyDescent="0.2">
      <c r="A2356" s="85"/>
      <c r="B2356" s="25" t="s">
        <v>6382</v>
      </c>
      <c r="C2356" s="25" t="s">
        <v>6383</v>
      </c>
      <c r="D2356" s="25" t="s">
        <v>1788</v>
      </c>
      <c r="E2356" s="26" t="b">
        <v>1</v>
      </c>
      <c r="F2356" s="27" t="str">
        <f>HYPERLINK("http://nsgreg.nga.mil/genc/view?v=120372&amp;gencs=T&amp;end_month=12&amp;end_day=31&amp;end_year=2014","Montserrado")</f>
        <v>Montserrado</v>
      </c>
      <c r="G2356" s="28" t="str">
        <f>HYPERLINK("http://api.nsgreg.nga.mil/geo-division/GENC/6/ed3/LR-MO","as:GENC:6:ed3:LR-MO")</f>
        <v>as:GENC:6:ed3:LR-MO</v>
      </c>
    </row>
    <row r="2357" spans="1:7" x14ac:dyDescent="0.2">
      <c r="A2357" s="85"/>
      <c r="B2357" s="25" t="s">
        <v>6384</v>
      </c>
      <c r="C2357" s="25" t="s">
        <v>6385</v>
      </c>
      <c r="D2357" s="25" t="s">
        <v>1788</v>
      </c>
      <c r="E2357" s="26" t="b">
        <v>1</v>
      </c>
      <c r="F2357" s="27" t="str">
        <f>HYPERLINK("http://nsgreg.nga.mil/genc/view?v=120374&amp;gencs=T&amp;end_month=12&amp;end_day=31&amp;end_year=2014","Nimba")</f>
        <v>Nimba</v>
      </c>
      <c r="G2357" s="28" t="str">
        <f>HYPERLINK("http://api.nsgreg.nga.mil/geo-division/GENC/6/ed3/LR-NI","as:GENC:6:ed3:LR-NI")</f>
        <v>as:GENC:6:ed3:LR-NI</v>
      </c>
    </row>
    <row r="2358" spans="1:7" x14ac:dyDescent="0.2">
      <c r="A2358" s="85"/>
      <c r="B2358" s="25" t="s">
        <v>6388</v>
      </c>
      <c r="C2358" s="25" t="s">
        <v>12877</v>
      </c>
      <c r="D2358" s="25" t="s">
        <v>1788</v>
      </c>
      <c r="E2358" s="26" t="b">
        <v>1</v>
      </c>
      <c r="F2358" s="27" t="str">
        <f>HYPERLINK("http://nsgreg.nga.mil/genc/view?v=212266&amp;end_month=12&amp;end_day=31&amp;end_year=2014","River Cess")</f>
        <v>River Cess</v>
      </c>
      <c r="G2358" s="28" t="str">
        <f>HYPERLINK("http://api.nsgreg.nga.mil/geo-division/GENC/6/ed3/LR-RI","as:GENC:6:ed3:LR-RI")</f>
        <v>as:GENC:6:ed3:LR-RI</v>
      </c>
    </row>
    <row r="2359" spans="1:7" x14ac:dyDescent="0.2">
      <c r="A2359" s="85"/>
      <c r="B2359" s="25" t="s">
        <v>6386</v>
      </c>
      <c r="C2359" s="25" t="s">
        <v>6387</v>
      </c>
      <c r="D2359" s="25" t="s">
        <v>1788</v>
      </c>
      <c r="E2359" s="26" t="b">
        <v>1</v>
      </c>
      <c r="F2359" s="27" t="str">
        <f>HYPERLINK("http://nsgreg.nga.mil/genc/view?v=120375&amp;gencs=T&amp;end_month=12&amp;end_day=31&amp;end_year=2014","River Gee")</f>
        <v>River Gee</v>
      </c>
      <c r="G2359" s="28" t="str">
        <f>HYPERLINK("http://api.nsgreg.nga.mil/geo-division/GENC/6/ed3/LR-RG","as:GENC:6:ed3:LR-RG")</f>
        <v>as:GENC:6:ed3:LR-RG</v>
      </c>
    </row>
    <row r="2360" spans="1:7" x14ac:dyDescent="0.2">
      <c r="A2360" s="86"/>
      <c r="B2360" s="29" t="s">
        <v>6390</v>
      </c>
      <c r="C2360" s="29" t="s">
        <v>6391</v>
      </c>
      <c r="D2360" s="29" t="s">
        <v>1788</v>
      </c>
      <c r="E2360" s="30" t="b">
        <v>1</v>
      </c>
      <c r="F2360" s="31" t="str">
        <f>HYPERLINK("http://nsgreg.nga.mil/genc/view?v=120377&amp;gencs=T&amp;end_month=12&amp;end_day=31&amp;end_year=2014","Sinoe")</f>
        <v>Sinoe</v>
      </c>
      <c r="G2360" s="32" t="str">
        <f>HYPERLINK("http://api.nsgreg.nga.mil/geo-division/GENC/6/ed3/LR-SI","as:GENC:6:ed3:LR-SI")</f>
        <v>as:GENC:6:ed3:LR-SI</v>
      </c>
    </row>
    <row r="2361" spans="1:7" x14ac:dyDescent="0.2">
      <c r="A2361" s="84" t="str">
        <f>HYPERLINK("[#]Codes_for_GE_Names!A154:I154","LIBYA")</f>
        <v>LIBYA</v>
      </c>
      <c r="B2361" s="33" t="s">
        <v>6393</v>
      </c>
      <c r="C2361" s="33" t="s">
        <v>6394</v>
      </c>
      <c r="D2361" s="33" t="s">
        <v>6395</v>
      </c>
      <c r="E2361" s="34" t="b">
        <v>1</v>
      </c>
      <c r="F2361" s="35" t="str">
        <f>HYPERLINK("http://nsgreg.nga.mil/genc/view?v=120581&amp;gencs=T&amp;end_month=12&amp;end_day=31&amp;end_year=2014","Al Buţnān")</f>
        <v>Al Buţnān</v>
      </c>
      <c r="G2361" s="36" t="str">
        <f>HYPERLINK("http://api.nsgreg.nga.mil/geo-division/GENC/6/ed3/LY-BU","as:GENC:6:ed3:LY-BU")</f>
        <v>as:GENC:6:ed3:LY-BU</v>
      </c>
    </row>
    <row r="2362" spans="1:7" x14ac:dyDescent="0.2">
      <c r="A2362" s="85"/>
      <c r="B2362" s="25" t="s">
        <v>6396</v>
      </c>
      <c r="C2362" s="25" t="s">
        <v>6397</v>
      </c>
      <c r="D2362" s="25" t="s">
        <v>6395</v>
      </c>
      <c r="E2362" s="26" t="b">
        <v>1</v>
      </c>
      <c r="F2362" s="27" t="str">
        <f>HYPERLINK("http://nsgreg.nga.mil/genc/view?v=120584&amp;gencs=T&amp;end_month=12&amp;end_day=31&amp;end_year=2014","Al Jabal al Akhḑar")</f>
        <v>Al Jabal al Akhḑar</v>
      </c>
      <c r="G2362" s="28" t="str">
        <f>HYPERLINK("http://api.nsgreg.nga.mil/geo-division/GENC/6/ed3/LY-JA","as:GENC:6:ed3:LY-JA")</f>
        <v>as:GENC:6:ed3:LY-JA</v>
      </c>
    </row>
    <row r="2363" spans="1:7" x14ac:dyDescent="0.2">
      <c r="A2363" s="85"/>
      <c r="B2363" s="25" t="s">
        <v>6398</v>
      </c>
      <c r="C2363" s="25" t="s">
        <v>6399</v>
      </c>
      <c r="D2363" s="25" t="s">
        <v>6395</v>
      </c>
      <c r="E2363" s="26" t="b">
        <v>1</v>
      </c>
      <c r="F2363" s="27" t="str">
        <f>HYPERLINK("http://nsgreg.nga.mil/genc/view?v=120585&amp;gencs=T&amp;end_month=12&amp;end_day=31&amp;end_year=2014","Al Jabal al Gharbī")</f>
        <v>Al Jabal al Gharbī</v>
      </c>
      <c r="G2363" s="28" t="str">
        <f>HYPERLINK("http://api.nsgreg.nga.mil/geo-division/GENC/6/ed3/LY-JG","as:GENC:6:ed3:LY-JG")</f>
        <v>as:GENC:6:ed3:LY-JG</v>
      </c>
    </row>
    <row r="2364" spans="1:7" x14ac:dyDescent="0.2">
      <c r="A2364" s="85"/>
      <c r="B2364" s="25" t="s">
        <v>6400</v>
      </c>
      <c r="C2364" s="25" t="s">
        <v>12878</v>
      </c>
      <c r="D2364" s="25" t="s">
        <v>6395</v>
      </c>
      <c r="E2364" s="26" t="b">
        <v>1</v>
      </c>
      <c r="F2364" s="27" t="str">
        <f>HYPERLINK("http://nsgreg.nga.mil/genc/view?v=212409&amp;end_month=12&amp;end_day=31&amp;end_year=2014","Al Jafārah")</f>
        <v>Al Jafārah</v>
      </c>
      <c r="G2364" s="28" t="str">
        <f>HYPERLINK("http://api.nsgreg.nga.mil/geo-division/GENC/6/ed3/LY-JI","as:GENC:6:ed3:LY-JI")</f>
        <v>as:GENC:6:ed3:LY-JI</v>
      </c>
    </row>
    <row r="2365" spans="1:7" x14ac:dyDescent="0.2">
      <c r="A2365" s="85"/>
      <c r="B2365" s="25" t="s">
        <v>6402</v>
      </c>
      <c r="C2365" s="25" t="s">
        <v>6403</v>
      </c>
      <c r="D2365" s="25" t="s">
        <v>6395</v>
      </c>
      <c r="E2365" s="26" t="b">
        <v>1</v>
      </c>
      <c r="F2365" s="27" t="str">
        <f>HYPERLINK("http://nsgreg.nga.mil/genc/view?v=120587&amp;gencs=T&amp;end_month=12&amp;end_day=31&amp;end_year=2014","Al Jufrah")</f>
        <v>Al Jufrah</v>
      </c>
      <c r="G2365" s="28" t="str">
        <f>HYPERLINK("http://api.nsgreg.nga.mil/geo-division/GENC/6/ed3/LY-JU","as:GENC:6:ed3:LY-JU")</f>
        <v>as:GENC:6:ed3:LY-JU</v>
      </c>
    </row>
    <row r="2366" spans="1:7" x14ac:dyDescent="0.2">
      <c r="A2366" s="85"/>
      <c r="B2366" s="25" t="s">
        <v>6404</v>
      </c>
      <c r="C2366" s="25" t="s">
        <v>6405</v>
      </c>
      <c r="D2366" s="25" t="s">
        <v>6395</v>
      </c>
      <c r="E2366" s="26" t="b">
        <v>1</v>
      </c>
      <c r="F2366" s="27" t="str">
        <f>HYPERLINK("http://nsgreg.nga.mil/genc/view?v=120588&amp;gencs=T&amp;end_month=12&amp;end_day=31&amp;end_year=2014","Al Kufrah")</f>
        <v>Al Kufrah</v>
      </c>
      <c r="G2366" s="28" t="str">
        <f>HYPERLINK("http://api.nsgreg.nga.mil/geo-division/GENC/6/ed3/LY-KF","as:GENC:6:ed3:LY-KF")</f>
        <v>as:GENC:6:ed3:LY-KF</v>
      </c>
    </row>
    <row r="2367" spans="1:7" x14ac:dyDescent="0.2">
      <c r="A2367" s="85"/>
      <c r="B2367" s="25" t="s">
        <v>6406</v>
      </c>
      <c r="C2367" s="25" t="s">
        <v>6407</v>
      </c>
      <c r="D2367" s="25" t="s">
        <v>6395</v>
      </c>
      <c r="E2367" s="26" t="b">
        <v>1</v>
      </c>
      <c r="F2367" s="27" t="str">
        <f>HYPERLINK("http://nsgreg.nga.mil/genc/view?v=120591&amp;gencs=T&amp;end_month=12&amp;end_day=31&amp;end_year=2014","Al Marj")</f>
        <v>Al Marj</v>
      </c>
      <c r="G2367" s="28" t="str">
        <f>HYPERLINK("http://api.nsgreg.nga.mil/geo-division/GENC/6/ed3/LY-MJ","as:GENC:6:ed3:LY-MJ")</f>
        <v>as:GENC:6:ed3:LY-MJ</v>
      </c>
    </row>
    <row r="2368" spans="1:7" x14ac:dyDescent="0.2">
      <c r="A2368" s="85"/>
      <c r="B2368" s="25" t="s">
        <v>6408</v>
      </c>
      <c r="C2368" s="25" t="s">
        <v>6409</v>
      </c>
      <c r="D2368" s="25" t="s">
        <v>6395</v>
      </c>
      <c r="E2368" s="26" t="b">
        <v>1</v>
      </c>
      <c r="F2368" s="27" t="str">
        <f>HYPERLINK("http://nsgreg.nga.mil/genc/view?v=120589&amp;gencs=T&amp;end_month=12&amp;end_day=31&amp;end_year=2014","Al Marqab")</f>
        <v>Al Marqab</v>
      </c>
      <c r="G2368" s="28" t="str">
        <f>HYPERLINK("http://api.nsgreg.nga.mil/geo-division/GENC/6/ed3/LY-MB","as:GENC:6:ed3:LY-MB")</f>
        <v>as:GENC:6:ed3:LY-MB</v>
      </c>
    </row>
    <row r="2369" spans="1:7" x14ac:dyDescent="0.2">
      <c r="A2369" s="85"/>
      <c r="B2369" s="25" t="s">
        <v>6410</v>
      </c>
      <c r="C2369" s="25" t="s">
        <v>6411</v>
      </c>
      <c r="D2369" s="25" t="s">
        <v>6395</v>
      </c>
      <c r="E2369" s="26" t="b">
        <v>1</v>
      </c>
      <c r="F2369" s="27" t="str">
        <f>HYPERLINK("http://nsgreg.nga.mil/genc/view?v=212410&amp;end_month=12&amp;end_day=31&amp;end_year=2014","Al Wāḩāt")</f>
        <v>Al Wāḩāt</v>
      </c>
      <c r="G2369" s="28" t="str">
        <f>HYPERLINK("http://api.nsgreg.nga.mil/geo-division/GENC/6/ed3/LY-WA","as:GENC:6:ed3:LY-WA")</f>
        <v>as:GENC:6:ed3:LY-WA</v>
      </c>
    </row>
    <row r="2370" spans="1:7" x14ac:dyDescent="0.2">
      <c r="A2370" s="85"/>
      <c r="B2370" s="25" t="s">
        <v>6412</v>
      </c>
      <c r="C2370" s="25" t="s">
        <v>6413</v>
      </c>
      <c r="D2370" s="25" t="s">
        <v>6395</v>
      </c>
      <c r="E2370" s="26" t="b">
        <v>1</v>
      </c>
      <c r="F2370" s="27" t="str">
        <f>HYPERLINK("http://nsgreg.nga.mil/genc/view?v=120594&amp;gencs=T&amp;end_month=12&amp;end_day=31&amp;end_year=2014","An Nuqāţ al Khams")</f>
        <v>An Nuqāţ al Khams</v>
      </c>
      <c r="G2370" s="28" t="str">
        <f>HYPERLINK("http://api.nsgreg.nga.mil/geo-division/GENC/6/ed3/LY-NQ","as:GENC:6:ed3:LY-NQ")</f>
        <v>as:GENC:6:ed3:LY-NQ</v>
      </c>
    </row>
    <row r="2371" spans="1:7" x14ac:dyDescent="0.2">
      <c r="A2371" s="85"/>
      <c r="B2371" s="25" t="s">
        <v>6414</v>
      </c>
      <c r="C2371" s="25" t="s">
        <v>6415</v>
      </c>
      <c r="D2371" s="25" t="s">
        <v>6395</v>
      </c>
      <c r="E2371" s="26" t="b">
        <v>1</v>
      </c>
      <c r="F2371" s="27" t="str">
        <f>HYPERLINK("http://nsgreg.nga.mil/genc/view?v=120601&amp;gencs=T&amp;end_month=12&amp;end_day=31&amp;end_year=2014","Az Zāwiyah")</f>
        <v>Az Zāwiyah</v>
      </c>
      <c r="G2371" s="28" t="str">
        <f>HYPERLINK("http://api.nsgreg.nga.mil/geo-division/GENC/6/ed3/LY-ZA","as:GENC:6:ed3:LY-ZA")</f>
        <v>as:GENC:6:ed3:LY-ZA</v>
      </c>
    </row>
    <row r="2372" spans="1:7" x14ac:dyDescent="0.2">
      <c r="A2372" s="85"/>
      <c r="B2372" s="25" t="s">
        <v>6416</v>
      </c>
      <c r="C2372" s="25" t="s">
        <v>6417</v>
      </c>
      <c r="D2372" s="25" t="s">
        <v>6395</v>
      </c>
      <c r="E2372" s="26" t="b">
        <v>1</v>
      </c>
      <c r="F2372" s="27" t="str">
        <f>HYPERLINK("http://nsgreg.nga.mil/genc/view?v=120580&amp;gencs=T&amp;end_month=12&amp;end_day=31&amp;end_year=2014","Banghāzī")</f>
        <v>Banghāzī</v>
      </c>
      <c r="G2372" s="28" t="str">
        <f>HYPERLINK("http://api.nsgreg.nga.mil/geo-division/GENC/6/ed3/LY-BA","as:GENC:6:ed3:LY-BA")</f>
        <v>as:GENC:6:ed3:LY-BA</v>
      </c>
    </row>
    <row r="2373" spans="1:7" x14ac:dyDescent="0.2">
      <c r="A2373" s="85"/>
      <c r="B2373" s="25" t="s">
        <v>6418</v>
      </c>
      <c r="C2373" s="25" t="s">
        <v>6419</v>
      </c>
      <c r="D2373" s="25" t="s">
        <v>6395</v>
      </c>
      <c r="E2373" s="26" t="b">
        <v>1</v>
      </c>
      <c r="F2373" s="27" t="str">
        <f>HYPERLINK("http://nsgreg.nga.mil/genc/view?v=120582&amp;gencs=T&amp;end_month=12&amp;end_day=31&amp;end_year=2014","Darnah")</f>
        <v>Darnah</v>
      </c>
      <c r="G2373" s="28" t="str">
        <f>HYPERLINK("http://api.nsgreg.nga.mil/geo-division/GENC/6/ed3/LY-DR","as:GENC:6:ed3:LY-DR")</f>
        <v>as:GENC:6:ed3:LY-DR</v>
      </c>
    </row>
    <row r="2374" spans="1:7" x14ac:dyDescent="0.2">
      <c r="A2374" s="85"/>
      <c r="B2374" s="25" t="s">
        <v>6420</v>
      </c>
      <c r="C2374" s="25" t="s">
        <v>6421</v>
      </c>
      <c r="D2374" s="25" t="s">
        <v>6395</v>
      </c>
      <c r="E2374" s="26" t="b">
        <v>1</v>
      </c>
      <c r="F2374" s="27" t="str">
        <f>HYPERLINK("http://nsgreg.nga.mil/genc/view?v=120583&amp;gencs=T&amp;end_month=12&amp;end_day=31&amp;end_year=2014","Ghāt")</f>
        <v>Ghāt</v>
      </c>
      <c r="G2374" s="28" t="str">
        <f>HYPERLINK("http://api.nsgreg.nga.mil/geo-division/GENC/6/ed3/LY-GT","as:GENC:6:ed3:LY-GT")</f>
        <v>as:GENC:6:ed3:LY-GT</v>
      </c>
    </row>
    <row r="2375" spans="1:7" x14ac:dyDescent="0.2">
      <c r="A2375" s="85"/>
      <c r="B2375" s="25" t="s">
        <v>6422</v>
      </c>
      <c r="C2375" s="25" t="s">
        <v>6423</v>
      </c>
      <c r="D2375" s="25" t="s">
        <v>6395</v>
      </c>
      <c r="E2375" s="26" t="b">
        <v>1</v>
      </c>
      <c r="F2375" s="27" t="str">
        <f>HYPERLINK("http://nsgreg.nga.mil/genc/view?v=120590&amp;gencs=T&amp;end_month=12&amp;end_day=31&amp;end_year=2014","Mişrātah")</f>
        <v>Mişrātah</v>
      </c>
      <c r="G2375" s="28" t="str">
        <f>HYPERLINK("http://api.nsgreg.nga.mil/geo-division/GENC/6/ed3/LY-MI","as:GENC:6:ed3:LY-MI")</f>
        <v>as:GENC:6:ed3:LY-MI</v>
      </c>
    </row>
    <row r="2376" spans="1:7" x14ac:dyDescent="0.2">
      <c r="A2376" s="85"/>
      <c r="B2376" s="25" t="s">
        <v>6424</v>
      </c>
      <c r="C2376" s="25" t="s">
        <v>6425</v>
      </c>
      <c r="D2376" s="25" t="s">
        <v>6395</v>
      </c>
      <c r="E2376" s="26" t="b">
        <v>1</v>
      </c>
      <c r="F2376" s="27" t="str">
        <f>HYPERLINK("http://nsgreg.nga.mil/genc/view?v=120592&amp;gencs=T&amp;end_month=12&amp;end_day=31&amp;end_year=2014","Murzuq")</f>
        <v>Murzuq</v>
      </c>
      <c r="G2376" s="28" t="str">
        <f>HYPERLINK("http://api.nsgreg.nga.mil/geo-division/GENC/6/ed3/LY-MQ","as:GENC:6:ed3:LY-MQ")</f>
        <v>as:GENC:6:ed3:LY-MQ</v>
      </c>
    </row>
    <row r="2377" spans="1:7" x14ac:dyDescent="0.2">
      <c r="A2377" s="85"/>
      <c r="B2377" s="25" t="s">
        <v>6426</v>
      </c>
      <c r="C2377" s="25" t="s">
        <v>6427</v>
      </c>
      <c r="D2377" s="25" t="s">
        <v>6395</v>
      </c>
      <c r="E2377" s="26" t="b">
        <v>1</v>
      </c>
      <c r="F2377" s="27" t="str">
        <f>HYPERLINK("http://nsgreg.nga.mil/genc/view?v=120593&amp;gencs=T&amp;end_month=12&amp;end_day=31&amp;end_year=2014","Nālūt")</f>
        <v>Nālūt</v>
      </c>
      <c r="G2377" s="28" t="str">
        <f>HYPERLINK("http://api.nsgreg.nga.mil/geo-division/GENC/6/ed3/LY-NL","as:GENC:6:ed3:LY-NL")</f>
        <v>as:GENC:6:ed3:LY-NL</v>
      </c>
    </row>
    <row r="2378" spans="1:7" x14ac:dyDescent="0.2">
      <c r="A2378" s="85"/>
      <c r="B2378" s="25" t="s">
        <v>6428</v>
      </c>
      <c r="C2378" s="25" t="s">
        <v>6429</v>
      </c>
      <c r="D2378" s="25" t="s">
        <v>6395</v>
      </c>
      <c r="E2378" s="26" t="b">
        <v>1</v>
      </c>
      <c r="F2378" s="27" t="str">
        <f>HYPERLINK("http://nsgreg.nga.mil/genc/view?v=120595&amp;gencs=T&amp;end_month=12&amp;end_day=31&amp;end_year=2014","Sabhā")</f>
        <v>Sabhā</v>
      </c>
      <c r="G2378" s="28" t="str">
        <f>HYPERLINK("http://api.nsgreg.nga.mil/geo-division/GENC/6/ed3/LY-SB","as:GENC:6:ed3:LY-SB")</f>
        <v>as:GENC:6:ed3:LY-SB</v>
      </c>
    </row>
    <row r="2379" spans="1:7" x14ac:dyDescent="0.2">
      <c r="A2379" s="85"/>
      <c r="B2379" s="25" t="s">
        <v>6430</v>
      </c>
      <c r="C2379" s="25" t="s">
        <v>6431</v>
      </c>
      <c r="D2379" s="25" t="s">
        <v>6395</v>
      </c>
      <c r="E2379" s="26" t="b">
        <v>1</v>
      </c>
      <c r="F2379" s="27" t="str">
        <f>HYPERLINK("http://nsgreg.nga.mil/genc/view?v=120596&amp;gencs=T&amp;end_month=12&amp;end_day=31&amp;end_year=2014","Surt")</f>
        <v>Surt</v>
      </c>
      <c r="G2379" s="28" t="str">
        <f>HYPERLINK("http://api.nsgreg.nga.mil/geo-division/GENC/6/ed3/LY-SR","as:GENC:6:ed3:LY-SR")</f>
        <v>as:GENC:6:ed3:LY-SR</v>
      </c>
    </row>
    <row r="2380" spans="1:7" x14ac:dyDescent="0.2">
      <c r="A2380" s="85"/>
      <c r="B2380" s="25" t="s">
        <v>6436</v>
      </c>
      <c r="C2380" s="25" t="s">
        <v>6437</v>
      </c>
      <c r="D2380" s="25" t="s">
        <v>6395</v>
      </c>
      <c r="E2380" s="26" t="b">
        <v>1</v>
      </c>
      <c r="F2380" s="27" t="str">
        <f>HYPERLINK("http://nsgreg.nga.mil/genc/view?v=120597&amp;gencs=T&amp;end_month=12&amp;end_day=31&amp;end_year=2014","Ţarābulus")</f>
        <v>Ţarābulus</v>
      </c>
      <c r="G2380" s="28" t="str">
        <f>HYPERLINK("http://api.nsgreg.nga.mil/geo-division/GENC/6/ed3/LY-TB","as:GENC:6:ed3:LY-TB")</f>
        <v>as:GENC:6:ed3:LY-TB</v>
      </c>
    </row>
    <row r="2381" spans="1:7" x14ac:dyDescent="0.2">
      <c r="A2381" s="85"/>
      <c r="B2381" s="25" t="s">
        <v>6432</v>
      </c>
      <c r="C2381" s="25" t="s">
        <v>6433</v>
      </c>
      <c r="D2381" s="25" t="s">
        <v>6395</v>
      </c>
      <c r="E2381" s="26" t="b">
        <v>1</v>
      </c>
      <c r="F2381" s="27" t="str">
        <f>HYPERLINK("http://nsgreg.nga.mil/genc/view?v=120599&amp;gencs=T&amp;end_month=12&amp;end_day=31&amp;end_year=2014","Wādī al Ḩayāt")</f>
        <v>Wādī al Ḩayāt</v>
      </c>
      <c r="G2381" s="28" t="str">
        <f>HYPERLINK("http://api.nsgreg.nga.mil/geo-division/GENC/6/ed3/LY-WD","as:GENC:6:ed3:LY-WD")</f>
        <v>as:GENC:6:ed3:LY-WD</v>
      </c>
    </row>
    <row r="2382" spans="1:7" x14ac:dyDescent="0.2">
      <c r="A2382" s="86"/>
      <c r="B2382" s="29" t="s">
        <v>6434</v>
      </c>
      <c r="C2382" s="29" t="s">
        <v>12879</v>
      </c>
      <c r="D2382" s="29" t="s">
        <v>6395</v>
      </c>
      <c r="E2382" s="30" t="b">
        <v>1</v>
      </c>
      <c r="F2382" s="31" t="str">
        <f>HYPERLINK("http://nsgreg.nga.mil/genc/view?v=120600&amp;gencs=T&amp;end_month=12&amp;end_day=31&amp;end_year=2014","Wādī ash Shāţi’")</f>
        <v>Wādī ash Shāţi’</v>
      </c>
      <c r="G2382" s="32" t="str">
        <f>HYPERLINK("http://api.nsgreg.nga.mil/geo-division/GENC/6/ed3/LY-WS","as:GENC:6:ed3:LY-WS")</f>
        <v>as:GENC:6:ed3:LY-WS</v>
      </c>
    </row>
    <row r="2383" spans="1:7" x14ac:dyDescent="0.2">
      <c r="A2383" s="84" t="str">
        <f>HYPERLINK("[#]Codes_for_GE_Names!A155:I155","LIECHTENSTEIN")</f>
        <v>LIECHTENSTEIN</v>
      </c>
      <c r="B2383" s="33" t="s">
        <v>6438</v>
      </c>
      <c r="C2383" s="33" t="s">
        <v>6439</v>
      </c>
      <c r="D2383" s="33" t="s">
        <v>3162</v>
      </c>
      <c r="E2383" s="34" t="b">
        <v>1</v>
      </c>
      <c r="F2383" s="35" t="str">
        <f>HYPERLINK("http://nsgreg.nga.mil/genc/view?v=212221&amp;end_month=12&amp;end_day=31&amp;end_year=2014","Balzers")</f>
        <v>Balzers</v>
      </c>
      <c r="G2383" s="36" t="str">
        <f>HYPERLINK("http://api.nsgreg.nga.mil/geo-division/GENC/6/ed3/LI-01","as:GENC:6:ed3:LI-01")</f>
        <v>as:GENC:6:ed3:LI-01</v>
      </c>
    </row>
    <row r="2384" spans="1:7" x14ac:dyDescent="0.2">
      <c r="A2384" s="85"/>
      <c r="B2384" s="25" t="s">
        <v>6440</v>
      </c>
      <c r="C2384" s="25" t="s">
        <v>6441</v>
      </c>
      <c r="D2384" s="25" t="s">
        <v>3162</v>
      </c>
      <c r="E2384" s="26" t="b">
        <v>1</v>
      </c>
      <c r="F2384" s="27" t="str">
        <f>HYPERLINK("http://nsgreg.nga.mil/genc/view?v=212222&amp;end_month=12&amp;end_day=31&amp;end_year=2014","Eschen")</f>
        <v>Eschen</v>
      </c>
      <c r="G2384" s="28" t="str">
        <f>HYPERLINK("http://api.nsgreg.nga.mil/geo-division/GENC/6/ed3/LI-02","as:GENC:6:ed3:LI-02")</f>
        <v>as:GENC:6:ed3:LI-02</v>
      </c>
    </row>
    <row r="2385" spans="1:7" x14ac:dyDescent="0.2">
      <c r="A2385" s="85"/>
      <c r="B2385" s="25" t="s">
        <v>6442</v>
      </c>
      <c r="C2385" s="25" t="s">
        <v>6443</v>
      </c>
      <c r="D2385" s="25" t="s">
        <v>3162</v>
      </c>
      <c r="E2385" s="26" t="b">
        <v>1</v>
      </c>
      <c r="F2385" s="27" t="str">
        <f>HYPERLINK("http://nsgreg.nga.mil/genc/view?v=212223&amp;end_month=12&amp;end_day=31&amp;end_year=2014","Gamprin")</f>
        <v>Gamprin</v>
      </c>
      <c r="G2385" s="28" t="str">
        <f>HYPERLINK("http://api.nsgreg.nga.mil/geo-division/GENC/6/ed3/LI-03","as:GENC:6:ed3:LI-03")</f>
        <v>as:GENC:6:ed3:LI-03</v>
      </c>
    </row>
    <row r="2386" spans="1:7" x14ac:dyDescent="0.2">
      <c r="A2386" s="85"/>
      <c r="B2386" s="25" t="s">
        <v>6444</v>
      </c>
      <c r="C2386" s="25" t="s">
        <v>6445</v>
      </c>
      <c r="D2386" s="25" t="s">
        <v>3162</v>
      </c>
      <c r="E2386" s="26" t="b">
        <v>1</v>
      </c>
      <c r="F2386" s="27" t="str">
        <f>HYPERLINK("http://nsgreg.nga.mil/genc/view?v=212224&amp;end_month=12&amp;end_day=31&amp;end_year=2014","Mauren")</f>
        <v>Mauren</v>
      </c>
      <c r="G2386" s="28" t="str">
        <f>HYPERLINK("http://api.nsgreg.nga.mil/geo-division/GENC/6/ed3/LI-04","as:GENC:6:ed3:LI-04")</f>
        <v>as:GENC:6:ed3:LI-04</v>
      </c>
    </row>
    <row r="2387" spans="1:7" x14ac:dyDescent="0.2">
      <c r="A2387" s="85"/>
      <c r="B2387" s="25" t="s">
        <v>6446</v>
      </c>
      <c r="C2387" s="25" t="s">
        <v>6447</v>
      </c>
      <c r="D2387" s="25" t="s">
        <v>3162</v>
      </c>
      <c r="E2387" s="26" t="b">
        <v>1</v>
      </c>
      <c r="F2387" s="27" t="str">
        <f>HYPERLINK("http://nsgreg.nga.mil/genc/view?v=212225&amp;end_month=12&amp;end_day=31&amp;end_year=2014","Planken")</f>
        <v>Planken</v>
      </c>
      <c r="G2387" s="28" t="str">
        <f>HYPERLINK("http://api.nsgreg.nga.mil/geo-division/GENC/6/ed3/LI-05","as:GENC:6:ed3:LI-05")</f>
        <v>as:GENC:6:ed3:LI-05</v>
      </c>
    </row>
    <row r="2388" spans="1:7" x14ac:dyDescent="0.2">
      <c r="A2388" s="85"/>
      <c r="B2388" s="25" t="s">
        <v>6448</v>
      </c>
      <c r="C2388" s="25" t="s">
        <v>6449</v>
      </c>
      <c r="D2388" s="25" t="s">
        <v>3162</v>
      </c>
      <c r="E2388" s="26" t="b">
        <v>1</v>
      </c>
      <c r="F2388" s="27" t="str">
        <f>HYPERLINK("http://nsgreg.nga.mil/genc/view?v=212226&amp;end_month=12&amp;end_day=31&amp;end_year=2014","Ruggell")</f>
        <v>Ruggell</v>
      </c>
      <c r="G2388" s="28" t="str">
        <f>HYPERLINK("http://api.nsgreg.nga.mil/geo-division/GENC/6/ed3/LI-06","as:GENC:6:ed3:LI-06")</f>
        <v>as:GENC:6:ed3:LI-06</v>
      </c>
    </row>
    <row r="2389" spans="1:7" x14ac:dyDescent="0.2">
      <c r="A2389" s="85"/>
      <c r="B2389" s="25" t="s">
        <v>6450</v>
      </c>
      <c r="C2389" s="25" t="s">
        <v>6451</v>
      </c>
      <c r="D2389" s="25" t="s">
        <v>3162</v>
      </c>
      <c r="E2389" s="26" t="b">
        <v>1</v>
      </c>
      <c r="F2389" s="27" t="str">
        <f>HYPERLINK("http://nsgreg.nga.mil/genc/view?v=212227&amp;end_month=12&amp;end_day=31&amp;end_year=2014","Schaan")</f>
        <v>Schaan</v>
      </c>
      <c r="G2389" s="28" t="str">
        <f>HYPERLINK("http://api.nsgreg.nga.mil/geo-division/GENC/6/ed3/LI-07","as:GENC:6:ed3:LI-07")</f>
        <v>as:GENC:6:ed3:LI-07</v>
      </c>
    </row>
    <row r="2390" spans="1:7" x14ac:dyDescent="0.2">
      <c r="A2390" s="85"/>
      <c r="B2390" s="25" t="s">
        <v>6452</v>
      </c>
      <c r="C2390" s="25" t="s">
        <v>6453</v>
      </c>
      <c r="D2390" s="25" t="s">
        <v>3162</v>
      </c>
      <c r="E2390" s="26" t="b">
        <v>1</v>
      </c>
      <c r="F2390" s="27" t="str">
        <f>HYPERLINK("http://nsgreg.nga.mil/genc/view?v=212228&amp;end_month=12&amp;end_day=31&amp;end_year=2014","Schellenberg")</f>
        <v>Schellenberg</v>
      </c>
      <c r="G2390" s="28" t="str">
        <f>HYPERLINK("http://api.nsgreg.nga.mil/geo-division/GENC/6/ed3/LI-08","as:GENC:6:ed3:LI-08")</f>
        <v>as:GENC:6:ed3:LI-08</v>
      </c>
    </row>
    <row r="2391" spans="1:7" x14ac:dyDescent="0.2">
      <c r="A2391" s="85"/>
      <c r="B2391" s="25" t="s">
        <v>6454</v>
      </c>
      <c r="C2391" s="25" t="s">
        <v>6455</v>
      </c>
      <c r="D2391" s="25" t="s">
        <v>3162</v>
      </c>
      <c r="E2391" s="26" t="b">
        <v>1</v>
      </c>
      <c r="F2391" s="27" t="str">
        <f>HYPERLINK("http://nsgreg.nga.mil/genc/view?v=212229&amp;end_month=12&amp;end_day=31&amp;end_year=2014","Triesen")</f>
        <v>Triesen</v>
      </c>
      <c r="G2391" s="28" t="str">
        <f>HYPERLINK("http://api.nsgreg.nga.mil/geo-division/GENC/6/ed3/LI-09","as:GENC:6:ed3:LI-09")</f>
        <v>as:GENC:6:ed3:LI-09</v>
      </c>
    </row>
    <row r="2392" spans="1:7" x14ac:dyDescent="0.2">
      <c r="A2392" s="85"/>
      <c r="B2392" s="25" t="s">
        <v>6456</v>
      </c>
      <c r="C2392" s="25" t="s">
        <v>6457</v>
      </c>
      <c r="D2392" s="25" t="s">
        <v>3162</v>
      </c>
      <c r="E2392" s="26" t="b">
        <v>1</v>
      </c>
      <c r="F2392" s="27" t="str">
        <f>HYPERLINK("http://nsgreg.nga.mil/genc/view?v=212230&amp;end_month=12&amp;end_day=31&amp;end_year=2014","Triesenberg")</f>
        <v>Triesenberg</v>
      </c>
      <c r="G2392" s="28" t="str">
        <f>HYPERLINK("http://api.nsgreg.nga.mil/geo-division/GENC/6/ed3/LI-10","as:GENC:6:ed3:LI-10")</f>
        <v>as:GENC:6:ed3:LI-10</v>
      </c>
    </row>
    <row r="2393" spans="1:7" x14ac:dyDescent="0.2">
      <c r="A2393" s="86"/>
      <c r="B2393" s="29" t="s">
        <v>6458</v>
      </c>
      <c r="C2393" s="29" t="s">
        <v>6459</v>
      </c>
      <c r="D2393" s="29" t="s">
        <v>3162</v>
      </c>
      <c r="E2393" s="30" t="b">
        <v>1</v>
      </c>
      <c r="F2393" s="31" t="str">
        <f>HYPERLINK("http://nsgreg.nga.mil/genc/view?v=212231&amp;end_month=12&amp;end_day=31&amp;end_year=2014","Vaduz")</f>
        <v>Vaduz</v>
      </c>
      <c r="G2393" s="32" t="str">
        <f>HYPERLINK("http://api.nsgreg.nga.mil/geo-division/GENC/6/ed3/LI-11","as:GENC:6:ed3:LI-11")</f>
        <v>as:GENC:6:ed3:LI-11</v>
      </c>
    </row>
    <row r="2394" spans="1:7" x14ac:dyDescent="0.2">
      <c r="A2394" s="84" t="str">
        <f>HYPERLINK("[#]Codes_for_GE_Names!A156:I156","LITHUANIA")</f>
        <v>LITHUANIA</v>
      </c>
      <c r="B2394" s="33" t="s">
        <v>12880</v>
      </c>
      <c r="C2394" s="33" t="s">
        <v>12881</v>
      </c>
      <c r="D2394" s="33" t="s">
        <v>12882</v>
      </c>
      <c r="E2394" s="34" t="b">
        <v>1</v>
      </c>
      <c r="F2394" s="35" t="str">
        <f>HYPERLINK("http://nsgreg.nga.mil/genc/view?v=120388&amp;gencs=T&amp;end_month=12&amp;end_day=31&amp;end_year=2014","Akmenė")</f>
        <v>Akmenė</v>
      </c>
      <c r="G2394" s="36" t="str">
        <f>HYPERLINK("http://api.nsgreg.nga.mil/geo-division/GENC/6/ed3/LT-01","as:GENC:6:ed3:LT-01")</f>
        <v>as:GENC:6:ed3:LT-01</v>
      </c>
    </row>
    <row r="2395" spans="1:7" x14ac:dyDescent="0.2">
      <c r="A2395" s="85"/>
      <c r="B2395" s="25" t="s">
        <v>6460</v>
      </c>
      <c r="C2395" s="25" t="s">
        <v>6461</v>
      </c>
      <c r="D2395" s="37" t="s">
        <v>1788</v>
      </c>
      <c r="E2395" s="38" t="b">
        <v>0</v>
      </c>
      <c r="F2395" s="27" t="str">
        <f>HYPERLINK("http://nsgreg.nga.mil/genc/view?v=212277&amp;end_month=12&amp;end_day=31&amp;end_year=2014","Alytaus Apskritis")</f>
        <v>Alytaus Apskritis</v>
      </c>
      <c r="G2395" s="28" t="str">
        <f>HYPERLINK("http://api.nsgreg.nga.mil/geo-division/GENC/6/ed3/LT-AL","as:GENC:6:ed3:LT-AL")</f>
        <v>as:GENC:6:ed3:LT-AL</v>
      </c>
    </row>
    <row r="2396" spans="1:7" x14ac:dyDescent="0.2">
      <c r="A2396" s="85"/>
      <c r="B2396" s="25" t="s">
        <v>12883</v>
      </c>
      <c r="C2396" s="25" t="s">
        <v>12884</v>
      </c>
      <c r="D2396" s="25" t="s">
        <v>12885</v>
      </c>
      <c r="E2396" s="26" t="b">
        <v>1</v>
      </c>
      <c r="F2396" s="27" t="str">
        <f>HYPERLINK("http://nsgreg.nga.mil/genc/view?v=120389&amp;gencs=T&amp;end_month=12&amp;end_day=31&amp;end_year=2014","Alytaus miestas")</f>
        <v>Alytaus miestas</v>
      </c>
      <c r="G2396" s="28" t="str">
        <f>HYPERLINK("http://api.nsgreg.nga.mil/geo-division/GENC/6/ed3/LT-02","as:GENC:6:ed3:LT-02")</f>
        <v>as:GENC:6:ed3:LT-02</v>
      </c>
    </row>
    <row r="2397" spans="1:7" x14ac:dyDescent="0.2">
      <c r="A2397" s="85"/>
      <c r="B2397" s="25" t="s">
        <v>12886</v>
      </c>
      <c r="C2397" s="25" t="s">
        <v>12887</v>
      </c>
      <c r="D2397" s="25" t="s">
        <v>12882</v>
      </c>
      <c r="E2397" s="26" t="b">
        <v>1</v>
      </c>
      <c r="F2397" s="27" t="str">
        <f>HYPERLINK("http://nsgreg.nga.mil/genc/view?v=120390&amp;gencs=T&amp;end_month=12&amp;end_day=31&amp;end_year=2014","Alytus")</f>
        <v>Alytus</v>
      </c>
      <c r="G2397" s="28" t="str">
        <f>HYPERLINK("http://api.nsgreg.nga.mil/geo-division/GENC/6/ed3/LT-03","as:GENC:6:ed3:LT-03")</f>
        <v>as:GENC:6:ed3:LT-03</v>
      </c>
    </row>
    <row r="2398" spans="1:7" x14ac:dyDescent="0.2">
      <c r="A2398" s="85"/>
      <c r="B2398" s="25" t="s">
        <v>12888</v>
      </c>
      <c r="C2398" s="25" t="s">
        <v>12889</v>
      </c>
      <c r="D2398" s="25" t="s">
        <v>12882</v>
      </c>
      <c r="E2398" s="26" t="b">
        <v>1</v>
      </c>
      <c r="F2398" s="27" t="str">
        <f>HYPERLINK("http://nsgreg.nga.mil/genc/view?v=120391&amp;gencs=T&amp;end_month=12&amp;end_day=31&amp;end_year=2014","Anykščiai")</f>
        <v>Anykščiai</v>
      </c>
      <c r="G2398" s="28" t="str">
        <f>HYPERLINK("http://api.nsgreg.nga.mil/geo-division/GENC/6/ed3/LT-04","as:GENC:6:ed3:LT-04")</f>
        <v>as:GENC:6:ed3:LT-04</v>
      </c>
    </row>
    <row r="2399" spans="1:7" x14ac:dyDescent="0.2">
      <c r="A2399" s="85"/>
      <c r="B2399" s="25" t="s">
        <v>12890</v>
      </c>
      <c r="C2399" s="25" t="s">
        <v>12891</v>
      </c>
      <c r="D2399" s="25" t="s">
        <v>12892</v>
      </c>
      <c r="E2399" s="26" t="b">
        <v>1</v>
      </c>
      <c r="F2399" s="27" t="str">
        <f>HYPERLINK("http://nsgreg.nga.mil/genc/view?v=120392&amp;gencs=T&amp;end_month=12&amp;end_day=31&amp;end_year=2014","Birštono")</f>
        <v>Birštono</v>
      </c>
      <c r="G2399" s="28" t="str">
        <f>HYPERLINK("http://api.nsgreg.nga.mil/geo-division/GENC/6/ed3/LT-05","as:GENC:6:ed3:LT-05")</f>
        <v>as:GENC:6:ed3:LT-05</v>
      </c>
    </row>
    <row r="2400" spans="1:7" x14ac:dyDescent="0.2">
      <c r="A2400" s="85"/>
      <c r="B2400" s="25" t="s">
        <v>12893</v>
      </c>
      <c r="C2400" s="25" t="s">
        <v>12894</v>
      </c>
      <c r="D2400" s="25" t="s">
        <v>12882</v>
      </c>
      <c r="E2400" s="26" t="b">
        <v>1</v>
      </c>
      <c r="F2400" s="27" t="str">
        <f>HYPERLINK("http://nsgreg.nga.mil/genc/view?v=120393&amp;gencs=T&amp;end_month=12&amp;end_day=31&amp;end_year=2014","Biržai")</f>
        <v>Biržai</v>
      </c>
      <c r="G2400" s="28" t="str">
        <f>HYPERLINK("http://api.nsgreg.nga.mil/geo-division/GENC/6/ed3/LT-06","as:GENC:6:ed3:LT-06")</f>
        <v>as:GENC:6:ed3:LT-06</v>
      </c>
    </row>
    <row r="2401" spans="1:7" x14ac:dyDescent="0.2">
      <c r="A2401" s="85"/>
      <c r="B2401" s="25" t="s">
        <v>12895</v>
      </c>
      <c r="C2401" s="25" t="s">
        <v>12896</v>
      </c>
      <c r="D2401" s="25" t="s">
        <v>12892</v>
      </c>
      <c r="E2401" s="26" t="b">
        <v>1</v>
      </c>
      <c r="F2401" s="27" t="str">
        <f>HYPERLINK("http://nsgreg.nga.mil/genc/view?v=120394&amp;gencs=T&amp;end_month=12&amp;end_day=31&amp;end_year=2014","Druskininkai")</f>
        <v>Druskininkai</v>
      </c>
      <c r="G2401" s="28" t="str">
        <f>HYPERLINK("http://api.nsgreg.nga.mil/geo-division/GENC/6/ed3/LT-07","as:GENC:6:ed3:LT-07")</f>
        <v>as:GENC:6:ed3:LT-07</v>
      </c>
    </row>
    <row r="2402" spans="1:7" x14ac:dyDescent="0.2">
      <c r="A2402" s="85"/>
      <c r="B2402" s="25" t="s">
        <v>12897</v>
      </c>
      <c r="C2402" s="25" t="s">
        <v>12898</v>
      </c>
      <c r="D2402" s="25" t="s">
        <v>12892</v>
      </c>
      <c r="E2402" s="26" t="b">
        <v>1</v>
      </c>
      <c r="F2402" s="27" t="str">
        <f>HYPERLINK("http://nsgreg.nga.mil/genc/view?v=120395&amp;gencs=T&amp;end_month=12&amp;end_day=31&amp;end_year=2014","Elektrénai")</f>
        <v>Elektrénai</v>
      </c>
      <c r="G2402" s="28" t="str">
        <f>HYPERLINK("http://api.nsgreg.nga.mil/geo-division/GENC/6/ed3/LT-08","as:GENC:6:ed3:LT-08")</f>
        <v>as:GENC:6:ed3:LT-08</v>
      </c>
    </row>
    <row r="2403" spans="1:7" x14ac:dyDescent="0.2">
      <c r="A2403" s="85"/>
      <c r="B2403" s="25" t="s">
        <v>12899</v>
      </c>
      <c r="C2403" s="25" t="s">
        <v>12900</v>
      </c>
      <c r="D2403" s="25" t="s">
        <v>12882</v>
      </c>
      <c r="E2403" s="26" t="b">
        <v>1</v>
      </c>
      <c r="F2403" s="27" t="str">
        <f>HYPERLINK("http://nsgreg.nga.mil/genc/view?v=120396&amp;gencs=T&amp;end_month=12&amp;end_day=31&amp;end_year=2014","Ignalina")</f>
        <v>Ignalina</v>
      </c>
      <c r="G2403" s="28" t="str">
        <f>HYPERLINK("http://api.nsgreg.nga.mil/geo-division/GENC/6/ed3/LT-09","as:GENC:6:ed3:LT-09")</f>
        <v>as:GENC:6:ed3:LT-09</v>
      </c>
    </row>
    <row r="2404" spans="1:7" x14ac:dyDescent="0.2">
      <c r="A2404" s="85"/>
      <c r="B2404" s="25" t="s">
        <v>12901</v>
      </c>
      <c r="C2404" s="25" t="s">
        <v>12902</v>
      </c>
      <c r="D2404" s="25" t="s">
        <v>12882</v>
      </c>
      <c r="E2404" s="26" t="b">
        <v>1</v>
      </c>
      <c r="F2404" s="27" t="str">
        <f>HYPERLINK("http://nsgreg.nga.mil/genc/view?v=120397&amp;gencs=T&amp;end_month=12&amp;end_day=31&amp;end_year=2014","Jonava")</f>
        <v>Jonava</v>
      </c>
      <c r="G2404" s="28" t="str">
        <f>HYPERLINK("http://api.nsgreg.nga.mil/geo-division/GENC/6/ed3/LT-10","as:GENC:6:ed3:LT-10")</f>
        <v>as:GENC:6:ed3:LT-10</v>
      </c>
    </row>
    <row r="2405" spans="1:7" x14ac:dyDescent="0.2">
      <c r="A2405" s="85"/>
      <c r="B2405" s="25" t="s">
        <v>12903</v>
      </c>
      <c r="C2405" s="25" t="s">
        <v>12904</v>
      </c>
      <c r="D2405" s="25" t="s">
        <v>12882</v>
      </c>
      <c r="E2405" s="26" t="b">
        <v>1</v>
      </c>
      <c r="F2405" s="27" t="str">
        <f>HYPERLINK("http://nsgreg.nga.mil/genc/view?v=120398&amp;gencs=T&amp;end_month=12&amp;end_day=31&amp;end_year=2014","Joniškis")</f>
        <v>Joniškis</v>
      </c>
      <c r="G2405" s="28" t="str">
        <f>HYPERLINK("http://api.nsgreg.nga.mil/geo-division/GENC/6/ed3/LT-11","as:GENC:6:ed3:LT-11")</f>
        <v>as:GENC:6:ed3:LT-11</v>
      </c>
    </row>
    <row r="2406" spans="1:7" x14ac:dyDescent="0.2">
      <c r="A2406" s="85"/>
      <c r="B2406" s="25" t="s">
        <v>12905</v>
      </c>
      <c r="C2406" s="25" t="s">
        <v>12906</v>
      </c>
      <c r="D2406" s="25" t="s">
        <v>12882</v>
      </c>
      <c r="E2406" s="26" t="b">
        <v>1</v>
      </c>
      <c r="F2406" s="27" t="str">
        <f>HYPERLINK("http://nsgreg.nga.mil/genc/view?v=120399&amp;gencs=T&amp;end_month=12&amp;end_day=31&amp;end_year=2014","Jurbarkas")</f>
        <v>Jurbarkas</v>
      </c>
      <c r="G2406" s="28" t="str">
        <f>HYPERLINK("http://api.nsgreg.nga.mil/geo-division/GENC/6/ed3/LT-12","as:GENC:6:ed3:LT-12")</f>
        <v>as:GENC:6:ed3:LT-12</v>
      </c>
    </row>
    <row r="2407" spans="1:7" x14ac:dyDescent="0.2">
      <c r="A2407" s="85"/>
      <c r="B2407" s="25" t="s">
        <v>12907</v>
      </c>
      <c r="C2407" s="25" t="s">
        <v>12908</v>
      </c>
      <c r="D2407" s="25" t="s">
        <v>12882</v>
      </c>
      <c r="E2407" s="26" t="b">
        <v>1</v>
      </c>
      <c r="F2407" s="27" t="str">
        <f>HYPERLINK("http://nsgreg.nga.mil/genc/view?v=120400&amp;gencs=T&amp;end_month=12&amp;end_day=31&amp;end_year=2014","Kaišiadorys")</f>
        <v>Kaišiadorys</v>
      </c>
      <c r="G2407" s="28" t="str">
        <f>HYPERLINK("http://api.nsgreg.nga.mil/geo-division/GENC/6/ed3/LT-13","as:GENC:6:ed3:LT-13")</f>
        <v>as:GENC:6:ed3:LT-13</v>
      </c>
    </row>
    <row r="2408" spans="1:7" x14ac:dyDescent="0.2">
      <c r="A2408" s="85"/>
      <c r="B2408" s="25" t="s">
        <v>12909</v>
      </c>
      <c r="C2408" s="25" t="s">
        <v>12910</v>
      </c>
      <c r="D2408" s="25" t="s">
        <v>12892</v>
      </c>
      <c r="E2408" s="26" t="b">
        <v>1</v>
      </c>
      <c r="F2408" s="27" t="str">
        <f>HYPERLINK("http://nsgreg.nga.mil/genc/view?v=120401&amp;gencs=T&amp;end_month=12&amp;end_day=31&amp;end_year=2014","Kalvarijos")</f>
        <v>Kalvarijos</v>
      </c>
      <c r="G2408" s="28" t="str">
        <f>HYPERLINK("http://api.nsgreg.nga.mil/geo-division/GENC/6/ed3/LT-14","as:GENC:6:ed3:LT-14")</f>
        <v>as:GENC:6:ed3:LT-14</v>
      </c>
    </row>
    <row r="2409" spans="1:7" x14ac:dyDescent="0.2">
      <c r="A2409" s="85"/>
      <c r="B2409" s="25" t="s">
        <v>12911</v>
      </c>
      <c r="C2409" s="25" t="s">
        <v>12912</v>
      </c>
      <c r="D2409" s="25" t="s">
        <v>12882</v>
      </c>
      <c r="E2409" s="26" t="b">
        <v>1</v>
      </c>
      <c r="F2409" s="27" t="str">
        <f>HYPERLINK("http://nsgreg.nga.mil/genc/view?v=120403&amp;gencs=T&amp;end_month=12&amp;end_day=31&amp;end_year=2014","Kaunas")</f>
        <v>Kaunas</v>
      </c>
      <c r="G2409" s="28" t="str">
        <f>HYPERLINK("http://api.nsgreg.nga.mil/geo-division/GENC/6/ed3/LT-16","as:GENC:6:ed3:LT-16")</f>
        <v>as:GENC:6:ed3:LT-16</v>
      </c>
    </row>
    <row r="2410" spans="1:7" x14ac:dyDescent="0.2">
      <c r="A2410" s="85"/>
      <c r="B2410" s="25" t="s">
        <v>6462</v>
      </c>
      <c r="C2410" s="25" t="s">
        <v>6463</v>
      </c>
      <c r="D2410" s="37" t="s">
        <v>1788</v>
      </c>
      <c r="E2410" s="38" t="b">
        <v>0</v>
      </c>
      <c r="F2410" s="27" t="str">
        <f>HYPERLINK("http://nsgreg.nga.mil/genc/view?v=212279&amp;end_month=12&amp;end_day=31&amp;end_year=2014","Kauno Apskritis")</f>
        <v>Kauno Apskritis</v>
      </c>
      <c r="G2410" s="28" t="str">
        <f>HYPERLINK("http://api.nsgreg.nga.mil/geo-division/GENC/6/ed3/LT-KU","as:GENC:6:ed3:LT-KU")</f>
        <v>as:GENC:6:ed3:LT-KU</v>
      </c>
    </row>
    <row r="2411" spans="1:7" x14ac:dyDescent="0.2">
      <c r="A2411" s="85"/>
      <c r="B2411" s="25" t="s">
        <v>12913</v>
      </c>
      <c r="C2411" s="25" t="s">
        <v>12914</v>
      </c>
      <c r="D2411" s="25" t="s">
        <v>12885</v>
      </c>
      <c r="E2411" s="26" t="b">
        <v>1</v>
      </c>
      <c r="F2411" s="27" t="str">
        <f>HYPERLINK("http://nsgreg.nga.mil/genc/view?v=120402&amp;gencs=T&amp;end_month=12&amp;end_day=31&amp;end_year=2014","Kauno miestas")</f>
        <v>Kauno miestas</v>
      </c>
      <c r="G2411" s="28" t="str">
        <f>HYPERLINK("http://api.nsgreg.nga.mil/geo-division/GENC/6/ed3/LT-15","as:GENC:6:ed3:LT-15")</f>
        <v>as:GENC:6:ed3:LT-15</v>
      </c>
    </row>
    <row r="2412" spans="1:7" x14ac:dyDescent="0.2">
      <c r="A2412" s="85"/>
      <c r="B2412" s="25" t="s">
        <v>12915</v>
      </c>
      <c r="C2412" s="25" t="s">
        <v>12916</v>
      </c>
      <c r="D2412" s="25" t="s">
        <v>12892</v>
      </c>
      <c r="E2412" s="26" t="b">
        <v>1</v>
      </c>
      <c r="F2412" s="27" t="str">
        <f>HYPERLINK("http://nsgreg.nga.mil/genc/view?v=120404&amp;gencs=T&amp;end_month=12&amp;end_day=31&amp;end_year=2014","Kazlų Rūdos")</f>
        <v>Kazlų Rūdos</v>
      </c>
      <c r="G2412" s="28" t="str">
        <f>HYPERLINK("http://api.nsgreg.nga.mil/geo-division/GENC/6/ed3/LT-17","as:GENC:6:ed3:LT-17")</f>
        <v>as:GENC:6:ed3:LT-17</v>
      </c>
    </row>
    <row r="2413" spans="1:7" x14ac:dyDescent="0.2">
      <c r="A2413" s="85"/>
      <c r="B2413" s="25" t="s">
        <v>12917</v>
      </c>
      <c r="C2413" s="25" t="s">
        <v>12918</v>
      </c>
      <c r="D2413" s="25" t="s">
        <v>12882</v>
      </c>
      <c r="E2413" s="26" t="b">
        <v>1</v>
      </c>
      <c r="F2413" s="27" t="str">
        <f>HYPERLINK("http://nsgreg.nga.mil/genc/view?v=120405&amp;gencs=T&amp;end_month=12&amp;end_day=31&amp;end_year=2014","Kėdainiai")</f>
        <v>Kėdainiai</v>
      </c>
      <c r="G2413" s="28" t="str">
        <f>HYPERLINK("http://api.nsgreg.nga.mil/geo-division/GENC/6/ed3/LT-18","as:GENC:6:ed3:LT-18")</f>
        <v>as:GENC:6:ed3:LT-18</v>
      </c>
    </row>
    <row r="2414" spans="1:7" x14ac:dyDescent="0.2">
      <c r="A2414" s="85"/>
      <c r="B2414" s="25" t="s">
        <v>12919</v>
      </c>
      <c r="C2414" s="25" t="s">
        <v>12920</v>
      </c>
      <c r="D2414" s="25" t="s">
        <v>12882</v>
      </c>
      <c r="E2414" s="26" t="b">
        <v>1</v>
      </c>
      <c r="F2414" s="27" t="str">
        <f>HYPERLINK("http://nsgreg.nga.mil/genc/view?v=120406&amp;gencs=T&amp;end_month=12&amp;end_day=31&amp;end_year=2014","Kelmė")</f>
        <v>Kelmė</v>
      </c>
      <c r="G2414" s="28" t="str">
        <f>HYPERLINK("http://api.nsgreg.nga.mil/geo-division/GENC/6/ed3/LT-19","as:GENC:6:ed3:LT-19")</f>
        <v>as:GENC:6:ed3:LT-19</v>
      </c>
    </row>
    <row r="2415" spans="1:7" x14ac:dyDescent="0.2">
      <c r="A2415" s="85"/>
      <c r="B2415" s="25" t="s">
        <v>12921</v>
      </c>
      <c r="C2415" s="25" t="s">
        <v>12922</v>
      </c>
      <c r="D2415" s="25" t="s">
        <v>12882</v>
      </c>
      <c r="E2415" s="26" t="b">
        <v>1</v>
      </c>
      <c r="F2415" s="27" t="str">
        <f>HYPERLINK("http://nsgreg.nga.mil/genc/view?v=120408&amp;gencs=T&amp;end_month=12&amp;end_day=31&amp;end_year=2014","Klaipėda")</f>
        <v>Klaipėda</v>
      </c>
      <c r="G2415" s="28" t="str">
        <f>HYPERLINK("http://api.nsgreg.nga.mil/geo-division/GENC/6/ed3/LT-21","as:GENC:6:ed3:LT-21")</f>
        <v>as:GENC:6:ed3:LT-21</v>
      </c>
    </row>
    <row r="2416" spans="1:7" x14ac:dyDescent="0.2">
      <c r="A2416" s="85"/>
      <c r="B2416" s="25" t="s">
        <v>6464</v>
      </c>
      <c r="C2416" s="25" t="s">
        <v>6465</v>
      </c>
      <c r="D2416" s="37" t="s">
        <v>1788</v>
      </c>
      <c r="E2416" s="38" t="b">
        <v>0</v>
      </c>
      <c r="F2416" s="27" t="str">
        <f>HYPERLINK("http://nsgreg.nga.mil/genc/view?v=212278&amp;end_month=12&amp;end_day=31&amp;end_year=2014","Klaipėdos Apskritis")</f>
        <v>Klaipėdos Apskritis</v>
      </c>
      <c r="G2416" s="28" t="str">
        <f>HYPERLINK("http://api.nsgreg.nga.mil/geo-division/GENC/6/ed3/LT-KL","as:GENC:6:ed3:LT-KL")</f>
        <v>as:GENC:6:ed3:LT-KL</v>
      </c>
    </row>
    <row r="2417" spans="1:7" x14ac:dyDescent="0.2">
      <c r="A2417" s="85"/>
      <c r="B2417" s="25" t="s">
        <v>12923</v>
      </c>
      <c r="C2417" s="25" t="s">
        <v>12924</v>
      </c>
      <c r="D2417" s="25" t="s">
        <v>12885</v>
      </c>
      <c r="E2417" s="26" t="b">
        <v>1</v>
      </c>
      <c r="F2417" s="27" t="str">
        <f>HYPERLINK("http://nsgreg.nga.mil/genc/view?v=120407&amp;gencs=T&amp;end_month=12&amp;end_day=31&amp;end_year=2014","Klaipėdos miestas")</f>
        <v>Klaipėdos miestas</v>
      </c>
      <c r="G2417" s="28" t="str">
        <f>HYPERLINK("http://api.nsgreg.nga.mil/geo-division/GENC/6/ed3/LT-20","as:GENC:6:ed3:LT-20")</f>
        <v>as:GENC:6:ed3:LT-20</v>
      </c>
    </row>
    <row r="2418" spans="1:7" x14ac:dyDescent="0.2">
      <c r="A2418" s="85"/>
      <c r="B2418" s="25" t="s">
        <v>12925</v>
      </c>
      <c r="C2418" s="25" t="s">
        <v>12926</v>
      </c>
      <c r="D2418" s="25" t="s">
        <v>12882</v>
      </c>
      <c r="E2418" s="26" t="b">
        <v>1</v>
      </c>
      <c r="F2418" s="27" t="str">
        <f>HYPERLINK("http://nsgreg.nga.mil/genc/view?v=120409&amp;gencs=T&amp;end_month=12&amp;end_day=31&amp;end_year=2014","Kretinga")</f>
        <v>Kretinga</v>
      </c>
      <c r="G2418" s="28" t="str">
        <f>HYPERLINK("http://api.nsgreg.nga.mil/geo-division/GENC/6/ed3/LT-22","as:GENC:6:ed3:LT-22")</f>
        <v>as:GENC:6:ed3:LT-22</v>
      </c>
    </row>
    <row r="2419" spans="1:7" x14ac:dyDescent="0.2">
      <c r="A2419" s="85"/>
      <c r="B2419" s="25" t="s">
        <v>12927</v>
      </c>
      <c r="C2419" s="25" t="s">
        <v>12928</v>
      </c>
      <c r="D2419" s="25" t="s">
        <v>12882</v>
      </c>
      <c r="E2419" s="26" t="b">
        <v>1</v>
      </c>
      <c r="F2419" s="27" t="str">
        <f>HYPERLINK("http://nsgreg.nga.mil/genc/view?v=120410&amp;gencs=T&amp;end_month=12&amp;end_day=31&amp;end_year=2014","Kupiškis")</f>
        <v>Kupiškis</v>
      </c>
      <c r="G2419" s="28" t="str">
        <f>HYPERLINK("http://api.nsgreg.nga.mil/geo-division/GENC/6/ed3/LT-23","as:GENC:6:ed3:LT-23")</f>
        <v>as:GENC:6:ed3:LT-23</v>
      </c>
    </row>
    <row r="2420" spans="1:7" x14ac:dyDescent="0.2">
      <c r="A2420" s="85"/>
      <c r="B2420" s="25" t="s">
        <v>12929</v>
      </c>
      <c r="C2420" s="25" t="s">
        <v>12930</v>
      </c>
      <c r="D2420" s="25" t="s">
        <v>12882</v>
      </c>
      <c r="E2420" s="26" t="b">
        <v>1</v>
      </c>
      <c r="F2420" s="27" t="str">
        <f>HYPERLINK("http://nsgreg.nga.mil/genc/view?v=120411&amp;gencs=T&amp;end_month=12&amp;end_day=31&amp;end_year=2014","Lazdijai")</f>
        <v>Lazdijai</v>
      </c>
      <c r="G2420" s="28" t="str">
        <f>HYPERLINK("http://api.nsgreg.nga.mil/geo-division/GENC/6/ed3/LT-24","as:GENC:6:ed3:LT-24")</f>
        <v>as:GENC:6:ed3:LT-24</v>
      </c>
    </row>
    <row r="2421" spans="1:7" x14ac:dyDescent="0.2">
      <c r="A2421" s="85"/>
      <c r="B2421" s="25" t="s">
        <v>12931</v>
      </c>
      <c r="C2421" s="25" t="s">
        <v>12932</v>
      </c>
      <c r="D2421" s="25" t="s">
        <v>12882</v>
      </c>
      <c r="E2421" s="26" t="b">
        <v>1</v>
      </c>
      <c r="F2421" s="27" t="str">
        <f>HYPERLINK("http://nsgreg.nga.mil/genc/view?v=120412&amp;gencs=T&amp;end_month=12&amp;end_day=31&amp;end_year=2014","Marijampolė")</f>
        <v>Marijampolė</v>
      </c>
      <c r="G2421" s="28" t="str">
        <f>HYPERLINK("http://api.nsgreg.nga.mil/geo-division/GENC/6/ed3/LT-25","as:GENC:6:ed3:LT-25")</f>
        <v>as:GENC:6:ed3:LT-25</v>
      </c>
    </row>
    <row r="2422" spans="1:7" x14ac:dyDescent="0.2">
      <c r="A2422" s="85"/>
      <c r="B2422" s="25" t="s">
        <v>6466</v>
      </c>
      <c r="C2422" s="25" t="s">
        <v>6467</v>
      </c>
      <c r="D2422" s="37" t="s">
        <v>1788</v>
      </c>
      <c r="E2422" s="38" t="b">
        <v>0</v>
      </c>
      <c r="F2422" s="27" t="str">
        <f>HYPERLINK("http://nsgreg.nga.mil/genc/view?v=212280&amp;end_month=12&amp;end_day=31&amp;end_year=2014","Marijampolės Apskritis")</f>
        <v>Marijampolės Apskritis</v>
      </c>
      <c r="G2422" s="28" t="str">
        <f>HYPERLINK("http://api.nsgreg.nga.mil/geo-division/GENC/6/ed3/LT-MR","as:GENC:6:ed3:LT-MR")</f>
        <v>as:GENC:6:ed3:LT-MR</v>
      </c>
    </row>
    <row r="2423" spans="1:7" x14ac:dyDescent="0.2">
      <c r="A2423" s="85"/>
      <c r="B2423" s="25" t="s">
        <v>12933</v>
      </c>
      <c r="C2423" s="25" t="s">
        <v>12934</v>
      </c>
      <c r="D2423" s="25" t="s">
        <v>12882</v>
      </c>
      <c r="E2423" s="26" t="b">
        <v>1</v>
      </c>
      <c r="F2423" s="27" t="str">
        <f>HYPERLINK("http://nsgreg.nga.mil/genc/view?v=120413&amp;gencs=T&amp;end_month=12&amp;end_day=31&amp;end_year=2014","Mažeikiai")</f>
        <v>Mažeikiai</v>
      </c>
      <c r="G2423" s="28" t="str">
        <f>HYPERLINK("http://api.nsgreg.nga.mil/geo-division/GENC/6/ed3/LT-26","as:GENC:6:ed3:LT-26")</f>
        <v>as:GENC:6:ed3:LT-26</v>
      </c>
    </row>
    <row r="2424" spans="1:7" x14ac:dyDescent="0.2">
      <c r="A2424" s="85"/>
      <c r="B2424" s="25" t="s">
        <v>12935</v>
      </c>
      <c r="C2424" s="25" t="s">
        <v>12936</v>
      </c>
      <c r="D2424" s="25" t="s">
        <v>12882</v>
      </c>
      <c r="E2424" s="26" t="b">
        <v>1</v>
      </c>
      <c r="F2424" s="27" t="str">
        <f>HYPERLINK("http://nsgreg.nga.mil/genc/view?v=120414&amp;gencs=T&amp;end_month=12&amp;end_day=31&amp;end_year=2014","Molėtai")</f>
        <v>Molėtai</v>
      </c>
      <c r="G2424" s="28" t="str">
        <f>HYPERLINK("http://api.nsgreg.nga.mil/geo-division/GENC/6/ed3/LT-27","as:GENC:6:ed3:LT-27")</f>
        <v>as:GENC:6:ed3:LT-27</v>
      </c>
    </row>
    <row r="2425" spans="1:7" x14ac:dyDescent="0.2">
      <c r="A2425" s="85"/>
      <c r="B2425" s="25" t="s">
        <v>12937</v>
      </c>
      <c r="C2425" s="25" t="s">
        <v>12938</v>
      </c>
      <c r="D2425" s="25" t="s">
        <v>12892</v>
      </c>
      <c r="E2425" s="26" t="b">
        <v>1</v>
      </c>
      <c r="F2425" s="27" t="str">
        <f>HYPERLINK("http://nsgreg.nga.mil/genc/view?v=120415&amp;gencs=T&amp;end_month=12&amp;end_day=31&amp;end_year=2014","Neringa")</f>
        <v>Neringa</v>
      </c>
      <c r="G2425" s="28" t="str">
        <f>HYPERLINK("http://api.nsgreg.nga.mil/geo-division/GENC/6/ed3/LT-28","as:GENC:6:ed3:LT-28")</f>
        <v>as:GENC:6:ed3:LT-28</v>
      </c>
    </row>
    <row r="2426" spans="1:7" x14ac:dyDescent="0.2">
      <c r="A2426" s="85"/>
      <c r="B2426" s="25" t="s">
        <v>12939</v>
      </c>
      <c r="C2426" s="25" t="s">
        <v>12940</v>
      </c>
      <c r="D2426" s="25" t="s">
        <v>12892</v>
      </c>
      <c r="E2426" s="26" t="b">
        <v>1</v>
      </c>
      <c r="F2426" s="27" t="str">
        <f>HYPERLINK("http://nsgreg.nga.mil/genc/view?v=120416&amp;gencs=T&amp;end_month=12&amp;end_day=31&amp;end_year=2014","Pagégiai")</f>
        <v>Pagégiai</v>
      </c>
      <c r="G2426" s="28" t="str">
        <f>HYPERLINK("http://api.nsgreg.nga.mil/geo-division/GENC/6/ed3/LT-29","as:GENC:6:ed3:LT-29")</f>
        <v>as:GENC:6:ed3:LT-29</v>
      </c>
    </row>
    <row r="2427" spans="1:7" x14ac:dyDescent="0.2">
      <c r="A2427" s="85"/>
      <c r="B2427" s="25" t="s">
        <v>12941</v>
      </c>
      <c r="C2427" s="25" t="s">
        <v>12942</v>
      </c>
      <c r="D2427" s="25" t="s">
        <v>12882</v>
      </c>
      <c r="E2427" s="26" t="b">
        <v>1</v>
      </c>
      <c r="F2427" s="27" t="str">
        <f>HYPERLINK("http://nsgreg.nga.mil/genc/view?v=120417&amp;gencs=T&amp;end_month=12&amp;end_day=31&amp;end_year=2014","Pakruojis")</f>
        <v>Pakruojis</v>
      </c>
      <c r="G2427" s="28" t="str">
        <f>HYPERLINK("http://api.nsgreg.nga.mil/geo-division/GENC/6/ed3/LT-30","as:GENC:6:ed3:LT-30")</f>
        <v>as:GENC:6:ed3:LT-30</v>
      </c>
    </row>
    <row r="2428" spans="1:7" x14ac:dyDescent="0.2">
      <c r="A2428" s="85"/>
      <c r="B2428" s="25" t="s">
        <v>12943</v>
      </c>
      <c r="C2428" s="25" t="s">
        <v>12944</v>
      </c>
      <c r="D2428" s="25" t="s">
        <v>12885</v>
      </c>
      <c r="E2428" s="26" t="b">
        <v>1</v>
      </c>
      <c r="F2428" s="27" t="str">
        <f>HYPERLINK("http://nsgreg.nga.mil/genc/view?v=120418&amp;gencs=T&amp;end_month=12&amp;end_day=31&amp;end_year=2014","Palangos miestas")</f>
        <v>Palangos miestas</v>
      </c>
      <c r="G2428" s="28" t="str">
        <f>HYPERLINK("http://api.nsgreg.nga.mil/geo-division/GENC/6/ed3/LT-31","as:GENC:6:ed3:LT-31")</f>
        <v>as:GENC:6:ed3:LT-31</v>
      </c>
    </row>
    <row r="2429" spans="1:7" x14ac:dyDescent="0.2">
      <c r="A2429" s="85"/>
      <c r="B2429" s="25" t="s">
        <v>6468</v>
      </c>
      <c r="C2429" s="25" t="s">
        <v>6469</v>
      </c>
      <c r="D2429" s="37" t="s">
        <v>1788</v>
      </c>
      <c r="E2429" s="38" t="b">
        <v>0</v>
      </c>
      <c r="F2429" s="27" t="str">
        <f>HYPERLINK("http://nsgreg.nga.mil/genc/view?v=212281&amp;end_month=12&amp;end_day=31&amp;end_year=2014","Panevėžio Apskritis")</f>
        <v>Panevėžio Apskritis</v>
      </c>
      <c r="G2429" s="28" t="str">
        <f>HYPERLINK("http://api.nsgreg.nga.mil/geo-division/GENC/6/ed3/LT-PN","as:GENC:6:ed3:LT-PN")</f>
        <v>as:GENC:6:ed3:LT-PN</v>
      </c>
    </row>
    <row r="2430" spans="1:7" x14ac:dyDescent="0.2">
      <c r="A2430" s="85"/>
      <c r="B2430" s="25" t="s">
        <v>12945</v>
      </c>
      <c r="C2430" s="25" t="s">
        <v>12946</v>
      </c>
      <c r="D2430" s="25" t="s">
        <v>12885</v>
      </c>
      <c r="E2430" s="26" t="b">
        <v>1</v>
      </c>
      <c r="F2430" s="27" t="str">
        <f>HYPERLINK("http://nsgreg.nga.mil/genc/view?v=120419&amp;gencs=T&amp;end_month=12&amp;end_day=31&amp;end_year=2014","Panevėžio miestas")</f>
        <v>Panevėžio miestas</v>
      </c>
      <c r="G2430" s="28" t="str">
        <f>HYPERLINK("http://api.nsgreg.nga.mil/geo-division/GENC/6/ed3/LT-32","as:GENC:6:ed3:LT-32")</f>
        <v>as:GENC:6:ed3:LT-32</v>
      </c>
    </row>
    <row r="2431" spans="1:7" x14ac:dyDescent="0.2">
      <c r="A2431" s="85"/>
      <c r="B2431" s="25" t="s">
        <v>12947</v>
      </c>
      <c r="C2431" s="25" t="s">
        <v>12948</v>
      </c>
      <c r="D2431" s="25" t="s">
        <v>12882</v>
      </c>
      <c r="E2431" s="26" t="b">
        <v>1</v>
      </c>
      <c r="F2431" s="27" t="str">
        <f>HYPERLINK("http://nsgreg.nga.mil/genc/view?v=120420&amp;gencs=T&amp;end_month=12&amp;end_day=31&amp;end_year=2014","Panevėžys")</f>
        <v>Panevėžys</v>
      </c>
      <c r="G2431" s="28" t="str">
        <f>HYPERLINK("http://api.nsgreg.nga.mil/geo-division/GENC/6/ed3/LT-33","as:GENC:6:ed3:LT-33")</f>
        <v>as:GENC:6:ed3:LT-33</v>
      </c>
    </row>
    <row r="2432" spans="1:7" x14ac:dyDescent="0.2">
      <c r="A2432" s="85"/>
      <c r="B2432" s="25" t="s">
        <v>12949</v>
      </c>
      <c r="C2432" s="25" t="s">
        <v>12950</v>
      </c>
      <c r="D2432" s="25" t="s">
        <v>12882</v>
      </c>
      <c r="E2432" s="26" t="b">
        <v>1</v>
      </c>
      <c r="F2432" s="27" t="str">
        <f>HYPERLINK("http://nsgreg.nga.mil/genc/view?v=120421&amp;gencs=T&amp;end_month=12&amp;end_day=31&amp;end_year=2014","Pasvalys")</f>
        <v>Pasvalys</v>
      </c>
      <c r="G2432" s="28" t="str">
        <f>HYPERLINK("http://api.nsgreg.nga.mil/geo-division/GENC/6/ed3/LT-34","as:GENC:6:ed3:LT-34")</f>
        <v>as:GENC:6:ed3:LT-34</v>
      </c>
    </row>
    <row r="2433" spans="1:7" x14ac:dyDescent="0.2">
      <c r="A2433" s="85"/>
      <c r="B2433" s="25" t="s">
        <v>12951</v>
      </c>
      <c r="C2433" s="25" t="s">
        <v>12952</v>
      </c>
      <c r="D2433" s="25" t="s">
        <v>12882</v>
      </c>
      <c r="E2433" s="26" t="b">
        <v>1</v>
      </c>
      <c r="F2433" s="27" t="str">
        <f>HYPERLINK("http://nsgreg.nga.mil/genc/view?v=120422&amp;gencs=T&amp;end_month=12&amp;end_day=31&amp;end_year=2014","Plungė")</f>
        <v>Plungė</v>
      </c>
      <c r="G2433" s="28" t="str">
        <f>HYPERLINK("http://api.nsgreg.nga.mil/geo-division/GENC/6/ed3/LT-35","as:GENC:6:ed3:LT-35")</f>
        <v>as:GENC:6:ed3:LT-35</v>
      </c>
    </row>
    <row r="2434" spans="1:7" x14ac:dyDescent="0.2">
      <c r="A2434" s="85"/>
      <c r="B2434" s="25" t="s">
        <v>12953</v>
      </c>
      <c r="C2434" s="25" t="s">
        <v>12954</v>
      </c>
      <c r="D2434" s="25" t="s">
        <v>12882</v>
      </c>
      <c r="E2434" s="26" t="b">
        <v>1</v>
      </c>
      <c r="F2434" s="27" t="str">
        <f>HYPERLINK("http://nsgreg.nga.mil/genc/view?v=120423&amp;gencs=T&amp;end_month=12&amp;end_day=31&amp;end_year=2014","Prienai")</f>
        <v>Prienai</v>
      </c>
      <c r="G2434" s="28" t="str">
        <f>HYPERLINK("http://api.nsgreg.nga.mil/geo-division/GENC/6/ed3/LT-36","as:GENC:6:ed3:LT-36")</f>
        <v>as:GENC:6:ed3:LT-36</v>
      </c>
    </row>
    <row r="2435" spans="1:7" x14ac:dyDescent="0.2">
      <c r="A2435" s="85"/>
      <c r="B2435" s="25" t="s">
        <v>12955</v>
      </c>
      <c r="C2435" s="25" t="s">
        <v>12956</v>
      </c>
      <c r="D2435" s="25" t="s">
        <v>12882</v>
      </c>
      <c r="E2435" s="26" t="b">
        <v>1</v>
      </c>
      <c r="F2435" s="27" t="str">
        <f>HYPERLINK("http://nsgreg.nga.mil/genc/view?v=120424&amp;gencs=T&amp;end_month=12&amp;end_day=31&amp;end_year=2014","Radviliškis")</f>
        <v>Radviliškis</v>
      </c>
      <c r="G2435" s="28" t="str">
        <f>HYPERLINK("http://api.nsgreg.nga.mil/geo-division/GENC/6/ed3/LT-37","as:GENC:6:ed3:LT-37")</f>
        <v>as:GENC:6:ed3:LT-37</v>
      </c>
    </row>
    <row r="2436" spans="1:7" x14ac:dyDescent="0.2">
      <c r="A2436" s="85"/>
      <c r="B2436" s="25" t="s">
        <v>12957</v>
      </c>
      <c r="C2436" s="25" t="s">
        <v>12958</v>
      </c>
      <c r="D2436" s="25" t="s">
        <v>12882</v>
      </c>
      <c r="E2436" s="26" t="b">
        <v>1</v>
      </c>
      <c r="F2436" s="27" t="str">
        <f>HYPERLINK("http://nsgreg.nga.mil/genc/view?v=120425&amp;gencs=T&amp;end_month=12&amp;end_day=31&amp;end_year=2014","Raseiniai")</f>
        <v>Raseiniai</v>
      </c>
      <c r="G2436" s="28" t="str">
        <f>HYPERLINK("http://api.nsgreg.nga.mil/geo-division/GENC/6/ed3/LT-38","as:GENC:6:ed3:LT-38")</f>
        <v>as:GENC:6:ed3:LT-38</v>
      </c>
    </row>
    <row r="2437" spans="1:7" x14ac:dyDescent="0.2">
      <c r="A2437" s="85"/>
      <c r="B2437" s="25" t="s">
        <v>12959</v>
      </c>
      <c r="C2437" s="25" t="s">
        <v>12960</v>
      </c>
      <c r="D2437" s="25" t="s">
        <v>12892</v>
      </c>
      <c r="E2437" s="26" t="b">
        <v>1</v>
      </c>
      <c r="F2437" s="27" t="str">
        <f>HYPERLINK("http://nsgreg.nga.mil/genc/view?v=120426&amp;gencs=T&amp;end_month=12&amp;end_day=31&amp;end_year=2014","Rietavo")</f>
        <v>Rietavo</v>
      </c>
      <c r="G2437" s="28" t="str">
        <f>HYPERLINK("http://api.nsgreg.nga.mil/geo-division/GENC/6/ed3/LT-39","as:GENC:6:ed3:LT-39")</f>
        <v>as:GENC:6:ed3:LT-39</v>
      </c>
    </row>
    <row r="2438" spans="1:7" x14ac:dyDescent="0.2">
      <c r="A2438" s="85"/>
      <c r="B2438" s="25" t="s">
        <v>12961</v>
      </c>
      <c r="C2438" s="25" t="s">
        <v>12962</v>
      </c>
      <c r="D2438" s="25" t="s">
        <v>12882</v>
      </c>
      <c r="E2438" s="26" t="b">
        <v>1</v>
      </c>
      <c r="F2438" s="27" t="str">
        <f>HYPERLINK("http://nsgreg.nga.mil/genc/view?v=120427&amp;gencs=T&amp;end_month=12&amp;end_day=31&amp;end_year=2014","Rokiškis")</f>
        <v>Rokiškis</v>
      </c>
      <c r="G2438" s="28" t="str">
        <f>HYPERLINK("http://api.nsgreg.nga.mil/geo-division/GENC/6/ed3/LT-40","as:GENC:6:ed3:LT-40")</f>
        <v>as:GENC:6:ed3:LT-40</v>
      </c>
    </row>
    <row r="2439" spans="1:7" x14ac:dyDescent="0.2">
      <c r="A2439" s="85"/>
      <c r="B2439" s="25" t="s">
        <v>12963</v>
      </c>
      <c r="C2439" s="25" t="s">
        <v>12964</v>
      </c>
      <c r="D2439" s="25" t="s">
        <v>12882</v>
      </c>
      <c r="E2439" s="26" t="b">
        <v>1</v>
      </c>
      <c r="F2439" s="27" t="str">
        <f>HYPERLINK("http://nsgreg.nga.mil/genc/view?v=120428&amp;gencs=T&amp;end_month=12&amp;end_day=31&amp;end_year=2014","Šakiai")</f>
        <v>Šakiai</v>
      </c>
      <c r="G2439" s="28" t="str">
        <f>HYPERLINK("http://api.nsgreg.nga.mil/geo-division/GENC/6/ed3/LT-41","as:GENC:6:ed3:LT-41")</f>
        <v>as:GENC:6:ed3:LT-41</v>
      </c>
    </row>
    <row r="2440" spans="1:7" x14ac:dyDescent="0.2">
      <c r="A2440" s="85"/>
      <c r="B2440" s="25" t="s">
        <v>12965</v>
      </c>
      <c r="C2440" s="25" t="s">
        <v>12966</v>
      </c>
      <c r="D2440" s="25" t="s">
        <v>12882</v>
      </c>
      <c r="E2440" s="26" t="b">
        <v>1</v>
      </c>
      <c r="F2440" s="27" t="str">
        <f>HYPERLINK("http://nsgreg.nga.mil/genc/view?v=120429&amp;gencs=T&amp;end_month=12&amp;end_day=31&amp;end_year=2014","Šalčininkai")</f>
        <v>Šalčininkai</v>
      </c>
      <c r="G2440" s="28" t="str">
        <f>HYPERLINK("http://api.nsgreg.nga.mil/geo-division/GENC/6/ed3/LT-42","as:GENC:6:ed3:LT-42")</f>
        <v>as:GENC:6:ed3:LT-42</v>
      </c>
    </row>
    <row r="2441" spans="1:7" x14ac:dyDescent="0.2">
      <c r="A2441" s="85"/>
      <c r="B2441" s="25" t="s">
        <v>12967</v>
      </c>
      <c r="C2441" s="25" t="s">
        <v>12968</v>
      </c>
      <c r="D2441" s="25" t="s">
        <v>12882</v>
      </c>
      <c r="E2441" s="26" t="b">
        <v>1</v>
      </c>
      <c r="F2441" s="27" t="str">
        <f>HYPERLINK("http://nsgreg.nga.mil/genc/view?v=120431&amp;gencs=T&amp;end_month=12&amp;end_day=31&amp;end_year=2014","Šiauliai")</f>
        <v>Šiauliai</v>
      </c>
      <c r="G2441" s="28" t="str">
        <f>HYPERLINK("http://api.nsgreg.nga.mil/geo-division/GENC/6/ed3/LT-44","as:GENC:6:ed3:LT-44")</f>
        <v>as:GENC:6:ed3:LT-44</v>
      </c>
    </row>
    <row r="2442" spans="1:7" x14ac:dyDescent="0.2">
      <c r="A2442" s="85"/>
      <c r="B2442" s="25" t="s">
        <v>6478</v>
      </c>
      <c r="C2442" s="25" t="s">
        <v>6479</v>
      </c>
      <c r="D2442" s="37" t="s">
        <v>1788</v>
      </c>
      <c r="E2442" s="38" t="b">
        <v>0</v>
      </c>
      <c r="F2442" s="27" t="str">
        <f>HYPERLINK("http://nsgreg.nga.mil/genc/view?v=212282&amp;end_month=12&amp;end_day=31&amp;end_year=2014","Šiaulių Apskritis")</f>
        <v>Šiaulių Apskritis</v>
      </c>
      <c r="G2442" s="28" t="str">
        <f>HYPERLINK("http://api.nsgreg.nga.mil/geo-division/GENC/6/ed3/LT-SA","as:GENC:6:ed3:LT-SA")</f>
        <v>as:GENC:6:ed3:LT-SA</v>
      </c>
    </row>
    <row r="2443" spans="1:7" x14ac:dyDescent="0.2">
      <c r="A2443" s="85"/>
      <c r="B2443" s="25" t="s">
        <v>12969</v>
      </c>
      <c r="C2443" s="25" t="s">
        <v>12970</v>
      </c>
      <c r="D2443" s="25" t="s">
        <v>12885</v>
      </c>
      <c r="E2443" s="26" t="b">
        <v>1</v>
      </c>
      <c r="F2443" s="27" t="str">
        <f>HYPERLINK("http://nsgreg.nga.mil/genc/view?v=120430&amp;gencs=T&amp;end_month=12&amp;end_day=31&amp;end_year=2014","Šiaulių miestas")</f>
        <v>Šiaulių miestas</v>
      </c>
      <c r="G2443" s="28" t="str">
        <f>HYPERLINK("http://api.nsgreg.nga.mil/geo-division/GENC/6/ed3/LT-43","as:GENC:6:ed3:LT-43")</f>
        <v>as:GENC:6:ed3:LT-43</v>
      </c>
    </row>
    <row r="2444" spans="1:7" x14ac:dyDescent="0.2">
      <c r="A2444" s="85"/>
      <c r="B2444" s="25" t="s">
        <v>12971</v>
      </c>
      <c r="C2444" s="25" t="s">
        <v>12972</v>
      </c>
      <c r="D2444" s="25" t="s">
        <v>12882</v>
      </c>
      <c r="E2444" s="26" t="b">
        <v>1</v>
      </c>
      <c r="F2444" s="27" t="str">
        <f>HYPERLINK("http://nsgreg.nga.mil/genc/view?v=120432&amp;gencs=T&amp;end_month=12&amp;end_day=31&amp;end_year=2014","Šilalė")</f>
        <v>Šilalė</v>
      </c>
      <c r="G2444" s="28" t="str">
        <f>HYPERLINK("http://api.nsgreg.nga.mil/geo-division/GENC/6/ed3/LT-45","as:GENC:6:ed3:LT-45")</f>
        <v>as:GENC:6:ed3:LT-45</v>
      </c>
    </row>
    <row r="2445" spans="1:7" x14ac:dyDescent="0.2">
      <c r="A2445" s="85"/>
      <c r="B2445" s="25" t="s">
        <v>12973</v>
      </c>
      <c r="C2445" s="25" t="s">
        <v>12974</v>
      </c>
      <c r="D2445" s="25" t="s">
        <v>12882</v>
      </c>
      <c r="E2445" s="26" t="b">
        <v>1</v>
      </c>
      <c r="F2445" s="27" t="str">
        <f>HYPERLINK("http://nsgreg.nga.mil/genc/view?v=120433&amp;gencs=T&amp;end_month=12&amp;end_day=31&amp;end_year=2014","Šilutė")</f>
        <v>Šilutė</v>
      </c>
      <c r="G2445" s="28" t="str">
        <f>HYPERLINK("http://api.nsgreg.nga.mil/geo-division/GENC/6/ed3/LT-46","as:GENC:6:ed3:LT-46")</f>
        <v>as:GENC:6:ed3:LT-46</v>
      </c>
    </row>
    <row r="2446" spans="1:7" x14ac:dyDescent="0.2">
      <c r="A2446" s="85"/>
      <c r="B2446" s="25" t="s">
        <v>12975</v>
      </c>
      <c r="C2446" s="25" t="s">
        <v>12976</v>
      </c>
      <c r="D2446" s="25" t="s">
        <v>12882</v>
      </c>
      <c r="E2446" s="26" t="b">
        <v>1</v>
      </c>
      <c r="F2446" s="27" t="str">
        <f>HYPERLINK("http://nsgreg.nga.mil/genc/view?v=120434&amp;gencs=T&amp;end_month=12&amp;end_day=31&amp;end_year=2014","Širvintos")</f>
        <v>Širvintos</v>
      </c>
      <c r="G2446" s="28" t="str">
        <f>HYPERLINK("http://api.nsgreg.nga.mil/geo-division/GENC/6/ed3/LT-47","as:GENC:6:ed3:LT-47")</f>
        <v>as:GENC:6:ed3:LT-47</v>
      </c>
    </row>
    <row r="2447" spans="1:7" x14ac:dyDescent="0.2">
      <c r="A2447" s="85"/>
      <c r="B2447" s="25" t="s">
        <v>12977</v>
      </c>
      <c r="C2447" s="25" t="s">
        <v>12978</v>
      </c>
      <c r="D2447" s="25" t="s">
        <v>12882</v>
      </c>
      <c r="E2447" s="26" t="b">
        <v>1</v>
      </c>
      <c r="F2447" s="27" t="str">
        <f>HYPERLINK("http://nsgreg.nga.mil/genc/view?v=120435&amp;gencs=T&amp;end_month=12&amp;end_day=31&amp;end_year=2014","Skuodas")</f>
        <v>Skuodas</v>
      </c>
      <c r="G2447" s="28" t="str">
        <f>HYPERLINK("http://api.nsgreg.nga.mil/geo-division/GENC/6/ed3/LT-48","as:GENC:6:ed3:LT-48")</f>
        <v>as:GENC:6:ed3:LT-48</v>
      </c>
    </row>
    <row r="2448" spans="1:7" x14ac:dyDescent="0.2">
      <c r="A2448" s="85"/>
      <c r="B2448" s="25" t="s">
        <v>12979</v>
      </c>
      <c r="C2448" s="25" t="s">
        <v>12980</v>
      </c>
      <c r="D2448" s="25" t="s">
        <v>12882</v>
      </c>
      <c r="E2448" s="26" t="b">
        <v>1</v>
      </c>
      <c r="F2448" s="27" t="str">
        <f>HYPERLINK("http://nsgreg.nga.mil/genc/view?v=120436&amp;gencs=T&amp;end_month=12&amp;end_day=31&amp;end_year=2014","Švenčionys")</f>
        <v>Švenčionys</v>
      </c>
      <c r="G2448" s="28" t="str">
        <f>HYPERLINK("http://api.nsgreg.nga.mil/geo-division/GENC/6/ed3/LT-49","as:GENC:6:ed3:LT-49")</f>
        <v>as:GENC:6:ed3:LT-49</v>
      </c>
    </row>
    <row r="2449" spans="1:7" x14ac:dyDescent="0.2">
      <c r="A2449" s="85"/>
      <c r="B2449" s="25" t="s">
        <v>12981</v>
      </c>
      <c r="C2449" s="25" t="s">
        <v>12982</v>
      </c>
      <c r="D2449" s="25" t="s">
        <v>12882</v>
      </c>
      <c r="E2449" s="26" t="b">
        <v>1</v>
      </c>
      <c r="F2449" s="27" t="str">
        <f>HYPERLINK("http://nsgreg.nga.mil/genc/view?v=120437&amp;gencs=T&amp;end_month=12&amp;end_day=31&amp;end_year=2014","Tauragė")</f>
        <v>Tauragė</v>
      </c>
      <c r="G2449" s="28" t="str">
        <f>HYPERLINK("http://api.nsgreg.nga.mil/geo-division/GENC/6/ed3/LT-50","as:GENC:6:ed3:LT-50")</f>
        <v>as:GENC:6:ed3:LT-50</v>
      </c>
    </row>
    <row r="2450" spans="1:7" x14ac:dyDescent="0.2">
      <c r="A2450" s="85"/>
      <c r="B2450" s="25" t="s">
        <v>6470</v>
      </c>
      <c r="C2450" s="25" t="s">
        <v>6471</v>
      </c>
      <c r="D2450" s="37" t="s">
        <v>1788</v>
      </c>
      <c r="E2450" s="38" t="b">
        <v>0</v>
      </c>
      <c r="F2450" s="27" t="str">
        <f>HYPERLINK("http://nsgreg.nga.mil/genc/view?v=212283&amp;end_month=12&amp;end_day=31&amp;end_year=2014","Tauragės Apskritis")</f>
        <v>Tauragės Apskritis</v>
      </c>
      <c r="G2450" s="28" t="str">
        <f>HYPERLINK("http://api.nsgreg.nga.mil/geo-division/GENC/6/ed3/LT-TA","as:GENC:6:ed3:LT-TA")</f>
        <v>as:GENC:6:ed3:LT-TA</v>
      </c>
    </row>
    <row r="2451" spans="1:7" x14ac:dyDescent="0.2">
      <c r="A2451" s="85"/>
      <c r="B2451" s="25" t="s">
        <v>12983</v>
      </c>
      <c r="C2451" s="25" t="s">
        <v>12984</v>
      </c>
      <c r="D2451" s="25" t="s">
        <v>12882</v>
      </c>
      <c r="E2451" s="26" t="b">
        <v>1</v>
      </c>
      <c r="F2451" s="27" t="str">
        <f>HYPERLINK("http://nsgreg.nga.mil/genc/view?v=120438&amp;gencs=T&amp;end_month=12&amp;end_day=31&amp;end_year=2014","Telšiai")</f>
        <v>Telšiai</v>
      </c>
      <c r="G2451" s="28" t="str">
        <f>HYPERLINK("http://api.nsgreg.nga.mil/geo-division/GENC/6/ed3/LT-51","as:GENC:6:ed3:LT-51")</f>
        <v>as:GENC:6:ed3:LT-51</v>
      </c>
    </row>
    <row r="2452" spans="1:7" x14ac:dyDescent="0.2">
      <c r="A2452" s="85"/>
      <c r="B2452" s="25" t="s">
        <v>6472</v>
      </c>
      <c r="C2452" s="25" t="s">
        <v>6473</v>
      </c>
      <c r="D2452" s="37" t="s">
        <v>1788</v>
      </c>
      <c r="E2452" s="38" t="b">
        <v>0</v>
      </c>
      <c r="F2452" s="27" t="str">
        <f>HYPERLINK("http://nsgreg.nga.mil/genc/view?v=212284&amp;end_month=12&amp;end_day=31&amp;end_year=2014","Telšių Apskritis")</f>
        <v>Telšių Apskritis</v>
      </c>
      <c r="G2452" s="28" t="str">
        <f>HYPERLINK("http://api.nsgreg.nga.mil/geo-division/GENC/6/ed3/LT-TE","as:GENC:6:ed3:LT-TE")</f>
        <v>as:GENC:6:ed3:LT-TE</v>
      </c>
    </row>
    <row r="2453" spans="1:7" x14ac:dyDescent="0.2">
      <c r="A2453" s="85"/>
      <c r="B2453" s="25" t="s">
        <v>12985</v>
      </c>
      <c r="C2453" s="25" t="s">
        <v>12986</v>
      </c>
      <c r="D2453" s="25" t="s">
        <v>12882</v>
      </c>
      <c r="E2453" s="26" t="b">
        <v>1</v>
      </c>
      <c r="F2453" s="27" t="str">
        <f>HYPERLINK("http://nsgreg.nga.mil/genc/view?v=120439&amp;gencs=T&amp;end_month=12&amp;end_day=31&amp;end_year=2014","Trakai")</f>
        <v>Trakai</v>
      </c>
      <c r="G2453" s="28" t="str">
        <f>HYPERLINK("http://api.nsgreg.nga.mil/geo-division/GENC/6/ed3/LT-52","as:GENC:6:ed3:LT-52")</f>
        <v>as:GENC:6:ed3:LT-52</v>
      </c>
    </row>
    <row r="2454" spans="1:7" x14ac:dyDescent="0.2">
      <c r="A2454" s="85"/>
      <c r="B2454" s="25" t="s">
        <v>12987</v>
      </c>
      <c r="C2454" s="25" t="s">
        <v>12988</v>
      </c>
      <c r="D2454" s="25" t="s">
        <v>12882</v>
      </c>
      <c r="E2454" s="26" t="b">
        <v>1</v>
      </c>
      <c r="F2454" s="27" t="str">
        <f>HYPERLINK("http://nsgreg.nga.mil/genc/view?v=120440&amp;gencs=T&amp;end_month=12&amp;end_day=31&amp;end_year=2014","Ukmergė")</f>
        <v>Ukmergė</v>
      </c>
      <c r="G2454" s="28" t="str">
        <f>HYPERLINK("http://api.nsgreg.nga.mil/geo-division/GENC/6/ed3/LT-53","as:GENC:6:ed3:LT-53")</f>
        <v>as:GENC:6:ed3:LT-53</v>
      </c>
    </row>
    <row r="2455" spans="1:7" x14ac:dyDescent="0.2">
      <c r="A2455" s="85"/>
      <c r="B2455" s="25" t="s">
        <v>12989</v>
      </c>
      <c r="C2455" s="25" t="s">
        <v>12990</v>
      </c>
      <c r="D2455" s="25" t="s">
        <v>12882</v>
      </c>
      <c r="E2455" s="26" t="b">
        <v>1</v>
      </c>
      <c r="F2455" s="27" t="str">
        <f>HYPERLINK("http://nsgreg.nga.mil/genc/view?v=120441&amp;gencs=T&amp;end_month=12&amp;end_day=31&amp;end_year=2014","Utena")</f>
        <v>Utena</v>
      </c>
      <c r="G2455" s="28" t="str">
        <f>HYPERLINK("http://api.nsgreg.nga.mil/geo-division/GENC/6/ed3/LT-54","as:GENC:6:ed3:LT-54")</f>
        <v>as:GENC:6:ed3:LT-54</v>
      </c>
    </row>
    <row r="2456" spans="1:7" x14ac:dyDescent="0.2">
      <c r="A2456" s="85"/>
      <c r="B2456" s="25" t="s">
        <v>6474</v>
      </c>
      <c r="C2456" s="25" t="s">
        <v>6475</v>
      </c>
      <c r="D2456" s="37" t="s">
        <v>1788</v>
      </c>
      <c r="E2456" s="38" t="b">
        <v>0</v>
      </c>
      <c r="F2456" s="27" t="str">
        <f>HYPERLINK("http://nsgreg.nga.mil/genc/view?v=212285&amp;end_month=12&amp;end_day=31&amp;end_year=2014","Utenos Apskritis")</f>
        <v>Utenos Apskritis</v>
      </c>
      <c r="G2456" s="28" t="str">
        <f>HYPERLINK("http://api.nsgreg.nga.mil/geo-division/GENC/6/ed3/LT-UT","as:GENC:6:ed3:LT-UT")</f>
        <v>as:GENC:6:ed3:LT-UT</v>
      </c>
    </row>
    <row r="2457" spans="1:7" x14ac:dyDescent="0.2">
      <c r="A2457" s="85"/>
      <c r="B2457" s="25" t="s">
        <v>12991</v>
      </c>
      <c r="C2457" s="25" t="s">
        <v>12992</v>
      </c>
      <c r="D2457" s="25" t="s">
        <v>12882</v>
      </c>
      <c r="E2457" s="26" t="b">
        <v>1</v>
      </c>
      <c r="F2457" s="27" t="str">
        <f>HYPERLINK("http://nsgreg.nga.mil/genc/view?v=120442&amp;gencs=T&amp;end_month=12&amp;end_day=31&amp;end_year=2014","Varėna")</f>
        <v>Varėna</v>
      </c>
      <c r="G2457" s="28" t="str">
        <f>HYPERLINK("http://api.nsgreg.nga.mil/geo-division/GENC/6/ed3/LT-55","as:GENC:6:ed3:LT-55")</f>
        <v>as:GENC:6:ed3:LT-55</v>
      </c>
    </row>
    <row r="2458" spans="1:7" x14ac:dyDescent="0.2">
      <c r="A2458" s="85"/>
      <c r="B2458" s="25" t="s">
        <v>12993</v>
      </c>
      <c r="C2458" s="25" t="s">
        <v>12994</v>
      </c>
      <c r="D2458" s="25" t="s">
        <v>12882</v>
      </c>
      <c r="E2458" s="26" t="b">
        <v>1</v>
      </c>
      <c r="F2458" s="27" t="str">
        <f>HYPERLINK("http://nsgreg.nga.mil/genc/view?v=120443&amp;gencs=T&amp;end_month=12&amp;end_day=31&amp;end_year=2014","Vilkaviškis")</f>
        <v>Vilkaviškis</v>
      </c>
      <c r="G2458" s="28" t="str">
        <f>HYPERLINK("http://api.nsgreg.nga.mil/geo-division/GENC/6/ed3/LT-56","as:GENC:6:ed3:LT-56")</f>
        <v>as:GENC:6:ed3:LT-56</v>
      </c>
    </row>
    <row r="2459" spans="1:7" x14ac:dyDescent="0.2">
      <c r="A2459" s="85"/>
      <c r="B2459" s="25" t="s">
        <v>6476</v>
      </c>
      <c r="C2459" s="25" t="s">
        <v>6477</v>
      </c>
      <c r="D2459" s="37" t="s">
        <v>1788</v>
      </c>
      <c r="E2459" s="38" t="b">
        <v>0</v>
      </c>
      <c r="F2459" s="27" t="str">
        <f>HYPERLINK("http://nsgreg.nga.mil/genc/view?v=212286&amp;end_month=12&amp;end_day=31&amp;end_year=2014","Vilniaus Apskritis")</f>
        <v>Vilniaus Apskritis</v>
      </c>
      <c r="G2459" s="28" t="str">
        <f>HYPERLINK("http://api.nsgreg.nga.mil/geo-division/GENC/6/ed3/LT-VL","as:GENC:6:ed3:LT-VL")</f>
        <v>as:GENC:6:ed3:LT-VL</v>
      </c>
    </row>
    <row r="2460" spans="1:7" x14ac:dyDescent="0.2">
      <c r="A2460" s="85"/>
      <c r="B2460" s="25" t="s">
        <v>12995</v>
      </c>
      <c r="C2460" s="25" t="s">
        <v>12996</v>
      </c>
      <c r="D2460" s="25" t="s">
        <v>12885</v>
      </c>
      <c r="E2460" s="26" t="b">
        <v>1</v>
      </c>
      <c r="F2460" s="27" t="str">
        <f>HYPERLINK("http://nsgreg.nga.mil/genc/view?v=120444&amp;gencs=T&amp;end_month=12&amp;end_day=31&amp;end_year=2014","Vilniaus miestas")</f>
        <v>Vilniaus miestas</v>
      </c>
      <c r="G2460" s="28" t="str">
        <f>HYPERLINK("http://api.nsgreg.nga.mil/geo-division/GENC/6/ed3/LT-57","as:GENC:6:ed3:LT-57")</f>
        <v>as:GENC:6:ed3:LT-57</v>
      </c>
    </row>
    <row r="2461" spans="1:7" x14ac:dyDescent="0.2">
      <c r="A2461" s="85"/>
      <c r="B2461" s="25" t="s">
        <v>12997</v>
      </c>
      <c r="C2461" s="25" t="s">
        <v>12998</v>
      </c>
      <c r="D2461" s="25" t="s">
        <v>12882</v>
      </c>
      <c r="E2461" s="26" t="b">
        <v>1</v>
      </c>
      <c r="F2461" s="27" t="str">
        <f>HYPERLINK("http://nsgreg.nga.mil/genc/view?v=120445&amp;gencs=T&amp;end_month=12&amp;end_day=31&amp;end_year=2014","Vilnius")</f>
        <v>Vilnius</v>
      </c>
      <c r="G2461" s="28" t="str">
        <f>HYPERLINK("http://api.nsgreg.nga.mil/geo-division/GENC/6/ed3/LT-58","as:GENC:6:ed3:LT-58")</f>
        <v>as:GENC:6:ed3:LT-58</v>
      </c>
    </row>
    <row r="2462" spans="1:7" x14ac:dyDescent="0.2">
      <c r="A2462" s="85"/>
      <c r="B2462" s="25" t="s">
        <v>12999</v>
      </c>
      <c r="C2462" s="25" t="s">
        <v>13000</v>
      </c>
      <c r="D2462" s="25" t="s">
        <v>12892</v>
      </c>
      <c r="E2462" s="26" t="b">
        <v>1</v>
      </c>
      <c r="F2462" s="27" t="str">
        <f>HYPERLINK("http://nsgreg.nga.mil/genc/view?v=120446&amp;gencs=T&amp;end_month=12&amp;end_day=31&amp;end_year=2014","Visaginas")</f>
        <v>Visaginas</v>
      </c>
      <c r="G2462" s="28" t="str">
        <f>HYPERLINK("http://api.nsgreg.nga.mil/geo-division/GENC/6/ed3/LT-59","as:GENC:6:ed3:LT-59")</f>
        <v>as:GENC:6:ed3:LT-59</v>
      </c>
    </row>
    <row r="2463" spans="1:7" x14ac:dyDescent="0.2">
      <c r="A2463" s="86"/>
      <c r="B2463" s="29" t="s">
        <v>13001</v>
      </c>
      <c r="C2463" s="29" t="s">
        <v>13002</v>
      </c>
      <c r="D2463" s="29" t="s">
        <v>12882</v>
      </c>
      <c r="E2463" s="30" t="b">
        <v>1</v>
      </c>
      <c r="F2463" s="31" t="str">
        <f>HYPERLINK("http://nsgreg.nga.mil/genc/view?v=120447&amp;gencs=T&amp;end_month=12&amp;end_day=31&amp;end_year=2014","Zarasai")</f>
        <v>Zarasai</v>
      </c>
      <c r="G2463" s="32" t="str">
        <f>HYPERLINK("http://api.nsgreg.nga.mil/geo-division/GENC/6/ed3/LT-60","as:GENC:6:ed3:LT-60")</f>
        <v>as:GENC:6:ed3:LT-60</v>
      </c>
    </row>
    <row r="2464" spans="1:7" x14ac:dyDescent="0.2">
      <c r="A2464" s="84" t="str">
        <f>HYPERLINK("[#]Codes_for_GE_Names!A157:I157","LUXEMBOURG")</f>
        <v>LUXEMBOURG</v>
      </c>
      <c r="B2464" s="33" t="s">
        <v>13003</v>
      </c>
      <c r="C2464" s="33" t="s">
        <v>13004</v>
      </c>
      <c r="D2464" s="33" t="s">
        <v>1790</v>
      </c>
      <c r="E2464" s="34" t="b">
        <v>1</v>
      </c>
      <c r="F2464" s="35" t="str">
        <f>HYPERLINK("http://nsgreg.nga.mil/genc/view?v=212287&amp;end_month=12&amp;end_day=31&amp;end_year=2014","Diekirch")</f>
        <v>Diekirch</v>
      </c>
      <c r="G2464" s="36" t="str">
        <f>HYPERLINK("http://api.nsgreg.nga.mil/geo-division/GENC/6/ed3/LU-D","as:GENC:6:ed3:LU-D")</f>
        <v>as:GENC:6:ed3:LU-D</v>
      </c>
    </row>
    <row r="2465" spans="1:7" x14ac:dyDescent="0.2">
      <c r="A2465" s="85"/>
      <c r="B2465" s="25" t="s">
        <v>13005</v>
      </c>
      <c r="C2465" s="25" t="s">
        <v>13006</v>
      </c>
      <c r="D2465" s="25" t="s">
        <v>1790</v>
      </c>
      <c r="E2465" s="26" t="b">
        <v>1</v>
      </c>
      <c r="F2465" s="27" t="str">
        <f>HYPERLINK("http://nsgreg.nga.mil/genc/view?v=212288&amp;end_month=12&amp;end_day=31&amp;end_year=2014","Grevenmacher")</f>
        <v>Grevenmacher</v>
      </c>
      <c r="G2465" s="28" t="str">
        <f>HYPERLINK("http://api.nsgreg.nga.mil/geo-division/GENC/6/ed3/LU-G","as:GENC:6:ed3:LU-G")</f>
        <v>as:GENC:6:ed3:LU-G</v>
      </c>
    </row>
    <row r="2466" spans="1:7" x14ac:dyDescent="0.2">
      <c r="A2466" s="86"/>
      <c r="B2466" s="29" t="s">
        <v>6480</v>
      </c>
      <c r="C2466" s="29" t="s">
        <v>1642</v>
      </c>
      <c r="D2466" s="29" t="s">
        <v>1790</v>
      </c>
      <c r="E2466" s="30" t="b">
        <v>1</v>
      </c>
      <c r="F2466" s="31" t="str">
        <f>HYPERLINK("http://nsgreg.nga.mil/genc/view?v=212289&amp;end_month=12&amp;end_day=31&amp;end_year=2014","Luxembourg")</f>
        <v>Luxembourg</v>
      </c>
      <c r="G2466" s="32" t="str">
        <f>HYPERLINK("http://api.nsgreg.nga.mil/geo-division/GENC/6/ed3/LU-L","as:GENC:6:ed3:LU-L")</f>
        <v>as:GENC:6:ed3:LU-L</v>
      </c>
    </row>
    <row r="2467" spans="1:7" x14ac:dyDescent="0.2">
      <c r="A2467" s="84" t="str">
        <f>HYPERLINK("[#]Codes_for_GE_Names!A159:I159","MACEDONIA")</f>
        <v>MACEDONIA</v>
      </c>
      <c r="B2467" s="33" t="s">
        <v>6485</v>
      </c>
      <c r="C2467" s="33" t="s">
        <v>6486</v>
      </c>
      <c r="D2467" s="33" t="s">
        <v>2164</v>
      </c>
      <c r="E2467" s="34" t="b">
        <v>1</v>
      </c>
      <c r="F2467" s="35" t="str">
        <f>HYPERLINK("http://nsgreg.nga.mil/genc/view?v=120791&amp;gencs=T&amp;end_month=12&amp;end_day=31&amp;end_year=2014","Aračinovo")</f>
        <v>Aračinovo</v>
      </c>
      <c r="G2467" s="36" t="str">
        <f>HYPERLINK("http://api.nsgreg.nga.mil/geo-division/GENC/6/ed3/MK-02","as:GENC:6:ed3:MK-02")</f>
        <v>as:GENC:6:ed3:MK-02</v>
      </c>
    </row>
    <row r="2468" spans="1:7" x14ac:dyDescent="0.2">
      <c r="A2468" s="85"/>
      <c r="B2468" s="25" t="s">
        <v>6487</v>
      </c>
      <c r="C2468" s="25" t="s">
        <v>6488</v>
      </c>
      <c r="D2468" s="25" t="s">
        <v>2164</v>
      </c>
      <c r="E2468" s="26" t="b">
        <v>1</v>
      </c>
      <c r="F2468" s="27" t="str">
        <f>HYPERLINK("http://nsgreg.nga.mil/genc/view?v=120792&amp;gencs=T&amp;end_month=12&amp;end_day=31&amp;end_year=2014","Berovo")</f>
        <v>Berovo</v>
      </c>
      <c r="G2468" s="28" t="str">
        <f>HYPERLINK("http://api.nsgreg.nga.mil/geo-division/GENC/6/ed3/MK-03","as:GENC:6:ed3:MK-03")</f>
        <v>as:GENC:6:ed3:MK-03</v>
      </c>
    </row>
    <row r="2469" spans="1:7" x14ac:dyDescent="0.2">
      <c r="A2469" s="85"/>
      <c r="B2469" s="25" t="s">
        <v>6489</v>
      </c>
      <c r="C2469" s="25" t="s">
        <v>6490</v>
      </c>
      <c r="D2469" s="25" t="s">
        <v>2164</v>
      </c>
      <c r="E2469" s="26" t="b">
        <v>1</v>
      </c>
      <c r="F2469" s="27" t="str">
        <f>HYPERLINK("http://nsgreg.nga.mil/genc/view?v=120793&amp;gencs=T&amp;end_month=12&amp;end_day=31&amp;end_year=2014","Bitola")</f>
        <v>Bitola</v>
      </c>
      <c r="G2469" s="28" t="str">
        <f>HYPERLINK("http://api.nsgreg.nga.mil/geo-division/GENC/6/ed3/MK-04","as:GENC:6:ed3:MK-04")</f>
        <v>as:GENC:6:ed3:MK-04</v>
      </c>
    </row>
    <row r="2470" spans="1:7" x14ac:dyDescent="0.2">
      <c r="A2470" s="85"/>
      <c r="B2470" s="25" t="s">
        <v>6491</v>
      </c>
      <c r="C2470" s="25" t="s">
        <v>6492</v>
      </c>
      <c r="D2470" s="25" t="s">
        <v>2164</v>
      </c>
      <c r="E2470" s="26" t="b">
        <v>1</v>
      </c>
      <c r="F2470" s="27" t="str">
        <f>HYPERLINK("http://nsgreg.nga.mil/genc/view?v=120794&amp;gencs=T&amp;end_month=12&amp;end_day=31&amp;end_year=2014","Bogdanci")</f>
        <v>Bogdanci</v>
      </c>
      <c r="G2470" s="28" t="str">
        <f>HYPERLINK("http://api.nsgreg.nga.mil/geo-division/GENC/6/ed3/MK-05","as:GENC:6:ed3:MK-05")</f>
        <v>as:GENC:6:ed3:MK-05</v>
      </c>
    </row>
    <row r="2471" spans="1:7" x14ac:dyDescent="0.2">
      <c r="A2471" s="85"/>
      <c r="B2471" s="25" t="s">
        <v>6493</v>
      </c>
      <c r="C2471" s="25" t="s">
        <v>6494</v>
      </c>
      <c r="D2471" s="25" t="s">
        <v>2164</v>
      </c>
      <c r="E2471" s="26" t="b">
        <v>1</v>
      </c>
      <c r="F2471" s="27" t="str">
        <f>HYPERLINK("http://nsgreg.nga.mil/genc/view?v=120795&amp;gencs=T&amp;end_month=12&amp;end_day=31&amp;end_year=2014","Bogovinje")</f>
        <v>Bogovinje</v>
      </c>
      <c r="G2471" s="28" t="str">
        <f>HYPERLINK("http://api.nsgreg.nga.mil/geo-division/GENC/6/ed3/MK-06","as:GENC:6:ed3:MK-06")</f>
        <v>as:GENC:6:ed3:MK-06</v>
      </c>
    </row>
    <row r="2472" spans="1:7" x14ac:dyDescent="0.2">
      <c r="A2472" s="85"/>
      <c r="B2472" s="25" t="s">
        <v>6495</v>
      </c>
      <c r="C2472" s="25" t="s">
        <v>6496</v>
      </c>
      <c r="D2472" s="25" t="s">
        <v>2164</v>
      </c>
      <c r="E2472" s="26" t="b">
        <v>1</v>
      </c>
      <c r="F2472" s="27" t="str">
        <f>HYPERLINK("http://nsgreg.nga.mil/genc/view?v=120796&amp;gencs=T&amp;end_month=12&amp;end_day=31&amp;end_year=2014","Bosilovo")</f>
        <v>Bosilovo</v>
      </c>
      <c r="G2472" s="28" t="str">
        <f>HYPERLINK("http://api.nsgreg.nga.mil/geo-division/GENC/6/ed3/MK-07","as:GENC:6:ed3:MK-07")</f>
        <v>as:GENC:6:ed3:MK-07</v>
      </c>
    </row>
    <row r="2473" spans="1:7" x14ac:dyDescent="0.2">
      <c r="A2473" s="85"/>
      <c r="B2473" s="25" t="s">
        <v>6497</v>
      </c>
      <c r="C2473" s="25" t="s">
        <v>6498</v>
      </c>
      <c r="D2473" s="25" t="s">
        <v>2164</v>
      </c>
      <c r="E2473" s="26" t="b">
        <v>1</v>
      </c>
      <c r="F2473" s="27" t="str">
        <f>HYPERLINK("http://nsgreg.nga.mil/genc/view?v=120797&amp;gencs=T&amp;end_month=12&amp;end_day=31&amp;end_year=2014","Brvenica")</f>
        <v>Brvenica</v>
      </c>
      <c r="G2473" s="28" t="str">
        <f>HYPERLINK("http://api.nsgreg.nga.mil/geo-division/GENC/6/ed3/MK-08","as:GENC:6:ed3:MK-08")</f>
        <v>as:GENC:6:ed3:MK-08</v>
      </c>
    </row>
    <row r="2474" spans="1:7" x14ac:dyDescent="0.2">
      <c r="A2474" s="85"/>
      <c r="B2474" s="25" t="s">
        <v>6639</v>
      </c>
      <c r="C2474" s="25" t="s">
        <v>6640</v>
      </c>
      <c r="D2474" s="25" t="s">
        <v>2164</v>
      </c>
      <c r="E2474" s="26" t="b">
        <v>1</v>
      </c>
      <c r="F2474" s="27" t="str">
        <f>HYPERLINK("http://nsgreg.nga.mil/genc/view?v=120869&amp;gencs=T&amp;end_month=12&amp;end_day=31&amp;end_year=2014","Čaška")</f>
        <v>Čaška</v>
      </c>
      <c r="G2474" s="28" t="str">
        <f>HYPERLINK("http://api.nsgreg.nga.mil/geo-division/GENC/6/ed3/MK-80","as:GENC:6:ed3:MK-80")</f>
        <v>as:GENC:6:ed3:MK-80</v>
      </c>
    </row>
    <row r="2475" spans="1:7" x14ac:dyDescent="0.2">
      <c r="A2475" s="85"/>
      <c r="B2475" s="25" t="s">
        <v>6501</v>
      </c>
      <c r="C2475" s="25" t="s">
        <v>6502</v>
      </c>
      <c r="D2475" s="25" t="s">
        <v>2164</v>
      </c>
      <c r="E2475" s="26" t="b">
        <v>1</v>
      </c>
      <c r="F2475" s="27" t="str">
        <f>HYPERLINK("http://nsgreg.nga.mil/genc/view?v=120867&amp;gencs=T&amp;end_month=12&amp;end_day=31&amp;end_year=2014","Centar Župa")</f>
        <v>Centar Župa</v>
      </c>
      <c r="G2475" s="28" t="str">
        <f>HYPERLINK("http://api.nsgreg.nga.mil/geo-division/GENC/6/ed3/MK-78","as:GENC:6:ed3:MK-78")</f>
        <v>as:GENC:6:ed3:MK-78</v>
      </c>
    </row>
    <row r="2476" spans="1:7" x14ac:dyDescent="0.2">
      <c r="A2476" s="85"/>
      <c r="B2476" s="25" t="s">
        <v>6641</v>
      </c>
      <c r="C2476" s="25" t="s">
        <v>6642</v>
      </c>
      <c r="D2476" s="25" t="s">
        <v>2164</v>
      </c>
      <c r="E2476" s="26" t="b">
        <v>1</v>
      </c>
      <c r="F2476" s="27" t="str">
        <f>HYPERLINK("http://nsgreg.nga.mil/genc/view?v=120870&amp;gencs=T&amp;end_month=12&amp;end_day=31&amp;end_year=2014","Češinovo-Obleševo")</f>
        <v>Češinovo-Obleševo</v>
      </c>
      <c r="G2476" s="28" t="str">
        <f>HYPERLINK("http://api.nsgreg.nga.mil/geo-division/GENC/6/ed3/MK-81","as:GENC:6:ed3:MK-81")</f>
        <v>as:GENC:6:ed3:MK-81</v>
      </c>
    </row>
    <row r="2477" spans="1:7" x14ac:dyDescent="0.2">
      <c r="A2477" s="85"/>
      <c r="B2477" s="25" t="s">
        <v>6643</v>
      </c>
      <c r="C2477" s="25" t="s">
        <v>13007</v>
      </c>
      <c r="D2477" s="25" t="s">
        <v>2164</v>
      </c>
      <c r="E2477" s="26" t="b">
        <v>1</v>
      </c>
      <c r="F2477" s="27" t="str">
        <f>HYPERLINK("http://nsgreg.nga.mil/genc/view?v=212594&amp;end_month=12&amp;end_day=31&amp;end_year=2014","Čučer-Sandevo")</f>
        <v>Čučer-Sandevo</v>
      </c>
      <c r="G2477" s="28" t="str">
        <f>HYPERLINK("http://api.nsgreg.nga.mil/geo-division/GENC/6/ed3/MK-82","as:GENC:6:ed3:MK-82")</f>
        <v>as:GENC:6:ed3:MK-82</v>
      </c>
    </row>
    <row r="2478" spans="1:7" x14ac:dyDescent="0.2">
      <c r="A2478" s="85"/>
      <c r="B2478" s="25" t="s">
        <v>6505</v>
      </c>
      <c r="C2478" s="25" t="s">
        <v>6506</v>
      </c>
      <c r="D2478" s="25" t="s">
        <v>2164</v>
      </c>
      <c r="E2478" s="26" t="b">
        <v>1</v>
      </c>
      <c r="F2478" s="27" t="str">
        <f>HYPERLINK("http://nsgreg.nga.mil/genc/view?v=120810&amp;gencs=T&amp;end_month=12&amp;end_day=31&amp;end_year=2014","Debar")</f>
        <v>Debar</v>
      </c>
      <c r="G2478" s="28" t="str">
        <f>HYPERLINK("http://api.nsgreg.nga.mil/geo-division/GENC/6/ed3/MK-21","as:GENC:6:ed3:MK-21")</f>
        <v>as:GENC:6:ed3:MK-21</v>
      </c>
    </row>
    <row r="2479" spans="1:7" x14ac:dyDescent="0.2">
      <c r="A2479" s="85"/>
      <c r="B2479" s="25" t="s">
        <v>6507</v>
      </c>
      <c r="C2479" s="25" t="s">
        <v>6508</v>
      </c>
      <c r="D2479" s="25" t="s">
        <v>2164</v>
      </c>
      <c r="E2479" s="26" t="b">
        <v>1</v>
      </c>
      <c r="F2479" s="27" t="str">
        <f>HYPERLINK("http://nsgreg.nga.mil/genc/view?v=120811&amp;gencs=T&amp;end_month=12&amp;end_day=31&amp;end_year=2014","Debarca")</f>
        <v>Debarca</v>
      </c>
      <c r="G2479" s="28" t="str">
        <f>HYPERLINK("http://api.nsgreg.nga.mil/geo-division/GENC/6/ed3/MK-22","as:GENC:6:ed3:MK-22")</f>
        <v>as:GENC:6:ed3:MK-22</v>
      </c>
    </row>
    <row r="2480" spans="1:7" x14ac:dyDescent="0.2">
      <c r="A2480" s="85"/>
      <c r="B2480" s="25" t="s">
        <v>6509</v>
      </c>
      <c r="C2480" s="25" t="s">
        <v>6510</v>
      </c>
      <c r="D2480" s="25" t="s">
        <v>2164</v>
      </c>
      <c r="E2480" s="26" t="b">
        <v>1</v>
      </c>
      <c r="F2480" s="27" t="str">
        <f>HYPERLINK("http://nsgreg.nga.mil/genc/view?v=120812&amp;gencs=T&amp;end_month=12&amp;end_day=31&amp;end_year=2014","Delčevo")</f>
        <v>Delčevo</v>
      </c>
      <c r="G2480" s="28" t="str">
        <f>HYPERLINK("http://api.nsgreg.nga.mil/geo-division/GENC/6/ed3/MK-23","as:GENC:6:ed3:MK-23")</f>
        <v>as:GENC:6:ed3:MK-23</v>
      </c>
    </row>
    <row r="2481" spans="1:7" x14ac:dyDescent="0.2">
      <c r="A2481" s="85"/>
      <c r="B2481" s="25" t="s">
        <v>6511</v>
      </c>
      <c r="C2481" s="25" t="s">
        <v>6512</v>
      </c>
      <c r="D2481" s="25" t="s">
        <v>2164</v>
      </c>
      <c r="E2481" s="26" t="b">
        <v>1</v>
      </c>
      <c r="F2481" s="27" t="str">
        <f>HYPERLINK("http://nsgreg.nga.mil/genc/view?v=120814&amp;gencs=T&amp;end_month=12&amp;end_day=31&amp;end_year=2014","Demir Hisar")</f>
        <v>Demir Hisar</v>
      </c>
      <c r="G2481" s="28" t="str">
        <f>HYPERLINK("http://api.nsgreg.nga.mil/geo-division/GENC/6/ed3/MK-25","as:GENC:6:ed3:MK-25")</f>
        <v>as:GENC:6:ed3:MK-25</v>
      </c>
    </row>
    <row r="2482" spans="1:7" x14ac:dyDescent="0.2">
      <c r="A2482" s="85"/>
      <c r="B2482" s="25" t="s">
        <v>6513</v>
      </c>
      <c r="C2482" s="25" t="s">
        <v>6514</v>
      </c>
      <c r="D2482" s="25" t="s">
        <v>2164</v>
      </c>
      <c r="E2482" s="26" t="b">
        <v>1</v>
      </c>
      <c r="F2482" s="27" t="str">
        <f>HYPERLINK("http://nsgreg.nga.mil/genc/view?v=120813&amp;gencs=T&amp;end_month=12&amp;end_day=31&amp;end_year=2014","Demir Kapija")</f>
        <v>Demir Kapija</v>
      </c>
      <c r="G2482" s="28" t="str">
        <f>HYPERLINK("http://api.nsgreg.nga.mil/geo-division/GENC/6/ed3/MK-24","as:GENC:6:ed3:MK-24")</f>
        <v>as:GENC:6:ed3:MK-24</v>
      </c>
    </row>
    <row r="2483" spans="1:7" x14ac:dyDescent="0.2">
      <c r="A2483" s="85"/>
      <c r="B2483" s="25" t="s">
        <v>6515</v>
      </c>
      <c r="C2483" s="25" t="s">
        <v>6516</v>
      </c>
      <c r="D2483" s="25" t="s">
        <v>2164</v>
      </c>
      <c r="E2483" s="26" t="b">
        <v>1</v>
      </c>
      <c r="F2483" s="27" t="str">
        <f>HYPERLINK("http://nsgreg.nga.mil/genc/view?v=120815&amp;gencs=T&amp;end_month=12&amp;end_day=31&amp;end_year=2014","Dojran")</f>
        <v>Dojran</v>
      </c>
      <c r="G2483" s="28" t="str">
        <f>HYPERLINK("http://api.nsgreg.nga.mil/geo-division/GENC/6/ed3/MK-26","as:GENC:6:ed3:MK-26")</f>
        <v>as:GENC:6:ed3:MK-26</v>
      </c>
    </row>
    <row r="2484" spans="1:7" x14ac:dyDescent="0.2">
      <c r="A2484" s="85"/>
      <c r="B2484" s="25" t="s">
        <v>6517</v>
      </c>
      <c r="C2484" s="25" t="s">
        <v>6518</v>
      </c>
      <c r="D2484" s="25" t="s">
        <v>2164</v>
      </c>
      <c r="E2484" s="26" t="b">
        <v>1</v>
      </c>
      <c r="F2484" s="27" t="str">
        <f>HYPERLINK("http://nsgreg.nga.mil/genc/view?v=120816&amp;gencs=T&amp;end_month=12&amp;end_day=31&amp;end_year=2014","Dolneni")</f>
        <v>Dolneni</v>
      </c>
      <c r="G2484" s="28" t="str">
        <f>HYPERLINK("http://api.nsgreg.nga.mil/geo-division/GENC/6/ed3/MK-27","as:GENC:6:ed3:MK-27")</f>
        <v>as:GENC:6:ed3:MK-27</v>
      </c>
    </row>
    <row r="2485" spans="1:7" x14ac:dyDescent="0.2">
      <c r="A2485" s="85"/>
      <c r="B2485" s="25" t="s">
        <v>6523</v>
      </c>
      <c r="C2485" s="25" t="s">
        <v>6524</v>
      </c>
      <c r="D2485" s="25" t="s">
        <v>2164</v>
      </c>
      <c r="E2485" s="26" t="b">
        <v>1</v>
      </c>
      <c r="F2485" s="27" t="str">
        <f>HYPERLINK("http://nsgreg.nga.mil/genc/view?v=120807&amp;gencs=T&amp;end_month=12&amp;end_day=31&amp;end_year=2014","Gevgelija")</f>
        <v>Gevgelija</v>
      </c>
      <c r="G2485" s="28" t="str">
        <f>HYPERLINK("http://api.nsgreg.nga.mil/geo-division/GENC/6/ed3/MK-18","as:GENC:6:ed3:MK-18")</f>
        <v>as:GENC:6:ed3:MK-18</v>
      </c>
    </row>
    <row r="2486" spans="1:7" x14ac:dyDescent="0.2">
      <c r="A2486" s="85"/>
      <c r="B2486" s="25" t="s">
        <v>6527</v>
      </c>
      <c r="C2486" s="25" t="s">
        <v>6528</v>
      </c>
      <c r="D2486" s="25" t="s">
        <v>2164</v>
      </c>
      <c r="E2486" s="26" t="b">
        <v>1</v>
      </c>
      <c r="F2486" s="27" t="str">
        <f>HYPERLINK("http://nsgreg.nga.mil/genc/view?v=120808&amp;gencs=T&amp;end_month=12&amp;end_day=31&amp;end_year=2014","Gostivar")</f>
        <v>Gostivar</v>
      </c>
      <c r="G2486" s="28" t="str">
        <f>HYPERLINK("http://api.nsgreg.nga.mil/geo-division/GENC/6/ed3/MK-19","as:GENC:6:ed3:MK-19")</f>
        <v>as:GENC:6:ed3:MK-19</v>
      </c>
    </row>
    <row r="2487" spans="1:7" x14ac:dyDescent="0.2">
      <c r="A2487" s="85"/>
      <c r="B2487" s="25" t="s">
        <v>6529</v>
      </c>
      <c r="C2487" s="25" t="s">
        <v>6530</v>
      </c>
      <c r="D2487" s="25" t="s">
        <v>2164</v>
      </c>
      <c r="E2487" s="26" t="b">
        <v>1</v>
      </c>
      <c r="F2487" s="27" t="str">
        <f>HYPERLINK("http://nsgreg.nga.mil/genc/view?v=120809&amp;gencs=T&amp;end_month=12&amp;end_day=31&amp;end_year=2014","Gradsko")</f>
        <v>Gradsko</v>
      </c>
      <c r="G2487" s="28" t="str">
        <f>HYPERLINK("http://api.nsgreg.nga.mil/geo-division/GENC/6/ed3/MK-20","as:GENC:6:ed3:MK-20")</f>
        <v>as:GENC:6:ed3:MK-20</v>
      </c>
    </row>
    <row r="2488" spans="1:7" x14ac:dyDescent="0.2">
      <c r="A2488" s="85"/>
      <c r="B2488" s="25" t="s">
        <v>6531</v>
      </c>
      <c r="C2488" s="25" t="s">
        <v>6532</v>
      </c>
      <c r="D2488" s="25" t="s">
        <v>2164</v>
      </c>
      <c r="E2488" s="26" t="b">
        <v>1</v>
      </c>
      <c r="F2488" s="27" t="str">
        <f>HYPERLINK("http://nsgreg.nga.mil/genc/view?v=120823&amp;gencs=T&amp;end_month=12&amp;end_day=31&amp;end_year=2014","Ilinden")</f>
        <v>Ilinden</v>
      </c>
      <c r="G2488" s="28" t="str">
        <f>HYPERLINK("http://api.nsgreg.nga.mil/geo-division/GENC/6/ed3/MK-34","as:GENC:6:ed3:MK-34")</f>
        <v>as:GENC:6:ed3:MK-34</v>
      </c>
    </row>
    <row r="2489" spans="1:7" x14ac:dyDescent="0.2">
      <c r="A2489" s="85"/>
      <c r="B2489" s="25" t="s">
        <v>6533</v>
      </c>
      <c r="C2489" s="25" t="s">
        <v>6534</v>
      </c>
      <c r="D2489" s="25" t="s">
        <v>2164</v>
      </c>
      <c r="E2489" s="26" t="b">
        <v>1</v>
      </c>
      <c r="F2489" s="27" t="str">
        <f>HYPERLINK("http://nsgreg.nga.mil/genc/view?v=120824&amp;gencs=T&amp;end_month=12&amp;end_day=31&amp;end_year=2014","Jegunovce")</f>
        <v>Jegunovce</v>
      </c>
      <c r="G2489" s="28" t="str">
        <f>HYPERLINK("http://api.nsgreg.nga.mil/geo-division/GENC/6/ed3/MK-35","as:GENC:6:ed3:MK-35")</f>
        <v>as:GENC:6:ed3:MK-35</v>
      </c>
    </row>
    <row r="2490" spans="1:7" x14ac:dyDescent="0.2">
      <c r="A2490" s="85"/>
      <c r="B2490" s="25" t="s">
        <v>6535</v>
      </c>
      <c r="C2490" s="25" t="s">
        <v>6536</v>
      </c>
      <c r="D2490" s="25" t="s">
        <v>2164</v>
      </c>
      <c r="E2490" s="26" t="b">
        <v>1</v>
      </c>
      <c r="F2490" s="27" t="str">
        <f>HYPERLINK("http://nsgreg.nga.mil/genc/view?v=120826&amp;gencs=T&amp;end_month=12&amp;end_day=31&amp;end_year=2014","Karbinci")</f>
        <v>Karbinci</v>
      </c>
      <c r="G2490" s="28" t="str">
        <f>HYPERLINK("http://api.nsgreg.nga.mil/geo-division/GENC/6/ed3/MK-37","as:GENC:6:ed3:MK-37")</f>
        <v>as:GENC:6:ed3:MK-37</v>
      </c>
    </row>
    <row r="2491" spans="1:7" x14ac:dyDescent="0.2">
      <c r="A2491" s="85"/>
      <c r="B2491" s="25" t="s">
        <v>6539</v>
      </c>
      <c r="C2491" s="25" t="s">
        <v>6540</v>
      </c>
      <c r="D2491" s="25" t="s">
        <v>2164</v>
      </c>
      <c r="E2491" s="26" t="b">
        <v>1</v>
      </c>
      <c r="F2491" s="27" t="str">
        <f>HYPERLINK("http://nsgreg.nga.mil/genc/view?v=120825&amp;gencs=T&amp;end_month=12&amp;end_day=31&amp;end_year=2014","Kavadarci")</f>
        <v>Kavadarci</v>
      </c>
      <c r="G2491" s="28" t="str">
        <f>HYPERLINK("http://api.nsgreg.nga.mil/geo-division/GENC/6/ed3/MK-36","as:GENC:6:ed3:MK-36")</f>
        <v>as:GENC:6:ed3:MK-36</v>
      </c>
    </row>
    <row r="2492" spans="1:7" x14ac:dyDescent="0.2">
      <c r="A2492" s="85"/>
      <c r="B2492" s="25" t="s">
        <v>6543</v>
      </c>
      <c r="C2492" s="25" t="s">
        <v>6544</v>
      </c>
      <c r="D2492" s="25" t="s">
        <v>2164</v>
      </c>
      <c r="E2492" s="26" t="b">
        <v>1</v>
      </c>
      <c r="F2492" s="27" t="str">
        <f>HYPERLINK("http://nsgreg.nga.mil/genc/view?v=120829&amp;gencs=T&amp;end_month=12&amp;end_day=31&amp;end_year=2014","Kičevo")</f>
        <v>Kičevo</v>
      </c>
      <c r="G2492" s="28" t="str">
        <f>HYPERLINK("http://api.nsgreg.nga.mil/geo-division/GENC/6/ed3/MK-40","as:GENC:6:ed3:MK-40")</f>
        <v>as:GENC:6:ed3:MK-40</v>
      </c>
    </row>
    <row r="2493" spans="1:7" x14ac:dyDescent="0.2">
      <c r="A2493" s="85"/>
      <c r="B2493" s="25" t="s">
        <v>6547</v>
      </c>
      <c r="C2493" s="25" t="s">
        <v>6548</v>
      </c>
      <c r="D2493" s="25" t="s">
        <v>2164</v>
      </c>
      <c r="E2493" s="26" t="b">
        <v>1</v>
      </c>
      <c r="F2493" s="27" t="str">
        <f>HYPERLINK("http://nsgreg.nga.mil/genc/view?v=120831&amp;gencs=T&amp;end_month=12&amp;end_day=31&amp;end_year=2014","Kočani")</f>
        <v>Kočani</v>
      </c>
      <c r="G2493" s="28" t="str">
        <f>HYPERLINK("http://api.nsgreg.nga.mil/geo-division/GENC/6/ed3/MK-42","as:GENC:6:ed3:MK-42")</f>
        <v>as:GENC:6:ed3:MK-42</v>
      </c>
    </row>
    <row r="2494" spans="1:7" x14ac:dyDescent="0.2">
      <c r="A2494" s="85"/>
      <c r="B2494" s="25" t="s">
        <v>6545</v>
      </c>
      <c r="C2494" s="25" t="s">
        <v>6546</v>
      </c>
      <c r="D2494" s="25" t="s">
        <v>2164</v>
      </c>
      <c r="E2494" s="26" t="b">
        <v>1</v>
      </c>
      <c r="F2494" s="27" t="str">
        <f>HYPERLINK("http://nsgreg.nga.mil/genc/view?v=120830&amp;gencs=T&amp;end_month=12&amp;end_day=31&amp;end_year=2014","Konče")</f>
        <v>Konče</v>
      </c>
      <c r="G2494" s="28" t="str">
        <f>HYPERLINK("http://api.nsgreg.nga.mil/geo-division/GENC/6/ed3/MK-41","as:GENC:6:ed3:MK-41")</f>
        <v>as:GENC:6:ed3:MK-41</v>
      </c>
    </row>
    <row r="2495" spans="1:7" x14ac:dyDescent="0.2">
      <c r="A2495" s="85"/>
      <c r="B2495" s="25" t="s">
        <v>6549</v>
      </c>
      <c r="C2495" s="25" t="s">
        <v>6550</v>
      </c>
      <c r="D2495" s="25" t="s">
        <v>2164</v>
      </c>
      <c r="E2495" s="26" t="b">
        <v>1</v>
      </c>
      <c r="F2495" s="27" t="str">
        <f>HYPERLINK("http://nsgreg.nga.mil/genc/view?v=120832&amp;gencs=T&amp;end_month=12&amp;end_day=31&amp;end_year=2014","Kratovo")</f>
        <v>Kratovo</v>
      </c>
      <c r="G2495" s="28" t="str">
        <f>HYPERLINK("http://api.nsgreg.nga.mil/geo-division/GENC/6/ed3/MK-43","as:GENC:6:ed3:MK-43")</f>
        <v>as:GENC:6:ed3:MK-43</v>
      </c>
    </row>
    <row r="2496" spans="1:7" x14ac:dyDescent="0.2">
      <c r="A2496" s="85"/>
      <c r="B2496" s="25" t="s">
        <v>6551</v>
      </c>
      <c r="C2496" s="25" t="s">
        <v>6552</v>
      </c>
      <c r="D2496" s="25" t="s">
        <v>2164</v>
      </c>
      <c r="E2496" s="26" t="b">
        <v>1</v>
      </c>
      <c r="F2496" s="27" t="str">
        <f>HYPERLINK("http://nsgreg.nga.mil/genc/view?v=120833&amp;gencs=T&amp;end_month=12&amp;end_day=31&amp;end_year=2014","Kriva Palanka")</f>
        <v>Kriva Palanka</v>
      </c>
      <c r="G2496" s="28" t="str">
        <f>HYPERLINK("http://api.nsgreg.nga.mil/geo-division/GENC/6/ed3/MK-44","as:GENC:6:ed3:MK-44")</f>
        <v>as:GENC:6:ed3:MK-44</v>
      </c>
    </row>
    <row r="2497" spans="1:7" x14ac:dyDescent="0.2">
      <c r="A2497" s="85"/>
      <c r="B2497" s="25" t="s">
        <v>6553</v>
      </c>
      <c r="C2497" s="25" t="s">
        <v>6554</v>
      </c>
      <c r="D2497" s="25" t="s">
        <v>2164</v>
      </c>
      <c r="E2497" s="26" t="b">
        <v>1</v>
      </c>
      <c r="F2497" s="27" t="str">
        <f>HYPERLINK("http://nsgreg.nga.mil/genc/view?v=120834&amp;gencs=T&amp;end_month=12&amp;end_day=31&amp;end_year=2014","Krivogaštani")</f>
        <v>Krivogaštani</v>
      </c>
      <c r="G2497" s="28" t="str">
        <f>HYPERLINK("http://api.nsgreg.nga.mil/geo-division/GENC/6/ed3/MK-45","as:GENC:6:ed3:MK-45")</f>
        <v>as:GENC:6:ed3:MK-45</v>
      </c>
    </row>
    <row r="2498" spans="1:7" x14ac:dyDescent="0.2">
      <c r="A2498" s="85"/>
      <c r="B2498" s="25" t="s">
        <v>6555</v>
      </c>
      <c r="C2498" s="25" t="s">
        <v>6556</v>
      </c>
      <c r="D2498" s="25" t="s">
        <v>2164</v>
      </c>
      <c r="E2498" s="26" t="b">
        <v>1</v>
      </c>
      <c r="F2498" s="27" t="str">
        <f>HYPERLINK("http://nsgreg.nga.mil/genc/view?v=120835&amp;gencs=T&amp;end_month=12&amp;end_day=31&amp;end_year=2014","Kruševo")</f>
        <v>Kruševo</v>
      </c>
      <c r="G2498" s="28" t="str">
        <f>HYPERLINK("http://api.nsgreg.nga.mil/geo-division/GENC/6/ed3/MK-46","as:GENC:6:ed3:MK-46")</f>
        <v>as:GENC:6:ed3:MK-46</v>
      </c>
    </row>
    <row r="2499" spans="1:7" x14ac:dyDescent="0.2">
      <c r="A2499" s="85"/>
      <c r="B2499" s="25" t="s">
        <v>6557</v>
      </c>
      <c r="C2499" s="25" t="s">
        <v>6558</v>
      </c>
      <c r="D2499" s="25" t="s">
        <v>2164</v>
      </c>
      <c r="E2499" s="26" t="b">
        <v>1</v>
      </c>
      <c r="F2499" s="27" t="str">
        <f>HYPERLINK("http://nsgreg.nga.mil/genc/view?v=120836&amp;gencs=T&amp;end_month=12&amp;end_day=31&amp;end_year=2014","Kumanovo")</f>
        <v>Kumanovo</v>
      </c>
      <c r="G2499" s="28" t="str">
        <f>HYPERLINK("http://api.nsgreg.nga.mil/geo-division/GENC/6/ed3/MK-47","as:GENC:6:ed3:MK-47")</f>
        <v>as:GENC:6:ed3:MK-47</v>
      </c>
    </row>
    <row r="2500" spans="1:7" x14ac:dyDescent="0.2">
      <c r="A2500" s="85"/>
      <c r="B2500" s="25" t="s">
        <v>6559</v>
      </c>
      <c r="C2500" s="25" t="s">
        <v>6560</v>
      </c>
      <c r="D2500" s="25" t="s">
        <v>2164</v>
      </c>
      <c r="E2500" s="26" t="b">
        <v>1</v>
      </c>
      <c r="F2500" s="27" t="str">
        <f>HYPERLINK("http://nsgreg.nga.mil/genc/view?v=120837&amp;gencs=T&amp;end_month=12&amp;end_day=31&amp;end_year=2014","Lipkovo")</f>
        <v>Lipkovo</v>
      </c>
      <c r="G2500" s="28" t="str">
        <f>HYPERLINK("http://api.nsgreg.nga.mil/geo-division/GENC/6/ed3/MK-48","as:GENC:6:ed3:MK-48")</f>
        <v>as:GENC:6:ed3:MK-48</v>
      </c>
    </row>
    <row r="2501" spans="1:7" x14ac:dyDescent="0.2">
      <c r="A2501" s="85"/>
      <c r="B2501" s="25" t="s">
        <v>6561</v>
      </c>
      <c r="C2501" s="25" t="s">
        <v>6562</v>
      </c>
      <c r="D2501" s="25" t="s">
        <v>2164</v>
      </c>
      <c r="E2501" s="26" t="b">
        <v>1</v>
      </c>
      <c r="F2501" s="27" t="str">
        <f>HYPERLINK("http://nsgreg.nga.mil/genc/view?v=120838&amp;gencs=T&amp;end_month=12&amp;end_day=31&amp;end_year=2014","Lozovo")</f>
        <v>Lozovo</v>
      </c>
      <c r="G2501" s="28" t="str">
        <f>HYPERLINK("http://api.nsgreg.nga.mil/geo-division/GENC/6/ed3/MK-49","as:GENC:6:ed3:MK-49")</f>
        <v>as:GENC:6:ed3:MK-49</v>
      </c>
    </row>
    <row r="2502" spans="1:7" x14ac:dyDescent="0.2">
      <c r="A2502" s="85"/>
      <c r="B2502" s="25" t="s">
        <v>6563</v>
      </c>
      <c r="C2502" s="25" t="s">
        <v>6564</v>
      </c>
      <c r="D2502" s="25" t="s">
        <v>2164</v>
      </c>
      <c r="E2502" s="26" t="b">
        <v>1</v>
      </c>
      <c r="F2502" s="27" t="str">
        <f>HYPERLINK("http://nsgreg.nga.mil/genc/view?v=120840&amp;gencs=T&amp;end_month=12&amp;end_day=31&amp;end_year=2014","Makedonska Kamenica")</f>
        <v>Makedonska Kamenica</v>
      </c>
      <c r="G2502" s="28" t="str">
        <f>HYPERLINK("http://api.nsgreg.nga.mil/geo-division/GENC/6/ed3/MK-51","as:GENC:6:ed3:MK-51")</f>
        <v>as:GENC:6:ed3:MK-51</v>
      </c>
    </row>
    <row r="2503" spans="1:7" x14ac:dyDescent="0.2">
      <c r="A2503" s="85"/>
      <c r="B2503" s="25" t="s">
        <v>6565</v>
      </c>
      <c r="C2503" s="25" t="s">
        <v>6566</v>
      </c>
      <c r="D2503" s="25" t="s">
        <v>2164</v>
      </c>
      <c r="E2503" s="26" t="b">
        <v>1</v>
      </c>
      <c r="F2503" s="27" t="str">
        <f>HYPERLINK("http://nsgreg.nga.mil/genc/view?v=120841&amp;gencs=T&amp;end_month=12&amp;end_day=31&amp;end_year=2014","Makedonski Brod")</f>
        <v>Makedonski Brod</v>
      </c>
      <c r="G2503" s="28" t="str">
        <f>HYPERLINK("http://api.nsgreg.nga.mil/geo-division/GENC/6/ed3/MK-52","as:GENC:6:ed3:MK-52")</f>
        <v>as:GENC:6:ed3:MK-52</v>
      </c>
    </row>
    <row r="2504" spans="1:7" x14ac:dyDescent="0.2">
      <c r="A2504" s="85"/>
      <c r="B2504" s="25" t="s">
        <v>6567</v>
      </c>
      <c r="C2504" s="25" t="s">
        <v>13008</v>
      </c>
      <c r="D2504" s="25" t="s">
        <v>2164</v>
      </c>
      <c r="E2504" s="26" t="b">
        <v>1</v>
      </c>
      <c r="F2504" s="27" t="str">
        <f>HYPERLINK("http://nsgreg.nga.mil/genc/view?v=212589&amp;end_month=12&amp;end_day=31&amp;end_year=2014","Mavrovo i Rostuša")</f>
        <v>Mavrovo i Rostuša</v>
      </c>
      <c r="G2504" s="28" t="str">
        <f>HYPERLINK("http://api.nsgreg.nga.mil/geo-division/GENC/6/ed3/MK-50","as:GENC:6:ed3:MK-50")</f>
        <v>as:GENC:6:ed3:MK-50</v>
      </c>
    </row>
    <row r="2505" spans="1:7" x14ac:dyDescent="0.2">
      <c r="A2505" s="85"/>
      <c r="B2505" s="25" t="s">
        <v>6569</v>
      </c>
      <c r="C2505" s="25" t="s">
        <v>6570</v>
      </c>
      <c r="D2505" s="25" t="s">
        <v>2164</v>
      </c>
      <c r="E2505" s="26" t="b">
        <v>1</v>
      </c>
      <c r="F2505" s="27" t="str">
        <f>HYPERLINK("http://nsgreg.nga.mil/genc/view?v=120842&amp;gencs=T&amp;end_month=12&amp;end_day=31&amp;end_year=2014","Mogila")</f>
        <v>Mogila</v>
      </c>
      <c r="G2505" s="28" t="str">
        <f>HYPERLINK("http://api.nsgreg.nga.mil/geo-division/GENC/6/ed3/MK-53","as:GENC:6:ed3:MK-53")</f>
        <v>as:GENC:6:ed3:MK-53</v>
      </c>
    </row>
    <row r="2506" spans="1:7" x14ac:dyDescent="0.2">
      <c r="A2506" s="85"/>
      <c r="B2506" s="25" t="s">
        <v>6571</v>
      </c>
      <c r="C2506" s="25" t="s">
        <v>6572</v>
      </c>
      <c r="D2506" s="25" t="s">
        <v>2164</v>
      </c>
      <c r="E2506" s="26" t="b">
        <v>1</v>
      </c>
      <c r="F2506" s="27" t="str">
        <f>HYPERLINK("http://nsgreg.nga.mil/genc/view?v=120843&amp;gencs=T&amp;end_month=12&amp;end_day=31&amp;end_year=2014","Negotino")</f>
        <v>Negotino</v>
      </c>
      <c r="G2506" s="28" t="str">
        <f>HYPERLINK("http://api.nsgreg.nga.mil/geo-division/GENC/6/ed3/MK-54","as:GENC:6:ed3:MK-54")</f>
        <v>as:GENC:6:ed3:MK-54</v>
      </c>
    </row>
    <row r="2507" spans="1:7" x14ac:dyDescent="0.2">
      <c r="A2507" s="85"/>
      <c r="B2507" s="25" t="s">
        <v>6573</v>
      </c>
      <c r="C2507" s="25" t="s">
        <v>6574</v>
      </c>
      <c r="D2507" s="25" t="s">
        <v>2164</v>
      </c>
      <c r="E2507" s="26" t="b">
        <v>1</v>
      </c>
      <c r="F2507" s="27" t="str">
        <f>HYPERLINK("http://nsgreg.nga.mil/genc/view?v=120844&amp;gencs=T&amp;end_month=12&amp;end_day=31&amp;end_year=2014","Novaci")</f>
        <v>Novaci</v>
      </c>
      <c r="G2507" s="28" t="str">
        <f>HYPERLINK("http://api.nsgreg.nga.mil/geo-division/GENC/6/ed3/MK-55","as:GENC:6:ed3:MK-55")</f>
        <v>as:GENC:6:ed3:MK-55</v>
      </c>
    </row>
    <row r="2508" spans="1:7" x14ac:dyDescent="0.2">
      <c r="A2508" s="85"/>
      <c r="B2508" s="25" t="s">
        <v>6575</v>
      </c>
      <c r="C2508" s="25" t="s">
        <v>6576</v>
      </c>
      <c r="D2508" s="25" t="s">
        <v>2164</v>
      </c>
      <c r="E2508" s="26" t="b">
        <v>1</v>
      </c>
      <c r="F2508" s="27" t="str">
        <f>HYPERLINK("http://nsgreg.nga.mil/genc/view?v=120845&amp;gencs=T&amp;end_month=12&amp;end_day=31&amp;end_year=2014","Novo Selo")</f>
        <v>Novo Selo</v>
      </c>
      <c r="G2508" s="28" t="str">
        <f>HYPERLINK("http://api.nsgreg.nga.mil/geo-division/GENC/6/ed3/MK-56","as:GENC:6:ed3:MK-56")</f>
        <v>as:GENC:6:ed3:MK-56</v>
      </c>
    </row>
    <row r="2509" spans="1:7" x14ac:dyDescent="0.2">
      <c r="A2509" s="85"/>
      <c r="B2509" s="25" t="s">
        <v>6577</v>
      </c>
      <c r="C2509" s="25" t="s">
        <v>6578</v>
      </c>
      <c r="D2509" s="25" t="s">
        <v>2164</v>
      </c>
      <c r="E2509" s="26" t="b">
        <v>1</v>
      </c>
      <c r="F2509" s="27" t="str">
        <f>HYPERLINK("http://nsgreg.nga.mil/genc/view?v=120847&amp;gencs=T&amp;end_month=12&amp;end_day=31&amp;end_year=2014","Ohrid")</f>
        <v>Ohrid</v>
      </c>
      <c r="G2509" s="28" t="str">
        <f>HYPERLINK("http://api.nsgreg.nga.mil/geo-division/GENC/6/ed3/MK-58","as:GENC:6:ed3:MK-58")</f>
        <v>as:GENC:6:ed3:MK-58</v>
      </c>
    </row>
    <row r="2510" spans="1:7" x14ac:dyDescent="0.2">
      <c r="A2510" s="85"/>
      <c r="B2510" s="25" t="s">
        <v>6581</v>
      </c>
      <c r="C2510" s="25" t="s">
        <v>6582</v>
      </c>
      <c r="D2510" s="25" t="s">
        <v>2164</v>
      </c>
      <c r="E2510" s="26" t="b">
        <v>1</v>
      </c>
      <c r="F2510" s="27" t="str">
        <f>HYPERLINK("http://nsgreg.nga.mil/genc/view?v=120849&amp;gencs=T&amp;end_month=12&amp;end_day=31&amp;end_year=2014","Pehčevo")</f>
        <v>Pehčevo</v>
      </c>
      <c r="G2510" s="28" t="str">
        <f>HYPERLINK("http://api.nsgreg.nga.mil/geo-division/GENC/6/ed3/MK-60","as:GENC:6:ed3:MK-60")</f>
        <v>as:GENC:6:ed3:MK-60</v>
      </c>
    </row>
    <row r="2511" spans="1:7" x14ac:dyDescent="0.2">
      <c r="A2511" s="85"/>
      <c r="B2511" s="25" t="s">
        <v>6583</v>
      </c>
      <c r="C2511" s="25" t="s">
        <v>6584</v>
      </c>
      <c r="D2511" s="25" t="s">
        <v>2164</v>
      </c>
      <c r="E2511" s="26" t="b">
        <v>1</v>
      </c>
      <c r="F2511" s="27" t="str">
        <f>HYPERLINK("http://nsgreg.nga.mil/genc/view?v=120848&amp;gencs=T&amp;end_month=12&amp;end_day=31&amp;end_year=2014","Petrovec")</f>
        <v>Petrovec</v>
      </c>
      <c r="G2511" s="28" t="str">
        <f>HYPERLINK("http://api.nsgreg.nga.mil/geo-division/GENC/6/ed3/MK-59","as:GENC:6:ed3:MK-59")</f>
        <v>as:GENC:6:ed3:MK-59</v>
      </c>
    </row>
    <row r="2512" spans="1:7" x14ac:dyDescent="0.2">
      <c r="A2512" s="85"/>
      <c r="B2512" s="25" t="s">
        <v>6585</v>
      </c>
      <c r="C2512" s="25" t="s">
        <v>6586</v>
      </c>
      <c r="D2512" s="25" t="s">
        <v>2164</v>
      </c>
      <c r="E2512" s="26" t="b">
        <v>1</v>
      </c>
      <c r="F2512" s="27" t="str">
        <f>HYPERLINK("http://nsgreg.nga.mil/genc/view?v=120850&amp;gencs=T&amp;end_month=12&amp;end_day=31&amp;end_year=2014","Plasnica")</f>
        <v>Plasnica</v>
      </c>
      <c r="G2512" s="28" t="str">
        <f>HYPERLINK("http://api.nsgreg.nga.mil/geo-division/GENC/6/ed3/MK-61","as:GENC:6:ed3:MK-61")</f>
        <v>as:GENC:6:ed3:MK-61</v>
      </c>
    </row>
    <row r="2513" spans="1:7" x14ac:dyDescent="0.2">
      <c r="A2513" s="85"/>
      <c r="B2513" s="25" t="s">
        <v>6587</v>
      </c>
      <c r="C2513" s="25" t="s">
        <v>6588</v>
      </c>
      <c r="D2513" s="25" t="s">
        <v>2164</v>
      </c>
      <c r="E2513" s="26" t="b">
        <v>1</v>
      </c>
      <c r="F2513" s="27" t="str">
        <f>HYPERLINK("http://nsgreg.nga.mil/genc/view?v=120851&amp;gencs=T&amp;end_month=12&amp;end_day=31&amp;end_year=2014","Prilep")</f>
        <v>Prilep</v>
      </c>
      <c r="G2513" s="28" t="str">
        <f>HYPERLINK("http://api.nsgreg.nga.mil/geo-division/GENC/6/ed3/MK-62","as:GENC:6:ed3:MK-62")</f>
        <v>as:GENC:6:ed3:MK-62</v>
      </c>
    </row>
    <row r="2514" spans="1:7" x14ac:dyDescent="0.2">
      <c r="A2514" s="85"/>
      <c r="B2514" s="25" t="s">
        <v>6589</v>
      </c>
      <c r="C2514" s="25" t="s">
        <v>6590</v>
      </c>
      <c r="D2514" s="25" t="s">
        <v>2164</v>
      </c>
      <c r="E2514" s="26" t="b">
        <v>1</v>
      </c>
      <c r="F2514" s="27" t="str">
        <f>HYPERLINK("http://nsgreg.nga.mil/genc/view?v=120852&amp;gencs=T&amp;end_month=12&amp;end_day=31&amp;end_year=2014","Probištip")</f>
        <v>Probištip</v>
      </c>
      <c r="G2514" s="28" t="str">
        <f>HYPERLINK("http://api.nsgreg.nga.mil/geo-division/GENC/6/ed3/MK-63","as:GENC:6:ed3:MK-63")</f>
        <v>as:GENC:6:ed3:MK-63</v>
      </c>
    </row>
    <row r="2515" spans="1:7" x14ac:dyDescent="0.2">
      <c r="A2515" s="85"/>
      <c r="B2515" s="25" t="s">
        <v>6591</v>
      </c>
      <c r="C2515" s="25" t="s">
        <v>6592</v>
      </c>
      <c r="D2515" s="25" t="s">
        <v>2164</v>
      </c>
      <c r="E2515" s="26" t="b">
        <v>1</v>
      </c>
      <c r="F2515" s="27" t="str">
        <f>HYPERLINK("http://nsgreg.nga.mil/genc/view?v=120853&amp;gencs=T&amp;end_month=12&amp;end_day=31&amp;end_year=2014","Radoviš")</f>
        <v>Radoviš</v>
      </c>
      <c r="G2515" s="28" t="str">
        <f>HYPERLINK("http://api.nsgreg.nga.mil/geo-division/GENC/6/ed3/MK-64","as:GENC:6:ed3:MK-64")</f>
        <v>as:GENC:6:ed3:MK-64</v>
      </c>
    </row>
    <row r="2516" spans="1:7" x14ac:dyDescent="0.2">
      <c r="A2516" s="85"/>
      <c r="B2516" s="25" t="s">
        <v>6593</v>
      </c>
      <c r="C2516" s="25" t="s">
        <v>6594</v>
      </c>
      <c r="D2516" s="25" t="s">
        <v>2164</v>
      </c>
      <c r="E2516" s="26" t="b">
        <v>1</v>
      </c>
      <c r="F2516" s="27" t="str">
        <f>HYPERLINK("http://nsgreg.nga.mil/genc/view?v=120854&amp;gencs=T&amp;end_month=12&amp;end_day=31&amp;end_year=2014","Rankovce")</f>
        <v>Rankovce</v>
      </c>
      <c r="G2516" s="28" t="str">
        <f>HYPERLINK("http://api.nsgreg.nga.mil/geo-division/GENC/6/ed3/MK-65","as:GENC:6:ed3:MK-65")</f>
        <v>as:GENC:6:ed3:MK-65</v>
      </c>
    </row>
    <row r="2517" spans="1:7" x14ac:dyDescent="0.2">
      <c r="A2517" s="85"/>
      <c r="B2517" s="25" t="s">
        <v>6595</v>
      </c>
      <c r="C2517" s="25" t="s">
        <v>6596</v>
      </c>
      <c r="D2517" s="25" t="s">
        <v>2164</v>
      </c>
      <c r="E2517" s="26" t="b">
        <v>1</v>
      </c>
      <c r="F2517" s="27" t="str">
        <f>HYPERLINK("http://nsgreg.nga.mil/genc/view?v=120855&amp;gencs=T&amp;end_month=12&amp;end_day=31&amp;end_year=2014","Resen")</f>
        <v>Resen</v>
      </c>
      <c r="G2517" s="28" t="str">
        <f>HYPERLINK("http://api.nsgreg.nga.mil/geo-division/GENC/6/ed3/MK-66","as:GENC:6:ed3:MK-66")</f>
        <v>as:GENC:6:ed3:MK-66</v>
      </c>
    </row>
    <row r="2518" spans="1:7" x14ac:dyDescent="0.2">
      <c r="A2518" s="85"/>
      <c r="B2518" s="25" t="s">
        <v>6597</v>
      </c>
      <c r="C2518" s="25" t="s">
        <v>6598</v>
      </c>
      <c r="D2518" s="25" t="s">
        <v>2164</v>
      </c>
      <c r="E2518" s="26" t="b">
        <v>1</v>
      </c>
      <c r="F2518" s="27" t="str">
        <f>HYPERLINK("http://nsgreg.nga.mil/genc/view?v=120856&amp;gencs=T&amp;end_month=12&amp;end_day=31&amp;end_year=2014","Rosoman")</f>
        <v>Rosoman</v>
      </c>
      <c r="G2518" s="28" t="str">
        <f>HYPERLINK("http://api.nsgreg.nga.mil/geo-division/GENC/6/ed3/MK-67","as:GENC:6:ed3:MK-67")</f>
        <v>as:GENC:6:ed3:MK-67</v>
      </c>
    </row>
    <row r="2519" spans="1:7" x14ac:dyDescent="0.2">
      <c r="A2519" s="85"/>
      <c r="B2519" s="25" t="s">
        <v>13009</v>
      </c>
      <c r="C2519" s="25" t="s">
        <v>13010</v>
      </c>
      <c r="D2519" s="25" t="s">
        <v>2046</v>
      </c>
      <c r="E2519" s="26" t="b">
        <v>1</v>
      </c>
      <c r="F2519" s="27" t="str">
        <f>HYPERLINK("http://nsgreg.nga.mil/genc/view?v=212596&amp;end_month=12&amp;end_day=31&amp;end_year=2014","Skopje")</f>
        <v>Skopje</v>
      </c>
      <c r="G2519" s="28" t="str">
        <f>HYPERLINK("http://api.nsgreg.nga.mil/geo-division/GENC/6/ed3/MK-85","as:GENC:6:ed3:MK-85")</f>
        <v>as:GENC:6:ed3:MK-85</v>
      </c>
    </row>
    <row r="2520" spans="1:7" x14ac:dyDescent="0.2">
      <c r="A2520" s="85"/>
      <c r="B2520" s="25" t="s">
        <v>6601</v>
      </c>
      <c r="C2520" s="25" t="s">
        <v>6602</v>
      </c>
      <c r="D2520" s="25" t="s">
        <v>2164</v>
      </c>
      <c r="E2520" s="26" t="b">
        <v>1</v>
      </c>
      <c r="F2520" s="27" t="str">
        <f>HYPERLINK("http://nsgreg.nga.mil/genc/view?v=120859&amp;gencs=T&amp;end_month=12&amp;end_day=31&amp;end_year=2014","Sopište")</f>
        <v>Sopište</v>
      </c>
      <c r="G2520" s="28" t="str">
        <f>HYPERLINK("http://api.nsgreg.nga.mil/geo-division/GENC/6/ed3/MK-70","as:GENC:6:ed3:MK-70")</f>
        <v>as:GENC:6:ed3:MK-70</v>
      </c>
    </row>
    <row r="2521" spans="1:7" x14ac:dyDescent="0.2">
      <c r="A2521" s="85"/>
      <c r="B2521" s="25" t="s">
        <v>6603</v>
      </c>
      <c r="C2521" s="25" t="s">
        <v>6604</v>
      </c>
      <c r="D2521" s="25" t="s">
        <v>2164</v>
      </c>
      <c r="E2521" s="26" t="b">
        <v>1</v>
      </c>
      <c r="F2521" s="27" t="str">
        <f>HYPERLINK("http://nsgreg.nga.mil/genc/view?v=120860&amp;gencs=T&amp;end_month=12&amp;end_day=31&amp;end_year=2014","Staro Nagoričane")</f>
        <v>Staro Nagoričane</v>
      </c>
      <c r="G2521" s="28" t="str">
        <f>HYPERLINK("http://api.nsgreg.nga.mil/geo-division/GENC/6/ed3/MK-71","as:GENC:6:ed3:MK-71")</f>
        <v>as:GENC:6:ed3:MK-71</v>
      </c>
    </row>
    <row r="2522" spans="1:7" x14ac:dyDescent="0.2">
      <c r="A2522" s="85"/>
      <c r="B2522" s="25" t="s">
        <v>6645</v>
      </c>
      <c r="C2522" s="25" t="s">
        <v>6646</v>
      </c>
      <c r="D2522" s="25" t="s">
        <v>2164</v>
      </c>
      <c r="E2522" s="26" t="b">
        <v>1</v>
      </c>
      <c r="F2522" s="27" t="str">
        <f>HYPERLINK("http://nsgreg.nga.mil/genc/view?v=120872&amp;gencs=T&amp;end_month=12&amp;end_day=31&amp;end_year=2014","Štip")</f>
        <v>Štip</v>
      </c>
      <c r="G2522" s="28" t="str">
        <f>HYPERLINK("http://api.nsgreg.nga.mil/geo-division/GENC/6/ed3/MK-83","as:GENC:6:ed3:MK-83")</f>
        <v>as:GENC:6:ed3:MK-83</v>
      </c>
    </row>
    <row r="2523" spans="1:7" x14ac:dyDescent="0.2">
      <c r="A2523" s="85"/>
      <c r="B2523" s="25" t="s">
        <v>6605</v>
      </c>
      <c r="C2523" s="25" t="s">
        <v>6606</v>
      </c>
      <c r="D2523" s="25" t="s">
        <v>2164</v>
      </c>
      <c r="E2523" s="26" t="b">
        <v>1</v>
      </c>
      <c r="F2523" s="27" t="str">
        <f>HYPERLINK("http://nsgreg.nga.mil/genc/view?v=120861&amp;gencs=T&amp;end_month=12&amp;end_day=31&amp;end_year=2014","Struga")</f>
        <v>Struga</v>
      </c>
      <c r="G2523" s="28" t="str">
        <f>HYPERLINK("http://api.nsgreg.nga.mil/geo-division/GENC/6/ed3/MK-72","as:GENC:6:ed3:MK-72")</f>
        <v>as:GENC:6:ed3:MK-72</v>
      </c>
    </row>
    <row r="2524" spans="1:7" x14ac:dyDescent="0.2">
      <c r="A2524" s="85"/>
      <c r="B2524" s="25" t="s">
        <v>6607</v>
      </c>
      <c r="C2524" s="25" t="s">
        <v>6608</v>
      </c>
      <c r="D2524" s="25" t="s">
        <v>2164</v>
      </c>
      <c r="E2524" s="26" t="b">
        <v>1</v>
      </c>
      <c r="F2524" s="27" t="str">
        <f>HYPERLINK("http://nsgreg.nga.mil/genc/view?v=120862&amp;gencs=T&amp;end_month=12&amp;end_day=31&amp;end_year=2014","Strumica")</f>
        <v>Strumica</v>
      </c>
      <c r="G2524" s="28" t="str">
        <f>HYPERLINK("http://api.nsgreg.nga.mil/geo-division/GENC/6/ed3/MK-73","as:GENC:6:ed3:MK-73")</f>
        <v>as:GENC:6:ed3:MK-73</v>
      </c>
    </row>
    <row r="2525" spans="1:7" x14ac:dyDescent="0.2">
      <c r="A2525" s="85"/>
      <c r="B2525" s="25" t="s">
        <v>6609</v>
      </c>
      <c r="C2525" s="25" t="s">
        <v>6610</v>
      </c>
      <c r="D2525" s="25" t="s">
        <v>2164</v>
      </c>
      <c r="E2525" s="26" t="b">
        <v>1</v>
      </c>
      <c r="F2525" s="27" t="str">
        <f>HYPERLINK("http://nsgreg.nga.mil/genc/view?v=120863&amp;gencs=T&amp;end_month=12&amp;end_day=31&amp;end_year=2014","Studeničani")</f>
        <v>Studeničani</v>
      </c>
      <c r="G2525" s="28" t="str">
        <f>HYPERLINK("http://api.nsgreg.nga.mil/geo-division/GENC/6/ed3/MK-74","as:GENC:6:ed3:MK-74")</f>
        <v>as:GENC:6:ed3:MK-74</v>
      </c>
    </row>
    <row r="2526" spans="1:7" x14ac:dyDescent="0.2">
      <c r="A2526" s="85"/>
      <c r="B2526" s="25" t="s">
        <v>6611</v>
      </c>
      <c r="C2526" s="25" t="s">
        <v>6612</v>
      </c>
      <c r="D2526" s="25" t="s">
        <v>2164</v>
      </c>
      <c r="E2526" s="26" t="b">
        <v>1</v>
      </c>
      <c r="F2526" s="27" t="str">
        <f>HYPERLINK("http://nsgreg.nga.mil/genc/view?v=120858&amp;gencs=T&amp;end_month=12&amp;end_day=31&amp;end_year=2014","Sveti Nikole")</f>
        <v>Sveti Nikole</v>
      </c>
      <c r="G2526" s="28" t="str">
        <f>HYPERLINK("http://api.nsgreg.nga.mil/geo-division/GENC/6/ed3/MK-69","as:GENC:6:ed3:MK-69")</f>
        <v>as:GENC:6:ed3:MK-69</v>
      </c>
    </row>
    <row r="2527" spans="1:7" x14ac:dyDescent="0.2">
      <c r="A2527" s="85"/>
      <c r="B2527" s="25" t="s">
        <v>6613</v>
      </c>
      <c r="C2527" s="25" t="s">
        <v>6614</v>
      </c>
      <c r="D2527" s="25" t="s">
        <v>2164</v>
      </c>
      <c r="E2527" s="26" t="b">
        <v>1</v>
      </c>
      <c r="F2527" s="27" t="str">
        <f>HYPERLINK("http://nsgreg.nga.mil/genc/view?v=120864&amp;gencs=T&amp;end_month=12&amp;end_day=31&amp;end_year=2014","Tearce")</f>
        <v>Tearce</v>
      </c>
      <c r="G2527" s="28" t="str">
        <f>HYPERLINK("http://api.nsgreg.nga.mil/geo-division/GENC/6/ed3/MK-75","as:GENC:6:ed3:MK-75")</f>
        <v>as:GENC:6:ed3:MK-75</v>
      </c>
    </row>
    <row r="2528" spans="1:7" x14ac:dyDescent="0.2">
      <c r="A2528" s="85"/>
      <c r="B2528" s="25" t="s">
        <v>6615</v>
      </c>
      <c r="C2528" s="25" t="s">
        <v>6616</v>
      </c>
      <c r="D2528" s="25" t="s">
        <v>2164</v>
      </c>
      <c r="E2528" s="26" t="b">
        <v>1</v>
      </c>
      <c r="F2528" s="27" t="str">
        <f>HYPERLINK("http://nsgreg.nga.mil/genc/view?v=120865&amp;gencs=T&amp;end_month=12&amp;end_day=31&amp;end_year=2014","Tetovo")</f>
        <v>Tetovo</v>
      </c>
      <c r="G2528" s="28" t="str">
        <f>HYPERLINK("http://api.nsgreg.nga.mil/geo-division/GENC/6/ed3/MK-76","as:GENC:6:ed3:MK-76")</f>
        <v>as:GENC:6:ed3:MK-76</v>
      </c>
    </row>
    <row r="2529" spans="1:7" x14ac:dyDescent="0.2">
      <c r="A2529" s="85"/>
      <c r="B2529" s="25" t="s">
        <v>6617</v>
      </c>
      <c r="C2529" s="25" t="s">
        <v>6618</v>
      </c>
      <c r="D2529" s="25" t="s">
        <v>2164</v>
      </c>
      <c r="E2529" s="26" t="b">
        <v>1</v>
      </c>
      <c r="F2529" s="27" t="str">
        <f>HYPERLINK("http://nsgreg.nga.mil/genc/view?v=120799&amp;gencs=T&amp;end_month=12&amp;end_day=31&amp;end_year=2014","Valandovo")</f>
        <v>Valandovo</v>
      </c>
      <c r="G2529" s="28" t="str">
        <f>HYPERLINK("http://api.nsgreg.nga.mil/geo-division/GENC/6/ed3/MK-10","as:GENC:6:ed3:MK-10")</f>
        <v>as:GENC:6:ed3:MK-10</v>
      </c>
    </row>
    <row r="2530" spans="1:7" x14ac:dyDescent="0.2">
      <c r="A2530" s="85"/>
      <c r="B2530" s="25" t="s">
        <v>6619</v>
      </c>
      <c r="C2530" s="25" t="s">
        <v>6620</v>
      </c>
      <c r="D2530" s="25" t="s">
        <v>2164</v>
      </c>
      <c r="E2530" s="26" t="b">
        <v>1</v>
      </c>
      <c r="F2530" s="27" t="str">
        <f>HYPERLINK("http://nsgreg.nga.mil/genc/view?v=120800&amp;gencs=T&amp;end_month=12&amp;end_day=31&amp;end_year=2014","Vasilevo")</f>
        <v>Vasilevo</v>
      </c>
      <c r="G2530" s="28" t="str">
        <f>HYPERLINK("http://api.nsgreg.nga.mil/geo-division/GENC/6/ed3/MK-11","as:GENC:6:ed3:MK-11")</f>
        <v>as:GENC:6:ed3:MK-11</v>
      </c>
    </row>
    <row r="2531" spans="1:7" x14ac:dyDescent="0.2">
      <c r="A2531" s="85"/>
      <c r="B2531" s="25" t="s">
        <v>6621</v>
      </c>
      <c r="C2531" s="25" t="s">
        <v>6622</v>
      </c>
      <c r="D2531" s="25" t="s">
        <v>2164</v>
      </c>
      <c r="E2531" s="26" t="b">
        <v>1</v>
      </c>
      <c r="F2531" s="27" t="str">
        <f>HYPERLINK("http://nsgreg.nga.mil/genc/view?v=120802&amp;gencs=T&amp;end_month=12&amp;end_day=31&amp;end_year=2014","Veles")</f>
        <v>Veles</v>
      </c>
      <c r="G2531" s="28" t="str">
        <f>HYPERLINK("http://api.nsgreg.nga.mil/geo-division/GENC/6/ed3/MK-13","as:GENC:6:ed3:MK-13")</f>
        <v>as:GENC:6:ed3:MK-13</v>
      </c>
    </row>
    <row r="2532" spans="1:7" x14ac:dyDescent="0.2">
      <c r="A2532" s="85"/>
      <c r="B2532" s="25" t="s">
        <v>6623</v>
      </c>
      <c r="C2532" s="25" t="s">
        <v>6624</v>
      </c>
      <c r="D2532" s="25" t="s">
        <v>2164</v>
      </c>
      <c r="E2532" s="26" t="b">
        <v>1</v>
      </c>
      <c r="F2532" s="27" t="str">
        <f>HYPERLINK("http://nsgreg.nga.mil/genc/view?v=120801&amp;gencs=T&amp;end_month=12&amp;end_day=31&amp;end_year=2014","Vevčani")</f>
        <v>Vevčani</v>
      </c>
      <c r="G2532" s="28" t="str">
        <f>HYPERLINK("http://api.nsgreg.nga.mil/geo-division/GENC/6/ed3/MK-12","as:GENC:6:ed3:MK-12")</f>
        <v>as:GENC:6:ed3:MK-12</v>
      </c>
    </row>
    <row r="2533" spans="1:7" x14ac:dyDescent="0.2">
      <c r="A2533" s="85"/>
      <c r="B2533" s="25" t="s">
        <v>6625</v>
      </c>
      <c r="C2533" s="25" t="s">
        <v>6626</v>
      </c>
      <c r="D2533" s="25" t="s">
        <v>2164</v>
      </c>
      <c r="E2533" s="26" t="b">
        <v>1</v>
      </c>
      <c r="F2533" s="27" t="str">
        <f>HYPERLINK("http://nsgreg.nga.mil/genc/view?v=120803&amp;gencs=T&amp;end_month=12&amp;end_day=31&amp;end_year=2014","Vinica")</f>
        <v>Vinica</v>
      </c>
      <c r="G2533" s="28" t="str">
        <f>HYPERLINK("http://api.nsgreg.nga.mil/geo-division/GENC/6/ed3/MK-14","as:GENC:6:ed3:MK-14")</f>
        <v>as:GENC:6:ed3:MK-14</v>
      </c>
    </row>
    <row r="2534" spans="1:7" x14ac:dyDescent="0.2">
      <c r="A2534" s="85"/>
      <c r="B2534" s="25" t="s">
        <v>6629</v>
      </c>
      <c r="C2534" s="25" t="s">
        <v>6630</v>
      </c>
      <c r="D2534" s="25" t="s">
        <v>2164</v>
      </c>
      <c r="E2534" s="26" t="b">
        <v>1</v>
      </c>
      <c r="F2534" s="27" t="str">
        <f>HYPERLINK("http://nsgreg.nga.mil/genc/view?v=120805&amp;gencs=T&amp;end_month=12&amp;end_day=31&amp;end_year=2014","Vrapčište")</f>
        <v>Vrapčište</v>
      </c>
      <c r="G2534" s="28" t="str">
        <f>HYPERLINK("http://api.nsgreg.nga.mil/geo-division/GENC/6/ed3/MK-16","as:GENC:6:ed3:MK-16")</f>
        <v>as:GENC:6:ed3:MK-16</v>
      </c>
    </row>
    <row r="2535" spans="1:7" x14ac:dyDescent="0.2">
      <c r="A2535" s="85"/>
      <c r="B2535" s="25" t="s">
        <v>6633</v>
      </c>
      <c r="C2535" s="25" t="s">
        <v>6634</v>
      </c>
      <c r="D2535" s="25" t="s">
        <v>2164</v>
      </c>
      <c r="E2535" s="26" t="b">
        <v>1</v>
      </c>
      <c r="F2535" s="27" t="str">
        <f>HYPERLINK("http://nsgreg.nga.mil/genc/view?v=120821&amp;gencs=T&amp;end_month=12&amp;end_day=31&amp;end_year=2014","Zelenikovo")</f>
        <v>Zelenikovo</v>
      </c>
      <c r="G2535" s="28" t="str">
        <f>HYPERLINK("http://api.nsgreg.nga.mil/geo-division/GENC/6/ed3/MK-32","as:GENC:6:ed3:MK-32")</f>
        <v>as:GENC:6:ed3:MK-32</v>
      </c>
    </row>
    <row r="2536" spans="1:7" x14ac:dyDescent="0.2">
      <c r="A2536" s="85"/>
      <c r="B2536" s="25" t="s">
        <v>6649</v>
      </c>
      <c r="C2536" s="25" t="s">
        <v>6650</v>
      </c>
      <c r="D2536" s="25" t="s">
        <v>2164</v>
      </c>
      <c r="E2536" s="26" t="b">
        <v>1</v>
      </c>
      <c r="F2536" s="27" t="str">
        <f>HYPERLINK("http://nsgreg.nga.mil/genc/view?v=120819&amp;gencs=T&amp;end_month=12&amp;end_day=31&amp;end_year=2014","Želino")</f>
        <v>Želino</v>
      </c>
      <c r="G2536" s="28" t="str">
        <f>HYPERLINK("http://api.nsgreg.nga.mil/geo-division/GENC/6/ed3/MK-30","as:GENC:6:ed3:MK-30")</f>
        <v>as:GENC:6:ed3:MK-30</v>
      </c>
    </row>
    <row r="2537" spans="1:7" x14ac:dyDescent="0.2">
      <c r="A2537" s="86"/>
      <c r="B2537" s="29" t="s">
        <v>6635</v>
      </c>
      <c r="C2537" s="29" t="s">
        <v>6636</v>
      </c>
      <c r="D2537" s="29" t="s">
        <v>2164</v>
      </c>
      <c r="E2537" s="30" t="b">
        <v>1</v>
      </c>
      <c r="F2537" s="31" t="str">
        <f>HYPERLINK("http://nsgreg.nga.mil/genc/view?v=120822&amp;gencs=T&amp;end_month=12&amp;end_day=31&amp;end_year=2014","Zrnovci")</f>
        <v>Zrnovci</v>
      </c>
      <c r="G2537" s="32" t="str">
        <f>HYPERLINK("http://api.nsgreg.nga.mil/geo-division/GENC/6/ed3/MK-33","as:GENC:6:ed3:MK-33")</f>
        <v>as:GENC:6:ed3:MK-33</v>
      </c>
    </row>
    <row r="2538" spans="1:7" x14ac:dyDescent="0.2">
      <c r="A2538" s="84" t="str">
        <f>HYPERLINK("[#]Codes_for_GE_Names!A160:I160","MADAGASCAR")</f>
        <v>MADAGASCAR</v>
      </c>
      <c r="B2538" s="33" t="s">
        <v>6651</v>
      </c>
      <c r="C2538" s="33" t="s">
        <v>6652</v>
      </c>
      <c r="D2538" s="33" t="s">
        <v>1719</v>
      </c>
      <c r="E2538" s="34" t="b">
        <v>1</v>
      </c>
      <c r="F2538" s="35" t="str">
        <f>HYPERLINK("http://nsgreg.nga.mil/genc/view?v=212552&amp;end_month=12&amp;end_day=31&amp;end_year=2014","Antananarivo")</f>
        <v>Antananarivo</v>
      </c>
      <c r="G2538" s="36" t="str">
        <f>HYPERLINK("http://api.nsgreg.nga.mil/geo-division/GENC/6/ed3/MG-T","as:GENC:6:ed3:MG-T")</f>
        <v>as:GENC:6:ed3:MG-T</v>
      </c>
    </row>
    <row r="2539" spans="1:7" x14ac:dyDescent="0.2">
      <c r="A2539" s="85"/>
      <c r="B2539" s="25" t="s">
        <v>6653</v>
      </c>
      <c r="C2539" s="25" t="s">
        <v>6654</v>
      </c>
      <c r="D2539" s="25" t="s">
        <v>1719</v>
      </c>
      <c r="E2539" s="26" t="b">
        <v>1</v>
      </c>
      <c r="F2539" s="27" t="str">
        <f>HYPERLINK("http://nsgreg.nga.mil/genc/view?v=212549&amp;end_month=12&amp;end_day=31&amp;end_year=2014","Antsiranana")</f>
        <v>Antsiranana</v>
      </c>
      <c r="G2539" s="28" t="str">
        <f>HYPERLINK("http://api.nsgreg.nga.mil/geo-division/GENC/6/ed3/MG-D","as:GENC:6:ed3:MG-D")</f>
        <v>as:GENC:6:ed3:MG-D</v>
      </c>
    </row>
    <row r="2540" spans="1:7" x14ac:dyDescent="0.2">
      <c r="A2540" s="85"/>
      <c r="B2540" s="25" t="s">
        <v>6655</v>
      </c>
      <c r="C2540" s="25" t="s">
        <v>6656</v>
      </c>
      <c r="D2540" s="25" t="s">
        <v>1719</v>
      </c>
      <c r="E2540" s="26" t="b">
        <v>1</v>
      </c>
      <c r="F2540" s="27" t="str">
        <f>HYPERLINK("http://nsgreg.nga.mil/genc/view?v=212550&amp;end_month=12&amp;end_day=31&amp;end_year=2014","Fianarantsoa")</f>
        <v>Fianarantsoa</v>
      </c>
      <c r="G2540" s="28" t="str">
        <f>HYPERLINK("http://api.nsgreg.nga.mil/geo-division/GENC/6/ed3/MG-F","as:GENC:6:ed3:MG-F")</f>
        <v>as:GENC:6:ed3:MG-F</v>
      </c>
    </row>
    <row r="2541" spans="1:7" x14ac:dyDescent="0.2">
      <c r="A2541" s="85"/>
      <c r="B2541" s="25" t="s">
        <v>6657</v>
      </c>
      <c r="C2541" s="25" t="s">
        <v>6658</v>
      </c>
      <c r="D2541" s="25" t="s">
        <v>1719</v>
      </c>
      <c r="E2541" s="26" t="b">
        <v>1</v>
      </c>
      <c r="F2541" s="27" t="str">
        <f>HYPERLINK("http://nsgreg.nga.mil/genc/view?v=212551&amp;end_month=12&amp;end_day=31&amp;end_year=2014","Mahajanga")</f>
        <v>Mahajanga</v>
      </c>
      <c r="G2541" s="28" t="str">
        <f>HYPERLINK("http://api.nsgreg.nga.mil/geo-division/GENC/6/ed3/MG-M","as:GENC:6:ed3:MG-M")</f>
        <v>as:GENC:6:ed3:MG-M</v>
      </c>
    </row>
    <row r="2542" spans="1:7" x14ac:dyDescent="0.2">
      <c r="A2542" s="85"/>
      <c r="B2542" s="25" t="s">
        <v>6659</v>
      </c>
      <c r="C2542" s="25" t="s">
        <v>6660</v>
      </c>
      <c r="D2542" s="25" t="s">
        <v>1719</v>
      </c>
      <c r="E2542" s="26" t="b">
        <v>1</v>
      </c>
      <c r="F2542" s="27" t="str">
        <f>HYPERLINK("http://nsgreg.nga.mil/genc/view?v=212548&amp;end_month=12&amp;end_day=31&amp;end_year=2014","Toamasina")</f>
        <v>Toamasina</v>
      </c>
      <c r="G2542" s="28" t="str">
        <f>HYPERLINK("http://api.nsgreg.nga.mil/geo-division/GENC/6/ed3/MG-A","as:GENC:6:ed3:MG-A")</f>
        <v>as:GENC:6:ed3:MG-A</v>
      </c>
    </row>
    <row r="2543" spans="1:7" x14ac:dyDescent="0.2">
      <c r="A2543" s="86"/>
      <c r="B2543" s="29" t="s">
        <v>6661</v>
      </c>
      <c r="C2543" s="29" t="s">
        <v>6662</v>
      </c>
      <c r="D2543" s="29" t="s">
        <v>1719</v>
      </c>
      <c r="E2543" s="30" t="b">
        <v>1</v>
      </c>
      <c r="F2543" s="31" t="str">
        <f>HYPERLINK("http://nsgreg.nga.mil/genc/view?v=212553&amp;end_month=12&amp;end_day=31&amp;end_year=2014","Toliara")</f>
        <v>Toliara</v>
      </c>
      <c r="G2543" s="32" t="str">
        <f>HYPERLINK("http://api.nsgreg.nga.mil/geo-division/GENC/6/ed3/MG-U","as:GENC:6:ed3:MG-U")</f>
        <v>as:GENC:6:ed3:MG-U</v>
      </c>
    </row>
    <row r="2544" spans="1:7" x14ac:dyDescent="0.2">
      <c r="A2544" s="84" t="str">
        <f>HYPERLINK("[#]Codes_for_GE_Names!A161:I161","MALAWI")</f>
        <v>MALAWI</v>
      </c>
      <c r="B2544" s="33" t="s">
        <v>6663</v>
      </c>
      <c r="C2544" s="33" t="s">
        <v>6664</v>
      </c>
      <c r="D2544" s="33" t="s">
        <v>1790</v>
      </c>
      <c r="E2544" s="34" t="b">
        <v>1</v>
      </c>
      <c r="F2544" s="35" t="str">
        <f>HYPERLINK("http://nsgreg.nga.mil/genc/view?v=212718&amp;end_month=12&amp;end_day=31&amp;end_year=2014","Balaka")</f>
        <v>Balaka</v>
      </c>
      <c r="G2544" s="36" t="str">
        <f>HYPERLINK("http://api.nsgreg.nga.mil/geo-division/GENC/6/ed3/MW-BA","as:GENC:6:ed3:MW-BA")</f>
        <v>as:GENC:6:ed3:MW-BA</v>
      </c>
    </row>
    <row r="2545" spans="1:7" x14ac:dyDescent="0.2">
      <c r="A2545" s="85"/>
      <c r="B2545" s="25" t="s">
        <v>6665</v>
      </c>
      <c r="C2545" s="25" t="s">
        <v>6666</v>
      </c>
      <c r="D2545" s="25" t="s">
        <v>1790</v>
      </c>
      <c r="E2545" s="26" t="b">
        <v>1</v>
      </c>
      <c r="F2545" s="27" t="str">
        <f>HYPERLINK("http://nsgreg.nga.mil/genc/view?v=212719&amp;end_month=12&amp;end_day=31&amp;end_year=2014","Blantyre")</f>
        <v>Blantyre</v>
      </c>
      <c r="G2545" s="28" t="str">
        <f>HYPERLINK("http://api.nsgreg.nga.mil/geo-division/GENC/6/ed3/MW-BL","as:GENC:6:ed3:MW-BL")</f>
        <v>as:GENC:6:ed3:MW-BL</v>
      </c>
    </row>
    <row r="2546" spans="1:7" x14ac:dyDescent="0.2">
      <c r="A2546" s="85"/>
      <c r="B2546" s="25" t="s">
        <v>6667</v>
      </c>
      <c r="C2546" s="25" t="s">
        <v>6668</v>
      </c>
      <c r="D2546" s="37" t="s">
        <v>2087</v>
      </c>
      <c r="E2546" s="38" t="b">
        <v>0</v>
      </c>
      <c r="F2546" s="27" t="str">
        <f>HYPERLINK("http://nsgreg.nga.mil/genc/view?v=212720&amp;end_month=12&amp;end_day=31&amp;end_year=2014","Central Region")</f>
        <v>Central Region</v>
      </c>
      <c r="G2546" s="28" t="str">
        <f>HYPERLINK("http://api.nsgreg.nga.mil/geo-division/GENC/6/ed3/MW-C","as:GENC:6:ed3:MW-C")</f>
        <v>as:GENC:6:ed3:MW-C</v>
      </c>
    </row>
    <row r="2547" spans="1:7" x14ac:dyDescent="0.2">
      <c r="A2547" s="85"/>
      <c r="B2547" s="25" t="s">
        <v>6669</v>
      </c>
      <c r="C2547" s="25" t="s">
        <v>6670</v>
      </c>
      <c r="D2547" s="25" t="s">
        <v>1790</v>
      </c>
      <c r="E2547" s="26" t="b">
        <v>1</v>
      </c>
      <c r="F2547" s="27" t="str">
        <f>HYPERLINK("http://nsgreg.nga.mil/genc/view?v=212721&amp;end_month=12&amp;end_day=31&amp;end_year=2014","Chikwawa")</f>
        <v>Chikwawa</v>
      </c>
      <c r="G2547" s="28" t="str">
        <f>HYPERLINK("http://api.nsgreg.nga.mil/geo-division/GENC/6/ed3/MW-CK","as:GENC:6:ed3:MW-CK")</f>
        <v>as:GENC:6:ed3:MW-CK</v>
      </c>
    </row>
    <row r="2548" spans="1:7" x14ac:dyDescent="0.2">
      <c r="A2548" s="85"/>
      <c r="B2548" s="25" t="s">
        <v>6671</v>
      </c>
      <c r="C2548" s="25" t="s">
        <v>6672</v>
      </c>
      <c r="D2548" s="25" t="s">
        <v>1790</v>
      </c>
      <c r="E2548" s="26" t="b">
        <v>1</v>
      </c>
      <c r="F2548" s="27" t="str">
        <f>HYPERLINK("http://nsgreg.nga.mil/genc/view?v=212722&amp;end_month=12&amp;end_day=31&amp;end_year=2014","Chiradzulu")</f>
        <v>Chiradzulu</v>
      </c>
      <c r="G2548" s="28" t="str">
        <f>HYPERLINK("http://api.nsgreg.nga.mil/geo-division/GENC/6/ed3/MW-CR","as:GENC:6:ed3:MW-CR")</f>
        <v>as:GENC:6:ed3:MW-CR</v>
      </c>
    </row>
    <row r="2549" spans="1:7" x14ac:dyDescent="0.2">
      <c r="A2549" s="85"/>
      <c r="B2549" s="25" t="s">
        <v>6673</v>
      </c>
      <c r="C2549" s="25" t="s">
        <v>6674</v>
      </c>
      <c r="D2549" s="25" t="s">
        <v>1790</v>
      </c>
      <c r="E2549" s="26" t="b">
        <v>1</v>
      </c>
      <c r="F2549" s="27" t="str">
        <f>HYPERLINK("http://nsgreg.nga.mil/genc/view?v=212723&amp;end_month=12&amp;end_day=31&amp;end_year=2014","Chitipa")</f>
        <v>Chitipa</v>
      </c>
      <c r="G2549" s="28" t="str">
        <f>HYPERLINK("http://api.nsgreg.nga.mil/geo-division/GENC/6/ed3/MW-CT","as:GENC:6:ed3:MW-CT")</f>
        <v>as:GENC:6:ed3:MW-CT</v>
      </c>
    </row>
    <row r="2550" spans="1:7" x14ac:dyDescent="0.2">
      <c r="A2550" s="85"/>
      <c r="B2550" s="25" t="s">
        <v>6675</v>
      </c>
      <c r="C2550" s="25" t="s">
        <v>6676</v>
      </c>
      <c r="D2550" s="25" t="s">
        <v>1790</v>
      </c>
      <c r="E2550" s="26" t="b">
        <v>1</v>
      </c>
      <c r="F2550" s="27" t="str">
        <f>HYPERLINK("http://nsgreg.nga.mil/genc/view?v=212724&amp;end_month=12&amp;end_day=31&amp;end_year=2014","Dedza")</f>
        <v>Dedza</v>
      </c>
      <c r="G2550" s="28" t="str">
        <f>HYPERLINK("http://api.nsgreg.nga.mil/geo-division/GENC/6/ed3/MW-DE","as:GENC:6:ed3:MW-DE")</f>
        <v>as:GENC:6:ed3:MW-DE</v>
      </c>
    </row>
    <row r="2551" spans="1:7" x14ac:dyDescent="0.2">
      <c r="A2551" s="85"/>
      <c r="B2551" s="25" t="s">
        <v>6677</v>
      </c>
      <c r="C2551" s="25" t="s">
        <v>6678</v>
      </c>
      <c r="D2551" s="25" t="s">
        <v>1790</v>
      </c>
      <c r="E2551" s="26" t="b">
        <v>1</v>
      </c>
      <c r="F2551" s="27" t="str">
        <f>HYPERLINK("http://nsgreg.nga.mil/genc/view?v=212725&amp;end_month=12&amp;end_day=31&amp;end_year=2014","Dowa")</f>
        <v>Dowa</v>
      </c>
      <c r="G2551" s="28" t="str">
        <f>HYPERLINK("http://api.nsgreg.nga.mil/geo-division/GENC/6/ed3/MW-DO","as:GENC:6:ed3:MW-DO")</f>
        <v>as:GENC:6:ed3:MW-DO</v>
      </c>
    </row>
    <row r="2552" spans="1:7" x14ac:dyDescent="0.2">
      <c r="A2552" s="85"/>
      <c r="B2552" s="25" t="s">
        <v>6679</v>
      </c>
      <c r="C2552" s="25" t="s">
        <v>6680</v>
      </c>
      <c r="D2552" s="25" t="s">
        <v>1790</v>
      </c>
      <c r="E2552" s="26" t="b">
        <v>1</v>
      </c>
      <c r="F2552" s="27" t="str">
        <f>HYPERLINK("http://nsgreg.nga.mil/genc/view?v=212726&amp;end_month=12&amp;end_day=31&amp;end_year=2014","Karonga")</f>
        <v>Karonga</v>
      </c>
      <c r="G2552" s="28" t="str">
        <f>HYPERLINK("http://api.nsgreg.nga.mil/geo-division/GENC/6/ed3/MW-KR","as:GENC:6:ed3:MW-KR")</f>
        <v>as:GENC:6:ed3:MW-KR</v>
      </c>
    </row>
    <row r="2553" spans="1:7" x14ac:dyDescent="0.2">
      <c r="A2553" s="85"/>
      <c r="B2553" s="25" t="s">
        <v>6681</v>
      </c>
      <c r="C2553" s="25" t="s">
        <v>6682</v>
      </c>
      <c r="D2553" s="25" t="s">
        <v>1790</v>
      </c>
      <c r="E2553" s="26" t="b">
        <v>1</v>
      </c>
      <c r="F2553" s="27" t="str">
        <f>HYPERLINK("http://nsgreg.nga.mil/genc/view?v=212727&amp;end_month=12&amp;end_day=31&amp;end_year=2014","Kasungu")</f>
        <v>Kasungu</v>
      </c>
      <c r="G2553" s="28" t="str">
        <f>HYPERLINK("http://api.nsgreg.nga.mil/geo-division/GENC/6/ed3/MW-KS","as:GENC:6:ed3:MW-KS")</f>
        <v>as:GENC:6:ed3:MW-KS</v>
      </c>
    </row>
    <row r="2554" spans="1:7" x14ac:dyDescent="0.2">
      <c r="A2554" s="85"/>
      <c r="B2554" s="25" t="s">
        <v>6683</v>
      </c>
      <c r="C2554" s="25" t="s">
        <v>6684</v>
      </c>
      <c r="D2554" s="25" t="s">
        <v>1790</v>
      </c>
      <c r="E2554" s="26" t="b">
        <v>1</v>
      </c>
      <c r="F2554" s="27" t="str">
        <f>HYPERLINK("http://nsgreg.nga.mil/genc/view?v=212729&amp;end_month=12&amp;end_day=31&amp;end_year=2014","Likoma")</f>
        <v>Likoma</v>
      </c>
      <c r="G2554" s="28" t="str">
        <f>HYPERLINK("http://api.nsgreg.nga.mil/geo-division/GENC/6/ed3/MW-LK","as:GENC:6:ed3:MW-LK")</f>
        <v>as:GENC:6:ed3:MW-LK</v>
      </c>
    </row>
    <row r="2555" spans="1:7" x14ac:dyDescent="0.2">
      <c r="A2555" s="85"/>
      <c r="B2555" s="25" t="s">
        <v>6685</v>
      </c>
      <c r="C2555" s="25" t="s">
        <v>6686</v>
      </c>
      <c r="D2555" s="25" t="s">
        <v>1790</v>
      </c>
      <c r="E2555" s="26" t="b">
        <v>1</v>
      </c>
      <c r="F2555" s="27" t="str">
        <f>HYPERLINK("http://nsgreg.nga.mil/genc/view?v=212728&amp;end_month=12&amp;end_day=31&amp;end_year=2014","Lilongwe")</f>
        <v>Lilongwe</v>
      </c>
      <c r="G2555" s="28" t="str">
        <f>HYPERLINK("http://api.nsgreg.nga.mil/geo-division/GENC/6/ed3/MW-LI","as:GENC:6:ed3:MW-LI")</f>
        <v>as:GENC:6:ed3:MW-LI</v>
      </c>
    </row>
    <row r="2556" spans="1:7" x14ac:dyDescent="0.2">
      <c r="A2556" s="85"/>
      <c r="B2556" s="25" t="s">
        <v>6687</v>
      </c>
      <c r="C2556" s="25" t="s">
        <v>6688</v>
      </c>
      <c r="D2556" s="25" t="s">
        <v>1790</v>
      </c>
      <c r="E2556" s="26" t="b">
        <v>1</v>
      </c>
      <c r="F2556" s="27" t="str">
        <f>HYPERLINK("http://nsgreg.nga.mil/genc/view?v=212732&amp;end_month=12&amp;end_day=31&amp;end_year=2014","Machinga")</f>
        <v>Machinga</v>
      </c>
      <c r="G2556" s="28" t="str">
        <f>HYPERLINK("http://api.nsgreg.nga.mil/geo-division/GENC/6/ed3/MW-MH","as:GENC:6:ed3:MW-MH")</f>
        <v>as:GENC:6:ed3:MW-MH</v>
      </c>
    </row>
    <row r="2557" spans="1:7" x14ac:dyDescent="0.2">
      <c r="A2557" s="85"/>
      <c r="B2557" s="25" t="s">
        <v>6689</v>
      </c>
      <c r="C2557" s="25" t="s">
        <v>6690</v>
      </c>
      <c r="D2557" s="25" t="s">
        <v>1790</v>
      </c>
      <c r="E2557" s="26" t="b">
        <v>1</v>
      </c>
      <c r="F2557" s="27" t="str">
        <f>HYPERLINK("http://nsgreg.nga.mil/genc/view?v=212731&amp;end_month=12&amp;end_day=31&amp;end_year=2014","Mangochi")</f>
        <v>Mangochi</v>
      </c>
      <c r="G2557" s="28" t="str">
        <f>HYPERLINK("http://api.nsgreg.nga.mil/geo-division/GENC/6/ed3/MW-MG","as:GENC:6:ed3:MW-MG")</f>
        <v>as:GENC:6:ed3:MW-MG</v>
      </c>
    </row>
    <row r="2558" spans="1:7" x14ac:dyDescent="0.2">
      <c r="A2558" s="85"/>
      <c r="B2558" s="25" t="s">
        <v>6691</v>
      </c>
      <c r="C2558" s="25" t="s">
        <v>6692</v>
      </c>
      <c r="D2558" s="25" t="s">
        <v>1790</v>
      </c>
      <c r="E2558" s="26" t="b">
        <v>1</v>
      </c>
      <c r="F2558" s="27" t="str">
        <f>HYPERLINK("http://nsgreg.nga.mil/genc/view?v=212730&amp;end_month=12&amp;end_day=31&amp;end_year=2014","Mchinji")</f>
        <v>Mchinji</v>
      </c>
      <c r="G2558" s="28" t="str">
        <f>HYPERLINK("http://api.nsgreg.nga.mil/geo-division/GENC/6/ed3/MW-MC","as:GENC:6:ed3:MW-MC")</f>
        <v>as:GENC:6:ed3:MW-MC</v>
      </c>
    </row>
    <row r="2559" spans="1:7" x14ac:dyDescent="0.2">
      <c r="A2559" s="85"/>
      <c r="B2559" s="25" t="s">
        <v>6693</v>
      </c>
      <c r="C2559" s="25" t="s">
        <v>6694</v>
      </c>
      <c r="D2559" s="25" t="s">
        <v>1790</v>
      </c>
      <c r="E2559" s="26" t="b">
        <v>1</v>
      </c>
      <c r="F2559" s="27" t="str">
        <f>HYPERLINK("http://nsgreg.nga.mil/genc/view?v=212733&amp;end_month=12&amp;end_day=31&amp;end_year=2014","Mulanje")</f>
        <v>Mulanje</v>
      </c>
      <c r="G2559" s="28" t="str">
        <f>HYPERLINK("http://api.nsgreg.nga.mil/geo-division/GENC/6/ed3/MW-MU","as:GENC:6:ed3:MW-MU")</f>
        <v>as:GENC:6:ed3:MW-MU</v>
      </c>
    </row>
    <row r="2560" spans="1:7" x14ac:dyDescent="0.2">
      <c r="A2560" s="85"/>
      <c r="B2560" s="25" t="s">
        <v>6695</v>
      </c>
      <c r="C2560" s="25" t="s">
        <v>6696</v>
      </c>
      <c r="D2560" s="25" t="s">
        <v>1790</v>
      </c>
      <c r="E2560" s="26" t="b">
        <v>1</v>
      </c>
      <c r="F2560" s="27" t="str">
        <f>HYPERLINK("http://nsgreg.nga.mil/genc/view?v=212734&amp;end_month=12&amp;end_day=31&amp;end_year=2014","Mwanza")</f>
        <v>Mwanza</v>
      </c>
      <c r="G2560" s="28" t="str">
        <f>HYPERLINK("http://api.nsgreg.nga.mil/geo-division/GENC/6/ed3/MW-MW","as:GENC:6:ed3:MW-MW")</f>
        <v>as:GENC:6:ed3:MW-MW</v>
      </c>
    </row>
    <row r="2561" spans="1:7" x14ac:dyDescent="0.2">
      <c r="A2561" s="85"/>
      <c r="B2561" s="25" t="s">
        <v>6697</v>
      </c>
      <c r="C2561" s="25" t="s">
        <v>6698</v>
      </c>
      <c r="D2561" s="25" t="s">
        <v>1790</v>
      </c>
      <c r="E2561" s="26" t="b">
        <v>1</v>
      </c>
      <c r="F2561" s="27" t="str">
        <f>HYPERLINK("http://nsgreg.nga.mil/genc/view?v=212735&amp;end_month=12&amp;end_day=31&amp;end_year=2014","Mzimba")</f>
        <v>Mzimba</v>
      </c>
      <c r="G2561" s="28" t="str">
        <f>HYPERLINK("http://api.nsgreg.nga.mil/geo-division/GENC/6/ed3/MW-MZ","as:GENC:6:ed3:MW-MZ")</f>
        <v>as:GENC:6:ed3:MW-MZ</v>
      </c>
    </row>
    <row r="2562" spans="1:7" x14ac:dyDescent="0.2">
      <c r="A2562" s="85"/>
      <c r="B2562" s="25" t="s">
        <v>6699</v>
      </c>
      <c r="C2562" s="25" t="s">
        <v>6700</v>
      </c>
      <c r="D2562" s="25" t="s">
        <v>1790</v>
      </c>
      <c r="E2562" s="26" t="b">
        <v>1</v>
      </c>
      <c r="F2562" s="27" t="str">
        <f>HYPERLINK("http://nsgreg.nga.mil/genc/view?v=212738&amp;end_month=12&amp;end_day=31&amp;end_year=2014","Neno")</f>
        <v>Neno</v>
      </c>
      <c r="G2562" s="28" t="str">
        <f>HYPERLINK("http://api.nsgreg.nga.mil/geo-division/GENC/6/ed3/MW-NE","as:GENC:6:ed3:MW-NE")</f>
        <v>as:GENC:6:ed3:MW-NE</v>
      </c>
    </row>
    <row r="2563" spans="1:7" x14ac:dyDescent="0.2">
      <c r="A2563" s="85"/>
      <c r="B2563" s="25" t="s">
        <v>6701</v>
      </c>
      <c r="C2563" s="25" t="s">
        <v>6702</v>
      </c>
      <c r="D2563" s="25" t="s">
        <v>1790</v>
      </c>
      <c r="E2563" s="26" t="b">
        <v>1</v>
      </c>
      <c r="F2563" s="27" t="str">
        <f>HYPERLINK("http://nsgreg.nga.mil/genc/view?v=212737&amp;end_month=12&amp;end_day=31&amp;end_year=2014","Nkhata Bay")</f>
        <v>Nkhata Bay</v>
      </c>
      <c r="G2563" s="28" t="str">
        <f>HYPERLINK("http://api.nsgreg.nga.mil/geo-division/GENC/6/ed3/MW-NB","as:GENC:6:ed3:MW-NB")</f>
        <v>as:GENC:6:ed3:MW-NB</v>
      </c>
    </row>
    <row r="2564" spans="1:7" x14ac:dyDescent="0.2">
      <c r="A2564" s="85"/>
      <c r="B2564" s="25" t="s">
        <v>6703</v>
      </c>
      <c r="C2564" s="25" t="s">
        <v>6704</v>
      </c>
      <c r="D2564" s="25" t="s">
        <v>1790</v>
      </c>
      <c r="E2564" s="26" t="b">
        <v>1</v>
      </c>
      <c r="F2564" s="27" t="str">
        <f>HYPERLINK("http://nsgreg.nga.mil/genc/view?v=212740&amp;end_month=12&amp;end_day=31&amp;end_year=2014","Nkhotakota")</f>
        <v>Nkhotakota</v>
      </c>
      <c r="G2564" s="28" t="str">
        <f>HYPERLINK("http://api.nsgreg.nga.mil/geo-division/GENC/6/ed3/MW-NK","as:GENC:6:ed3:MW-NK")</f>
        <v>as:GENC:6:ed3:MW-NK</v>
      </c>
    </row>
    <row r="2565" spans="1:7" x14ac:dyDescent="0.2">
      <c r="A2565" s="85"/>
      <c r="B2565" s="25" t="s">
        <v>6705</v>
      </c>
      <c r="C2565" s="25" t="s">
        <v>6706</v>
      </c>
      <c r="D2565" s="37" t="s">
        <v>2087</v>
      </c>
      <c r="E2565" s="38" t="b">
        <v>0</v>
      </c>
      <c r="F2565" s="27" t="str">
        <f>HYPERLINK("http://nsgreg.nga.mil/genc/view?v=212736&amp;end_month=12&amp;end_day=31&amp;end_year=2014","Northern Region")</f>
        <v>Northern Region</v>
      </c>
      <c r="G2565" s="28" t="str">
        <f>HYPERLINK("http://api.nsgreg.nga.mil/geo-division/GENC/6/ed3/MW-N","as:GENC:6:ed3:MW-N")</f>
        <v>as:GENC:6:ed3:MW-N</v>
      </c>
    </row>
    <row r="2566" spans="1:7" x14ac:dyDescent="0.2">
      <c r="A2566" s="85"/>
      <c r="B2566" s="25" t="s">
        <v>6707</v>
      </c>
      <c r="C2566" s="25" t="s">
        <v>6708</v>
      </c>
      <c r="D2566" s="25" t="s">
        <v>1790</v>
      </c>
      <c r="E2566" s="26" t="b">
        <v>1</v>
      </c>
      <c r="F2566" s="27" t="str">
        <f>HYPERLINK("http://nsgreg.nga.mil/genc/view?v=212741&amp;end_month=12&amp;end_day=31&amp;end_year=2014","Nsanje")</f>
        <v>Nsanje</v>
      </c>
      <c r="G2566" s="28" t="str">
        <f>HYPERLINK("http://api.nsgreg.nga.mil/geo-division/GENC/6/ed3/MW-NS","as:GENC:6:ed3:MW-NS")</f>
        <v>as:GENC:6:ed3:MW-NS</v>
      </c>
    </row>
    <row r="2567" spans="1:7" x14ac:dyDescent="0.2">
      <c r="A2567" s="85"/>
      <c r="B2567" s="25" t="s">
        <v>6709</v>
      </c>
      <c r="C2567" s="25" t="s">
        <v>6710</v>
      </c>
      <c r="D2567" s="25" t="s">
        <v>1790</v>
      </c>
      <c r="E2567" s="26" t="b">
        <v>1</v>
      </c>
      <c r="F2567" s="27" t="str">
        <f>HYPERLINK("http://nsgreg.nga.mil/genc/view?v=212742&amp;end_month=12&amp;end_day=31&amp;end_year=2014","Ntcheu")</f>
        <v>Ntcheu</v>
      </c>
      <c r="G2567" s="28" t="str">
        <f>HYPERLINK("http://api.nsgreg.nga.mil/geo-division/GENC/6/ed3/MW-NU","as:GENC:6:ed3:MW-NU")</f>
        <v>as:GENC:6:ed3:MW-NU</v>
      </c>
    </row>
    <row r="2568" spans="1:7" x14ac:dyDescent="0.2">
      <c r="A2568" s="85"/>
      <c r="B2568" s="25" t="s">
        <v>6711</v>
      </c>
      <c r="C2568" s="25" t="s">
        <v>6712</v>
      </c>
      <c r="D2568" s="25" t="s">
        <v>1790</v>
      </c>
      <c r="E2568" s="26" t="b">
        <v>1</v>
      </c>
      <c r="F2568" s="27" t="str">
        <f>HYPERLINK("http://nsgreg.nga.mil/genc/view?v=212739&amp;end_month=12&amp;end_day=31&amp;end_year=2014","Ntchisi")</f>
        <v>Ntchisi</v>
      </c>
      <c r="G2568" s="28" t="str">
        <f>HYPERLINK("http://api.nsgreg.nga.mil/geo-division/GENC/6/ed3/MW-NI","as:GENC:6:ed3:MW-NI")</f>
        <v>as:GENC:6:ed3:MW-NI</v>
      </c>
    </row>
    <row r="2569" spans="1:7" x14ac:dyDescent="0.2">
      <c r="A2569" s="85"/>
      <c r="B2569" s="25" t="s">
        <v>6713</v>
      </c>
      <c r="C2569" s="25" t="s">
        <v>6714</v>
      </c>
      <c r="D2569" s="25" t="s">
        <v>1790</v>
      </c>
      <c r="E2569" s="26" t="b">
        <v>1</v>
      </c>
      <c r="F2569" s="27" t="str">
        <f>HYPERLINK("http://nsgreg.nga.mil/genc/view?v=212743&amp;end_month=12&amp;end_day=31&amp;end_year=2014","Phalombe")</f>
        <v>Phalombe</v>
      </c>
      <c r="G2569" s="28" t="str">
        <f>HYPERLINK("http://api.nsgreg.nga.mil/geo-division/GENC/6/ed3/MW-PH","as:GENC:6:ed3:MW-PH")</f>
        <v>as:GENC:6:ed3:MW-PH</v>
      </c>
    </row>
    <row r="2570" spans="1:7" x14ac:dyDescent="0.2">
      <c r="A2570" s="85"/>
      <c r="B2570" s="25" t="s">
        <v>6715</v>
      </c>
      <c r="C2570" s="25" t="s">
        <v>6716</v>
      </c>
      <c r="D2570" s="25" t="s">
        <v>1790</v>
      </c>
      <c r="E2570" s="26" t="b">
        <v>1</v>
      </c>
      <c r="F2570" s="27" t="str">
        <f>HYPERLINK("http://nsgreg.nga.mil/genc/view?v=212744&amp;end_month=12&amp;end_day=31&amp;end_year=2014","Rumphi")</f>
        <v>Rumphi</v>
      </c>
      <c r="G2570" s="28" t="str">
        <f>HYPERLINK("http://api.nsgreg.nga.mil/geo-division/GENC/6/ed3/MW-RU","as:GENC:6:ed3:MW-RU")</f>
        <v>as:GENC:6:ed3:MW-RU</v>
      </c>
    </row>
    <row r="2571" spans="1:7" x14ac:dyDescent="0.2">
      <c r="A2571" s="85"/>
      <c r="B2571" s="25" t="s">
        <v>6717</v>
      </c>
      <c r="C2571" s="25" t="s">
        <v>6718</v>
      </c>
      <c r="D2571" s="25" t="s">
        <v>1790</v>
      </c>
      <c r="E2571" s="26" t="b">
        <v>1</v>
      </c>
      <c r="F2571" s="27" t="str">
        <f>HYPERLINK("http://nsgreg.nga.mil/genc/view?v=212746&amp;end_month=12&amp;end_day=31&amp;end_year=2014","Salima")</f>
        <v>Salima</v>
      </c>
      <c r="G2571" s="28" t="str">
        <f>HYPERLINK("http://api.nsgreg.nga.mil/geo-division/GENC/6/ed3/MW-SA","as:GENC:6:ed3:MW-SA")</f>
        <v>as:GENC:6:ed3:MW-SA</v>
      </c>
    </row>
    <row r="2572" spans="1:7" x14ac:dyDescent="0.2">
      <c r="A2572" s="85"/>
      <c r="B2572" s="25" t="s">
        <v>6719</v>
      </c>
      <c r="C2572" s="25" t="s">
        <v>6720</v>
      </c>
      <c r="D2572" s="37" t="s">
        <v>2087</v>
      </c>
      <c r="E2572" s="38" t="b">
        <v>0</v>
      </c>
      <c r="F2572" s="27" t="str">
        <f>HYPERLINK("http://nsgreg.nga.mil/genc/view?v=212745&amp;end_month=12&amp;end_day=31&amp;end_year=2014","Southern Region")</f>
        <v>Southern Region</v>
      </c>
      <c r="G2572" s="28" t="str">
        <f>HYPERLINK("http://api.nsgreg.nga.mil/geo-division/GENC/6/ed3/MW-S","as:GENC:6:ed3:MW-S")</f>
        <v>as:GENC:6:ed3:MW-S</v>
      </c>
    </row>
    <row r="2573" spans="1:7" x14ac:dyDescent="0.2">
      <c r="A2573" s="85"/>
      <c r="B2573" s="25" t="s">
        <v>6721</v>
      </c>
      <c r="C2573" s="25" t="s">
        <v>6722</v>
      </c>
      <c r="D2573" s="25" t="s">
        <v>1790</v>
      </c>
      <c r="E2573" s="26" t="b">
        <v>1</v>
      </c>
      <c r="F2573" s="27" t="str">
        <f>HYPERLINK("http://nsgreg.nga.mil/genc/view?v=212747&amp;end_month=12&amp;end_day=31&amp;end_year=2014","Thyolo")</f>
        <v>Thyolo</v>
      </c>
      <c r="G2573" s="28" t="str">
        <f>HYPERLINK("http://api.nsgreg.nga.mil/geo-division/GENC/6/ed3/MW-TH","as:GENC:6:ed3:MW-TH")</f>
        <v>as:GENC:6:ed3:MW-TH</v>
      </c>
    </row>
    <row r="2574" spans="1:7" x14ac:dyDescent="0.2">
      <c r="A2574" s="86"/>
      <c r="B2574" s="29" t="s">
        <v>6723</v>
      </c>
      <c r="C2574" s="29" t="s">
        <v>6724</v>
      </c>
      <c r="D2574" s="29" t="s">
        <v>1790</v>
      </c>
      <c r="E2574" s="30" t="b">
        <v>1</v>
      </c>
      <c r="F2574" s="31" t="str">
        <f>HYPERLINK("http://nsgreg.nga.mil/genc/view?v=212748&amp;end_month=12&amp;end_day=31&amp;end_year=2014","Zomba")</f>
        <v>Zomba</v>
      </c>
      <c r="G2574" s="32" t="str">
        <f>HYPERLINK("http://api.nsgreg.nga.mil/geo-division/GENC/6/ed3/MW-ZO","as:GENC:6:ed3:MW-ZO")</f>
        <v>as:GENC:6:ed3:MW-ZO</v>
      </c>
    </row>
    <row r="2575" spans="1:7" x14ac:dyDescent="0.2">
      <c r="A2575" s="84" t="str">
        <f>HYPERLINK("[#]Codes_for_GE_Names!A162:I162","MALAYSIA")</f>
        <v>MALAYSIA</v>
      </c>
      <c r="B2575" s="33" t="s">
        <v>6728</v>
      </c>
      <c r="C2575" s="33" t="s">
        <v>6729</v>
      </c>
      <c r="D2575" s="33" t="s">
        <v>2113</v>
      </c>
      <c r="E2575" s="34" t="b">
        <v>1</v>
      </c>
      <c r="F2575" s="35" t="str">
        <f>HYPERLINK("http://nsgreg.nga.mil/genc/view?v=121109&amp;gencs=T&amp;end_month=12&amp;end_day=31&amp;end_year=2014","Johor")</f>
        <v>Johor</v>
      </c>
      <c r="G2575" s="36" t="str">
        <f>HYPERLINK("http://api.nsgreg.nga.mil/geo-division/GENC/6/ed3/MY-01","as:GENC:6:ed3:MY-01")</f>
        <v>as:GENC:6:ed3:MY-01</v>
      </c>
    </row>
    <row r="2576" spans="1:7" x14ac:dyDescent="0.2">
      <c r="A2576" s="85"/>
      <c r="B2576" s="25" t="s">
        <v>6730</v>
      </c>
      <c r="C2576" s="25" t="s">
        <v>6731</v>
      </c>
      <c r="D2576" s="25" t="s">
        <v>2113</v>
      </c>
      <c r="E2576" s="26" t="b">
        <v>1</v>
      </c>
      <c r="F2576" s="27" t="str">
        <f>HYPERLINK("http://nsgreg.nga.mil/genc/view?v=121110&amp;gencs=T&amp;end_month=12&amp;end_day=31&amp;end_year=2014","Kedah")</f>
        <v>Kedah</v>
      </c>
      <c r="G2576" s="28" t="str">
        <f>HYPERLINK("http://api.nsgreg.nga.mil/geo-division/GENC/6/ed3/MY-02","as:GENC:6:ed3:MY-02")</f>
        <v>as:GENC:6:ed3:MY-02</v>
      </c>
    </row>
    <row r="2577" spans="1:7" x14ac:dyDescent="0.2">
      <c r="A2577" s="85"/>
      <c r="B2577" s="25" t="s">
        <v>6732</v>
      </c>
      <c r="C2577" s="25" t="s">
        <v>6733</v>
      </c>
      <c r="D2577" s="25" t="s">
        <v>2113</v>
      </c>
      <c r="E2577" s="26" t="b">
        <v>1</v>
      </c>
      <c r="F2577" s="27" t="str">
        <f>HYPERLINK("http://nsgreg.nga.mil/genc/view?v=121111&amp;gencs=T&amp;end_month=12&amp;end_day=31&amp;end_year=2014","Kelantan")</f>
        <v>Kelantan</v>
      </c>
      <c r="G2577" s="28" t="str">
        <f>HYPERLINK("http://api.nsgreg.nga.mil/geo-division/GENC/6/ed3/MY-03","as:GENC:6:ed3:MY-03")</f>
        <v>as:GENC:6:ed3:MY-03</v>
      </c>
    </row>
    <row r="2578" spans="1:7" x14ac:dyDescent="0.2">
      <c r="A2578" s="85"/>
      <c r="B2578" s="25" t="s">
        <v>6754</v>
      </c>
      <c r="C2578" s="25" t="s">
        <v>13011</v>
      </c>
      <c r="D2578" s="25" t="s">
        <v>6756</v>
      </c>
      <c r="E2578" s="26" t="b">
        <v>1</v>
      </c>
      <c r="F2578" s="27" t="str">
        <f>HYPERLINK("http://nsgreg.nga.mil/genc/view?v=212752&amp;end_month=12&amp;end_day=31&amp;end_year=2014","Kuala Lumpur ")</f>
        <v xml:space="preserve">Kuala Lumpur </v>
      </c>
      <c r="G2578" s="28" t="str">
        <f>HYPERLINK("http://api.nsgreg.nga.mil/geo-division/GENC/6/ed3/MY-14","as:GENC:6:ed3:MY-14")</f>
        <v>as:GENC:6:ed3:MY-14</v>
      </c>
    </row>
    <row r="2579" spans="1:7" x14ac:dyDescent="0.2">
      <c r="A2579" s="85"/>
      <c r="B2579" s="25" t="s">
        <v>6757</v>
      </c>
      <c r="C2579" s="25" t="s">
        <v>13012</v>
      </c>
      <c r="D2579" s="25" t="s">
        <v>6756</v>
      </c>
      <c r="E2579" s="26" t="b">
        <v>1</v>
      </c>
      <c r="F2579" s="27" t="str">
        <f>HYPERLINK("http://nsgreg.nga.mil/genc/view?v=212753&amp;end_month=12&amp;end_day=31&amp;end_year=2014","Labuan")</f>
        <v>Labuan</v>
      </c>
      <c r="G2579" s="28" t="str">
        <f>HYPERLINK("http://api.nsgreg.nga.mil/geo-division/GENC/6/ed3/MY-15","as:GENC:6:ed3:MY-15")</f>
        <v>as:GENC:6:ed3:MY-15</v>
      </c>
    </row>
    <row r="2580" spans="1:7" x14ac:dyDescent="0.2">
      <c r="A2580" s="85"/>
      <c r="B2580" s="25" t="s">
        <v>6734</v>
      </c>
      <c r="C2580" s="25" t="s">
        <v>6735</v>
      </c>
      <c r="D2580" s="25" t="s">
        <v>2113</v>
      </c>
      <c r="E2580" s="26" t="b">
        <v>1</v>
      </c>
      <c r="F2580" s="27" t="str">
        <f>HYPERLINK("http://nsgreg.nga.mil/genc/view?v=121112&amp;gencs=T&amp;end_month=12&amp;end_day=31&amp;end_year=2014","Melaka")</f>
        <v>Melaka</v>
      </c>
      <c r="G2580" s="28" t="str">
        <f>HYPERLINK("http://api.nsgreg.nga.mil/geo-division/GENC/6/ed3/MY-04","as:GENC:6:ed3:MY-04")</f>
        <v>as:GENC:6:ed3:MY-04</v>
      </c>
    </row>
    <row r="2581" spans="1:7" x14ac:dyDescent="0.2">
      <c r="A2581" s="85"/>
      <c r="B2581" s="25" t="s">
        <v>6736</v>
      </c>
      <c r="C2581" s="25" t="s">
        <v>6737</v>
      </c>
      <c r="D2581" s="25" t="s">
        <v>2113</v>
      </c>
      <c r="E2581" s="26" t="b">
        <v>1</v>
      </c>
      <c r="F2581" s="27" t="str">
        <f>HYPERLINK("http://nsgreg.nga.mil/genc/view?v=121113&amp;gencs=T&amp;end_month=12&amp;end_day=31&amp;end_year=2014","Negeri Sembilan")</f>
        <v>Negeri Sembilan</v>
      </c>
      <c r="G2581" s="28" t="str">
        <f>HYPERLINK("http://api.nsgreg.nga.mil/geo-division/GENC/6/ed3/MY-05","as:GENC:6:ed3:MY-05")</f>
        <v>as:GENC:6:ed3:MY-05</v>
      </c>
    </row>
    <row r="2582" spans="1:7" x14ac:dyDescent="0.2">
      <c r="A2582" s="85"/>
      <c r="B2582" s="25" t="s">
        <v>6738</v>
      </c>
      <c r="C2582" s="25" t="s">
        <v>6739</v>
      </c>
      <c r="D2582" s="25" t="s">
        <v>2113</v>
      </c>
      <c r="E2582" s="26" t="b">
        <v>1</v>
      </c>
      <c r="F2582" s="27" t="str">
        <f>HYPERLINK("http://nsgreg.nga.mil/genc/view?v=121114&amp;gencs=T&amp;end_month=12&amp;end_day=31&amp;end_year=2014","Pahang")</f>
        <v>Pahang</v>
      </c>
      <c r="G2582" s="28" t="str">
        <f>HYPERLINK("http://api.nsgreg.nga.mil/geo-division/GENC/6/ed3/MY-06","as:GENC:6:ed3:MY-06")</f>
        <v>as:GENC:6:ed3:MY-06</v>
      </c>
    </row>
    <row r="2583" spans="1:7" x14ac:dyDescent="0.2">
      <c r="A2583" s="85"/>
      <c r="B2583" s="25" t="s">
        <v>6740</v>
      </c>
      <c r="C2583" s="25" t="s">
        <v>6741</v>
      </c>
      <c r="D2583" s="25" t="s">
        <v>2113</v>
      </c>
      <c r="E2583" s="26" t="b">
        <v>1</v>
      </c>
      <c r="F2583" s="27" t="str">
        <f>HYPERLINK("http://nsgreg.nga.mil/genc/view?v=121116&amp;gencs=T&amp;end_month=12&amp;end_day=31&amp;end_year=2014","Perak")</f>
        <v>Perak</v>
      </c>
      <c r="G2583" s="28" t="str">
        <f>HYPERLINK("http://api.nsgreg.nga.mil/geo-division/GENC/6/ed3/MY-08","as:GENC:6:ed3:MY-08")</f>
        <v>as:GENC:6:ed3:MY-08</v>
      </c>
    </row>
    <row r="2584" spans="1:7" x14ac:dyDescent="0.2">
      <c r="A2584" s="85"/>
      <c r="B2584" s="25" t="s">
        <v>6742</v>
      </c>
      <c r="C2584" s="25" t="s">
        <v>6743</v>
      </c>
      <c r="D2584" s="25" t="s">
        <v>2113</v>
      </c>
      <c r="E2584" s="26" t="b">
        <v>1</v>
      </c>
      <c r="F2584" s="27" t="str">
        <f>HYPERLINK("http://nsgreg.nga.mil/genc/view?v=121117&amp;gencs=T&amp;end_month=12&amp;end_day=31&amp;end_year=2014","Perlis")</f>
        <v>Perlis</v>
      </c>
      <c r="G2584" s="28" t="str">
        <f>HYPERLINK("http://api.nsgreg.nga.mil/geo-division/GENC/6/ed3/MY-09","as:GENC:6:ed3:MY-09")</f>
        <v>as:GENC:6:ed3:MY-09</v>
      </c>
    </row>
    <row r="2585" spans="1:7" x14ac:dyDescent="0.2">
      <c r="A2585" s="85"/>
      <c r="B2585" s="25" t="s">
        <v>6744</v>
      </c>
      <c r="C2585" s="25" t="s">
        <v>6745</v>
      </c>
      <c r="D2585" s="25" t="s">
        <v>2113</v>
      </c>
      <c r="E2585" s="26" t="b">
        <v>1</v>
      </c>
      <c r="F2585" s="27" t="str">
        <f>HYPERLINK("http://nsgreg.nga.mil/genc/view?v=121115&amp;gencs=T&amp;end_month=12&amp;end_day=31&amp;end_year=2014","Pulau Pinang")</f>
        <v>Pulau Pinang</v>
      </c>
      <c r="G2585" s="28" t="str">
        <f>HYPERLINK("http://api.nsgreg.nga.mil/geo-division/GENC/6/ed3/MY-07","as:GENC:6:ed3:MY-07")</f>
        <v>as:GENC:6:ed3:MY-07</v>
      </c>
    </row>
    <row r="2586" spans="1:7" x14ac:dyDescent="0.2">
      <c r="A2586" s="85"/>
      <c r="B2586" s="25" t="s">
        <v>6759</v>
      </c>
      <c r="C2586" s="25" t="s">
        <v>13013</v>
      </c>
      <c r="D2586" s="25" t="s">
        <v>6756</v>
      </c>
      <c r="E2586" s="26" t="b">
        <v>1</v>
      </c>
      <c r="F2586" s="27" t="str">
        <f>HYPERLINK("http://nsgreg.nga.mil/genc/view?v=212754&amp;end_month=12&amp;end_day=31&amp;end_year=2014","Putrajaya")</f>
        <v>Putrajaya</v>
      </c>
      <c r="G2586" s="28" t="str">
        <f>HYPERLINK("http://api.nsgreg.nga.mil/geo-division/GENC/6/ed3/MY-16","as:GENC:6:ed3:MY-16")</f>
        <v>as:GENC:6:ed3:MY-16</v>
      </c>
    </row>
    <row r="2587" spans="1:7" x14ac:dyDescent="0.2">
      <c r="A2587" s="85"/>
      <c r="B2587" s="25" t="s">
        <v>6746</v>
      </c>
      <c r="C2587" s="25" t="s">
        <v>6747</v>
      </c>
      <c r="D2587" s="25" t="s">
        <v>2113</v>
      </c>
      <c r="E2587" s="26" t="b">
        <v>1</v>
      </c>
      <c r="F2587" s="27" t="str">
        <f>HYPERLINK("http://nsgreg.nga.mil/genc/view?v=121120&amp;gencs=T&amp;end_month=12&amp;end_day=31&amp;end_year=2014","Sabah")</f>
        <v>Sabah</v>
      </c>
      <c r="G2587" s="28" t="str">
        <f>HYPERLINK("http://api.nsgreg.nga.mil/geo-division/GENC/6/ed3/MY-12","as:GENC:6:ed3:MY-12")</f>
        <v>as:GENC:6:ed3:MY-12</v>
      </c>
    </row>
    <row r="2588" spans="1:7" x14ac:dyDescent="0.2">
      <c r="A2588" s="85"/>
      <c r="B2588" s="25" t="s">
        <v>6748</v>
      </c>
      <c r="C2588" s="25" t="s">
        <v>6749</v>
      </c>
      <c r="D2588" s="25" t="s">
        <v>2113</v>
      </c>
      <c r="E2588" s="26" t="b">
        <v>1</v>
      </c>
      <c r="F2588" s="27" t="str">
        <f>HYPERLINK("http://nsgreg.nga.mil/genc/view?v=121121&amp;gencs=T&amp;end_month=12&amp;end_day=31&amp;end_year=2014","Sarawak")</f>
        <v>Sarawak</v>
      </c>
      <c r="G2588" s="28" t="str">
        <f>HYPERLINK("http://api.nsgreg.nga.mil/geo-division/GENC/6/ed3/MY-13","as:GENC:6:ed3:MY-13")</f>
        <v>as:GENC:6:ed3:MY-13</v>
      </c>
    </row>
    <row r="2589" spans="1:7" x14ac:dyDescent="0.2">
      <c r="A2589" s="85"/>
      <c r="B2589" s="25" t="s">
        <v>6750</v>
      </c>
      <c r="C2589" s="25" t="s">
        <v>6751</v>
      </c>
      <c r="D2589" s="25" t="s">
        <v>2113</v>
      </c>
      <c r="E2589" s="26" t="b">
        <v>1</v>
      </c>
      <c r="F2589" s="27" t="str">
        <f>HYPERLINK("http://nsgreg.nga.mil/genc/view?v=121118&amp;gencs=T&amp;end_month=12&amp;end_day=31&amp;end_year=2014","Selangor")</f>
        <v>Selangor</v>
      </c>
      <c r="G2589" s="28" t="str">
        <f>HYPERLINK("http://api.nsgreg.nga.mil/geo-division/GENC/6/ed3/MY-10","as:GENC:6:ed3:MY-10")</f>
        <v>as:GENC:6:ed3:MY-10</v>
      </c>
    </row>
    <row r="2590" spans="1:7" x14ac:dyDescent="0.2">
      <c r="A2590" s="86"/>
      <c r="B2590" s="29" t="s">
        <v>6752</v>
      </c>
      <c r="C2590" s="29" t="s">
        <v>6753</v>
      </c>
      <c r="D2590" s="29" t="s">
        <v>2113</v>
      </c>
      <c r="E2590" s="30" t="b">
        <v>1</v>
      </c>
      <c r="F2590" s="31" t="str">
        <f>HYPERLINK("http://nsgreg.nga.mil/genc/view?v=121119&amp;gencs=T&amp;end_month=12&amp;end_day=31&amp;end_year=2014","Terengganu")</f>
        <v>Terengganu</v>
      </c>
      <c r="G2590" s="32" t="str">
        <f>HYPERLINK("http://api.nsgreg.nga.mil/geo-division/GENC/6/ed3/MY-11","as:GENC:6:ed3:MY-11")</f>
        <v>as:GENC:6:ed3:MY-11</v>
      </c>
    </row>
    <row r="2591" spans="1:7" x14ac:dyDescent="0.2">
      <c r="A2591" s="84" t="str">
        <f>HYPERLINK("[#]Codes_for_GE_Names!A163:I163","MALDIVES")</f>
        <v>MALDIVES</v>
      </c>
      <c r="B2591" s="33" t="s">
        <v>6761</v>
      </c>
      <c r="C2591" s="33" t="s">
        <v>6762</v>
      </c>
      <c r="D2591" s="41" t="s">
        <v>6763</v>
      </c>
      <c r="E2591" s="42" t="b">
        <v>0</v>
      </c>
      <c r="F2591" s="35" t="str">
        <f>HYPERLINK("http://nsgreg.nga.mil/genc/view?v=212691&amp;end_month=12&amp;end_day=31&amp;end_year=2014","Addu Atholhu")</f>
        <v>Addu Atholhu</v>
      </c>
      <c r="G2591" s="36" t="str">
        <f>HYPERLINK("http://api.nsgreg.nga.mil/geo-division/GENC/6/ed3/MV-01","as:GENC:6:ed3:MV-01")</f>
        <v>as:GENC:6:ed3:MV-01</v>
      </c>
    </row>
    <row r="2592" spans="1:7" x14ac:dyDescent="0.2">
      <c r="A2592" s="85"/>
      <c r="B2592" s="25" t="s">
        <v>6766</v>
      </c>
      <c r="C2592" s="25" t="s">
        <v>6768</v>
      </c>
      <c r="D2592" s="37" t="s">
        <v>6763</v>
      </c>
      <c r="E2592" s="38" t="b">
        <v>0</v>
      </c>
      <c r="F2592" s="27" t="str">
        <f>HYPERLINK("http://nsgreg.nga.mil/genc/view?v=212690&amp;end_month=12&amp;end_day=31&amp;end_year=2014","Ari Atholhu Dhekunuburi")</f>
        <v>Ari Atholhu Dhekunuburi</v>
      </c>
      <c r="G2592" s="28" t="str">
        <f>HYPERLINK("http://api.nsgreg.nga.mil/geo-division/GENC/6/ed3/MV-00","as:GENC:6:ed3:MV-00")</f>
        <v>as:GENC:6:ed3:MV-00</v>
      </c>
    </row>
    <row r="2593" spans="1:7" x14ac:dyDescent="0.2">
      <c r="A2593" s="85"/>
      <c r="B2593" s="25" t="s">
        <v>6764</v>
      </c>
      <c r="C2593" s="25" t="s">
        <v>6769</v>
      </c>
      <c r="D2593" s="37" t="s">
        <v>6763</v>
      </c>
      <c r="E2593" s="38" t="b">
        <v>0</v>
      </c>
      <c r="F2593" s="27" t="str">
        <f>HYPERLINK("http://nsgreg.nga.mil/genc/view?v=212692&amp;end_month=12&amp;end_day=31&amp;end_year=2014","Ari Atholhu Uthuruburi")</f>
        <v>Ari Atholhu Uthuruburi</v>
      </c>
      <c r="G2593" s="28" t="str">
        <f>HYPERLINK("http://api.nsgreg.nga.mil/geo-division/GENC/6/ed3/MV-02","as:GENC:6:ed3:MV-02")</f>
        <v>as:GENC:6:ed3:MV-02</v>
      </c>
    </row>
    <row r="2594" spans="1:7" x14ac:dyDescent="0.2">
      <c r="A2594" s="85"/>
      <c r="B2594" s="25" t="s">
        <v>6775</v>
      </c>
      <c r="C2594" s="25" t="s">
        <v>6776</v>
      </c>
      <c r="D2594" s="25" t="s">
        <v>1719</v>
      </c>
      <c r="E2594" s="26" t="b">
        <v>1</v>
      </c>
      <c r="F2594" s="27" t="str">
        <f>HYPERLINK("http://nsgreg.nga.mil/genc/view?v=212715&amp;end_month=12&amp;end_day=31&amp;end_year=2014","Dhekunu")</f>
        <v>Dhekunu</v>
      </c>
      <c r="G2594" s="28" t="str">
        <f>HYPERLINK("http://api.nsgreg.nga.mil/geo-division/GENC/6/ed3/MV-SU","as:GENC:6:ed3:MV-SU")</f>
        <v>as:GENC:6:ed3:MV-SU</v>
      </c>
    </row>
    <row r="2595" spans="1:7" x14ac:dyDescent="0.2">
      <c r="A2595" s="85"/>
      <c r="B2595" s="25" t="s">
        <v>6777</v>
      </c>
      <c r="C2595" s="25" t="s">
        <v>6778</v>
      </c>
      <c r="D2595" s="37" t="s">
        <v>6763</v>
      </c>
      <c r="E2595" s="38" t="b">
        <v>0</v>
      </c>
      <c r="F2595" s="27" t="str">
        <f>HYPERLINK("http://nsgreg.nga.mil/genc/view?v=212693&amp;end_month=12&amp;end_day=31&amp;end_year=2014","Faadhippolhu")</f>
        <v>Faadhippolhu</v>
      </c>
      <c r="G2595" s="28" t="str">
        <f>HYPERLINK("http://api.nsgreg.nga.mil/geo-division/GENC/6/ed3/MV-03","as:GENC:6:ed3:MV-03")</f>
        <v>as:GENC:6:ed3:MV-03</v>
      </c>
    </row>
    <row r="2596" spans="1:7" x14ac:dyDescent="0.2">
      <c r="A2596" s="85"/>
      <c r="B2596" s="25" t="s">
        <v>6781</v>
      </c>
      <c r="C2596" s="25" t="s">
        <v>6782</v>
      </c>
      <c r="D2596" s="37" t="s">
        <v>6763</v>
      </c>
      <c r="E2596" s="38" t="b">
        <v>0</v>
      </c>
      <c r="F2596" s="27" t="str">
        <f>HYPERLINK("http://nsgreg.nga.mil/genc/view?v=212694&amp;end_month=12&amp;end_day=31&amp;end_year=2014","Felidhu Atholhu")</f>
        <v>Felidhu Atholhu</v>
      </c>
      <c r="G2596" s="28" t="str">
        <f>HYPERLINK("http://api.nsgreg.nga.mil/geo-division/GENC/6/ed3/MV-04","as:GENC:6:ed3:MV-04")</f>
        <v>as:GENC:6:ed3:MV-04</v>
      </c>
    </row>
    <row r="2597" spans="1:7" x14ac:dyDescent="0.2">
      <c r="A2597" s="85"/>
      <c r="B2597" s="25" t="s">
        <v>6783</v>
      </c>
      <c r="C2597" s="25" t="s">
        <v>6784</v>
      </c>
      <c r="D2597" s="37" t="s">
        <v>6763</v>
      </c>
      <c r="E2597" s="38" t="b">
        <v>0</v>
      </c>
      <c r="F2597" s="27" t="str">
        <f>HYPERLINK("http://nsgreg.nga.mil/genc/view?v=212709&amp;end_month=12&amp;end_day=31&amp;end_year=2014","Fuvammulah")</f>
        <v>Fuvammulah</v>
      </c>
      <c r="G2597" s="28" t="str">
        <f>HYPERLINK("http://api.nsgreg.nga.mil/geo-division/GENC/6/ed3/MV-29","as:GENC:6:ed3:MV-29")</f>
        <v>as:GENC:6:ed3:MV-29</v>
      </c>
    </row>
    <row r="2598" spans="1:7" x14ac:dyDescent="0.2">
      <c r="A2598" s="85"/>
      <c r="B2598" s="25" t="s">
        <v>6794</v>
      </c>
      <c r="C2598" s="25" t="s">
        <v>6795</v>
      </c>
      <c r="D2598" s="37" t="s">
        <v>6763</v>
      </c>
      <c r="E2598" s="38" t="b">
        <v>0</v>
      </c>
      <c r="F2598" s="27" t="str">
        <f>HYPERLINK("http://nsgreg.nga.mil/genc/view?v=212695&amp;end_month=12&amp;end_day=31&amp;end_year=2014","Hadhdhunmathi")</f>
        <v>Hadhdhunmathi</v>
      </c>
      <c r="G2598" s="28" t="str">
        <f>HYPERLINK("http://api.nsgreg.nga.mil/geo-division/GENC/6/ed3/MV-05","as:GENC:6:ed3:MV-05")</f>
        <v>as:GENC:6:ed3:MV-05</v>
      </c>
    </row>
    <row r="2599" spans="1:7" x14ac:dyDescent="0.2">
      <c r="A2599" s="85"/>
      <c r="B2599" s="25" t="s">
        <v>6787</v>
      </c>
      <c r="C2599" s="25" t="s">
        <v>6796</v>
      </c>
      <c r="D2599" s="37" t="s">
        <v>6763</v>
      </c>
      <c r="E2599" s="38" t="b">
        <v>0</v>
      </c>
      <c r="F2599" s="27" t="str">
        <f>HYPERLINK("http://nsgreg.nga.mil/genc/view?v=212708&amp;end_month=12&amp;end_day=31&amp;end_year=2014","Huvadhu Atholhu Dhekunuburi")</f>
        <v>Huvadhu Atholhu Dhekunuburi</v>
      </c>
      <c r="G2599" s="28" t="str">
        <f>HYPERLINK("http://api.nsgreg.nga.mil/geo-division/GENC/6/ed3/MV-28","as:GENC:6:ed3:MV-28")</f>
        <v>as:GENC:6:ed3:MV-28</v>
      </c>
    </row>
    <row r="2600" spans="1:7" x14ac:dyDescent="0.2">
      <c r="A2600" s="85"/>
      <c r="B2600" s="25" t="s">
        <v>6785</v>
      </c>
      <c r="C2600" s="25" t="s">
        <v>6797</v>
      </c>
      <c r="D2600" s="37" t="s">
        <v>6763</v>
      </c>
      <c r="E2600" s="38" t="b">
        <v>0</v>
      </c>
      <c r="F2600" s="27" t="str">
        <f>HYPERLINK("http://nsgreg.nga.mil/genc/view?v=212707&amp;end_month=12&amp;end_day=31&amp;end_year=2014","Huvadhu Atholhu Uthuruburi")</f>
        <v>Huvadhu Atholhu Uthuruburi</v>
      </c>
      <c r="G2600" s="28" t="str">
        <f>HYPERLINK("http://api.nsgreg.nga.mil/geo-division/GENC/6/ed3/MV-27","as:GENC:6:ed3:MV-27")</f>
        <v>as:GENC:6:ed3:MV-27</v>
      </c>
    </row>
    <row r="2601" spans="1:7" x14ac:dyDescent="0.2">
      <c r="A2601" s="85"/>
      <c r="B2601" s="25" t="s">
        <v>6800</v>
      </c>
      <c r="C2601" s="25" t="s">
        <v>6801</v>
      </c>
      <c r="D2601" s="37" t="s">
        <v>6763</v>
      </c>
      <c r="E2601" s="38" t="b">
        <v>0</v>
      </c>
      <c r="F2601" s="27" t="str">
        <f>HYPERLINK("http://nsgreg.nga.mil/genc/view?v=212697&amp;end_month=12&amp;end_day=31&amp;end_year=2014","Kolhumadulu")</f>
        <v>Kolhumadulu</v>
      </c>
      <c r="G2601" s="28" t="str">
        <f>HYPERLINK("http://api.nsgreg.nga.mil/geo-division/GENC/6/ed3/MV-08","as:GENC:6:ed3:MV-08")</f>
        <v>as:GENC:6:ed3:MV-08</v>
      </c>
    </row>
    <row r="2602" spans="1:7" x14ac:dyDescent="0.2">
      <c r="A2602" s="85"/>
      <c r="B2602" s="25" t="s">
        <v>6804</v>
      </c>
      <c r="C2602" s="25" t="s">
        <v>6805</v>
      </c>
      <c r="D2602" s="25" t="s">
        <v>2164</v>
      </c>
      <c r="E2602" s="26" t="b">
        <v>1</v>
      </c>
      <c r="F2602" s="27" t="str">
        <f>HYPERLINK("http://nsgreg.nga.mil/genc/view?v=212711&amp;end_month=12&amp;end_day=31&amp;end_year=2014","Maale")</f>
        <v>Maale</v>
      </c>
      <c r="G2602" s="28" t="str">
        <f>HYPERLINK("http://api.nsgreg.nga.mil/geo-division/GENC/6/ed3/MV-MLE","as:GENC:6:ed3:MV-MLE")</f>
        <v>as:GENC:6:ed3:MV-MLE</v>
      </c>
    </row>
    <row r="2603" spans="1:7" x14ac:dyDescent="0.2">
      <c r="A2603" s="85"/>
      <c r="B2603" s="25" t="s">
        <v>6798</v>
      </c>
      <c r="C2603" s="25" t="s">
        <v>6806</v>
      </c>
      <c r="D2603" s="37" t="s">
        <v>6763</v>
      </c>
      <c r="E2603" s="38" t="b">
        <v>0</v>
      </c>
      <c r="F2603" s="27" t="str">
        <f>HYPERLINK("http://nsgreg.nga.mil/genc/view?v=212706&amp;end_month=12&amp;end_day=31&amp;end_year=2014","Maale Atholhu")</f>
        <v>Maale Atholhu</v>
      </c>
      <c r="G2603" s="28" t="str">
        <f>HYPERLINK("http://api.nsgreg.nga.mil/geo-division/GENC/6/ed3/MV-26","as:GENC:6:ed3:MV-26")</f>
        <v>as:GENC:6:ed3:MV-26</v>
      </c>
    </row>
    <row r="2604" spans="1:7" x14ac:dyDescent="0.2">
      <c r="A2604" s="85"/>
      <c r="B2604" s="25" t="s">
        <v>6770</v>
      </c>
      <c r="C2604" s="25" t="s">
        <v>6807</v>
      </c>
      <c r="D2604" s="37" t="s">
        <v>6763</v>
      </c>
      <c r="E2604" s="38" t="b">
        <v>0</v>
      </c>
      <c r="F2604" s="27" t="str">
        <f>HYPERLINK("http://nsgreg.nga.mil/genc/view?v=212702&amp;end_month=12&amp;end_day=31&amp;end_year=2014","Maalhosmadulu Dhekunuburi")</f>
        <v>Maalhosmadulu Dhekunuburi</v>
      </c>
      <c r="G2604" s="28" t="str">
        <f>HYPERLINK("http://api.nsgreg.nga.mil/geo-division/GENC/6/ed3/MV-20","as:GENC:6:ed3:MV-20")</f>
        <v>as:GENC:6:ed3:MV-20</v>
      </c>
    </row>
    <row r="2605" spans="1:7" x14ac:dyDescent="0.2">
      <c r="A2605" s="85"/>
      <c r="B2605" s="25" t="s">
        <v>6808</v>
      </c>
      <c r="C2605" s="25" t="s">
        <v>6809</v>
      </c>
      <c r="D2605" s="37" t="s">
        <v>6763</v>
      </c>
      <c r="E2605" s="38" t="b">
        <v>0</v>
      </c>
      <c r="F2605" s="27" t="str">
        <f>HYPERLINK("http://nsgreg.nga.mil/genc/view?v=212699&amp;end_month=12&amp;end_day=31&amp;end_year=2014","Maalhosmadulu Uthuruburi")</f>
        <v>Maalhosmadulu Uthuruburi</v>
      </c>
      <c r="G2605" s="28" t="str">
        <f>HYPERLINK("http://api.nsgreg.nga.mil/geo-division/GENC/6/ed3/MV-13","as:GENC:6:ed3:MV-13")</f>
        <v>as:GENC:6:ed3:MV-13</v>
      </c>
    </row>
    <row r="2606" spans="1:7" x14ac:dyDescent="0.2">
      <c r="A2606" s="85"/>
      <c r="B2606" s="25" t="s">
        <v>6811</v>
      </c>
      <c r="C2606" s="25" t="s">
        <v>13014</v>
      </c>
      <c r="D2606" s="25" t="s">
        <v>1719</v>
      </c>
      <c r="E2606" s="26" t="b">
        <v>1</v>
      </c>
      <c r="F2606" s="27" t="str">
        <f>HYPERLINK("http://nsgreg.nga.mil/genc/view?v=212717&amp;end_month=12&amp;end_day=31&amp;end_year=2014","Mathi Dhekunu")</f>
        <v>Mathi Dhekunu</v>
      </c>
      <c r="G2606" s="28" t="str">
        <f>HYPERLINK("http://api.nsgreg.nga.mil/geo-division/GENC/6/ed3/MV-US","as:GENC:6:ed3:MV-US")</f>
        <v>as:GENC:6:ed3:MV-US</v>
      </c>
    </row>
    <row r="2607" spans="1:7" x14ac:dyDescent="0.2">
      <c r="A2607" s="85"/>
      <c r="B2607" s="25" t="s">
        <v>6813</v>
      </c>
      <c r="C2607" s="25" t="s">
        <v>13015</v>
      </c>
      <c r="D2607" s="25" t="s">
        <v>1719</v>
      </c>
      <c r="E2607" s="26" t="b">
        <v>1</v>
      </c>
      <c r="F2607" s="27" t="str">
        <f>HYPERLINK("http://nsgreg.nga.mil/genc/view?v=212716&amp;end_month=12&amp;end_day=31&amp;end_year=2014","Mathi Uthuru")</f>
        <v>Mathi Uthuru</v>
      </c>
      <c r="G2607" s="28" t="str">
        <f>HYPERLINK("http://api.nsgreg.nga.mil/geo-division/GENC/6/ed3/MV-UN","as:GENC:6:ed3:MV-UN")</f>
        <v>as:GENC:6:ed3:MV-UN</v>
      </c>
    </row>
    <row r="2608" spans="1:7" x14ac:dyDescent="0.2">
      <c r="A2608" s="85"/>
      <c r="B2608" s="25" t="s">
        <v>6772</v>
      </c>
      <c r="C2608" s="25" t="s">
        <v>6815</v>
      </c>
      <c r="D2608" s="25" t="s">
        <v>1719</v>
      </c>
      <c r="E2608" s="26" t="b">
        <v>1</v>
      </c>
      <c r="F2608" s="27" t="str">
        <f>HYPERLINK("http://nsgreg.nga.mil/genc/view?v=212710&amp;end_month=12&amp;end_day=31&amp;end_year=2014","Medhu")</f>
        <v>Medhu</v>
      </c>
      <c r="G2608" s="28" t="str">
        <f>HYPERLINK("http://api.nsgreg.nga.mil/geo-division/GENC/6/ed3/MV-CE","as:GENC:6:ed3:MV-CE")</f>
        <v>as:GENC:6:ed3:MV-CE</v>
      </c>
    </row>
    <row r="2609" spans="1:7" x14ac:dyDescent="0.2">
      <c r="A2609" s="85"/>
      <c r="B2609" s="25" t="s">
        <v>6816</v>
      </c>
      <c r="C2609" s="25" t="s">
        <v>13016</v>
      </c>
      <c r="D2609" s="25" t="s">
        <v>1719</v>
      </c>
      <c r="E2609" s="26" t="b">
        <v>1</v>
      </c>
      <c r="F2609" s="27" t="str">
        <f>HYPERLINK("http://nsgreg.nga.mil/genc/view?v=212714&amp;end_month=12&amp;end_day=31&amp;end_year=2014","Medhu Dhekunu")</f>
        <v>Medhu Dhekunu</v>
      </c>
      <c r="G2609" s="28" t="str">
        <f>HYPERLINK("http://api.nsgreg.nga.mil/geo-division/GENC/6/ed3/MV-SC","as:GENC:6:ed3:MV-SC")</f>
        <v>as:GENC:6:ed3:MV-SC</v>
      </c>
    </row>
    <row r="2610" spans="1:7" x14ac:dyDescent="0.2">
      <c r="A2610" s="85"/>
      <c r="B2610" s="25" t="s">
        <v>6818</v>
      </c>
      <c r="C2610" s="25" t="s">
        <v>13017</v>
      </c>
      <c r="D2610" s="25" t="s">
        <v>1719</v>
      </c>
      <c r="E2610" s="26" t="b">
        <v>1</v>
      </c>
      <c r="F2610" s="27" t="str">
        <f>HYPERLINK("http://nsgreg.nga.mil/genc/view?v=212712&amp;end_month=12&amp;end_day=31&amp;end_year=2014","Medhu Uthuru")</f>
        <v>Medhu Uthuru</v>
      </c>
      <c r="G2610" s="28" t="str">
        <f>HYPERLINK("http://api.nsgreg.nga.mil/geo-division/GENC/6/ed3/MV-NC","as:GENC:6:ed3:MV-NC")</f>
        <v>as:GENC:6:ed3:MV-NC</v>
      </c>
    </row>
    <row r="2611" spans="1:7" x14ac:dyDescent="0.2">
      <c r="A2611" s="85"/>
      <c r="B2611" s="25" t="s">
        <v>6822</v>
      </c>
      <c r="C2611" s="25" t="s">
        <v>6823</v>
      </c>
      <c r="D2611" s="37" t="s">
        <v>6763</v>
      </c>
      <c r="E2611" s="38" t="b">
        <v>0</v>
      </c>
      <c r="F2611" s="27" t="str">
        <f>HYPERLINK("http://nsgreg.nga.mil/genc/view?v=212705&amp;end_month=12&amp;end_day=31&amp;end_year=2014","Miladhunmadulu Dhekunuburi")</f>
        <v>Miladhunmadulu Dhekunuburi</v>
      </c>
      <c r="G2611" s="28" t="str">
        <f>HYPERLINK("http://api.nsgreg.nga.mil/geo-division/GENC/6/ed3/MV-25","as:GENC:6:ed3:MV-25")</f>
        <v>as:GENC:6:ed3:MV-25</v>
      </c>
    </row>
    <row r="2612" spans="1:7" x14ac:dyDescent="0.2">
      <c r="A2612" s="85"/>
      <c r="B2612" s="25" t="s">
        <v>6824</v>
      </c>
      <c r="C2612" s="25" t="s">
        <v>6825</v>
      </c>
      <c r="D2612" s="37" t="s">
        <v>6763</v>
      </c>
      <c r="E2612" s="38" t="b">
        <v>0</v>
      </c>
      <c r="F2612" s="27" t="str">
        <f>HYPERLINK("http://nsgreg.nga.mil/genc/view?v=212704&amp;end_month=12&amp;end_day=31&amp;end_year=2014","Miladhunmadulu Uthuruburi")</f>
        <v>Miladhunmadulu Uthuruburi</v>
      </c>
      <c r="G2612" s="28" t="str">
        <f>HYPERLINK("http://api.nsgreg.nga.mil/geo-division/GENC/6/ed3/MV-24","as:GENC:6:ed3:MV-24")</f>
        <v>as:GENC:6:ed3:MV-24</v>
      </c>
    </row>
    <row r="2613" spans="1:7" x14ac:dyDescent="0.2">
      <c r="A2613" s="85"/>
      <c r="B2613" s="25" t="s">
        <v>6820</v>
      </c>
      <c r="C2613" s="25" t="s">
        <v>6826</v>
      </c>
      <c r="D2613" s="37" t="s">
        <v>6763</v>
      </c>
      <c r="E2613" s="38" t="b">
        <v>0</v>
      </c>
      <c r="F2613" s="27" t="str">
        <f>HYPERLINK("http://nsgreg.nga.mil/genc/view?v=212698&amp;end_month=12&amp;end_day=31&amp;end_year=2014","Mulakatholhu")</f>
        <v>Mulakatholhu</v>
      </c>
      <c r="G2613" s="28" t="str">
        <f>HYPERLINK("http://api.nsgreg.nga.mil/geo-division/GENC/6/ed3/MV-12","as:GENC:6:ed3:MV-12")</f>
        <v>as:GENC:6:ed3:MV-12</v>
      </c>
    </row>
    <row r="2614" spans="1:7" x14ac:dyDescent="0.2">
      <c r="A2614" s="85"/>
      <c r="B2614" s="25" t="s">
        <v>6773</v>
      </c>
      <c r="C2614" s="25" t="s">
        <v>6827</v>
      </c>
      <c r="D2614" s="37" t="s">
        <v>6763</v>
      </c>
      <c r="E2614" s="38" t="b">
        <v>0</v>
      </c>
      <c r="F2614" s="27" t="str">
        <f>HYPERLINK("http://nsgreg.nga.mil/genc/view?v=212701&amp;end_month=12&amp;end_day=31&amp;end_year=2014","Nilandhe Atholhu Dhekunuburi")</f>
        <v>Nilandhe Atholhu Dhekunuburi</v>
      </c>
      <c r="G2614" s="28" t="str">
        <f>HYPERLINK("http://api.nsgreg.nga.mil/geo-division/GENC/6/ed3/MV-17","as:GENC:6:ed3:MV-17")</f>
        <v>as:GENC:6:ed3:MV-17</v>
      </c>
    </row>
    <row r="2615" spans="1:7" x14ac:dyDescent="0.2">
      <c r="A2615" s="85"/>
      <c r="B2615" s="25" t="s">
        <v>6779</v>
      </c>
      <c r="C2615" s="25" t="s">
        <v>6828</v>
      </c>
      <c r="D2615" s="37" t="s">
        <v>6763</v>
      </c>
      <c r="E2615" s="38" t="b">
        <v>0</v>
      </c>
      <c r="F2615" s="27" t="str">
        <f>HYPERLINK("http://nsgreg.nga.mil/genc/view?v=212700&amp;end_month=12&amp;end_day=31&amp;end_year=2014","Nilandhe Atholhu Uthuruburi")</f>
        <v>Nilandhe Atholhu Uthuruburi</v>
      </c>
      <c r="G2615" s="28" t="str">
        <f>HYPERLINK("http://api.nsgreg.nga.mil/geo-division/GENC/6/ed3/MV-14","as:GENC:6:ed3:MV-14")</f>
        <v>as:GENC:6:ed3:MV-14</v>
      </c>
    </row>
    <row r="2616" spans="1:7" x14ac:dyDescent="0.2">
      <c r="A2616" s="85"/>
      <c r="B2616" s="25" t="s">
        <v>6792</v>
      </c>
      <c r="C2616" s="25" t="s">
        <v>6837</v>
      </c>
      <c r="D2616" s="37" t="s">
        <v>6763</v>
      </c>
      <c r="E2616" s="38" t="b">
        <v>0</v>
      </c>
      <c r="F2616" s="27" t="str">
        <f>HYPERLINK("http://nsgreg.nga.mil/genc/view?v=212703&amp;end_month=12&amp;end_day=31&amp;end_year=2014","Thiladhunmathee Dhekunuburi")</f>
        <v>Thiladhunmathee Dhekunuburi</v>
      </c>
      <c r="G2616" s="28" t="str">
        <f>HYPERLINK("http://api.nsgreg.nga.mil/geo-division/GENC/6/ed3/MV-23","as:GENC:6:ed3:MV-23")</f>
        <v>as:GENC:6:ed3:MV-23</v>
      </c>
    </row>
    <row r="2617" spans="1:7" x14ac:dyDescent="0.2">
      <c r="A2617" s="85"/>
      <c r="B2617" s="25" t="s">
        <v>6790</v>
      </c>
      <c r="C2617" s="25" t="s">
        <v>6838</v>
      </c>
      <c r="D2617" s="37" t="s">
        <v>6763</v>
      </c>
      <c r="E2617" s="38" t="b">
        <v>0</v>
      </c>
      <c r="F2617" s="27" t="str">
        <f>HYPERLINK("http://nsgreg.nga.mil/genc/view?v=212696&amp;end_month=12&amp;end_day=31&amp;end_year=2014","Thiladhunmathee Uthuruburi")</f>
        <v>Thiladhunmathee Uthuruburi</v>
      </c>
      <c r="G2617" s="28" t="str">
        <f>HYPERLINK("http://api.nsgreg.nga.mil/geo-division/GENC/6/ed3/MV-07","as:GENC:6:ed3:MV-07")</f>
        <v>as:GENC:6:ed3:MV-07</v>
      </c>
    </row>
    <row r="2618" spans="1:7" x14ac:dyDescent="0.2">
      <c r="A2618" s="86"/>
      <c r="B2618" s="29" t="s">
        <v>6830</v>
      </c>
      <c r="C2618" s="29" t="s">
        <v>6841</v>
      </c>
      <c r="D2618" s="29" t="s">
        <v>1719</v>
      </c>
      <c r="E2618" s="30" t="b">
        <v>1</v>
      </c>
      <c r="F2618" s="31" t="str">
        <f>HYPERLINK("http://nsgreg.nga.mil/genc/view?v=212713&amp;end_month=12&amp;end_day=31&amp;end_year=2014","Uthuru")</f>
        <v>Uthuru</v>
      </c>
      <c r="G2618" s="32" t="str">
        <f>HYPERLINK("http://api.nsgreg.nga.mil/geo-division/GENC/6/ed3/MV-NO","as:GENC:6:ed3:MV-NO")</f>
        <v>as:GENC:6:ed3:MV-NO</v>
      </c>
    </row>
    <row r="2619" spans="1:7" x14ac:dyDescent="0.2">
      <c r="A2619" s="84" t="str">
        <f>HYPERLINK("[#]Codes_for_GE_Names!A164:I164","MALI")</f>
        <v>MALI</v>
      </c>
      <c r="B2619" s="33" t="s">
        <v>6843</v>
      </c>
      <c r="C2619" s="33" t="s">
        <v>6844</v>
      </c>
      <c r="D2619" s="33" t="s">
        <v>1790</v>
      </c>
      <c r="E2619" s="34" t="b">
        <v>1</v>
      </c>
      <c r="F2619" s="35" t="str">
        <f>HYPERLINK("http://nsgreg.nga.mil/genc/view?v=120882&amp;gencs=T&amp;end_month=12&amp;end_day=31&amp;end_year=2014","Bamako")</f>
        <v>Bamako</v>
      </c>
      <c r="G2619" s="36" t="str">
        <f>HYPERLINK("http://api.nsgreg.nga.mil/geo-division/GENC/6/ed3/ML-BKO","as:GENC:6:ed3:ML-BKO")</f>
        <v>as:GENC:6:ed3:ML-BKO</v>
      </c>
    </row>
    <row r="2620" spans="1:7" x14ac:dyDescent="0.2">
      <c r="A2620" s="85"/>
      <c r="B2620" s="25" t="s">
        <v>6845</v>
      </c>
      <c r="C2620" s="25" t="s">
        <v>6846</v>
      </c>
      <c r="D2620" s="25" t="s">
        <v>2087</v>
      </c>
      <c r="E2620" s="26" t="b">
        <v>1</v>
      </c>
      <c r="F2620" s="27" t="str">
        <f>HYPERLINK("http://nsgreg.nga.mil/genc/view?v=120880&amp;gencs=T&amp;end_month=12&amp;end_day=31&amp;end_year=2014","Gao")</f>
        <v>Gao</v>
      </c>
      <c r="G2620" s="28" t="str">
        <f>HYPERLINK("http://api.nsgreg.nga.mil/geo-division/GENC/6/ed3/ML-7","as:GENC:6:ed3:ML-7")</f>
        <v>as:GENC:6:ed3:ML-7</v>
      </c>
    </row>
    <row r="2621" spans="1:7" x14ac:dyDescent="0.2">
      <c r="A2621" s="85"/>
      <c r="B2621" s="25" t="s">
        <v>6847</v>
      </c>
      <c r="C2621" s="25" t="s">
        <v>6848</v>
      </c>
      <c r="D2621" s="25" t="s">
        <v>2087</v>
      </c>
      <c r="E2621" s="26" t="b">
        <v>1</v>
      </c>
      <c r="F2621" s="27" t="str">
        <f>HYPERLINK("http://nsgreg.nga.mil/genc/view?v=120874&amp;gencs=T&amp;end_month=12&amp;end_day=31&amp;end_year=2014","Kayes")</f>
        <v>Kayes</v>
      </c>
      <c r="G2621" s="28" t="str">
        <f>HYPERLINK("http://api.nsgreg.nga.mil/geo-division/GENC/6/ed3/ML-1","as:GENC:6:ed3:ML-1")</f>
        <v>as:GENC:6:ed3:ML-1</v>
      </c>
    </row>
    <row r="2622" spans="1:7" x14ac:dyDescent="0.2">
      <c r="A2622" s="85"/>
      <c r="B2622" s="25" t="s">
        <v>6849</v>
      </c>
      <c r="C2622" s="25" t="s">
        <v>6850</v>
      </c>
      <c r="D2622" s="25" t="s">
        <v>2087</v>
      </c>
      <c r="E2622" s="26" t="b">
        <v>1</v>
      </c>
      <c r="F2622" s="27" t="str">
        <f>HYPERLINK("http://nsgreg.nga.mil/genc/view?v=120881&amp;gencs=T&amp;end_month=12&amp;end_day=31&amp;end_year=2014","Kidal")</f>
        <v>Kidal</v>
      </c>
      <c r="G2622" s="28" t="str">
        <f>HYPERLINK("http://api.nsgreg.nga.mil/geo-division/GENC/6/ed3/ML-8","as:GENC:6:ed3:ML-8")</f>
        <v>as:GENC:6:ed3:ML-8</v>
      </c>
    </row>
    <row r="2623" spans="1:7" x14ac:dyDescent="0.2">
      <c r="A2623" s="85"/>
      <c r="B2623" s="25" t="s">
        <v>6851</v>
      </c>
      <c r="C2623" s="25" t="s">
        <v>6852</v>
      </c>
      <c r="D2623" s="25" t="s">
        <v>2087</v>
      </c>
      <c r="E2623" s="26" t="b">
        <v>1</v>
      </c>
      <c r="F2623" s="27" t="str">
        <f>HYPERLINK("http://nsgreg.nga.mil/genc/view?v=120875&amp;gencs=T&amp;end_month=12&amp;end_day=31&amp;end_year=2014","Koulikoro")</f>
        <v>Koulikoro</v>
      </c>
      <c r="G2623" s="28" t="str">
        <f>HYPERLINK("http://api.nsgreg.nga.mil/geo-division/GENC/6/ed3/ML-2","as:GENC:6:ed3:ML-2")</f>
        <v>as:GENC:6:ed3:ML-2</v>
      </c>
    </row>
    <row r="2624" spans="1:7" x14ac:dyDescent="0.2">
      <c r="A2624" s="85"/>
      <c r="B2624" s="25" t="s">
        <v>6853</v>
      </c>
      <c r="C2624" s="25" t="s">
        <v>6854</v>
      </c>
      <c r="D2624" s="25" t="s">
        <v>2087</v>
      </c>
      <c r="E2624" s="26" t="b">
        <v>1</v>
      </c>
      <c r="F2624" s="27" t="str">
        <f>HYPERLINK("http://nsgreg.nga.mil/genc/view?v=120878&amp;gencs=T&amp;end_month=12&amp;end_day=31&amp;end_year=2014","Mopti")</f>
        <v>Mopti</v>
      </c>
      <c r="G2624" s="28" t="str">
        <f>HYPERLINK("http://api.nsgreg.nga.mil/geo-division/GENC/6/ed3/ML-5","as:GENC:6:ed3:ML-5")</f>
        <v>as:GENC:6:ed3:ML-5</v>
      </c>
    </row>
    <row r="2625" spans="1:7" x14ac:dyDescent="0.2">
      <c r="A2625" s="85"/>
      <c r="B2625" s="25" t="s">
        <v>6857</v>
      </c>
      <c r="C2625" s="25" t="s">
        <v>6858</v>
      </c>
      <c r="D2625" s="25" t="s">
        <v>2087</v>
      </c>
      <c r="E2625" s="26" t="b">
        <v>1</v>
      </c>
      <c r="F2625" s="27" t="str">
        <f>HYPERLINK("http://nsgreg.nga.mil/genc/view?v=120877&amp;gencs=T&amp;end_month=12&amp;end_day=31&amp;end_year=2014","Ségou")</f>
        <v>Ségou</v>
      </c>
      <c r="G2625" s="28" t="str">
        <f>HYPERLINK("http://api.nsgreg.nga.mil/geo-division/GENC/6/ed3/ML-4","as:GENC:6:ed3:ML-4")</f>
        <v>as:GENC:6:ed3:ML-4</v>
      </c>
    </row>
    <row r="2626" spans="1:7" x14ac:dyDescent="0.2">
      <c r="A2626" s="85"/>
      <c r="B2626" s="25" t="s">
        <v>6855</v>
      </c>
      <c r="C2626" s="25" t="s">
        <v>6856</v>
      </c>
      <c r="D2626" s="25" t="s">
        <v>2087</v>
      </c>
      <c r="E2626" s="26" t="b">
        <v>1</v>
      </c>
      <c r="F2626" s="27" t="str">
        <f>HYPERLINK("http://nsgreg.nga.mil/genc/view?v=120876&amp;gencs=T&amp;end_month=12&amp;end_day=31&amp;end_year=2014","Sikasso")</f>
        <v>Sikasso</v>
      </c>
      <c r="G2626" s="28" t="str">
        <f>HYPERLINK("http://api.nsgreg.nga.mil/geo-division/GENC/6/ed3/ML-3","as:GENC:6:ed3:ML-3")</f>
        <v>as:GENC:6:ed3:ML-3</v>
      </c>
    </row>
    <row r="2627" spans="1:7" x14ac:dyDescent="0.2">
      <c r="A2627" s="86"/>
      <c r="B2627" s="29" t="s">
        <v>6859</v>
      </c>
      <c r="C2627" s="29" t="s">
        <v>6860</v>
      </c>
      <c r="D2627" s="29" t="s">
        <v>2087</v>
      </c>
      <c r="E2627" s="30" t="b">
        <v>1</v>
      </c>
      <c r="F2627" s="31" t="str">
        <f>HYPERLINK("http://nsgreg.nga.mil/genc/view?v=120879&amp;gencs=T&amp;end_month=12&amp;end_day=31&amp;end_year=2014","Tombouctou")</f>
        <v>Tombouctou</v>
      </c>
      <c r="G2627" s="32" t="str">
        <f>HYPERLINK("http://api.nsgreg.nga.mil/geo-division/GENC/6/ed3/ML-6","as:GENC:6:ed3:ML-6")</f>
        <v>as:GENC:6:ed3:ML-6</v>
      </c>
    </row>
    <row r="2628" spans="1:7" x14ac:dyDescent="0.2">
      <c r="A2628" s="84" t="str">
        <f>HYPERLINK("[#]Codes_for_GE_Names!A165:I165","MALTA")</f>
        <v>MALTA</v>
      </c>
      <c r="B2628" s="33" t="s">
        <v>6861</v>
      </c>
      <c r="C2628" s="33" t="s">
        <v>6862</v>
      </c>
      <c r="D2628" s="33" t="s">
        <v>13018</v>
      </c>
      <c r="E2628" s="34" t="b">
        <v>1</v>
      </c>
      <c r="F2628" s="35" t="str">
        <f>HYPERLINK("http://nsgreg.nga.mil/genc/view?v=212620&amp;end_month=12&amp;end_day=31&amp;end_year=2014","Attard")</f>
        <v>Attard</v>
      </c>
      <c r="G2628" s="36" t="str">
        <f>HYPERLINK("http://api.nsgreg.nga.mil/geo-division/GENC/6/ed3/MT-01","as:GENC:6:ed3:MT-01")</f>
        <v>as:GENC:6:ed3:MT-01</v>
      </c>
    </row>
    <row r="2629" spans="1:7" x14ac:dyDescent="0.2">
      <c r="A2629" s="85"/>
      <c r="B2629" s="25" t="s">
        <v>6864</v>
      </c>
      <c r="C2629" s="25" t="s">
        <v>6865</v>
      </c>
      <c r="D2629" s="25" t="s">
        <v>13018</v>
      </c>
      <c r="E2629" s="26" t="b">
        <v>1</v>
      </c>
      <c r="F2629" s="27" t="str">
        <f>HYPERLINK("http://nsgreg.nga.mil/genc/view?v=212621&amp;end_month=12&amp;end_day=31&amp;end_year=2014","Balzan")</f>
        <v>Balzan</v>
      </c>
      <c r="G2629" s="28" t="str">
        <f>HYPERLINK("http://api.nsgreg.nga.mil/geo-division/GENC/6/ed3/MT-02","as:GENC:6:ed3:MT-02")</f>
        <v>as:GENC:6:ed3:MT-02</v>
      </c>
    </row>
    <row r="2630" spans="1:7" x14ac:dyDescent="0.2">
      <c r="A2630" s="85"/>
      <c r="B2630" s="25" t="s">
        <v>6866</v>
      </c>
      <c r="C2630" s="25" t="s">
        <v>6867</v>
      </c>
      <c r="D2630" s="25" t="s">
        <v>13018</v>
      </c>
      <c r="E2630" s="26" t="b">
        <v>1</v>
      </c>
      <c r="F2630" s="27" t="str">
        <f>HYPERLINK("http://nsgreg.nga.mil/genc/view?v=212622&amp;end_month=12&amp;end_day=31&amp;end_year=2014","Birgu")</f>
        <v>Birgu</v>
      </c>
      <c r="G2630" s="28" t="str">
        <f>HYPERLINK("http://api.nsgreg.nga.mil/geo-division/GENC/6/ed3/MT-03","as:GENC:6:ed3:MT-03")</f>
        <v>as:GENC:6:ed3:MT-03</v>
      </c>
    </row>
    <row r="2631" spans="1:7" x14ac:dyDescent="0.2">
      <c r="A2631" s="85"/>
      <c r="B2631" s="25" t="s">
        <v>6868</v>
      </c>
      <c r="C2631" s="25" t="s">
        <v>6869</v>
      </c>
      <c r="D2631" s="25" t="s">
        <v>13018</v>
      </c>
      <c r="E2631" s="26" t="b">
        <v>1</v>
      </c>
      <c r="F2631" s="27" t="str">
        <f>HYPERLINK("http://nsgreg.nga.mil/genc/view?v=212623&amp;end_month=12&amp;end_day=31&amp;end_year=2014","Birkirkara")</f>
        <v>Birkirkara</v>
      </c>
      <c r="G2631" s="28" t="str">
        <f>HYPERLINK("http://api.nsgreg.nga.mil/geo-division/GENC/6/ed3/MT-04","as:GENC:6:ed3:MT-04")</f>
        <v>as:GENC:6:ed3:MT-04</v>
      </c>
    </row>
    <row r="2632" spans="1:7" x14ac:dyDescent="0.2">
      <c r="A2632" s="85"/>
      <c r="B2632" s="25" t="s">
        <v>6870</v>
      </c>
      <c r="C2632" s="25" t="s">
        <v>6871</v>
      </c>
      <c r="D2632" s="25" t="s">
        <v>13018</v>
      </c>
      <c r="E2632" s="26" t="b">
        <v>1</v>
      </c>
      <c r="F2632" s="27" t="str">
        <f>HYPERLINK("http://nsgreg.nga.mil/genc/view?v=212624&amp;end_month=12&amp;end_day=31&amp;end_year=2014","Birżebbuġa")</f>
        <v>Birżebbuġa</v>
      </c>
      <c r="G2632" s="28" t="str">
        <f>HYPERLINK("http://api.nsgreg.nga.mil/geo-division/GENC/6/ed3/MT-05","as:GENC:6:ed3:MT-05")</f>
        <v>as:GENC:6:ed3:MT-05</v>
      </c>
    </row>
    <row r="2633" spans="1:7" x14ac:dyDescent="0.2">
      <c r="A2633" s="85"/>
      <c r="B2633" s="25" t="s">
        <v>6872</v>
      </c>
      <c r="C2633" s="25" t="s">
        <v>6873</v>
      </c>
      <c r="D2633" s="25" t="s">
        <v>13018</v>
      </c>
      <c r="E2633" s="26" t="b">
        <v>1</v>
      </c>
      <c r="F2633" s="27" t="str">
        <f>HYPERLINK("http://nsgreg.nga.mil/genc/view?v=212625&amp;end_month=12&amp;end_day=31&amp;end_year=2014","Bormla")</f>
        <v>Bormla</v>
      </c>
      <c r="G2633" s="28" t="str">
        <f>HYPERLINK("http://api.nsgreg.nga.mil/geo-division/GENC/6/ed3/MT-06","as:GENC:6:ed3:MT-06")</f>
        <v>as:GENC:6:ed3:MT-06</v>
      </c>
    </row>
    <row r="2634" spans="1:7" x14ac:dyDescent="0.2">
      <c r="A2634" s="85"/>
      <c r="B2634" s="25" t="s">
        <v>6874</v>
      </c>
      <c r="C2634" s="25" t="s">
        <v>6875</v>
      </c>
      <c r="D2634" s="25" t="s">
        <v>13018</v>
      </c>
      <c r="E2634" s="26" t="b">
        <v>1</v>
      </c>
      <c r="F2634" s="27" t="str">
        <f>HYPERLINK("http://nsgreg.nga.mil/genc/view?v=212626&amp;end_month=12&amp;end_day=31&amp;end_year=2014","Dingli")</f>
        <v>Dingli</v>
      </c>
      <c r="G2634" s="28" t="str">
        <f>HYPERLINK("http://api.nsgreg.nga.mil/geo-division/GENC/6/ed3/MT-07","as:GENC:6:ed3:MT-07")</f>
        <v>as:GENC:6:ed3:MT-07</v>
      </c>
    </row>
    <row r="2635" spans="1:7" x14ac:dyDescent="0.2">
      <c r="A2635" s="85"/>
      <c r="B2635" s="25" t="s">
        <v>6876</v>
      </c>
      <c r="C2635" s="25" t="s">
        <v>6877</v>
      </c>
      <c r="D2635" s="25" t="s">
        <v>13018</v>
      </c>
      <c r="E2635" s="26" t="b">
        <v>1</v>
      </c>
      <c r="F2635" s="27" t="str">
        <f>HYPERLINK("http://nsgreg.nga.mil/genc/view?v=212627&amp;end_month=12&amp;end_day=31&amp;end_year=2014","Fgura")</f>
        <v>Fgura</v>
      </c>
      <c r="G2635" s="28" t="str">
        <f>HYPERLINK("http://api.nsgreg.nga.mil/geo-division/GENC/6/ed3/MT-08","as:GENC:6:ed3:MT-08")</f>
        <v>as:GENC:6:ed3:MT-08</v>
      </c>
    </row>
    <row r="2636" spans="1:7" x14ac:dyDescent="0.2">
      <c r="A2636" s="85"/>
      <c r="B2636" s="25" t="s">
        <v>6878</v>
      </c>
      <c r="C2636" s="25" t="s">
        <v>6879</v>
      </c>
      <c r="D2636" s="25" t="s">
        <v>13018</v>
      </c>
      <c r="E2636" s="26" t="b">
        <v>1</v>
      </c>
      <c r="F2636" s="27" t="str">
        <f>HYPERLINK("http://nsgreg.nga.mil/genc/view?v=212628&amp;end_month=12&amp;end_day=31&amp;end_year=2014","Floriana")</f>
        <v>Floriana</v>
      </c>
      <c r="G2636" s="28" t="str">
        <f>HYPERLINK("http://api.nsgreg.nga.mil/geo-division/GENC/6/ed3/MT-09","as:GENC:6:ed3:MT-09")</f>
        <v>as:GENC:6:ed3:MT-09</v>
      </c>
    </row>
    <row r="2637" spans="1:7" x14ac:dyDescent="0.2">
      <c r="A2637" s="85"/>
      <c r="B2637" s="25" t="s">
        <v>6880</v>
      </c>
      <c r="C2637" s="25" t="s">
        <v>6881</v>
      </c>
      <c r="D2637" s="25" t="s">
        <v>13018</v>
      </c>
      <c r="E2637" s="26" t="b">
        <v>1</v>
      </c>
      <c r="F2637" s="27" t="str">
        <f>HYPERLINK("http://nsgreg.nga.mil/genc/view?v=212629&amp;end_month=12&amp;end_day=31&amp;end_year=2014","Fontana")</f>
        <v>Fontana</v>
      </c>
      <c r="G2637" s="28" t="str">
        <f>HYPERLINK("http://api.nsgreg.nga.mil/geo-division/GENC/6/ed3/MT-10","as:GENC:6:ed3:MT-10")</f>
        <v>as:GENC:6:ed3:MT-10</v>
      </c>
    </row>
    <row r="2638" spans="1:7" x14ac:dyDescent="0.2">
      <c r="A2638" s="85"/>
      <c r="B2638" s="25" t="s">
        <v>6884</v>
      </c>
      <c r="C2638" s="25" t="s">
        <v>6885</v>
      </c>
      <c r="D2638" s="25" t="s">
        <v>13018</v>
      </c>
      <c r="E2638" s="26" t="b">
        <v>1</v>
      </c>
      <c r="F2638" s="27" t="str">
        <f>HYPERLINK("http://nsgreg.nga.mil/genc/view?v=212632&amp;end_month=12&amp;end_day=31&amp;end_year=2014","Għajnsielem")</f>
        <v>Għajnsielem</v>
      </c>
      <c r="G2638" s="28" t="str">
        <f>HYPERLINK("http://api.nsgreg.nga.mil/geo-division/GENC/6/ed3/MT-13","as:GENC:6:ed3:MT-13")</f>
        <v>as:GENC:6:ed3:MT-13</v>
      </c>
    </row>
    <row r="2639" spans="1:7" x14ac:dyDescent="0.2">
      <c r="A2639" s="85"/>
      <c r="B2639" s="25" t="s">
        <v>6886</v>
      </c>
      <c r="C2639" s="25" t="s">
        <v>6887</v>
      </c>
      <c r="D2639" s="25" t="s">
        <v>13018</v>
      </c>
      <c r="E2639" s="26" t="b">
        <v>1</v>
      </c>
      <c r="F2639" s="27" t="str">
        <f>HYPERLINK("http://nsgreg.nga.mil/genc/view?v=212633&amp;end_month=12&amp;end_day=31&amp;end_year=2014","Għarb")</f>
        <v>Għarb</v>
      </c>
      <c r="G2639" s="28" t="str">
        <f>HYPERLINK("http://api.nsgreg.nga.mil/geo-division/GENC/6/ed3/MT-14","as:GENC:6:ed3:MT-14")</f>
        <v>as:GENC:6:ed3:MT-14</v>
      </c>
    </row>
    <row r="2640" spans="1:7" x14ac:dyDescent="0.2">
      <c r="A2640" s="85"/>
      <c r="B2640" s="25" t="s">
        <v>6888</v>
      </c>
      <c r="C2640" s="25" t="s">
        <v>6889</v>
      </c>
      <c r="D2640" s="25" t="s">
        <v>13018</v>
      </c>
      <c r="E2640" s="26" t="b">
        <v>1</v>
      </c>
      <c r="F2640" s="27" t="str">
        <f>HYPERLINK("http://nsgreg.nga.mil/genc/view?v=212634&amp;end_month=12&amp;end_day=31&amp;end_year=2014","Għargħur")</f>
        <v>Għargħur</v>
      </c>
      <c r="G2640" s="28" t="str">
        <f>HYPERLINK("http://api.nsgreg.nga.mil/geo-division/GENC/6/ed3/MT-15","as:GENC:6:ed3:MT-15")</f>
        <v>as:GENC:6:ed3:MT-15</v>
      </c>
    </row>
    <row r="2641" spans="1:7" x14ac:dyDescent="0.2">
      <c r="A2641" s="85"/>
      <c r="B2641" s="25" t="s">
        <v>6890</v>
      </c>
      <c r="C2641" s="25" t="s">
        <v>6891</v>
      </c>
      <c r="D2641" s="25" t="s">
        <v>13018</v>
      </c>
      <c r="E2641" s="26" t="b">
        <v>1</v>
      </c>
      <c r="F2641" s="27" t="str">
        <f>HYPERLINK("http://nsgreg.nga.mil/genc/view?v=212635&amp;end_month=12&amp;end_day=31&amp;end_year=2014","Għasri")</f>
        <v>Għasri</v>
      </c>
      <c r="G2641" s="28" t="str">
        <f>HYPERLINK("http://api.nsgreg.nga.mil/geo-division/GENC/6/ed3/MT-16","as:GENC:6:ed3:MT-16")</f>
        <v>as:GENC:6:ed3:MT-16</v>
      </c>
    </row>
    <row r="2642" spans="1:7" x14ac:dyDescent="0.2">
      <c r="A2642" s="85"/>
      <c r="B2642" s="25" t="s">
        <v>6892</v>
      </c>
      <c r="C2642" s="25" t="s">
        <v>6893</v>
      </c>
      <c r="D2642" s="25" t="s">
        <v>13018</v>
      </c>
      <c r="E2642" s="26" t="b">
        <v>1</v>
      </c>
      <c r="F2642" s="27" t="str">
        <f>HYPERLINK("http://nsgreg.nga.mil/genc/view?v=212636&amp;end_month=12&amp;end_day=31&amp;end_year=2014","Għaxaq")</f>
        <v>Għaxaq</v>
      </c>
      <c r="G2642" s="28" t="str">
        <f>HYPERLINK("http://api.nsgreg.nga.mil/geo-division/GENC/6/ed3/MT-17","as:GENC:6:ed3:MT-17")</f>
        <v>as:GENC:6:ed3:MT-17</v>
      </c>
    </row>
    <row r="2643" spans="1:7" x14ac:dyDescent="0.2">
      <c r="A2643" s="85"/>
      <c r="B2643" s="25" t="s">
        <v>6882</v>
      </c>
      <c r="C2643" s="25" t="s">
        <v>6883</v>
      </c>
      <c r="D2643" s="25" t="s">
        <v>13018</v>
      </c>
      <c r="E2643" s="26" t="b">
        <v>1</v>
      </c>
      <c r="F2643" s="27" t="str">
        <f>HYPERLINK("http://nsgreg.nga.mil/genc/view?v=212630&amp;end_month=12&amp;end_day=31&amp;end_year=2014","Gudja")</f>
        <v>Gudja</v>
      </c>
      <c r="G2643" s="28" t="str">
        <f>HYPERLINK("http://api.nsgreg.nga.mil/geo-division/GENC/6/ed3/MT-11","as:GENC:6:ed3:MT-11")</f>
        <v>as:GENC:6:ed3:MT-11</v>
      </c>
    </row>
    <row r="2644" spans="1:7" x14ac:dyDescent="0.2">
      <c r="A2644" s="85"/>
      <c r="B2644" s="25" t="s">
        <v>6894</v>
      </c>
      <c r="C2644" s="25" t="s">
        <v>6895</v>
      </c>
      <c r="D2644" s="25" t="s">
        <v>13018</v>
      </c>
      <c r="E2644" s="26" t="b">
        <v>1</v>
      </c>
      <c r="F2644" s="27" t="str">
        <f>HYPERLINK("http://nsgreg.nga.mil/genc/view?v=212631&amp;end_month=12&amp;end_day=31&amp;end_year=2014","Gżira")</f>
        <v>Gżira</v>
      </c>
      <c r="G2644" s="28" t="str">
        <f>HYPERLINK("http://api.nsgreg.nga.mil/geo-division/GENC/6/ed3/MT-12","as:GENC:6:ed3:MT-12")</f>
        <v>as:GENC:6:ed3:MT-12</v>
      </c>
    </row>
    <row r="2645" spans="1:7" x14ac:dyDescent="0.2">
      <c r="A2645" s="85"/>
      <c r="B2645" s="25" t="s">
        <v>6991</v>
      </c>
      <c r="C2645" s="25" t="s">
        <v>6992</v>
      </c>
      <c r="D2645" s="25" t="s">
        <v>13018</v>
      </c>
      <c r="E2645" s="26" t="b">
        <v>1</v>
      </c>
      <c r="F2645" s="27" t="str">
        <f>HYPERLINK("http://nsgreg.nga.mil/genc/view?v=212637&amp;end_month=12&amp;end_day=31&amp;end_year=2014","Ħamrun")</f>
        <v>Ħamrun</v>
      </c>
      <c r="G2645" s="28" t="str">
        <f>HYPERLINK("http://api.nsgreg.nga.mil/geo-division/GENC/6/ed3/MT-18","as:GENC:6:ed3:MT-18")</f>
        <v>as:GENC:6:ed3:MT-18</v>
      </c>
    </row>
    <row r="2646" spans="1:7" x14ac:dyDescent="0.2">
      <c r="A2646" s="85"/>
      <c r="B2646" s="25" t="s">
        <v>6896</v>
      </c>
      <c r="C2646" s="25" t="s">
        <v>6897</v>
      </c>
      <c r="D2646" s="25" t="s">
        <v>13018</v>
      </c>
      <c r="E2646" s="26" t="b">
        <v>1</v>
      </c>
      <c r="F2646" s="27" t="str">
        <f>HYPERLINK("http://nsgreg.nga.mil/genc/view?v=212638&amp;end_month=12&amp;end_day=31&amp;end_year=2014","Iklin")</f>
        <v>Iklin</v>
      </c>
      <c r="G2646" s="28" t="str">
        <f>HYPERLINK("http://api.nsgreg.nga.mil/geo-division/GENC/6/ed3/MT-19","as:GENC:6:ed3:MT-19")</f>
        <v>as:GENC:6:ed3:MT-19</v>
      </c>
    </row>
    <row r="2647" spans="1:7" x14ac:dyDescent="0.2">
      <c r="A2647" s="85"/>
      <c r="B2647" s="25" t="s">
        <v>6916</v>
      </c>
      <c r="C2647" s="25" t="s">
        <v>13019</v>
      </c>
      <c r="D2647" s="25" t="s">
        <v>13018</v>
      </c>
      <c r="E2647" s="26" t="b">
        <v>1</v>
      </c>
      <c r="F2647" s="27" t="str">
        <f>HYPERLINK("http://nsgreg.nga.mil/genc/view?v=212648&amp;end_month=12&amp;end_day=31&amp;end_year=2014","Imdina")</f>
        <v>Imdina</v>
      </c>
      <c r="G2647" s="28" t="str">
        <f>HYPERLINK("http://api.nsgreg.nga.mil/geo-division/GENC/6/ed3/MT-29","as:GENC:6:ed3:MT-29")</f>
        <v>as:GENC:6:ed3:MT-29</v>
      </c>
    </row>
    <row r="2648" spans="1:7" x14ac:dyDescent="0.2">
      <c r="A2648" s="85"/>
      <c r="B2648" s="25" t="s">
        <v>6930</v>
      </c>
      <c r="C2648" s="25" t="s">
        <v>13020</v>
      </c>
      <c r="D2648" s="25" t="s">
        <v>13018</v>
      </c>
      <c r="E2648" s="26" t="b">
        <v>1</v>
      </c>
      <c r="F2648" s="27" t="str">
        <f>HYPERLINK("http://nsgreg.nga.mil/genc/view?v=212650&amp;end_month=12&amp;end_day=31&amp;end_year=2014","Imġarr")</f>
        <v>Imġarr</v>
      </c>
      <c r="G2648" s="28" t="str">
        <f>HYPERLINK("http://api.nsgreg.nga.mil/geo-division/GENC/6/ed3/MT-31","as:GENC:6:ed3:MT-31")</f>
        <v>as:GENC:6:ed3:MT-31</v>
      </c>
    </row>
    <row r="2649" spans="1:7" x14ac:dyDescent="0.2">
      <c r="A2649" s="85"/>
      <c r="B2649" s="25" t="s">
        <v>6922</v>
      </c>
      <c r="C2649" s="25" t="s">
        <v>13021</v>
      </c>
      <c r="D2649" s="25" t="s">
        <v>13018</v>
      </c>
      <c r="E2649" s="26" t="b">
        <v>1</v>
      </c>
      <c r="F2649" s="27" t="str">
        <f>HYPERLINK("http://nsgreg.nga.mil/genc/view?v=212652&amp;end_month=12&amp;end_day=31&amp;end_year=2014","Imqabba")</f>
        <v>Imqabba</v>
      </c>
      <c r="G2649" s="28" t="str">
        <f>HYPERLINK("http://api.nsgreg.nga.mil/geo-division/GENC/6/ed3/MT-33","as:GENC:6:ed3:MT-33")</f>
        <v>as:GENC:6:ed3:MT-33</v>
      </c>
    </row>
    <row r="2650" spans="1:7" x14ac:dyDescent="0.2">
      <c r="A2650" s="85"/>
      <c r="B2650" s="25" t="s">
        <v>6924</v>
      </c>
      <c r="C2650" s="25" t="s">
        <v>13022</v>
      </c>
      <c r="D2650" s="25" t="s">
        <v>13018</v>
      </c>
      <c r="E2650" s="26" t="b">
        <v>1</v>
      </c>
      <c r="F2650" s="27" t="str">
        <f>HYPERLINK("http://nsgreg.nga.mil/genc/view?v=212653&amp;end_month=12&amp;end_day=31&amp;end_year=2014","Imsida")</f>
        <v>Imsida</v>
      </c>
      <c r="G2650" s="28" t="str">
        <f>HYPERLINK("http://api.nsgreg.nga.mil/geo-division/GENC/6/ed3/MT-34","as:GENC:6:ed3:MT-34")</f>
        <v>as:GENC:6:ed3:MT-34</v>
      </c>
    </row>
    <row r="2651" spans="1:7" x14ac:dyDescent="0.2">
      <c r="A2651" s="85"/>
      <c r="B2651" s="25" t="s">
        <v>6926</v>
      </c>
      <c r="C2651" s="25" t="s">
        <v>13023</v>
      </c>
      <c r="D2651" s="25" t="s">
        <v>13018</v>
      </c>
      <c r="E2651" s="26" t="b">
        <v>1</v>
      </c>
      <c r="F2651" s="27" t="str">
        <f>HYPERLINK("http://nsgreg.nga.mil/genc/view?v=212654&amp;end_month=12&amp;end_day=31&amp;end_year=2014","Imtarfa")</f>
        <v>Imtarfa</v>
      </c>
      <c r="G2651" s="28" t="str">
        <f>HYPERLINK("http://api.nsgreg.nga.mil/geo-division/GENC/6/ed3/MT-35","as:GENC:6:ed3:MT-35")</f>
        <v>as:GENC:6:ed3:MT-35</v>
      </c>
    </row>
    <row r="2652" spans="1:7" x14ac:dyDescent="0.2">
      <c r="A2652" s="85"/>
      <c r="B2652" s="25" t="s">
        <v>6898</v>
      </c>
      <c r="C2652" s="25" t="s">
        <v>6899</v>
      </c>
      <c r="D2652" s="25" t="s">
        <v>13018</v>
      </c>
      <c r="E2652" s="26" t="b">
        <v>1</v>
      </c>
      <c r="F2652" s="27" t="str">
        <f>HYPERLINK("http://nsgreg.nga.mil/genc/view?v=212639&amp;end_month=12&amp;end_day=31&amp;end_year=2014","Isla")</f>
        <v>Isla</v>
      </c>
      <c r="G2652" s="28" t="str">
        <f>HYPERLINK("http://api.nsgreg.nga.mil/geo-division/GENC/6/ed3/MT-20","as:GENC:6:ed3:MT-20")</f>
        <v>as:GENC:6:ed3:MT-20</v>
      </c>
    </row>
    <row r="2653" spans="1:7" x14ac:dyDescent="0.2">
      <c r="A2653" s="85"/>
      <c r="B2653" s="25" t="s">
        <v>6900</v>
      </c>
      <c r="C2653" s="25" t="s">
        <v>6901</v>
      </c>
      <c r="D2653" s="25" t="s">
        <v>13018</v>
      </c>
      <c r="E2653" s="26" t="b">
        <v>1</v>
      </c>
      <c r="F2653" s="27" t="str">
        <f>HYPERLINK("http://nsgreg.nga.mil/genc/view?v=212640&amp;end_month=12&amp;end_day=31&amp;end_year=2014","Kalkara")</f>
        <v>Kalkara</v>
      </c>
      <c r="G2653" s="28" t="str">
        <f>HYPERLINK("http://api.nsgreg.nga.mil/geo-division/GENC/6/ed3/MT-21","as:GENC:6:ed3:MT-21")</f>
        <v>as:GENC:6:ed3:MT-21</v>
      </c>
    </row>
    <row r="2654" spans="1:7" x14ac:dyDescent="0.2">
      <c r="A2654" s="85"/>
      <c r="B2654" s="25" t="s">
        <v>6902</v>
      </c>
      <c r="C2654" s="25" t="s">
        <v>6903</v>
      </c>
      <c r="D2654" s="25" t="s">
        <v>13018</v>
      </c>
      <c r="E2654" s="26" t="b">
        <v>1</v>
      </c>
      <c r="F2654" s="27" t="str">
        <f>HYPERLINK("http://nsgreg.nga.mil/genc/view?v=212641&amp;end_month=12&amp;end_day=31&amp;end_year=2014","Kerċem")</f>
        <v>Kerċem</v>
      </c>
      <c r="G2654" s="28" t="str">
        <f>HYPERLINK("http://api.nsgreg.nga.mil/geo-division/GENC/6/ed3/MT-22","as:GENC:6:ed3:MT-22")</f>
        <v>as:GENC:6:ed3:MT-22</v>
      </c>
    </row>
    <row r="2655" spans="1:7" x14ac:dyDescent="0.2">
      <c r="A2655" s="85"/>
      <c r="B2655" s="25" t="s">
        <v>6904</v>
      </c>
      <c r="C2655" s="25" t="s">
        <v>6905</v>
      </c>
      <c r="D2655" s="25" t="s">
        <v>13018</v>
      </c>
      <c r="E2655" s="26" t="b">
        <v>1</v>
      </c>
      <c r="F2655" s="27" t="str">
        <f>HYPERLINK("http://nsgreg.nga.mil/genc/view?v=212642&amp;end_month=12&amp;end_day=31&amp;end_year=2014","Kirkop")</f>
        <v>Kirkop</v>
      </c>
      <c r="G2655" s="28" t="str">
        <f>HYPERLINK("http://api.nsgreg.nga.mil/geo-division/GENC/6/ed3/MT-23","as:GENC:6:ed3:MT-23")</f>
        <v>as:GENC:6:ed3:MT-23</v>
      </c>
    </row>
    <row r="2656" spans="1:7" x14ac:dyDescent="0.2">
      <c r="A2656" s="85"/>
      <c r="B2656" s="25" t="s">
        <v>6906</v>
      </c>
      <c r="C2656" s="25" t="s">
        <v>6907</v>
      </c>
      <c r="D2656" s="25" t="s">
        <v>13018</v>
      </c>
      <c r="E2656" s="26" t="b">
        <v>1</v>
      </c>
      <c r="F2656" s="27" t="str">
        <f>HYPERLINK("http://nsgreg.nga.mil/genc/view?v=212643&amp;end_month=12&amp;end_day=31&amp;end_year=2014","Lija")</f>
        <v>Lija</v>
      </c>
      <c r="G2656" s="28" t="str">
        <f>HYPERLINK("http://api.nsgreg.nga.mil/geo-division/GENC/6/ed3/MT-24","as:GENC:6:ed3:MT-24")</f>
        <v>as:GENC:6:ed3:MT-24</v>
      </c>
    </row>
    <row r="2657" spans="1:7" x14ac:dyDescent="0.2">
      <c r="A2657" s="85"/>
      <c r="B2657" s="25" t="s">
        <v>6908</v>
      </c>
      <c r="C2657" s="25" t="s">
        <v>6909</v>
      </c>
      <c r="D2657" s="25" t="s">
        <v>13018</v>
      </c>
      <c r="E2657" s="26" t="b">
        <v>1</v>
      </c>
      <c r="F2657" s="27" t="str">
        <f>HYPERLINK("http://nsgreg.nga.mil/genc/view?v=212644&amp;end_month=12&amp;end_day=31&amp;end_year=2014","Luqa")</f>
        <v>Luqa</v>
      </c>
      <c r="G2657" s="28" t="str">
        <f>HYPERLINK("http://api.nsgreg.nga.mil/geo-division/GENC/6/ed3/MT-25","as:GENC:6:ed3:MT-25")</f>
        <v>as:GENC:6:ed3:MT-25</v>
      </c>
    </row>
    <row r="2658" spans="1:7" x14ac:dyDescent="0.2">
      <c r="A2658" s="85"/>
      <c r="B2658" s="25" t="s">
        <v>6910</v>
      </c>
      <c r="C2658" s="25" t="s">
        <v>6911</v>
      </c>
      <c r="D2658" s="25" t="s">
        <v>13018</v>
      </c>
      <c r="E2658" s="26" t="b">
        <v>1</v>
      </c>
      <c r="F2658" s="27" t="str">
        <f>HYPERLINK("http://nsgreg.nga.mil/genc/view?v=212645&amp;end_month=12&amp;end_day=31&amp;end_year=2014","Marsa")</f>
        <v>Marsa</v>
      </c>
      <c r="G2658" s="28" t="str">
        <f>HYPERLINK("http://api.nsgreg.nga.mil/geo-division/GENC/6/ed3/MT-26","as:GENC:6:ed3:MT-26")</f>
        <v>as:GENC:6:ed3:MT-26</v>
      </c>
    </row>
    <row r="2659" spans="1:7" x14ac:dyDescent="0.2">
      <c r="A2659" s="85"/>
      <c r="B2659" s="25" t="s">
        <v>6912</v>
      </c>
      <c r="C2659" s="25" t="s">
        <v>6913</v>
      </c>
      <c r="D2659" s="25" t="s">
        <v>13018</v>
      </c>
      <c r="E2659" s="26" t="b">
        <v>1</v>
      </c>
      <c r="F2659" s="27" t="str">
        <f>HYPERLINK("http://nsgreg.nga.mil/genc/view?v=212646&amp;end_month=12&amp;end_day=31&amp;end_year=2014","Marsaskala")</f>
        <v>Marsaskala</v>
      </c>
      <c r="G2659" s="28" t="str">
        <f>HYPERLINK("http://api.nsgreg.nga.mil/geo-division/GENC/6/ed3/MT-27","as:GENC:6:ed3:MT-27")</f>
        <v>as:GENC:6:ed3:MT-27</v>
      </c>
    </row>
    <row r="2660" spans="1:7" x14ac:dyDescent="0.2">
      <c r="A2660" s="85"/>
      <c r="B2660" s="25" t="s">
        <v>6914</v>
      </c>
      <c r="C2660" s="25" t="s">
        <v>6915</v>
      </c>
      <c r="D2660" s="25" t="s">
        <v>13018</v>
      </c>
      <c r="E2660" s="26" t="b">
        <v>1</v>
      </c>
      <c r="F2660" s="27" t="str">
        <f>HYPERLINK("http://nsgreg.nga.mil/genc/view?v=212647&amp;end_month=12&amp;end_day=31&amp;end_year=2014","Marsaxlokk")</f>
        <v>Marsaxlokk</v>
      </c>
      <c r="G2660" s="28" t="str">
        <f>HYPERLINK("http://api.nsgreg.nga.mil/geo-division/GENC/6/ed3/MT-28","as:GENC:6:ed3:MT-28")</f>
        <v>as:GENC:6:ed3:MT-28</v>
      </c>
    </row>
    <row r="2661" spans="1:7" x14ac:dyDescent="0.2">
      <c r="A2661" s="85"/>
      <c r="B2661" s="25" t="s">
        <v>6918</v>
      </c>
      <c r="C2661" s="25" t="s">
        <v>6919</v>
      </c>
      <c r="D2661" s="25" t="s">
        <v>13018</v>
      </c>
      <c r="E2661" s="26" t="b">
        <v>1</v>
      </c>
      <c r="F2661" s="27" t="str">
        <f>HYPERLINK("http://nsgreg.nga.mil/genc/view?v=212649&amp;end_month=12&amp;end_day=31&amp;end_year=2014","Mellieħa")</f>
        <v>Mellieħa</v>
      </c>
      <c r="G2661" s="28" t="str">
        <f>HYPERLINK("http://api.nsgreg.nga.mil/geo-division/GENC/6/ed3/MT-30","as:GENC:6:ed3:MT-30")</f>
        <v>as:GENC:6:ed3:MT-30</v>
      </c>
    </row>
    <row r="2662" spans="1:7" x14ac:dyDescent="0.2">
      <c r="A2662" s="85"/>
      <c r="B2662" s="25" t="s">
        <v>6920</v>
      </c>
      <c r="C2662" s="25" t="s">
        <v>6921</v>
      </c>
      <c r="D2662" s="25" t="s">
        <v>13018</v>
      </c>
      <c r="E2662" s="26" t="b">
        <v>1</v>
      </c>
      <c r="F2662" s="27" t="str">
        <f>HYPERLINK("http://nsgreg.nga.mil/genc/view?v=212651&amp;end_month=12&amp;end_day=31&amp;end_year=2014","Mosta")</f>
        <v>Mosta</v>
      </c>
      <c r="G2662" s="28" t="str">
        <f>HYPERLINK("http://api.nsgreg.nga.mil/geo-division/GENC/6/ed3/MT-32","as:GENC:6:ed3:MT-32")</f>
        <v>as:GENC:6:ed3:MT-32</v>
      </c>
    </row>
    <row r="2663" spans="1:7" x14ac:dyDescent="0.2">
      <c r="A2663" s="85"/>
      <c r="B2663" s="25" t="s">
        <v>6928</v>
      </c>
      <c r="C2663" s="25" t="s">
        <v>6929</v>
      </c>
      <c r="D2663" s="25" t="s">
        <v>13018</v>
      </c>
      <c r="E2663" s="26" t="b">
        <v>1</v>
      </c>
      <c r="F2663" s="27" t="str">
        <f>HYPERLINK("http://nsgreg.nga.mil/genc/view?v=212655&amp;end_month=12&amp;end_day=31&amp;end_year=2014","Munxar")</f>
        <v>Munxar</v>
      </c>
      <c r="G2663" s="28" t="str">
        <f>HYPERLINK("http://api.nsgreg.nga.mil/geo-division/GENC/6/ed3/MT-36","as:GENC:6:ed3:MT-36")</f>
        <v>as:GENC:6:ed3:MT-36</v>
      </c>
    </row>
    <row r="2664" spans="1:7" x14ac:dyDescent="0.2">
      <c r="A2664" s="85"/>
      <c r="B2664" s="25" t="s">
        <v>6932</v>
      </c>
      <c r="C2664" s="25" t="s">
        <v>6933</v>
      </c>
      <c r="D2664" s="25" t="s">
        <v>13018</v>
      </c>
      <c r="E2664" s="26" t="b">
        <v>1</v>
      </c>
      <c r="F2664" s="27" t="str">
        <f>HYPERLINK("http://nsgreg.nga.mil/genc/view?v=212656&amp;end_month=12&amp;end_day=31&amp;end_year=2014","Nadur")</f>
        <v>Nadur</v>
      </c>
      <c r="G2664" s="28" t="str">
        <f>HYPERLINK("http://api.nsgreg.nga.mil/geo-division/GENC/6/ed3/MT-37","as:GENC:6:ed3:MT-37")</f>
        <v>as:GENC:6:ed3:MT-37</v>
      </c>
    </row>
    <row r="2665" spans="1:7" x14ac:dyDescent="0.2">
      <c r="A2665" s="85"/>
      <c r="B2665" s="25" t="s">
        <v>6934</v>
      </c>
      <c r="C2665" s="25" t="s">
        <v>6935</v>
      </c>
      <c r="D2665" s="25" t="s">
        <v>13018</v>
      </c>
      <c r="E2665" s="26" t="b">
        <v>1</v>
      </c>
      <c r="F2665" s="27" t="str">
        <f>HYPERLINK("http://nsgreg.nga.mil/genc/view?v=212657&amp;end_month=12&amp;end_day=31&amp;end_year=2014","Naxxar")</f>
        <v>Naxxar</v>
      </c>
      <c r="G2665" s="28" t="str">
        <f>HYPERLINK("http://api.nsgreg.nga.mil/geo-division/GENC/6/ed3/MT-38","as:GENC:6:ed3:MT-38")</f>
        <v>as:GENC:6:ed3:MT-38</v>
      </c>
    </row>
    <row r="2666" spans="1:7" x14ac:dyDescent="0.2">
      <c r="A2666" s="85"/>
      <c r="B2666" s="25" t="s">
        <v>6936</v>
      </c>
      <c r="C2666" s="25" t="s">
        <v>6937</v>
      </c>
      <c r="D2666" s="25" t="s">
        <v>13018</v>
      </c>
      <c r="E2666" s="26" t="b">
        <v>1</v>
      </c>
      <c r="F2666" s="27" t="str">
        <f>HYPERLINK("http://nsgreg.nga.mil/genc/view?v=212658&amp;end_month=12&amp;end_day=31&amp;end_year=2014","Paola")</f>
        <v>Paola</v>
      </c>
      <c r="G2666" s="28" t="str">
        <f>HYPERLINK("http://api.nsgreg.nga.mil/geo-division/GENC/6/ed3/MT-39","as:GENC:6:ed3:MT-39")</f>
        <v>as:GENC:6:ed3:MT-39</v>
      </c>
    </row>
    <row r="2667" spans="1:7" x14ac:dyDescent="0.2">
      <c r="A2667" s="85"/>
      <c r="B2667" s="25" t="s">
        <v>6938</v>
      </c>
      <c r="C2667" s="25" t="s">
        <v>6939</v>
      </c>
      <c r="D2667" s="25" t="s">
        <v>13018</v>
      </c>
      <c r="E2667" s="26" t="b">
        <v>1</v>
      </c>
      <c r="F2667" s="27" t="str">
        <f>HYPERLINK("http://nsgreg.nga.mil/genc/view?v=212659&amp;end_month=12&amp;end_day=31&amp;end_year=2014","Pembroke")</f>
        <v>Pembroke</v>
      </c>
      <c r="G2667" s="28" t="str">
        <f>HYPERLINK("http://api.nsgreg.nga.mil/geo-division/GENC/6/ed3/MT-40","as:GENC:6:ed3:MT-40")</f>
        <v>as:GENC:6:ed3:MT-40</v>
      </c>
    </row>
    <row r="2668" spans="1:7" x14ac:dyDescent="0.2">
      <c r="A2668" s="85"/>
      <c r="B2668" s="25" t="s">
        <v>6940</v>
      </c>
      <c r="C2668" s="25" t="s">
        <v>6941</v>
      </c>
      <c r="D2668" s="25" t="s">
        <v>13018</v>
      </c>
      <c r="E2668" s="26" t="b">
        <v>1</v>
      </c>
      <c r="F2668" s="27" t="str">
        <f>HYPERLINK("http://nsgreg.nga.mil/genc/view?v=212660&amp;end_month=12&amp;end_day=31&amp;end_year=2014","Pietà")</f>
        <v>Pietà</v>
      </c>
      <c r="G2668" s="28" t="str">
        <f>HYPERLINK("http://api.nsgreg.nga.mil/geo-division/GENC/6/ed3/MT-41","as:GENC:6:ed3:MT-41")</f>
        <v>as:GENC:6:ed3:MT-41</v>
      </c>
    </row>
    <row r="2669" spans="1:7" x14ac:dyDescent="0.2">
      <c r="A2669" s="85"/>
      <c r="B2669" s="25" t="s">
        <v>6942</v>
      </c>
      <c r="C2669" s="25" t="s">
        <v>6943</v>
      </c>
      <c r="D2669" s="25" t="s">
        <v>13018</v>
      </c>
      <c r="E2669" s="26" t="b">
        <v>1</v>
      </c>
      <c r="F2669" s="27" t="str">
        <f>HYPERLINK("http://nsgreg.nga.mil/genc/view?v=212661&amp;end_month=12&amp;end_day=31&amp;end_year=2014","Qala")</f>
        <v>Qala</v>
      </c>
      <c r="G2669" s="28" t="str">
        <f>HYPERLINK("http://api.nsgreg.nga.mil/geo-division/GENC/6/ed3/MT-42","as:GENC:6:ed3:MT-42")</f>
        <v>as:GENC:6:ed3:MT-42</v>
      </c>
    </row>
    <row r="2670" spans="1:7" x14ac:dyDescent="0.2">
      <c r="A2670" s="85"/>
      <c r="B2670" s="25" t="s">
        <v>6944</v>
      </c>
      <c r="C2670" s="25" t="s">
        <v>6945</v>
      </c>
      <c r="D2670" s="25" t="s">
        <v>13018</v>
      </c>
      <c r="E2670" s="26" t="b">
        <v>1</v>
      </c>
      <c r="F2670" s="27" t="str">
        <f>HYPERLINK("http://nsgreg.nga.mil/genc/view?v=212662&amp;end_month=12&amp;end_day=31&amp;end_year=2014","Qormi")</f>
        <v>Qormi</v>
      </c>
      <c r="G2670" s="28" t="str">
        <f>HYPERLINK("http://api.nsgreg.nga.mil/geo-division/GENC/6/ed3/MT-43","as:GENC:6:ed3:MT-43")</f>
        <v>as:GENC:6:ed3:MT-43</v>
      </c>
    </row>
    <row r="2671" spans="1:7" x14ac:dyDescent="0.2">
      <c r="A2671" s="85"/>
      <c r="B2671" s="25" t="s">
        <v>6946</v>
      </c>
      <c r="C2671" s="25" t="s">
        <v>6947</v>
      </c>
      <c r="D2671" s="25" t="s">
        <v>13018</v>
      </c>
      <c r="E2671" s="26" t="b">
        <v>1</v>
      </c>
      <c r="F2671" s="27" t="str">
        <f>HYPERLINK("http://nsgreg.nga.mil/genc/view?v=212663&amp;end_month=12&amp;end_day=31&amp;end_year=2014","Qrendi")</f>
        <v>Qrendi</v>
      </c>
      <c r="G2671" s="28" t="str">
        <f>HYPERLINK("http://api.nsgreg.nga.mil/geo-division/GENC/6/ed3/MT-44","as:GENC:6:ed3:MT-44")</f>
        <v>as:GENC:6:ed3:MT-44</v>
      </c>
    </row>
    <row r="2672" spans="1:7" x14ac:dyDescent="0.2">
      <c r="A2672" s="85"/>
      <c r="B2672" s="25" t="s">
        <v>6951</v>
      </c>
      <c r="C2672" s="25" t="s">
        <v>7497</v>
      </c>
      <c r="D2672" s="25" t="s">
        <v>13018</v>
      </c>
      <c r="E2672" s="26" t="b">
        <v>1</v>
      </c>
      <c r="F2672" s="27" t="str">
        <f>HYPERLINK("http://nsgreg.nga.mil/genc/view?v=212665&amp;end_month=12&amp;end_day=31&amp;end_year=2014","Rabat")</f>
        <v>Rabat</v>
      </c>
      <c r="G2672" s="28" t="str">
        <f>HYPERLINK("http://api.nsgreg.nga.mil/geo-division/GENC/6/ed3/MT-46","as:GENC:6:ed3:MT-46")</f>
        <v>as:GENC:6:ed3:MT-46</v>
      </c>
    </row>
    <row r="2673" spans="1:7" x14ac:dyDescent="0.2">
      <c r="A2673" s="85"/>
      <c r="B2673" s="25" t="s">
        <v>6948</v>
      </c>
      <c r="C2673" s="25" t="s">
        <v>13024</v>
      </c>
      <c r="D2673" s="25" t="s">
        <v>13018</v>
      </c>
      <c r="E2673" s="26" t="b">
        <v>1</v>
      </c>
      <c r="F2673" s="27" t="str">
        <f>HYPERLINK("http://nsgreg.nga.mil/genc/view?v=212664&amp;end_month=12&amp;end_day=31&amp;end_year=2014","Rabat (Ghawdex)")</f>
        <v>Rabat (Ghawdex)</v>
      </c>
      <c r="G2673" s="28" t="str">
        <f>HYPERLINK("http://api.nsgreg.nga.mil/geo-division/GENC/6/ed3/MT-45","as:GENC:6:ed3:MT-45")</f>
        <v>as:GENC:6:ed3:MT-45</v>
      </c>
    </row>
    <row r="2674" spans="1:7" x14ac:dyDescent="0.2">
      <c r="A2674" s="85"/>
      <c r="B2674" s="25" t="s">
        <v>6953</v>
      </c>
      <c r="C2674" s="25" t="s">
        <v>6954</v>
      </c>
      <c r="D2674" s="25" t="s">
        <v>13018</v>
      </c>
      <c r="E2674" s="26" t="b">
        <v>1</v>
      </c>
      <c r="F2674" s="27" t="str">
        <f>HYPERLINK("http://nsgreg.nga.mil/genc/view?v=212666&amp;end_month=12&amp;end_day=31&amp;end_year=2014","Safi")</f>
        <v>Safi</v>
      </c>
      <c r="G2674" s="28" t="str">
        <f>HYPERLINK("http://api.nsgreg.nga.mil/geo-division/GENC/6/ed3/MT-47","as:GENC:6:ed3:MT-47")</f>
        <v>as:GENC:6:ed3:MT-47</v>
      </c>
    </row>
    <row r="2675" spans="1:7" x14ac:dyDescent="0.2">
      <c r="A2675" s="85"/>
      <c r="B2675" s="25" t="s">
        <v>6956</v>
      </c>
      <c r="C2675" s="25" t="s">
        <v>6966</v>
      </c>
      <c r="D2675" s="25" t="s">
        <v>13018</v>
      </c>
      <c r="E2675" s="26" t="b">
        <v>1</v>
      </c>
      <c r="F2675" s="27" t="str">
        <f>HYPERLINK("http://nsgreg.nga.mil/genc/view?v=212667&amp;end_month=12&amp;end_day=31&amp;end_year=2014","San Ġiljan")</f>
        <v>San Ġiljan</v>
      </c>
      <c r="G2675" s="28" t="str">
        <f>HYPERLINK("http://api.nsgreg.nga.mil/geo-division/GENC/6/ed3/MT-48","as:GENC:6:ed3:MT-48")</f>
        <v>as:GENC:6:ed3:MT-48</v>
      </c>
    </row>
    <row r="2676" spans="1:7" x14ac:dyDescent="0.2">
      <c r="A2676" s="85"/>
      <c r="B2676" s="25" t="s">
        <v>6955</v>
      </c>
      <c r="C2676" s="25" t="s">
        <v>6967</v>
      </c>
      <c r="D2676" s="25" t="s">
        <v>13018</v>
      </c>
      <c r="E2676" s="26" t="b">
        <v>1</v>
      </c>
      <c r="F2676" s="27" t="str">
        <f>HYPERLINK("http://nsgreg.nga.mil/genc/view?v=212668&amp;end_month=12&amp;end_day=31&amp;end_year=2014","San Ġwann")</f>
        <v>San Ġwann</v>
      </c>
      <c r="G2676" s="28" t="str">
        <f>HYPERLINK("http://api.nsgreg.nga.mil/geo-division/GENC/6/ed3/MT-49","as:GENC:6:ed3:MT-49")</f>
        <v>as:GENC:6:ed3:MT-49</v>
      </c>
    </row>
    <row r="2677" spans="1:7" x14ac:dyDescent="0.2">
      <c r="A2677" s="85"/>
      <c r="B2677" s="25" t="s">
        <v>6958</v>
      </c>
      <c r="C2677" s="25" t="s">
        <v>6964</v>
      </c>
      <c r="D2677" s="25" t="s">
        <v>13018</v>
      </c>
      <c r="E2677" s="26" t="b">
        <v>1</v>
      </c>
      <c r="F2677" s="27" t="str">
        <f>HYPERLINK("http://nsgreg.nga.mil/genc/view?v=212669&amp;end_month=12&amp;end_day=31&amp;end_year=2014","San Lawrenz")</f>
        <v>San Lawrenz</v>
      </c>
      <c r="G2677" s="28" t="str">
        <f>HYPERLINK("http://api.nsgreg.nga.mil/geo-division/GENC/6/ed3/MT-50","as:GENC:6:ed3:MT-50")</f>
        <v>as:GENC:6:ed3:MT-50</v>
      </c>
    </row>
    <row r="2678" spans="1:7" x14ac:dyDescent="0.2">
      <c r="A2678" s="85"/>
      <c r="B2678" s="25" t="s">
        <v>6968</v>
      </c>
      <c r="C2678" s="25" t="s">
        <v>6969</v>
      </c>
      <c r="D2678" s="25" t="s">
        <v>13018</v>
      </c>
      <c r="E2678" s="26" t="b">
        <v>1</v>
      </c>
      <c r="F2678" s="27" t="str">
        <f>HYPERLINK("http://nsgreg.nga.mil/genc/view?v=212671&amp;end_month=12&amp;end_day=31&amp;end_year=2014","Sannat")</f>
        <v>Sannat</v>
      </c>
      <c r="G2678" s="28" t="str">
        <f>HYPERLINK("http://api.nsgreg.nga.mil/geo-division/GENC/6/ed3/MT-52","as:GENC:6:ed3:MT-52")</f>
        <v>as:GENC:6:ed3:MT-52</v>
      </c>
    </row>
    <row r="2679" spans="1:7" x14ac:dyDescent="0.2">
      <c r="A2679" s="85"/>
      <c r="B2679" s="25" t="s">
        <v>6962</v>
      </c>
      <c r="C2679" s="25" t="s">
        <v>6965</v>
      </c>
      <c r="D2679" s="25" t="s">
        <v>13018</v>
      </c>
      <c r="E2679" s="26" t="b">
        <v>1</v>
      </c>
      <c r="F2679" s="27" t="str">
        <f>HYPERLINK("http://nsgreg.nga.mil/genc/view?v=212670&amp;end_month=12&amp;end_day=31&amp;end_year=2014","San Pawl il-Baħar")</f>
        <v>San Pawl il-Baħar</v>
      </c>
      <c r="G2679" s="28" t="str">
        <f>HYPERLINK("http://api.nsgreg.nga.mil/geo-division/GENC/6/ed3/MT-51","as:GENC:6:ed3:MT-51")</f>
        <v>as:GENC:6:ed3:MT-51</v>
      </c>
    </row>
    <row r="2680" spans="1:7" x14ac:dyDescent="0.2">
      <c r="A2680" s="85"/>
      <c r="B2680" s="25" t="s">
        <v>6960</v>
      </c>
      <c r="C2680" s="25" t="s">
        <v>6970</v>
      </c>
      <c r="D2680" s="25" t="s">
        <v>13018</v>
      </c>
      <c r="E2680" s="26" t="b">
        <v>1</v>
      </c>
      <c r="F2680" s="27" t="str">
        <f>HYPERLINK("http://nsgreg.nga.mil/genc/view?v=212672&amp;end_month=12&amp;end_day=31&amp;end_year=2014","Santa Luċija")</f>
        <v>Santa Luċija</v>
      </c>
      <c r="G2680" s="28" t="str">
        <f>HYPERLINK("http://api.nsgreg.nga.mil/geo-division/GENC/6/ed3/MT-53","as:GENC:6:ed3:MT-53")</f>
        <v>as:GENC:6:ed3:MT-53</v>
      </c>
    </row>
    <row r="2681" spans="1:7" x14ac:dyDescent="0.2">
      <c r="A2681" s="85"/>
      <c r="B2681" s="25" t="s">
        <v>6971</v>
      </c>
      <c r="C2681" s="25" t="s">
        <v>6972</v>
      </c>
      <c r="D2681" s="25" t="s">
        <v>13018</v>
      </c>
      <c r="E2681" s="26" t="b">
        <v>1</v>
      </c>
      <c r="F2681" s="27" t="str">
        <f>HYPERLINK("http://nsgreg.nga.mil/genc/view?v=212673&amp;end_month=12&amp;end_day=31&amp;end_year=2014","Santa Venera")</f>
        <v>Santa Venera</v>
      </c>
      <c r="G2681" s="28" t="str">
        <f>HYPERLINK("http://api.nsgreg.nga.mil/geo-division/GENC/6/ed3/MT-54","as:GENC:6:ed3:MT-54")</f>
        <v>as:GENC:6:ed3:MT-54</v>
      </c>
    </row>
    <row r="2682" spans="1:7" x14ac:dyDescent="0.2">
      <c r="A2682" s="85"/>
      <c r="B2682" s="25" t="s">
        <v>6973</v>
      </c>
      <c r="C2682" s="25" t="s">
        <v>6974</v>
      </c>
      <c r="D2682" s="25" t="s">
        <v>13018</v>
      </c>
      <c r="E2682" s="26" t="b">
        <v>1</v>
      </c>
      <c r="F2682" s="27" t="str">
        <f>HYPERLINK("http://nsgreg.nga.mil/genc/view?v=212674&amp;end_month=12&amp;end_day=31&amp;end_year=2014","Siġġiewi")</f>
        <v>Siġġiewi</v>
      </c>
      <c r="G2682" s="28" t="str">
        <f>HYPERLINK("http://api.nsgreg.nga.mil/geo-division/GENC/6/ed3/MT-55","as:GENC:6:ed3:MT-55")</f>
        <v>as:GENC:6:ed3:MT-55</v>
      </c>
    </row>
    <row r="2683" spans="1:7" x14ac:dyDescent="0.2">
      <c r="A2683" s="85"/>
      <c r="B2683" s="25" t="s">
        <v>6975</v>
      </c>
      <c r="C2683" s="25" t="s">
        <v>6976</v>
      </c>
      <c r="D2683" s="25" t="s">
        <v>13018</v>
      </c>
      <c r="E2683" s="26" t="b">
        <v>1</v>
      </c>
      <c r="F2683" s="27" t="str">
        <f>HYPERLINK("http://nsgreg.nga.mil/genc/view?v=212675&amp;end_month=12&amp;end_day=31&amp;end_year=2014","Sliema")</f>
        <v>Sliema</v>
      </c>
      <c r="G2683" s="28" t="str">
        <f>HYPERLINK("http://api.nsgreg.nga.mil/geo-division/GENC/6/ed3/MT-56","as:GENC:6:ed3:MT-56")</f>
        <v>as:GENC:6:ed3:MT-56</v>
      </c>
    </row>
    <row r="2684" spans="1:7" x14ac:dyDescent="0.2">
      <c r="A2684" s="85"/>
      <c r="B2684" s="25" t="s">
        <v>6977</v>
      </c>
      <c r="C2684" s="25" t="s">
        <v>6978</v>
      </c>
      <c r="D2684" s="25" t="s">
        <v>13018</v>
      </c>
      <c r="E2684" s="26" t="b">
        <v>1</v>
      </c>
      <c r="F2684" s="27" t="str">
        <f>HYPERLINK("http://nsgreg.nga.mil/genc/view?v=212676&amp;end_month=12&amp;end_day=31&amp;end_year=2014","Swieqi")</f>
        <v>Swieqi</v>
      </c>
      <c r="G2684" s="28" t="str">
        <f>HYPERLINK("http://api.nsgreg.nga.mil/geo-division/GENC/6/ed3/MT-57","as:GENC:6:ed3:MT-57")</f>
        <v>as:GENC:6:ed3:MT-57</v>
      </c>
    </row>
    <row r="2685" spans="1:7" x14ac:dyDescent="0.2">
      <c r="A2685" s="85"/>
      <c r="B2685" s="25" t="s">
        <v>6981</v>
      </c>
      <c r="C2685" s="25" t="s">
        <v>6982</v>
      </c>
      <c r="D2685" s="25" t="s">
        <v>13018</v>
      </c>
      <c r="E2685" s="26" t="b">
        <v>1</v>
      </c>
      <c r="F2685" s="27" t="str">
        <f>HYPERLINK("http://nsgreg.nga.mil/genc/view?v=212678&amp;end_month=12&amp;end_day=31&amp;end_year=2014","Tarxien")</f>
        <v>Tarxien</v>
      </c>
      <c r="G2685" s="28" t="str">
        <f>HYPERLINK("http://api.nsgreg.nga.mil/geo-division/GENC/6/ed3/MT-59","as:GENC:6:ed3:MT-59")</f>
        <v>as:GENC:6:ed3:MT-59</v>
      </c>
    </row>
    <row r="2686" spans="1:7" x14ac:dyDescent="0.2">
      <c r="A2686" s="85"/>
      <c r="B2686" s="25" t="s">
        <v>6979</v>
      </c>
      <c r="C2686" s="25" t="s">
        <v>13025</v>
      </c>
      <c r="D2686" s="25" t="s">
        <v>13018</v>
      </c>
      <c r="E2686" s="26" t="b">
        <v>1</v>
      </c>
      <c r="F2686" s="27" t="str">
        <f>HYPERLINK("http://nsgreg.nga.mil/genc/view?v=212677&amp;end_month=12&amp;end_day=31&amp;end_year=2014","Ta’ Xbiex")</f>
        <v>Ta’ Xbiex</v>
      </c>
      <c r="G2686" s="28" t="str">
        <f>HYPERLINK("http://api.nsgreg.nga.mil/geo-division/GENC/6/ed3/MT-58","as:GENC:6:ed3:MT-58")</f>
        <v>as:GENC:6:ed3:MT-58</v>
      </c>
    </row>
    <row r="2687" spans="1:7" x14ac:dyDescent="0.2">
      <c r="A2687" s="85"/>
      <c r="B2687" s="25" t="s">
        <v>6983</v>
      </c>
      <c r="C2687" s="25" t="s">
        <v>6984</v>
      </c>
      <c r="D2687" s="25" t="s">
        <v>13018</v>
      </c>
      <c r="E2687" s="26" t="b">
        <v>1</v>
      </c>
      <c r="F2687" s="27" t="str">
        <f>HYPERLINK("http://nsgreg.nga.mil/genc/view?v=212679&amp;end_month=12&amp;end_day=31&amp;end_year=2014","Valletta")</f>
        <v>Valletta</v>
      </c>
      <c r="G2687" s="28" t="str">
        <f>HYPERLINK("http://api.nsgreg.nga.mil/geo-division/GENC/6/ed3/MT-60","as:GENC:6:ed3:MT-60")</f>
        <v>as:GENC:6:ed3:MT-60</v>
      </c>
    </row>
    <row r="2688" spans="1:7" x14ac:dyDescent="0.2">
      <c r="A2688" s="85"/>
      <c r="B2688" s="25" t="s">
        <v>6985</v>
      </c>
      <c r="C2688" s="25" t="s">
        <v>6986</v>
      </c>
      <c r="D2688" s="25" t="s">
        <v>13018</v>
      </c>
      <c r="E2688" s="26" t="b">
        <v>1</v>
      </c>
      <c r="F2688" s="27" t="str">
        <f>HYPERLINK("http://nsgreg.nga.mil/genc/view?v=212680&amp;end_month=12&amp;end_day=31&amp;end_year=2014","Xagħra")</f>
        <v>Xagħra</v>
      </c>
      <c r="G2688" s="28" t="str">
        <f>HYPERLINK("http://api.nsgreg.nga.mil/geo-division/GENC/6/ed3/MT-61","as:GENC:6:ed3:MT-61")</f>
        <v>as:GENC:6:ed3:MT-61</v>
      </c>
    </row>
    <row r="2689" spans="1:7" x14ac:dyDescent="0.2">
      <c r="A2689" s="85"/>
      <c r="B2689" s="25" t="s">
        <v>6987</v>
      </c>
      <c r="C2689" s="25" t="s">
        <v>6988</v>
      </c>
      <c r="D2689" s="25" t="s">
        <v>13018</v>
      </c>
      <c r="E2689" s="26" t="b">
        <v>1</v>
      </c>
      <c r="F2689" s="27" t="str">
        <f>HYPERLINK("http://nsgreg.nga.mil/genc/view?v=212681&amp;end_month=12&amp;end_day=31&amp;end_year=2014","Xewkija")</f>
        <v>Xewkija</v>
      </c>
      <c r="G2689" s="28" t="str">
        <f>HYPERLINK("http://api.nsgreg.nga.mil/geo-division/GENC/6/ed3/MT-62","as:GENC:6:ed3:MT-62")</f>
        <v>as:GENC:6:ed3:MT-62</v>
      </c>
    </row>
    <row r="2690" spans="1:7" x14ac:dyDescent="0.2">
      <c r="A2690" s="85"/>
      <c r="B2690" s="25" t="s">
        <v>6989</v>
      </c>
      <c r="C2690" s="25" t="s">
        <v>6990</v>
      </c>
      <c r="D2690" s="25" t="s">
        <v>13018</v>
      </c>
      <c r="E2690" s="26" t="b">
        <v>1</v>
      </c>
      <c r="F2690" s="27" t="str">
        <f>HYPERLINK("http://nsgreg.nga.mil/genc/view?v=212682&amp;end_month=12&amp;end_day=31&amp;end_year=2014","Xgħajra")</f>
        <v>Xgħajra</v>
      </c>
      <c r="G2690" s="28" t="str">
        <f>HYPERLINK("http://api.nsgreg.nga.mil/geo-division/GENC/6/ed3/MT-63","as:GENC:6:ed3:MT-63")</f>
        <v>as:GENC:6:ed3:MT-63</v>
      </c>
    </row>
    <row r="2691" spans="1:7" x14ac:dyDescent="0.2">
      <c r="A2691" s="85"/>
      <c r="B2691" s="25" t="s">
        <v>6993</v>
      </c>
      <c r="C2691" s="25" t="s">
        <v>6994</v>
      </c>
      <c r="D2691" s="25" t="s">
        <v>13018</v>
      </c>
      <c r="E2691" s="26" t="b">
        <v>1</v>
      </c>
      <c r="F2691" s="27" t="str">
        <f>HYPERLINK("http://nsgreg.nga.mil/genc/view?v=212683&amp;end_month=12&amp;end_day=31&amp;end_year=2014","Żabbar")</f>
        <v>Żabbar</v>
      </c>
      <c r="G2691" s="28" t="str">
        <f>HYPERLINK("http://api.nsgreg.nga.mil/geo-division/GENC/6/ed3/MT-64","as:GENC:6:ed3:MT-64")</f>
        <v>as:GENC:6:ed3:MT-64</v>
      </c>
    </row>
    <row r="2692" spans="1:7" x14ac:dyDescent="0.2">
      <c r="A2692" s="85"/>
      <c r="B2692" s="25" t="s">
        <v>6998</v>
      </c>
      <c r="C2692" s="25" t="s">
        <v>13026</v>
      </c>
      <c r="D2692" s="25" t="s">
        <v>13018</v>
      </c>
      <c r="E2692" s="26" t="b">
        <v>1</v>
      </c>
      <c r="F2692" s="27" t="str">
        <f>HYPERLINK("http://nsgreg.nga.mil/genc/view?v=212685&amp;end_month=12&amp;end_day=31&amp;end_year=2014","Żebbuġ")</f>
        <v>Żebbuġ</v>
      </c>
      <c r="G2692" s="28" t="str">
        <f>HYPERLINK("http://api.nsgreg.nga.mil/geo-division/GENC/6/ed3/MT-66","as:GENC:6:ed3:MT-66")</f>
        <v>as:GENC:6:ed3:MT-66</v>
      </c>
    </row>
    <row r="2693" spans="1:7" x14ac:dyDescent="0.2">
      <c r="A2693" s="85"/>
      <c r="B2693" s="25" t="s">
        <v>6995</v>
      </c>
      <c r="C2693" s="25" t="s">
        <v>13027</v>
      </c>
      <c r="D2693" s="25" t="s">
        <v>13018</v>
      </c>
      <c r="E2693" s="26" t="b">
        <v>1</v>
      </c>
      <c r="F2693" s="27" t="str">
        <f>HYPERLINK("http://nsgreg.nga.mil/genc/view?v=212684&amp;end_month=12&amp;end_day=31&amp;end_year=2014","Żebbuġ (Ghawdex)")</f>
        <v>Żebbuġ (Ghawdex)</v>
      </c>
      <c r="G2693" s="28" t="str">
        <f>HYPERLINK("http://api.nsgreg.nga.mil/geo-division/GENC/6/ed3/MT-65","as:GENC:6:ed3:MT-65")</f>
        <v>as:GENC:6:ed3:MT-65</v>
      </c>
    </row>
    <row r="2694" spans="1:7" x14ac:dyDescent="0.2">
      <c r="A2694" s="85"/>
      <c r="B2694" s="25" t="s">
        <v>7000</v>
      </c>
      <c r="C2694" s="25" t="s">
        <v>7001</v>
      </c>
      <c r="D2694" s="25" t="s">
        <v>13018</v>
      </c>
      <c r="E2694" s="26" t="b">
        <v>1</v>
      </c>
      <c r="F2694" s="27" t="str">
        <f>HYPERLINK("http://nsgreg.nga.mil/genc/view?v=212686&amp;end_month=12&amp;end_day=31&amp;end_year=2014","Żejtun")</f>
        <v>Żejtun</v>
      </c>
      <c r="G2694" s="28" t="str">
        <f>HYPERLINK("http://api.nsgreg.nga.mil/geo-division/GENC/6/ed3/MT-67","as:GENC:6:ed3:MT-67")</f>
        <v>as:GENC:6:ed3:MT-67</v>
      </c>
    </row>
    <row r="2695" spans="1:7" x14ac:dyDescent="0.2">
      <c r="A2695" s="86"/>
      <c r="B2695" s="29" t="s">
        <v>7002</v>
      </c>
      <c r="C2695" s="29" t="s">
        <v>7003</v>
      </c>
      <c r="D2695" s="29" t="s">
        <v>13018</v>
      </c>
      <c r="E2695" s="30" t="b">
        <v>1</v>
      </c>
      <c r="F2695" s="31" t="str">
        <f>HYPERLINK("http://nsgreg.nga.mil/genc/view?v=212687&amp;end_month=12&amp;end_day=31&amp;end_year=2014","Żurrieq")</f>
        <v>Żurrieq</v>
      </c>
      <c r="G2695" s="32" t="str">
        <f>HYPERLINK("http://api.nsgreg.nga.mil/geo-division/GENC/6/ed3/MT-68","as:GENC:6:ed3:MT-68")</f>
        <v>as:GENC:6:ed3:MT-68</v>
      </c>
    </row>
    <row r="2696" spans="1:7" x14ac:dyDescent="0.2">
      <c r="A2696" s="84" t="str">
        <f>HYPERLINK("[#]Codes_for_GE_Names!A166:I166","MARSHALL ISLANDS")</f>
        <v>MARSHALL ISLANDS</v>
      </c>
      <c r="B2696" s="33" t="s">
        <v>7004</v>
      </c>
      <c r="C2696" s="33" t="s">
        <v>7005</v>
      </c>
      <c r="D2696" s="33" t="s">
        <v>2164</v>
      </c>
      <c r="E2696" s="34" t="b">
        <v>1</v>
      </c>
      <c r="F2696" s="35" t="str">
        <f>HYPERLINK("http://nsgreg.nga.mil/genc/view?v=212555&amp;end_month=12&amp;end_day=31&amp;end_year=2014","Ailinglaplap")</f>
        <v>Ailinglaplap</v>
      </c>
      <c r="G2696" s="36" t="str">
        <f>HYPERLINK("http://api.nsgreg.nga.mil/geo-division/GENC/6/ed3/MH-ALL","as:GENC:6:ed3:MH-ALL")</f>
        <v>as:GENC:6:ed3:MH-ALL</v>
      </c>
    </row>
    <row r="2697" spans="1:7" x14ac:dyDescent="0.2">
      <c r="A2697" s="85"/>
      <c r="B2697" s="25" t="s">
        <v>7006</v>
      </c>
      <c r="C2697" s="25" t="s">
        <v>7007</v>
      </c>
      <c r="D2697" s="25" t="s">
        <v>2164</v>
      </c>
      <c r="E2697" s="26" t="b">
        <v>1</v>
      </c>
      <c r="F2697" s="27" t="str">
        <f>HYPERLINK("http://nsgreg.nga.mil/genc/view?v=212554&amp;end_month=12&amp;end_day=31&amp;end_year=2014","Ailuk")</f>
        <v>Ailuk</v>
      </c>
      <c r="G2697" s="28" t="str">
        <f>HYPERLINK("http://api.nsgreg.nga.mil/geo-division/GENC/6/ed3/MH-ALK","as:GENC:6:ed3:MH-ALK")</f>
        <v>as:GENC:6:ed3:MH-ALK</v>
      </c>
    </row>
    <row r="2698" spans="1:7" x14ac:dyDescent="0.2">
      <c r="A2698" s="85"/>
      <c r="B2698" s="25" t="s">
        <v>7008</v>
      </c>
      <c r="C2698" s="25" t="s">
        <v>7009</v>
      </c>
      <c r="D2698" s="25" t="s">
        <v>2164</v>
      </c>
      <c r="E2698" s="26" t="b">
        <v>1</v>
      </c>
      <c r="F2698" s="27" t="str">
        <f>HYPERLINK("http://nsgreg.nga.mil/genc/view?v=212556&amp;end_month=12&amp;end_day=31&amp;end_year=2014","Arno")</f>
        <v>Arno</v>
      </c>
      <c r="G2698" s="28" t="str">
        <f>HYPERLINK("http://api.nsgreg.nga.mil/geo-division/GENC/6/ed3/MH-ARN","as:GENC:6:ed3:MH-ARN")</f>
        <v>as:GENC:6:ed3:MH-ARN</v>
      </c>
    </row>
    <row r="2699" spans="1:7" x14ac:dyDescent="0.2">
      <c r="A2699" s="85"/>
      <c r="B2699" s="25" t="s">
        <v>7010</v>
      </c>
      <c r="C2699" s="25" t="s">
        <v>7011</v>
      </c>
      <c r="D2699" s="25" t="s">
        <v>2164</v>
      </c>
      <c r="E2699" s="26" t="b">
        <v>1</v>
      </c>
      <c r="F2699" s="27" t="str">
        <f>HYPERLINK("http://nsgreg.nga.mil/genc/view?v=212557&amp;end_month=12&amp;end_day=31&amp;end_year=2014","Aur")</f>
        <v>Aur</v>
      </c>
      <c r="G2699" s="28" t="str">
        <f>HYPERLINK("http://api.nsgreg.nga.mil/geo-division/GENC/6/ed3/MH-AUR","as:GENC:6:ed3:MH-AUR")</f>
        <v>as:GENC:6:ed3:MH-AUR</v>
      </c>
    </row>
    <row r="2700" spans="1:7" x14ac:dyDescent="0.2">
      <c r="A2700" s="85"/>
      <c r="B2700" s="25" t="s">
        <v>7020</v>
      </c>
      <c r="C2700" s="25" t="s">
        <v>13028</v>
      </c>
      <c r="D2700" s="25" t="s">
        <v>2164</v>
      </c>
      <c r="E2700" s="26" t="b">
        <v>1</v>
      </c>
      <c r="F2700" s="27" t="str">
        <f>HYPERLINK("http://nsgreg.nga.mil/genc/view?v=212562&amp;end_month=12&amp;end_day=31&amp;end_year=2014","Bikini &amp; Kili")</f>
        <v>Bikini &amp; Kili</v>
      </c>
      <c r="G2700" s="28" t="str">
        <f>HYPERLINK("http://api.nsgreg.nga.mil/geo-division/GENC/6/ed3/MH-KIL","as:GENC:6:ed3:MH-KIL")</f>
        <v>as:GENC:6:ed3:MH-KIL</v>
      </c>
    </row>
    <row r="2701" spans="1:7" x14ac:dyDescent="0.2">
      <c r="A2701" s="85"/>
      <c r="B2701" s="25" t="s">
        <v>7012</v>
      </c>
      <c r="C2701" s="25" t="s">
        <v>7013</v>
      </c>
      <c r="D2701" s="25" t="s">
        <v>2164</v>
      </c>
      <c r="E2701" s="26" t="b">
        <v>1</v>
      </c>
      <c r="F2701" s="27" t="str">
        <f>HYPERLINK("http://nsgreg.nga.mil/genc/view?v=212558&amp;end_month=12&amp;end_day=31&amp;end_year=2014","Ebon")</f>
        <v>Ebon</v>
      </c>
      <c r="G2701" s="28" t="str">
        <f>HYPERLINK("http://api.nsgreg.nga.mil/geo-division/GENC/6/ed3/MH-EBO","as:GENC:6:ed3:MH-EBO")</f>
        <v>as:GENC:6:ed3:MH-EBO</v>
      </c>
    </row>
    <row r="2702" spans="1:7" x14ac:dyDescent="0.2">
      <c r="A2702" s="85"/>
      <c r="B2702" s="25" t="s">
        <v>7014</v>
      </c>
      <c r="C2702" s="25" t="s">
        <v>13029</v>
      </c>
      <c r="D2702" s="25" t="s">
        <v>2164</v>
      </c>
      <c r="E2702" s="26" t="b">
        <v>1</v>
      </c>
      <c r="F2702" s="27" t="str">
        <f>HYPERLINK("http://nsgreg.nga.mil/genc/view?v=212559&amp;end_month=12&amp;end_day=31&amp;end_year=2014","Enewtak &amp; Ujelang")</f>
        <v>Enewtak &amp; Ujelang</v>
      </c>
      <c r="G2702" s="28" t="str">
        <f>HYPERLINK("http://api.nsgreg.nga.mil/geo-division/GENC/6/ed3/MH-ENI","as:GENC:6:ed3:MH-ENI")</f>
        <v>as:GENC:6:ed3:MH-ENI</v>
      </c>
    </row>
    <row r="2703" spans="1:7" x14ac:dyDescent="0.2">
      <c r="A2703" s="85"/>
      <c r="B2703" s="25" t="s">
        <v>7016</v>
      </c>
      <c r="C2703" s="25" t="s">
        <v>7017</v>
      </c>
      <c r="D2703" s="25" t="s">
        <v>2164</v>
      </c>
      <c r="E2703" s="26" t="b">
        <v>1</v>
      </c>
      <c r="F2703" s="27" t="str">
        <f>HYPERLINK("http://nsgreg.nga.mil/genc/view?v=212560&amp;end_month=12&amp;end_day=31&amp;end_year=2014","Jabat")</f>
        <v>Jabat</v>
      </c>
      <c r="G2703" s="28" t="str">
        <f>HYPERLINK("http://api.nsgreg.nga.mil/geo-division/GENC/6/ed3/MH-JAB","as:GENC:6:ed3:MH-JAB")</f>
        <v>as:GENC:6:ed3:MH-JAB</v>
      </c>
    </row>
    <row r="2704" spans="1:7" x14ac:dyDescent="0.2">
      <c r="A2704" s="85"/>
      <c r="B2704" s="25" t="s">
        <v>7018</v>
      </c>
      <c r="C2704" s="25" t="s">
        <v>7019</v>
      </c>
      <c r="D2704" s="25" t="s">
        <v>2164</v>
      </c>
      <c r="E2704" s="26" t="b">
        <v>1</v>
      </c>
      <c r="F2704" s="27" t="str">
        <f>HYPERLINK("http://nsgreg.nga.mil/genc/view?v=212561&amp;end_month=12&amp;end_day=31&amp;end_year=2014","Jaluit")</f>
        <v>Jaluit</v>
      </c>
      <c r="G2704" s="28" t="str">
        <f>HYPERLINK("http://api.nsgreg.nga.mil/geo-division/GENC/6/ed3/MH-JAL","as:GENC:6:ed3:MH-JAL")</f>
        <v>as:GENC:6:ed3:MH-JAL</v>
      </c>
    </row>
    <row r="2705" spans="1:7" x14ac:dyDescent="0.2">
      <c r="A2705" s="85"/>
      <c r="B2705" s="25" t="s">
        <v>7022</v>
      </c>
      <c r="C2705" s="25" t="s">
        <v>7023</v>
      </c>
      <c r="D2705" s="25" t="s">
        <v>2164</v>
      </c>
      <c r="E2705" s="26" t="b">
        <v>1</v>
      </c>
      <c r="F2705" s="27" t="str">
        <f>HYPERLINK("http://nsgreg.nga.mil/genc/view?v=212563&amp;end_month=12&amp;end_day=31&amp;end_year=2014","Kwajalein")</f>
        <v>Kwajalein</v>
      </c>
      <c r="G2705" s="28" t="str">
        <f>HYPERLINK("http://api.nsgreg.nga.mil/geo-division/GENC/6/ed3/MH-KWA","as:GENC:6:ed3:MH-KWA")</f>
        <v>as:GENC:6:ed3:MH-KWA</v>
      </c>
    </row>
    <row r="2706" spans="1:7" x14ac:dyDescent="0.2">
      <c r="A2706" s="85"/>
      <c r="B2706" s="25" t="s">
        <v>7024</v>
      </c>
      <c r="C2706" s="25" t="s">
        <v>7025</v>
      </c>
      <c r="D2706" s="25" t="s">
        <v>2164</v>
      </c>
      <c r="E2706" s="26" t="b">
        <v>1</v>
      </c>
      <c r="F2706" s="27" t="str">
        <f>HYPERLINK("http://nsgreg.nga.mil/genc/view?v=212565&amp;end_month=12&amp;end_day=31&amp;end_year=2014","Lae")</f>
        <v>Lae</v>
      </c>
      <c r="G2706" s="28" t="str">
        <f>HYPERLINK("http://api.nsgreg.nga.mil/geo-division/GENC/6/ed3/MH-LAE","as:GENC:6:ed3:MH-LAE")</f>
        <v>as:GENC:6:ed3:MH-LAE</v>
      </c>
    </row>
    <row r="2707" spans="1:7" x14ac:dyDescent="0.2">
      <c r="A2707" s="85"/>
      <c r="B2707" s="25" t="s">
        <v>7026</v>
      </c>
      <c r="C2707" s="25" t="s">
        <v>7027</v>
      </c>
      <c r="D2707" s="25" t="s">
        <v>2164</v>
      </c>
      <c r="E2707" s="26" t="b">
        <v>1</v>
      </c>
      <c r="F2707" s="27" t="str">
        <f>HYPERLINK("http://nsgreg.nga.mil/genc/view?v=212566&amp;end_month=12&amp;end_day=31&amp;end_year=2014","Lib")</f>
        <v>Lib</v>
      </c>
      <c r="G2707" s="28" t="str">
        <f>HYPERLINK("http://api.nsgreg.nga.mil/geo-division/GENC/6/ed3/MH-LIB","as:GENC:6:ed3:MH-LIB")</f>
        <v>as:GENC:6:ed3:MH-LIB</v>
      </c>
    </row>
    <row r="2708" spans="1:7" x14ac:dyDescent="0.2">
      <c r="A2708" s="85"/>
      <c r="B2708" s="25" t="s">
        <v>7028</v>
      </c>
      <c r="C2708" s="25" t="s">
        <v>7029</v>
      </c>
      <c r="D2708" s="25" t="s">
        <v>2164</v>
      </c>
      <c r="E2708" s="26" t="b">
        <v>1</v>
      </c>
      <c r="F2708" s="27" t="str">
        <f>HYPERLINK("http://nsgreg.nga.mil/genc/view?v=212567&amp;end_month=12&amp;end_day=31&amp;end_year=2014","Likiep")</f>
        <v>Likiep</v>
      </c>
      <c r="G2708" s="28" t="str">
        <f>HYPERLINK("http://api.nsgreg.nga.mil/geo-division/GENC/6/ed3/MH-LIK","as:GENC:6:ed3:MH-LIK")</f>
        <v>as:GENC:6:ed3:MH-LIK</v>
      </c>
    </row>
    <row r="2709" spans="1:7" x14ac:dyDescent="0.2">
      <c r="A2709" s="85"/>
      <c r="B2709" s="25" t="s">
        <v>7030</v>
      </c>
      <c r="C2709" s="25" t="s">
        <v>7031</v>
      </c>
      <c r="D2709" s="25" t="s">
        <v>2164</v>
      </c>
      <c r="E2709" s="26" t="b">
        <v>1</v>
      </c>
      <c r="F2709" s="27" t="str">
        <f>HYPERLINK("http://nsgreg.nga.mil/genc/view?v=212568&amp;end_month=12&amp;end_day=31&amp;end_year=2014","Majuro")</f>
        <v>Majuro</v>
      </c>
      <c r="G2709" s="28" t="str">
        <f>HYPERLINK("http://api.nsgreg.nga.mil/geo-division/GENC/6/ed3/MH-MAJ","as:GENC:6:ed3:MH-MAJ")</f>
        <v>as:GENC:6:ed3:MH-MAJ</v>
      </c>
    </row>
    <row r="2710" spans="1:7" x14ac:dyDescent="0.2">
      <c r="A2710" s="85"/>
      <c r="B2710" s="25" t="s">
        <v>7032</v>
      </c>
      <c r="C2710" s="25" t="s">
        <v>7033</v>
      </c>
      <c r="D2710" s="25" t="s">
        <v>2164</v>
      </c>
      <c r="E2710" s="26" t="b">
        <v>1</v>
      </c>
      <c r="F2710" s="27" t="str">
        <f>HYPERLINK("http://nsgreg.nga.mil/genc/view?v=212569&amp;end_month=12&amp;end_day=31&amp;end_year=2014","Maloelap")</f>
        <v>Maloelap</v>
      </c>
      <c r="G2710" s="28" t="str">
        <f>HYPERLINK("http://api.nsgreg.nga.mil/geo-division/GENC/6/ed3/MH-MAL","as:GENC:6:ed3:MH-MAL")</f>
        <v>as:GENC:6:ed3:MH-MAL</v>
      </c>
    </row>
    <row r="2711" spans="1:7" x14ac:dyDescent="0.2">
      <c r="A2711" s="85"/>
      <c r="B2711" s="25" t="s">
        <v>7034</v>
      </c>
      <c r="C2711" s="25" t="s">
        <v>7035</v>
      </c>
      <c r="D2711" s="25" t="s">
        <v>2164</v>
      </c>
      <c r="E2711" s="26" t="b">
        <v>1</v>
      </c>
      <c r="F2711" s="27" t="str">
        <f>HYPERLINK("http://nsgreg.nga.mil/genc/view?v=212570&amp;end_month=12&amp;end_day=31&amp;end_year=2014","Mejit")</f>
        <v>Mejit</v>
      </c>
      <c r="G2711" s="28" t="str">
        <f>HYPERLINK("http://api.nsgreg.nga.mil/geo-division/GENC/6/ed3/MH-MEJ","as:GENC:6:ed3:MH-MEJ")</f>
        <v>as:GENC:6:ed3:MH-MEJ</v>
      </c>
    </row>
    <row r="2712" spans="1:7" x14ac:dyDescent="0.2">
      <c r="A2712" s="85"/>
      <c r="B2712" s="25" t="s">
        <v>7036</v>
      </c>
      <c r="C2712" s="25" t="s">
        <v>7037</v>
      </c>
      <c r="D2712" s="25" t="s">
        <v>2164</v>
      </c>
      <c r="E2712" s="26" t="b">
        <v>1</v>
      </c>
      <c r="F2712" s="27" t="str">
        <f>HYPERLINK("http://nsgreg.nga.mil/genc/view?v=212571&amp;end_month=12&amp;end_day=31&amp;end_year=2014","Mili")</f>
        <v>Mili</v>
      </c>
      <c r="G2712" s="28" t="str">
        <f>HYPERLINK("http://api.nsgreg.nga.mil/geo-division/GENC/6/ed3/MH-MIL","as:GENC:6:ed3:MH-MIL")</f>
        <v>as:GENC:6:ed3:MH-MIL</v>
      </c>
    </row>
    <row r="2713" spans="1:7" x14ac:dyDescent="0.2">
      <c r="A2713" s="85"/>
      <c r="B2713" s="25" t="s">
        <v>7038</v>
      </c>
      <c r="C2713" s="25" t="s">
        <v>7039</v>
      </c>
      <c r="D2713" s="25" t="s">
        <v>2164</v>
      </c>
      <c r="E2713" s="26" t="b">
        <v>1</v>
      </c>
      <c r="F2713" s="27" t="str">
        <f>HYPERLINK("http://nsgreg.nga.mil/genc/view?v=212572&amp;end_month=12&amp;end_day=31&amp;end_year=2014","Namdrik")</f>
        <v>Namdrik</v>
      </c>
      <c r="G2713" s="28" t="str">
        <f>HYPERLINK("http://api.nsgreg.nga.mil/geo-division/GENC/6/ed3/MH-NMK","as:GENC:6:ed3:MH-NMK")</f>
        <v>as:GENC:6:ed3:MH-NMK</v>
      </c>
    </row>
    <row r="2714" spans="1:7" x14ac:dyDescent="0.2">
      <c r="A2714" s="85"/>
      <c r="B2714" s="25" t="s">
        <v>7040</v>
      </c>
      <c r="C2714" s="25" t="s">
        <v>7041</v>
      </c>
      <c r="D2714" s="25" t="s">
        <v>2164</v>
      </c>
      <c r="E2714" s="26" t="b">
        <v>1</v>
      </c>
      <c r="F2714" s="27" t="str">
        <f>HYPERLINK("http://nsgreg.nga.mil/genc/view?v=212573&amp;end_month=12&amp;end_day=31&amp;end_year=2014","Namu")</f>
        <v>Namu</v>
      </c>
      <c r="G2714" s="28" t="str">
        <f>HYPERLINK("http://api.nsgreg.nga.mil/geo-division/GENC/6/ed3/MH-NMU","as:GENC:6:ed3:MH-NMU")</f>
        <v>as:GENC:6:ed3:MH-NMU</v>
      </c>
    </row>
    <row r="2715" spans="1:7" x14ac:dyDescent="0.2">
      <c r="A2715" s="85"/>
      <c r="B2715" s="25" t="s">
        <v>7042</v>
      </c>
      <c r="C2715" s="25" t="s">
        <v>13030</v>
      </c>
      <c r="D2715" s="37" t="s">
        <v>7044</v>
      </c>
      <c r="E2715" s="38" t="b">
        <v>0</v>
      </c>
      <c r="F2715" s="27" t="str">
        <f>HYPERLINK("http://nsgreg.nga.mil/genc/view?v=212564&amp;end_month=12&amp;end_day=31&amp;end_year=2014","Ralik Chain")</f>
        <v>Ralik Chain</v>
      </c>
      <c r="G2715" s="28" t="str">
        <f>HYPERLINK("http://api.nsgreg.nga.mil/geo-division/GENC/6/ed3/MH-L","as:GENC:6:ed3:MH-L")</f>
        <v>as:GENC:6:ed3:MH-L</v>
      </c>
    </row>
    <row r="2716" spans="1:7" x14ac:dyDescent="0.2">
      <c r="A2716" s="85"/>
      <c r="B2716" s="25" t="s">
        <v>7045</v>
      </c>
      <c r="C2716" s="25" t="s">
        <v>13031</v>
      </c>
      <c r="D2716" s="37" t="s">
        <v>7044</v>
      </c>
      <c r="E2716" s="38" t="b">
        <v>0</v>
      </c>
      <c r="F2716" s="27" t="str">
        <f>HYPERLINK("http://nsgreg.nga.mil/genc/view?v=212575&amp;end_month=12&amp;end_day=31&amp;end_year=2014","Ratak Chain")</f>
        <v>Ratak Chain</v>
      </c>
      <c r="G2716" s="28" t="str">
        <f>HYPERLINK("http://api.nsgreg.nga.mil/geo-division/GENC/6/ed3/MH-T","as:GENC:6:ed3:MH-T")</f>
        <v>as:GENC:6:ed3:MH-T</v>
      </c>
    </row>
    <row r="2717" spans="1:7" x14ac:dyDescent="0.2">
      <c r="A2717" s="85"/>
      <c r="B2717" s="25" t="s">
        <v>7047</v>
      </c>
      <c r="C2717" s="25" t="s">
        <v>7048</v>
      </c>
      <c r="D2717" s="25" t="s">
        <v>2164</v>
      </c>
      <c r="E2717" s="26" t="b">
        <v>1</v>
      </c>
      <c r="F2717" s="27" t="str">
        <f>HYPERLINK("http://nsgreg.nga.mil/genc/view?v=212574&amp;end_month=12&amp;end_day=31&amp;end_year=2014","Rongelap")</f>
        <v>Rongelap</v>
      </c>
      <c r="G2717" s="28" t="str">
        <f>HYPERLINK("http://api.nsgreg.nga.mil/geo-division/GENC/6/ed3/MH-RON","as:GENC:6:ed3:MH-RON")</f>
        <v>as:GENC:6:ed3:MH-RON</v>
      </c>
    </row>
    <row r="2718" spans="1:7" x14ac:dyDescent="0.2">
      <c r="A2718" s="85"/>
      <c r="B2718" s="25" t="s">
        <v>7049</v>
      </c>
      <c r="C2718" s="25" t="s">
        <v>7050</v>
      </c>
      <c r="D2718" s="25" t="s">
        <v>2164</v>
      </c>
      <c r="E2718" s="26" t="b">
        <v>1</v>
      </c>
      <c r="F2718" s="27" t="str">
        <f>HYPERLINK("http://nsgreg.nga.mil/genc/view?v=212576&amp;end_month=12&amp;end_day=31&amp;end_year=2014","Ujae")</f>
        <v>Ujae</v>
      </c>
      <c r="G2718" s="28" t="str">
        <f>HYPERLINK("http://api.nsgreg.nga.mil/geo-division/GENC/6/ed3/MH-UJA","as:GENC:6:ed3:MH-UJA")</f>
        <v>as:GENC:6:ed3:MH-UJA</v>
      </c>
    </row>
    <row r="2719" spans="1:7" x14ac:dyDescent="0.2">
      <c r="A2719" s="85"/>
      <c r="B2719" s="25" t="s">
        <v>7051</v>
      </c>
      <c r="C2719" s="25" t="s">
        <v>13032</v>
      </c>
      <c r="D2719" s="25" t="s">
        <v>2164</v>
      </c>
      <c r="E2719" s="26" t="b">
        <v>1</v>
      </c>
      <c r="F2719" s="27" t="str">
        <f>HYPERLINK("http://nsgreg.nga.mil/genc/view?v=212577&amp;end_month=12&amp;end_day=31&amp;end_year=2014","Utrik")</f>
        <v>Utrik</v>
      </c>
      <c r="G2719" s="28" t="str">
        <f>HYPERLINK("http://api.nsgreg.nga.mil/geo-division/GENC/6/ed3/MH-UTI","as:GENC:6:ed3:MH-UTI")</f>
        <v>as:GENC:6:ed3:MH-UTI</v>
      </c>
    </row>
    <row r="2720" spans="1:7" x14ac:dyDescent="0.2">
      <c r="A2720" s="85"/>
      <c r="B2720" s="25" t="s">
        <v>7053</v>
      </c>
      <c r="C2720" s="25" t="s">
        <v>7054</v>
      </c>
      <c r="D2720" s="25" t="s">
        <v>2164</v>
      </c>
      <c r="E2720" s="26" t="b">
        <v>1</v>
      </c>
      <c r="F2720" s="27" t="str">
        <f>HYPERLINK("http://nsgreg.nga.mil/genc/view?v=212578&amp;end_month=12&amp;end_day=31&amp;end_year=2014","Wotho")</f>
        <v>Wotho</v>
      </c>
      <c r="G2720" s="28" t="str">
        <f>HYPERLINK("http://api.nsgreg.nga.mil/geo-division/GENC/6/ed3/MH-WTH","as:GENC:6:ed3:MH-WTH")</f>
        <v>as:GENC:6:ed3:MH-WTH</v>
      </c>
    </row>
    <row r="2721" spans="1:7" x14ac:dyDescent="0.2">
      <c r="A2721" s="86"/>
      <c r="B2721" s="29" t="s">
        <v>7055</v>
      </c>
      <c r="C2721" s="29" t="s">
        <v>7056</v>
      </c>
      <c r="D2721" s="29" t="s">
        <v>2164</v>
      </c>
      <c r="E2721" s="30" t="b">
        <v>1</v>
      </c>
      <c r="F2721" s="31" t="str">
        <f>HYPERLINK("http://nsgreg.nga.mil/genc/view?v=212579&amp;end_month=12&amp;end_day=31&amp;end_year=2014","Wotje")</f>
        <v>Wotje</v>
      </c>
      <c r="G2721" s="32" t="str">
        <f>HYPERLINK("http://api.nsgreg.nga.mil/geo-division/GENC/6/ed3/MH-WTJ","as:GENC:6:ed3:MH-WTJ")</f>
        <v>as:GENC:6:ed3:MH-WTJ</v>
      </c>
    </row>
    <row r="2722" spans="1:7" x14ac:dyDescent="0.2">
      <c r="A2722" s="84" t="str">
        <f>HYPERLINK("[#]Codes_for_GE_Names!A168:I168","MAURITANIA")</f>
        <v>MAURITANIA</v>
      </c>
      <c r="B2722" s="33" t="s">
        <v>7057</v>
      </c>
      <c r="C2722" s="33" t="s">
        <v>1873</v>
      </c>
      <c r="D2722" s="33" t="s">
        <v>2087</v>
      </c>
      <c r="E2722" s="34" t="b">
        <v>1</v>
      </c>
      <c r="F2722" s="35" t="str">
        <f>HYPERLINK("http://nsgreg.nga.mil/genc/view?v=120926&amp;gencs=T&amp;end_month=12&amp;end_day=31&amp;end_year=2014","Adrar")</f>
        <v>Adrar</v>
      </c>
      <c r="G2722" s="36" t="str">
        <f>HYPERLINK("http://api.nsgreg.nga.mil/geo-division/GENC/6/ed3/MR-07","as:GENC:6:ed3:MR-07")</f>
        <v>as:GENC:6:ed3:MR-07</v>
      </c>
    </row>
    <row r="2723" spans="1:7" x14ac:dyDescent="0.2">
      <c r="A2723" s="85"/>
      <c r="B2723" s="25" t="s">
        <v>7058</v>
      </c>
      <c r="C2723" s="25" t="s">
        <v>7059</v>
      </c>
      <c r="D2723" s="25" t="s">
        <v>2087</v>
      </c>
      <c r="E2723" s="26" t="b">
        <v>1</v>
      </c>
      <c r="F2723" s="27" t="str">
        <f>HYPERLINK("http://nsgreg.nga.mil/genc/view?v=120922&amp;gencs=T&amp;end_month=12&amp;end_day=31&amp;end_year=2014","Assaba")</f>
        <v>Assaba</v>
      </c>
      <c r="G2723" s="28" t="str">
        <f>HYPERLINK("http://api.nsgreg.nga.mil/geo-division/GENC/6/ed3/MR-03","as:GENC:6:ed3:MR-03")</f>
        <v>as:GENC:6:ed3:MR-03</v>
      </c>
    </row>
    <row r="2724" spans="1:7" x14ac:dyDescent="0.2">
      <c r="A2724" s="85"/>
      <c r="B2724" s="25" t="s">
        <v>7060</v>
      </c>
      <c r="C2724" s="25" t="s">
        <v>7061</v>
      </c>
      <c r="D2724" s="25" t="s">
        <v>2087</v>
      </c>
      <c r="E2724" s="26" t="b">
        <v>1</v>
      </c>
      <c r="F2724" s="27" t="str">
        <f>HYPERLINK("http://nsgreg.nga.mil/genc/view?v=120924&amp;gencs=T&amp;end_month=12&amp;end_day=31&amp;end_year=2014","Brakna")</f>
        <v>Brakna</v>
      </c>
      <c r="G2724" s="28" t="str">
        <f>HYPERLINK("http://api.nsgreg.nga.mil/geo-division/GENC/6/ed3/MR-05","as:GENC:6:ed3:MR-05")</f>
        <v>as:GENC:6:ed3:MR-05</v>
      </c>
    </row>
    <row r="2725" spans="1:7" x14ac:dyDescent="0.2">
      <c r="A2725" s="85"/>
      <c r="B2725" s="25" t="s">
        <v>7062</v>
      </c>
      <c r="C2725" s="25" t="s">
        <v>13033</v>
      </c>
      <c r="D2725" s="25" t="s">
        <v>2087</v>
      </c>
      <c r="E2725" s="26" t="b">
        <v>1</v>
      </c>
      <c r="F2725" s="27" t="str">
        <f>HYPERLINK("http://nsgreg.nga.mil/genc/view?v=212615&amp;end_month=12&amp;end_day=31&amp;end_year=2014","Dakhlet Nouadhibou")</f>
        <v>Dakhlet Nouadhibou</v>
      </c>
      <c r="G2725" s="28" t="str">
        <f>HYPERLINK("http://api.nsgreg.nga.mil/geo-division/GENC/6/ed3/MR-08","as:GENC:6:ed3:MR-08")</f>
        <v>as:GENC:6:ed3:MR-08</v>
      </c>
    </row>
    <row r="2726" spans="1:7" x14ac:dyDescent="0.2">
      <c r="A2726" s="85"/>
      <c r="B2726" s="25" t="s">
        <v>7064</v>
      </c>
      <c r="C2726" s="25" t="s">
        <v>7065</v>
      </c>
      <c r="D2726" s="25" t="s">
        <v>2087</v>
      </c>
      <c r="E2726" s="26" t="b">
        <v>1</v>
      </c>
      <c r="F2726" s="27" t="str">
        <f>HYPERLINK("http://nsgreg.nga.mil/genc/view?v=120923&amp;gencs=T&amp;end_month=12&amp;end_day=31&amp;end_year=2014","Gorgol")</f>
        <v>Gorgol</v>
      </c>
      <c r="G2726" s="28" t="str">
        <f>HYPERLINK("http://api.nsgreg.nga.mil/geo-division/GENC/6/ed3/MR-04","as:GENC:6:ed3:MR-04")</f>
        <v>as:GENC:6:ed3:MR-04</v>
      </c>
    </row>
    <row r="2727" spans="1:7" x14ac:dyDescent="0.2">
      <c r="A2727" s="85"/>
      <c r="B2727" s="25" t="s">
        <v>7066</v>
      </c>
      <c r="C2727" s="25" t="s">
        <v>7067</v>
      </c>
      <c r="D2727" s="25" t="s">
        <v>2087</v>
      </c>
      <c r="E2727" s="26" t="b">
        <v>1</v>
      </c>
      <c r="F2727" s="27" t="str">
        <f>HYPERLINK("http://nsgreg.nga.mil/genc/view?v=120929&amp;gencs=T&amp;end_month=12&amp;end_day=31&amp;end_year=2014","Guidimaka")</f>
        <v>Guidimaka</v>
      </c>
      <c r="G2727" s="28" t="str">
        <f>HYPERLINK("http://api.nsgreg.nga.mil/geo-division/GENC/6/ed3/MR-10","as:GENC:6:ed3:MR-10")</f>
        <v>as:GENC:6:ed3:MR-10</v>
      </c>
    </row>
    <row r="2728" spans="1:7" x14ac:dyDescent="0.2">
      <c r="A2728" s="85"/>
      <c r="B2728" s="25" t="s">
        <v>7068</v>
      </c>
      <c r="C2728" s="25" t="s">
        <v>7069</v>
      </c>
      <c r="D2728" s="25" t="s">
        <v>2087</v>
      </c>
      <c r="E2728" s="26" t="b">
        <v>1</v>
      </c>
      <c r="F2728" s="27" t="str">
        <f>HYPERLINK("http://nsgreg.nga.mil/genc/view?v=120920&amp;gencs=T&amp;end_month=12&amp;end_day=31&amp;end_year=2014","Hodh ech Chargui")</f>
        <v>Hodh ech Chargui</v>
      </c>
      <c r="G2728" s="28" t="str">
        <f>HYPERLINK("http://api.nsgreg.nga.mil/geo-division/GENC/6/ed3/MR-01","as:GENC:6:ed3:MR-01")</f>
        <v>as:GENC:6:ed3:MR-01</v>
      </c>
    </row>
    <row r="2729" spans="1:7" x14ac:dyDescent="0.2">
      <c r="A2729" s="85"/>
      <c r="B2729" s="25" t="s">
        <v>7070</v>
      </c>
      <c r="C2729" s="25" t="s">
        <v>7071</v>
      </c>
      <c r="D2729" s="25" t="s">
        <v>2087</v>
      </c>
      <c r="E2729" s="26" t="b">
        <v>1</v>
      </c>
      <c r="F2729" s="27" t="str">
        <f>HYPERLINK("http://nsgreg.nga.mil/genc/view?v=120921&amp;gencs=T&amp;end_month=12&amp;end_day=31&amp;end_year=2014","Hodh el Gharbi")</f>
        <v>Hodh el Gharbi</v>
      </c>
      <c r="G2729" s="28" t="str">
        <f>HYPERLINK("http://api.nsgreg.nga.mil/geo-division/GENC/6/ed3/MR-02","as:GENC:6:ed3:MR-02")</f>
        <v>as:GENC:6:ed3:MR-02</v>
      </c>
    </row>
    <row r="2730" spans="1:7" x14ac:dyDescent="0.2">
      <c r="A2730" s="85"/>
      <c r="B2730" s="25" t="s">
        <v>7072</v>
      </c>
      <c r="C2730" s="25" t="s">
        <v>7073</v>
      </c>
      <c r="D2730" s="25" t="s">
        <v>2087</v>
      </c>
      <c r="E2730" s="26" t="b">
        <v>1</v>
      </c>
      <c r="F2730" s="27" t="str">
        <f>HYPERLINK("http://nsgreg.nga.mil/genc/view?v=120931&amp;gencs=T&amp;end_month=12&amp;end_day=31&amp;end_year=2014","Inchiri")</f>
        <v>Inchiri</v>
      </c>
      <c r="G2730" s="28" t="str">
        <f>HYPERLINK("http://api.nsgreg.nga.mil/geo-division/GENC/6/ed3/MR-12","as:GENC:6:ed3:MR-12")</f>
        <v>as:GENC:6:ed3:MR-12</v>
      </c>
    </row>
    <row r="2731" spans="1:7" x14ac:dyDescent="0.2">
      <c r="A2731" s="85"/>
      <c r="B2731" s="25" t="s">
        <v>7074</v>
      </c>
      <c r="C2731" s="25" t="s">
        <v>7075</v>
      </c>
      <c r="D2731" s="25" t="s">
        <v>2087</v>
      </c>
      <c r="E2731" s="26" t="b">
        <v>1</v>
      </c>
      <c r="F2731" s="27" t="str">
        <f>HYPERLINK("http://nsgreg.nga.mil/genc/view?v=212616&amp;end_month=12&amp;end_day=31&amp;end_year=2014","Nouakchott")</f>
        <v>Nouakchott</v>
      </c>
      <c r="G2731" s="28" t="str">
        <f>HYPERLINK("http://api.nsgreg.nga.mil/geo-division/GENC/6/ed3/MR-NKC","as:GENC:6:ed3:MR-NKC")</f>
        <v>as:GENC:6:ed3:MR-NKC</v>
      </c>
    </row>
    <row r="2732" spans="1:7" x14ac:dyDescent="0.2">
      <c r="A2732" s="85"/>
      <c r="B2732" s="25" t="s">
        <v>7076</v>
      </c>
      <c r="C2732" s="25" t="s">
        <v>7077</v>
      </c>
      <c r="D2732" s="25" t="s">
        <v>2087</v>
      </c>
      <c r="E2732" s="26" t="b">
        <v>1</v>
      </c>
      <c r="F2732" s="27" t="str">
        <f>HYPERLINK("http://nsgreg.nga.mil/genc/view?v=120928&amp;gencs=T&amp;end_month=12&amp;end_day=31&amp;end_year=2014","Tagant")</f>
        <v>Tagant</v>
      </c>
      <c r="G2732" s="28" t="str">
        <f>HYPERLINK("http://api.nsgreg.nga.mil/geo-division/GENC/6/ed3/MR-09","as:GENC:6:ed3:MR-09")</f>
        <v>as:GENC:6:ed3:MR-09</v>
      </c>
    </row>
    <row r="2733" spans="1:7" x14ac:dyDescent="0.2">
      <c r="A2733" s="85"/>
      <c r="B2733" s="25" t="s">
        <v>7078</v>
      </c>
      <c r="C2733" s="25" t="s">
        <v>7079</v>
      </c>
      <c r="D2733" s="25" t="s">
        <v>2087</v>
      </c>
      <c r="E2733" s="26" t="b">
        <v>1</v>
      </c>
      <c r="F2733" s="27" t="str">
        <f>HYPERLINK("http://nsgreg.nga.mil/genc/view?v=120930&amp;gencs=T&amp;end_month=12&amp;end_day=31&amp;end_year=2014","Tiris Zemmour")</f>
        <v>Tiris Zemmour</v>
      </c>
      <c r="G2733" s="28" t="str">
        <f>HYPERLINK("http://api.nsgreg.nga.mil/geo-division/GENC/6/ed3/MR-11","as:GENC:6:ed3:MR-11")</f>
        <v>as:GENC:6:ed3:MR-11</v>
      </c>
    </row>
    <row r="2734" spans="1:7" x14ac:dyDescent="0.2">
      <c r="A2734" s="86"/>
      <c r="B2734" s="29" t="s">
        <v>7080</v>
      </c>
      <c r="C2734" s="29" t="s">
        <v>7081</v>
      </c>
      <c r="D2734" s="29" t="s">
        <v>2087</v>
      </c>
      <c r="E2734" s="30" t="b">
        <v>1</v>
      </c>
      <c r="F2734" s="31" t="str">
        <f>HYPERLINK("http://nsgreg.nga.mil/genc/view?v=120925&amp;gencs=T&amp;end_month=12&amp;end_day=31&amp;end_year=2014","Trarza")</f>
        <v>Trarza</v>
      </c>
      <c r="G2734" s="32" t="str">
        <f>HYPERLINK("http://api.nsgreg.nga.mil/geo-division/GENC/6/ed3/MR-06","as:GENC:6:ed3:MR-06")</f>
        <v>as:GENC:6:ed3:MR-06</v>
      </c>
    </row>
    <row r="2735" spans="1:7" x14ac:dyDescent="0.2">
      <c r="A2735" s="84" t="str">
        <f>HYPERLINK("[#]Codes_for_GE_Names!A169:I169","MAURITIUS")</f>
        <v>MAURITIUS</v>
      </c>
      <c r="B2735" s="33" t="s">
        <v>7082</v>
      </c>
      <c r="C2735" s="33" t="s">
        <v>7083</v>
      </c>
      <c r="D2735" s="33" t="s">
        <v>2021</v>
      </c>
      <c r="E2735" s="34" t="b">
        <v>1</v>
      </c>
      <c r="F2735" s="35" t="str">
        <f>HYPERLINK("http://nsgreg.nga.mil/genc/view?v=121001&amp;gencs=T&amp;end_month=12&amp;end_day=31&amp;end_year=2014","Agalega Islands")</f>
        <v>Agalega Islands</v>
      </c>
      <c r="G2735" s="36" t="str">
        <f>HYPERLINK("http://api.nsgreg.nga.mil/geo-division/GENC/6/ed3/MU-AG","as:GENC:6:ed3:MU-AG")</f>
        <v>as:GENC:6:ed3:MU-AG</v>
      </c>
    </row>
    <row r="2736" spans="1:7" x14ac:dyDescent="0.2">
      <c r="A2736" s="85"/>
      <c r="B2736" s="25" t="s">
        <v>7084</v>
      </c>
      <c r="C2736" s="25" t="s">
        <v>7085</v>
      </c>
      <c r="D2736" s="37" t="s">
        <v>2046</v>
      </c>
      <c r="E2736" s="38" t="b">
        <v>0</v>
      </c>
      <c r="F2736" s="27" t="str">
        <f>HYPERLINK("http://nsgreg.nga.mil/genc/view?v=121003&amp;gencs=T&amp;end_month=12&amp;end_day=31&amp;end_year=2014","Beau Bassin-Rose Hill")</f>
        <v>Beau Bassin-Rose Hill</v>
      </c>
      <c r="G2736" s="28" t="str">
        <f>HYPERLINK("http://api.nsgreg.nga.mil/geo-division/GENC/6/ed3/MU-BR","as:GENC:6:ed3:MU-BR")</f>
        <v>as:GENC:6:ed3:MU-BR</v>
      </c>
    </row>
    <row r="2737" spans="1:7" x14ac:dyDescent="0.2">
      <c r="A2737" s="85"/>
      <c r="B2737" s="25" t="s">
        <v>7086</v>
      </c>
      <c r="C2737" s="25" t="s">
        <v>7087</v>
      </c>
      <c r="D2737" s="25" t="s">
        <v>1790</v>
      </c>
      <c r="E2737" s="26" t="b">
        <v>1</v>
      </c>
      <c r="F2737" s="27" t="str">
        <f>HYPERLINK("http://nsgreg.nga.mil/genc/view?v=121002&amp;gencs=T&amp;end_month=12&amp;end_day=31&amp;end_year=2014","Black River")</f>
        <v>Black River</v>
      </c>
      <c r="G2737" s="28" t="str">
        <f>HYPERLINK("http://api.nsgreg.nga.mil/geo-division/GENC/6/ed3/MU-BL","as:GENC:6:ed3:MU-BL")</f>
        <v>as:GENC:6:ed3:MU-BL</v>
      </c>
    </row>
    <row r="2738" spans="1:7" x14ac:dyDescent="0.2">
      <c r="A2738" s="85"/>
      <c r="B2738" s="25" t="s">
        <v>7088</v>
      </c>
      <c r="C2738" s="25" t="s">
        <v>13034</v>
      </c>
      <c r="D2738" s="25" t="s">
        <v>2021</v>
      </c>
      <c r="E2738" s="26" t="b">
        <v>1</v>
      </c>
      <c r="F2738" s="27" t="str">
        <f>HYPERLINK("http://nsgreg.nga.mil/genc/view?v=212688&amp;end_month=12&amp;end_day=31&amp;end_year=2014","Cargados Carajos")</f>
        <v>Cargados Carajos</v>
      </c>
      <c r="G2738" s="28" t="str">
        <f>HYPERLINK("http://api.nsgreg.nga.mil/geo-division/GENC/6/ed3/MU-CC","as:GENC:6:ed3:MU-CC")</f>
        <v>as:GENC:6:ed3:MU-CC</v>
      </c>
    </row>
    <row r="2739" spans="1:7" x14ac:dyDescent="0.2">
      <c r="A2739" s="85"/>
      <c r="B2739" s="25" t="s">
        <v>7090</v>
      </c>
      <c r="C2739" s="25" t="s">
        <v>7091</v>
      </c>
      <c r="D2739" s="37" t="s">
        <v>2046</v>
      </c>
      <c r="E2739" s="38" t="b">
        <v>0</v>
      </c>
      <c r="F2739" s="27" t="str">
        <f>HYPERLINK("http://nsgreg.nga.mil/genc/view?v=121005&amp;gencs=T&amp;end_month=12&amp;end_day=31&amp;end_year=2014","Curepipe")</f>
        <v>Curepipe</v>
      </c>
      <c r="G2739" s="28" t="str">
        <f>HYPERLINK("http://api.nsgreg.nga.mil/geo-division/GENC/6/ed3/MU-CU","as:GENC:6:ed3:MU-CU")</f>
        <v>as:GENC:6:ed3:MU-CU</v>
      </c>
    </row>
    <row r="2740" spans="1:7" x14ac:dyDescent="0.2">
      <c r="A2740" s="85"/>
      <c r="B2740" s="25" t="s">
        <v>7092</v>
      </c>
      <c r="C2740" s="25" t="s">
        <v>7093</v>
      </c>
      <c r="D2740" s="25" t="s">
        <v>1790</v>
      </c>
      <c r="E2740" s="26" t="b">
        <v>1</v>
      </c>
      <c r="F2740" s="27" t="str">
        <f>HYPERLINK("http://nsgreg.nga.mil/genc/view?v=121006&amp;gencs=T&amp;end_month=12&amp;end_day=31&amp;end_year=2014","Flacq")</f>
        <v>Flacq</v>
      </c>
      <c r="G2740" s="28" t="str">
        <f>HYPERLINK("http://api.nsgreg.nga.mil/geo-division/GENC/6/ed3/MU-FL","as:GENC:6:ed3:MU-FL")</f>
        <v>as:GENC:6:ed3:MU-FL</v>
      </c>
    </row>
    <row r="2741" spans="1:7" x14ac:dyDescent="0.2">
      <c r="A2741" s="85"/>
      <c r="B2741" s="25" t="s">
        <v>7094</v>
      </c>
      <c r="C2741" s="25" t="s">
        <v>7095</v>
      </c>
      <c r="D2741" s="25" t="s">
        <v>1790</v>
      </c>
      <c r="E2741" s="26" t="b">
        <v>1</v>
      </c>
      <c r="F2741" s="27" t="str">
        <f>HYPERLINK("http://nsgreg.nga.mil/genc/view?v=121007&amp;gencs=T&amp;end_month=12&amp;end_day=31&amp;end_year=2014","Grand Port")</f>
        <v>Grand Port</v>
      </c>
      <c r="G2741" s="28" t="str">
        <f>HYPERLINK("http://api.nsgreg.nga.mil/geo-division/GENC/6/ed3/MU-GP","as:GENC:6:ed3:MU-GP")</f>
        <v>as:GENC:6:ed3:MU-GP</v>
      </c>
    </row>
    <row r="2742" spans="1:7" x14ac:dyDescent="0.2">
      <c r="A2742" s="85"/>
      <c r="B2742" s="25" t="s">
        <v>7096</v>
      </c>
      <c r="C2742" s="25" t="s">
        <v>7097</v>
      </c>
      <c r="D2742" s="25" t="s">
        <v>1790</v>
      </c>
      <c r="E2742" s="26" t="b">
        <v>1</v>
      </c>
      <c r="F2742" s="27" t="str">
        <f>HYPERLINK("http://nsgreg.nga.mil/genc/view?v=121008&amp;gencs=T&amp;end_month=12&amp;end_day=31&amp;end_year=2014","Moka")</f>
        <v>Moka</v>
      </c>
      <c r="G2742" s="28" t="str">
        <f>HYPERLINK("http://api.nsgreg.nga.mil/geo-division/GENC/6/ed3/MU-MO","as:GENC:6:ed3:MU-MO")</f>
        <v>as:GENC:6:ed3:MU-MO</v>
      </c>
    </row>
    <row r="2743" spans="1:7" x14ac:dyDescent="0.2">
      <c r="A2743" s="85"/>
      <c r="B2743" s="25" t="s">
        <v>7098</v>
      </c>
      <c r="C2743" s="25" t="s">
        <v>7099</v>
      </c>
      <c r="D2743" s="25" t="s">
        <v>1790</v>
      </c>
      <c r="E2743" s="26" t="b">
        <v>1</v>
      </c>
      <c r="F2743" s="27" t="str">
        <f>HYPERLINK("http://nsgreg.nga.mil/genc/view?v=121009&amp;gencs=T&amp;end_month=12&amp;end_day=31&amp;end_year=2014","Pamplemousses")</f>
        <v>Pamplemousses</v>
      </c>
      <c r="G2743" s="28" t="str">
        <f>HYPERLINK("http://api.nsgreg.nga.mil/geo-division/GENC/6/ed3/MU-PA","as:GENC:6:ed3:MU-PA")</f>
        <v>as:GENC:6:ed3:MU-PA</v>
      </c>
    </row>
    <row r="2744" spans="1:7" x14ac:dyDescent="0.2">
      <c r="A2744" s="85"/>
      <c r="B2744" s="25" t="s">
        <v>7100</v>
      </c>
      <c r="C2744" s="25" t="s">
        <v>7101</v>
      </c>
      <c r="D2744" s="25" t="s">
        <v>1790</v>
      </c>
      <c r="E2744" s="26" t="b">
        <v>1</v>
      </c>
      <c r="F2744" s="27" t="str">
        <f>HYPERLINK("http://nsgreg.nga.mil/genc/view?v=121012&amp;gencs=T&amp;end_month=12&amp;end_day=31&amp;end_year=2014","Plaines Wilhems")</f>
        <v>Plaines Wilhems</v>
      </c>
      <c r="G2744" s="28" t="str">
        <f>HYPERLINK("http://api.nsgreg.nga.mil/geo-division/GENC/6/ed3/MU-PW","as:GENC:6:ed3:MU-PW")</f>
        <v>as:GENC:6:ed3:MU-PW</v>
      </c>
    </row>
    <row r="2745" spans="1:7" x14ac:dyDescent="0.2">
      <c r="A2745" s="85"/>
      <c r="B2745" s="25" t="s">
        <v>7104</v>
      </c>
      <c r="C2745" s="25" t="s">
        <v>7103</v>
      </c>
      <c r="D2745" s="37" t="s">
        <v>2046</v>
      </c>
      <c r="E2745" s="38" t="b">
        <v>0</v>
      </c>
      <c r="F2745" s="27" t="str">
        <f>HYPERLINK("http://nsgreg.nga.mil/genc/view?v=121011&amp;gencs=T&amp;end_month=12&amp;end_day=31&amp;end_year=2014","Port Louis")</f>
        <v>Port Louis</v>
      </c>
      <c r="G2745" s="28" t="str">
        <f>HYPERLINK("http://api.nsgreg.nga.mil/geo-division/GENC/6/ed3/MU-PU","as:GENC:6:ed3:MU-PU")</f>
        <v>as:GENC:6:ed3:MU-PU</v>
      </c>
    </row>
    <row r="2746" spans="1:7" x14ac:dyDescent="0.2">
      <c r="A2746" s="85"/>
      <c r="B2746" s="25" t="s">
        <v>7102</v>
      </c>
      <c r="C2746" s="25" t="s">
        <v>7103</v>
      </c>
      <c r="D2746" s="25" t="s">
        <v>1790</v>
      </c>
      <c r="E2746" s="26" t="b">
        <v>1</v>
      </c>
      <c r="F2746" s="27" t="str">
        <f>HYPERLINK("http://nsgreg.nga.mil/genc/view?v=121010&amp;gencs=T&amp;end_month=12&amp;end_day=31&amp;end_year=2014","Port Louis")</f>
        <v>Port Louis</v>
      </c>
      <c r="G2746" s="28" t="str">
        <f>HYPERLINK("http://api.nsgreg.nga.mil/geo-division/GENC/6/ed3/MU-PL","as:GENC:6:ed3:MU-PL")</f>
        <v>as:GENC:6:ed3:MU-PL</v>
      </c>
    </row>
    <row r="2747" spans="1:7" x14ac:dyDescent="0.2">
      <c r="A2747" s="85"/>
      <c r="B2747" s="25" t="s">
        <v>7105</v>
      </c>
      <c r="C2747" s="25" t="s">
        <v>7106</v>
      </c>
      <c r="D2747" s="37" t="s">
        <v>2046</v>
      </c>
      <c r="E2747" s="38" t="b">
        <v>0</v>
      </c>
      <c r="F2747" s="27" t="str">
        <f>HYPERLINK("http://nsgreg.nga.mil/genc/view?v=121013&amp;gencs=T&amp;end_month=12&amp;end_day=31&amp;end_year=2014","Quatre Bornes")</f>
        <v>Quatre Bornes</v>
      </c>
      <c r="G2747" s="28" t="str">
        <f>HYPERLINK("http://api.nsgreg.nga.mil/geo-division/GENC/6/ed3/MU-QB","as:GENC:6:ed3:MU-QB")</f>
        <v>as:GENC:6:ed3:MU-QB</v>
      </c>
    </row>
    <row r="2748" spans="1:7" x14ac:dyDescent="0.2">
      <c r="A2748" s="85"/>
      <c r="B2748" s="25" t="s">
        <v>7107</v>
      </c>
      <c r="C2748" s="25" t="s">
        <v>7108</v>
      </c>
      <c r="D2748" s="25" t="s">
        <v>1790</v>
      </c>
      <c r="E2748" s="26" t="b">
        <v>1</v>
      </c>
      <c r="F2748" s="27" t="str">
        <f>HYPERLINK("http://nsgreg.nga.mil/genc/view?v=121015&amp;gencs=T&amp;end_month=12&amp;end_day=31&amp;end_year=2014","Rivière du Rempart")</f>
        <v>Rivière du Rempart</v>
      </c>
      <c r="G2748" s="28" t="str">
        <f>HYPERLINK("http://api.nsgreg.nga.mil/geo-division/GENC/6/ed3/MU-RR","as:GENC:6:ed3:MU-RR")</f>
        <v>as:GENC:6:ed3:MU-RR</v>
      </c>
    </row>
    <row r="2749" spans="1:7" x14ac:dyDescent="0.2">
      <c r="A2749" s="85"/>
      <c r="B2749" s="25" t="s">
        <v>7109</v>
      </c>
      <c r="C2749" s="25" t="s">
        <v>13035</v>
      </c>
      <c r="D2749" s="25" t="s">
        <v>2021</v>
      </c>
      <c r="E2749" s="26" t="b">
        <v>1</v>
      </c>
      <c r="F2749" s="27" t="str">
        <f>HYPERLINK("http://nsgreg.nga.mil/genc/view?v=212689&amp;end_month=12&amp;end_day=31&amp;end_year=2014","Rodrigues")</f>
        <v>Rodrigues</v>
      </c>
      <c r="G2749" s="28" t="str">
        <f>HYPERLINK("http://api.nsgreg.nga.mil/geo-division/GENC/6/ed3/MU-RO","as:GENC:6:ed3:MU-RO")</f>
        <v>as:GENC:6:ed3:MU-RO</v>
      </c>
    </row>
    <row r="2750" spans="1:7" x14ac:dyDescent="0.2">
      <c r="A2750" s="85"/>
      <c r="B2750" s="25" t="s">
        <v>7111</v>
      </c>
      <c r="C2750" s="25" t="s">
        <v>7112</v>
      </c>
      <c r="D2750" s="25" t="s">
        <v>1790</v>
      </c>
      <c r="E2750" s="26" t="b">
        <v>1</v>
      </c>
      <c r="F2750" s="27" t="str">
        <f>HYPERLINK("http://nsgreg.nga.mil/genc/view?v=121016&amp;gencs=T&amp;end_month=12&amp;end_day=31&amp;end_year=2014","Savanne")</f>
        <v>Savanne</v>
      </c>
      <c r="G2750" s="28" t="str">
        <f>HYPERLINK("http://api.nsgreg.nga.mil/geo-division/GENC/6/ed3/MU-SA","as:GENC:6:ed3:MU-SA")</f>
        <v>as:GENC:6:ed3:MU-SA</v>
      </c>
    </row>
    <row r="2751" spans="1:7" x14ac:dyDescent="0.2">
      <c r="A2751" s="86"/>
      <c r="B2751" s="29" t="s">
        <v>7113</v>
      </c>
      <c r="C2751" s="29" t="s">
        <v>7114</v>
      </c>
      <c r="D2751" s="39" t="s">
        <v>2046</v>
      </c>
      <c r="E2751" s="40" t="b">
        <v>0</v>
      </c>
      <c r="F2751" s="31" t="str">
        <f>HYPERLINK("http://nsgreg.nga.mil/genc/view?v=121017&amp;gencs=T&amp;end_month=12&amp;end_day=31&amp;end_year=2014","Vacoas-Phoenix")</f>
        <v>Vacoas-Phoenix</v>
      </c>
      <c r="G2751" s="32" t="str">
        <f>HYPERLINK("http://api.nsgreg.nga.mil/geo-division/GENC/6/ed3/MU-VP","as:GENC:6:ed3:MU-VP")</f>
        <v>as:GENC:6:ed3:MU-VP</v>
      </c>
    </row>
    <row r="2752" spans="1:7" x14ac:dyDescent="0.2">
      <c r="A2752" s="84" t="str">
        <f>HYPERLINK("[#]Codes_for_GE_Names!A171:I171","MEXICO")</f>
        <v>MEXICO</v>
      </c>
      <c r="B2752" s="33" t="s">
        <v>7115</v>
      </c>
      <c r="C2752" s="33" t="s">
        <v>7116</v>
      </c>
      <c r="D2752" s="33" t="s">
        <v>2113</v>
      </c>
      <c r="E2752" s="34" t="b">
        <v>1</v>
      </c>
      <c r="F2752" s="35" t="str">
        <f>HYPERLINK("http://nsgreg.nga.mil/genc/view?v=121077&amp;gencs=T&amp;end_month=12&amp;end_day=31&amp;end_year=2014","Aguascalientes")</f>
        <v>Aguascalientes</v>
      </c>
      <c r="G2752" s="36" t="str">
        <f>HYPERLINK("http://api.nsgreg.nga.mil/geo-division/GENC/6/ed3/MX-AGU","as:GENC:6:ed3:MX-AGU")</f>
        <v>as:GENC:6:ed3:MX-AGU</v>
      </c>
    </row>
    <row r="2753" spans="1:7" x14ac:dyDescent="0.2">
      <c r="A2753" s="85"/>
      <c r="B2753" s="25" t="s">
        <v>7117</v>
      </c>
      <c r="C2753" s="25" t="s">
        <v>7118</v>
      </c>
      <c r="D2753" s="25" t="s">
        <v>2113</v>
      </c>
      <c r="E2753" s="26" t="b">
        <v>1</v>
      </c>
      <c r="F2753" s="27" t="str">
        <f>HYPERLINK("http://nsgreg.nga.mil/genc/view?v=121078&amp;gencs=T&amp;end_month=12&amp;end_day=31&amp;end_year=2014","Baja California")</f>
        <v>Baja California</v>
      </c>
      <c r="G2753" s="28" t="str">
        <f>HYPERLINK("http://api.nsgreg.nga.mil/geo-division/GENC/6/ed3/MX-BCN","as:GENC:6:ed3:MX-BCN")</f>
        <v>as:GENC:6:ed3:MX-BCN</v>
      </c>
    </row>
    <row r="2754" spans="1:7" x14ac:dyDescent="0.2">
      <c r="A2754" s="85"/>
      <c r="B2754" s="25" t="s">
        <v>7119</v>
      </c>
      <c r="C2754" s="25" t="s">
        <v>7120</v>
      </c>
      <c r="D2754" s="25" t="s">
        <v>2113</v>
      </c>
      <c r="E2754" s="26" t="b">
        <v>1</v>
      </c>
      <c r="F2754" s="27" t="str">
        <f>HYPERLINK("http://nsgreg.nga.mil/genc/view?v=121079&amp;gencs=T&amp;end_month=12&amp;end_day=31&amp;end_year=2014","Baja California Sur")</f>
        <v>Baja California Sur</v>
      </c>
      <c r="G2754" s="28" t="str">
        <f>HYPERLINK("http://api.nsgreg.nga.mil/geo-division/GENC/6/ed3/MX-BCS","as:GENC:6:ed3:MX-BCS")</f>
        <v>as:GENC:6:ed3:MX-BCS</v>
      </c>
    </row>
    <row r="2755" spans="1:7" x14ac:dyDescent="0.2">
      <c r="A2755" s="85"/>
      <c r="B2755" s="25" t="s">
        <v>7121</v>
      </c>
      <c r="C2755" s="25" t="s">
        <v>7122</v>
      </c>
      <c r="D2755" s="25" t="s">
        <v>2113</v>
      </c>
      <c r="E2755" s="26" t="b">
        <v>1</v>
      </c>
      <c r="F2755" s="27" t="str">
        <f>HYPERLINK("http://nsgreg.nga.mil/genc/view?v=121080&amp;gencs=T&amp;end_month=12&amp;end_day=31&amp;end_year=2014","Campeche")</f>
        <v>Campeche</v>
      </c>
      <c r="G2755" s="28" t="str">
        <f>HYPERLINK("http://api.nsgreg.nga.mil/geo-division/GENC/6/ed3/MX-CAM","as:GENC:6:ed3:MX-CAM")</f>
        <v>as:GENC:6:ed3:MX-CAM</v>
      </c>
    </row>
    <row r="2756" spans="1:7" x14ac:dyDescent="0.2">
      <c r="A2756" s="85"/>
      <c r="B2756" s="25" t="s">
        <v>7123</v>
      </c>
      <c r="C2756" s="25" t="s">
        <v>7124</v>
      </c>
      <c r="D2756" s="25" t="s">
        <v>2113</v>
      </c>
      <c r="E2756" s="26" t="b">
        <v>1</v>
      </c>
      <c r="F2756" s="27" t="str">
        <f>HYPERLINK("http://nsgreg.nga.mil/genc/view?v=121082&amp;gencs=T&amp;end_month=12&amp;end_day=31&amp;end_year=2014","Chiapas")</f>
        <v>Chiapas</v>
      </c>
      <c r="G2756" s="28" t="str">
        <f>HYPERLINK("http://api.nsgreg.nga.mil/geo-division/GENC/6/ed3/MX-CHP","as:GENC:6:ed3:MX-CHP")</f>
        <v>as:GENC:6:ed3:MX-CHP</v>
      </c>
    </row>
    <row r="2757" spans="1:7" x14ac:dyDescent="0.2">
      <c r="A2757" s="85"/>
      <c r="B2757" s="25" t="s">
        <v>7125</v>
      </c>
      <c r="C2757" s="25" t="s">
        <v>7126</v>
      </c>
      <c r="D2757" s="25" t="s">
        <v>2113</v>
      </c>
      <c r="E2757" s="26" t="b">
        <v>1</v>
      </c>
      <c r="F2757" s="27" t="str">
        <f>HYPERLINK("http://nsgreg.nga.mil/genc/view?v=121081&amp;gencs=T&amp;end_month=12&amp;end_day=31&amp;end_year=2014","Chihuahua")</f>
        <v>Chihuahua</v>
      </c>
      <c r="G2757" s="28" t="str">
        <f>HYPERLINK("http://api.nsgreg.nga.mil/geo-division/GENC/6/ed3/MX-CHH","as:GENC:6:ed3:MX-CHH")</f>
        <v>as:GENC:6:ed3:MX-CHH</v>
      </c>
    </row>
    <row r="2758" spans="1:7" x14ac:dyDescent="0.2">
      <c r="A2758" s="85"/>
      <c r="B2758" s="25" t="s">
        <v>7127</v>
      </c>
      <c r="C2758" s="25" t="s">
        <v>13036</v>
      </c>
      <c r="D2758" s="25" t="s">
        <v>2113</v>
      </c>
      <c r="E2758" s="26" t="b">
        <v>1</v>
      </c>
      <c r="F2758" s="27" t="str">
        <f>HYPERLINK("http://nsgreg.nga.mil/genc/view?v=212749&amp;end_month=12&amp;end_day=31&amp;end_year=2014","Coahuila de Zaragoza")</f>
        <v>Coahuila de Zaragoza</v>
      </c>
      <c r="G2758" s="28" t="str">
        <f>HYPERLINK("http://api.nsgreg.nga.mil/geo-division/GENC/6/ed3/MX-COA","as:GENC:6:ed3:MX-COA")</f>
        <v>as:GENC:6:ed3:MX-COA</v>
      </c>
    </row>
    <row r="2759" spans="1:7" x14ac:dyDescent="0.2">
      <c r="A2759" s="85"/>
      <c r="B2759" s="25" t="s">
        <v>7129</v>
      </c>
      <c r="C2759" s="25" t="s">
        <v>7130</v>
      </c>
      <c r="D2759" s="25" t="s">
        <v>2113</v>
      </c>
      <c r="E2759" s="26" t="b">
        <v>1</v>
      </c>
      <c r="F2759" s="27" t="str">
        <f>HYPERLINK("http://nsgreg.nga.mil/genc/view?v=121084&amp;gencs=T&amp;end_month=12&amp;end_day=31&amp;end_year=2014","Colima")</f>
        <v>Colima</v>
      </c>
      <c r="G2759" s="28" t="str">
        <f>HYPERLINK("http://api.nsgreg.nga.mil/geo-division/GENC/6/ed3/MX-COL","as:GENC:6:ed3:MX-COL")</f>
        <v>as:GENC:6:ed3:MX-COL</v>
      </c>
    </row>
    <row r="2760" spans="1:7" x14ac:dyDescent="0.2">
      <c r="A2760" s="85"/>
      <c r="B2760" s="25" t="s">
        <v>7131</v>
      </c>
      <c r="C2760" s="25" t="s">
        <v>2750</v>
      </c>
      <c r="D2760" s="25" t="s">
        <v>2751</v>
      </c>
      <c r="E2760" s="26" t="b">
        <v>1</v>
      </c>
      <c r="F2760" s="27" t="str">
        <f>HYPERLINK("http://nsgreg.nga.mil/genc/view?v=121085&amp;gencs=T&amp;end_month=12&amp;end_day=31&amp;end_year=2014","Distrito Federal")</f>
        <v>Distrito Federal</v>
      </c>
      <c r="G2760" s="28" t="str">
        <f>HYPERLINK("http://api.nsgreg.nga.mil/geo-division/GENC/6/ed3/MX-DIF","as:GENC:6:ed3:MX-DIF")</f>
        <v>as:GENC:6:ed3:MX-DIF</v>
      </c>
    </row>
    <row r="2761" spans="1:7" x14ac:dyDescent="0.2">
      <c r="A2761" s="85"/>
      <c r="B2761" s="25" t="s">
        <v>7132</v>
      </c>
      <c r="C2761" s="25" t="s">
        <v>7133</v>
      </c>
      <c r="D2761" s="25" t="s">
        <v>2113</v>
      </c>
      <c r="E2761" s="26" t="b">
        <v>1</v>
      </c>
      <c r="F2761" s="27" t="str">
        <f>HYPERLINK("http://nsgreg.nga.mil/genc/view?v=121086&amp;gencs=T&amp;end_month=12&amp;end_day=31&amp;end_year=2014","Durango")</f>
        <v>Durango</v>
      </c>
      <c r="G2761" s="28" t="str">
        <f>HYPERLINK("http://api.nsgreg.nga.mil/geo-division/GENC/6/ed3/MX-DUR","as:GENC:6:ed3:MX-DUR")</f>
        <v>as:GENC:6:ed3:MX-DUR</v>
      </c>
    </row>
    <row r="2762" spans="1:7" x14ac:dyDescent="0.2">
      <c r="A2762" s="85"/>
      <c r="B2762" s="25" t="s">
        <v>7134</v>
      </c>
      <c r="C2762" s="25" t="s">
        <v>7135</v>
      </c>
      <c r="D2762" s="25" t="s">
        <v>2113</v>
      </c>
      <c r="E2762" s="26" t="b">
        <v>1</v>
      </c>
      <c r="F2762" s="27" t="str">
        <f>HYPERLINK("http://nsgreg.nga.mil/genc/view?v=121088&amp;gencs=T&amp;end_month=12&amp;end_day=31&amp;end_year=2014","Guanajuato")</f>
        <v>Guanajuato</v>
      </c>
      <c r="G2762" s="28" t="str">
        <f>HYPERLINK("http://api.nsgreg.nga.mil/geo-division/GENC/6/ed3/MX-GUA","as:GENC:6:ed3:MX-GUA")</f>
        <v>as:GENC:6:ed3:MX-GUA</v>
      </c>
    </row>
    <row r="2763" spans="1:7" x14ac:dyDescent="0.2">
      <c r="A2763" s="85"/>
      <c r="B2763" s="25" t="s">
        <v>7136</v>
      </c>
      <c r="C2763" s="25" t="s">
        <v>7137</v>
      </c>
      <c r="D2763" s="25" t="s">
        <v>2113</v>
      </c>
      <c r="E2763" s="26" t="b">
        <v>1</v>
      </c>
      <c r="F2763" s="27" t="str">
        <f>HYPERLINK("http://nsgreg.nga.mil/genc/view?v=121087&amp;gencs=T&amp;end_month=12&amp;end_day=31&amp;end_year=2014","Guerrero")</f>
        <v>Guerrero</v>
      </c>
      <c r="G2763" s="28" t="str">
        <f>HYPERLINK("http://api.nsgreg.nga.mil/geo-division/GENC/6/ed3/MX-GRO","as:GENC:6:ed3:MX-GRO")</f>
        <v>as:GENC:6:ed3:MX-GRO</v>
      </c>
    </row>
    <row r="2764" spans="1:7" x14ac:dyDescent="0.2">
      <c r="A2764" s="85"/>
      <c r="B2764" s="25" t="s">
        <v>7138</v>
      </c>
      <c r="C2764" s="25" t="s">
        <v>7139</v>
      </c>
      <c r="D2764" s="25" t="s">
        <v>2113</v>
      </c>
      <c r="E2764" s="26" t="b">
        <v>1</v>
      </c>
      <c r="F2764" s="27" t="str">
        <f>HYPERLINK("http://nsgreg.nga.mil/genc/view?v=121089&amp;gencs=T&amp;end_month=12&amp;end_day=31&amp;end_year=2014","Hidalgo")</f>
        <v>Hidalgo</v>
      </c>
      <c r="G2764" s="28" t="str">
        <f>HYPERLINK("http://api.nsgreg.nga.mil/geo-division/GENC/6/ed3/MX-HID","as:GENC:6:ed3:MX-HID")</f>
        <v>as:GENC:6:ed3:MX-HID</v>
      </c>
    </row>
    <row r="2765" spans="1:7" x14ac:dyDescent="0.2">
      <c r="A2765" s="85"/>
      <c r="B2765" s="25" t="s">
        <v>7140</v>
      </c>
      <c r="C2765" s="25" t="s">
        <v>7141</v>
      </c>
      <c r="D2765" s="25" t="s">
        <v>2113</v>
      </c>
      <c r="E2765" s="26" t="b">
        <v>1</v>
      </c>
      <c r="F2765" s="27" t="str">
        <f>HYPERLINK("http://nsgreg.nga.mil/genc/view?v=121090&amp;gencs=T&amp;end_month=12&amp;end_day=31&amp;end_year=2014","Jalisco")</f>
        <v>Jalisco</v>
      </c>
      <c r="G2765" s="28" t="str">
        <f>HYPERLINK("http://api.nsgreg.nga.mil/geo-division/GENC/6/ed3/MX-JAL","as:GENC:6:ed3:MX-JAL")</f>
        <v>as:GENC:6:ed3:MX-JAL</v>
      </c>
    </row>
    <row r="2766" spans="1:7" x14ac:dyDescent="0.2">
      <c r="A2766" s="85"/>
      <c r="B2766" s="25" t="s">
        <v>7146</v>
      </c>
      <c r="C2766" s="25" t="s">
        <v>7147</v>
      </c>
      <c r="D2766" s="25" t="s">
        <v>2113</v>
      </c>
      <c r="E2766" s="26" t="b">
        <v>1</v>
      </c>
      <c r="F2766" s="27" t="str">
        <f>HYPERLINK("http://nsgreg.nga.mil/genc/view?v=121091&amp;gencs=T&amp;end_month=12&amp;end_day=31&amp;end_year=2014","México")</f>
        <v>México</v>
      </c>
      <c r="G2766" s="28" t="str">
        <f>HYPERLINK("http://api.nsgreg.nga.mil/geo-division/GENC/6/ed3/MX-MEX","as:GENC:6:ed3:MX-MEX")</f>
        <v>as:GENC:6:ed3:MX-MEX</v>
      </c>
    </row>
    <row r="2767" spans="1:7" x14ac:dyDescent="0.2">
      <c r="A2767" s="85"/>
      <c r="B2767" s="25" t="s">
        <v>7142</v>
      </c>
      <c r="C2767" s="25" t="s">
        <v>13037</v>
      </c>
      <c r="D2767" s="25" t="s">
        <v>2113</v>
      </c>
      <c r="E2767" s="26" t="b">
        <v>1</v>
      </c>
      <c r="F2767" s="27" t="str">
        <f>HYPERLINK("http://nsgreg.nga.mil/genc/view?v=212750&amp;end_month=12&amp;end_day=31&amp;end_year=2014","Michoacán de Ocampo")</f>
        <v>Michoacán de Ocampo</v>
      </c>
      <c r="G2767" s="28" t="str">
        <f>HYPERLINK("http://api.nsgreg.nga.mil/geo-division/GENC/6/ed3/MX-MIC","as:GENC:6:ed3:MX-MIC")</f>
        <v>as:GENC:6:ed3:MX-MIC</v>
      </c>
    </row>
    <row r="2768" spans="1:7" x14ac:dyDescent="0.2">
      <c r="A2768" s="85"/>
      <c r="B2768" s="25" t="s">
        <v>7144</v>
      </c>
      <c r="C2768" s="25" t="s">
        <v>7145</v>
      </c>
      <c r="D2768" s="25" t="s">
        <v>2113</v>
      </c>
      <c r="E2768" s="26" t="b">
        <v>1</v>
      </c>
      <c r="F2768" s="27" t="str">
        <f>HYPERLINK("http://nsgreg.nga.mil/genc/view?v=121093&amp;gencs=T&amp;end_month=12&amp;end_day=31&amp;end_year=2014","Morelos")</f>
        <v>Morelos</v>
      </c>
      <c r="G2768" s="28" t="str">
        <f>HYPERLINK("http://api.nsgreg.nga.mil/geo-division/GENC/6/ed3/MX-MOR","as:GENC:6:ed3:MX-MOR")</f>
        <v>as:GENC:6:ed3:MX-MOR</v>
      </c>
    </row>
    <row r="2769" spans="1:7" x14ac:dyDescent="0.2">
      <c r="A2769" s="85"/>
      <c r="B2769" s="25" t="s">
        <v>7148</v>
      </c>
      <c r="C2769" s="25" t="s">
        <v>7149</v>
      </c>
      <c r="D2769" s="25" t="s">
        <v>2113</v>
      </c>
      <c r="E2769" s="26" t="b">
        <v>1</v>
      </c>
      <c r="F2769" s="27" t="str">
        <f>HYPERLINK("http://nsgreg.nga.mil/genc/view?v=121094&amp;gencs=T&amp;end_month=12&amp;end_day=31&amp;end_year=2014","Nayarit")</f>
        <v>Nayarit</v>
      </c>
      <c r="G2769" s="28" t="str">
        <f>HYPERLINK("http://api.nsgreg.nga.mil/geo-division/GENC/6/ed3/MX-NAY","as:GENC:6:ed3:MX-NAY")</f>
        <v>as:GENC:6:ed3:MX-NAY</v>
      </c>
    </row>
    <row r="2770" spans="1:7" x14ac:dyDescent="0.2">
      <c r="A2770" s="85"/>
      <c r="B2770" s="25" t="s">
        <v>7150</v>
      </c>
      <c r="C2770" s="25" t="s">
        <v>7151</v>
      </c>
      <c r="D2770" s="25" t="s">
        <v>2113</v>
      </c>
      <c r="E2770" s="26" t="b">
        <v>1</v>
      </c>
      <c r="F2770" s="27" t="str">
        <f>HYPERLINK("http://nsgreg.nga.mil/genc/view?v=121095&amp;gencs=T&amp;end_month=12&amp;end_day=31&amp;end_year=2014","Nuevo León")</f>
        <v>Nuevo León</v>
      </c>
      <c r="G2770" s="28" t="str">
        <f>HYPERLINK("http://api.nsgreg.nga.mil/geo-division/GENC/6/ed3/MX-NLE","as:GENC:6:ed3:MX-NLE")</f>
        <v>as:GENC:6:ed3:MX-NLE</v>
      </c>
    </row>
    <row r="2771" spans="1:7" x14ac:dyDescent="0.2">
      <c r="A2771" s="85"/>
      <c r="B2771" s="25" t="s">
        <v>7152</v>
      </c>
      <c r="C2771" s="25" t="s">
        <v>7153</v>
      </c>
      <c r="D2771" s="25" t="s">
        <v>2113</v>
      </c>
      <c r="E2771" s="26" t="b">
        <v>1</v>
      </c>
      <c r="F2771" s="27" t="str">
        <f>HYPERLINK("http://nsgreg.nga.mil/genc/view?v=121096&amp;gencs=T&amp;end_month=12&amp;end_day=31&amp;end_year=2014","Oaxaca")</f>
        <v>Oaxaca</v>
      </c>
      <c r="G2771" s="28" t="str">
        <f>HYPERLINK("http://api.nsgreg.nga.mil/geo-division/GENC/6/ed3/MX-OAX","as:GENC:6:ed3:MX-OAX")</f>
        <v>as:GENC:6:ed3:MX-OAX</v>
      </c>
    </row>
    <row r="2772" spans="1:7" x14ac:dyDescent="0.2">
      <c r="A2772" s="85"/>
      <c r="B2772" s="25" t="s">
        <v>7154</v>
      </c>
      <c r="C2772" s="25" t="s">
        <v>7155</v>
      </c>
      <c r="D2772" s="25" t="s">
        <v>2113</v>
      </c>
      <c r="E2772" s="26" t="b">
        <v>1</v>
      </c>
      <c r="F2772" s="27" t="str">
        <f>HYPERLINK("http://nsgreg.nga.mil/genc/view?v=121097&amp;gencs=T&amp;end_month=12&amp;end_day=31&amp;end_year=2014","Puebla")</f>
        <v>Puebla</v>
      </c>
      <c r="G2772" s="28" t="str">
        <f>HYPERLINK("http://api.nsgreg.nga.mil/geo-division/GENC/6/ed3/MX-PUE","as:GENC:6:ed3:MX-PUE")</f>
        <v>as:GENC:6:ed3:MX-PUE</v>
      </c>
    </row>
    <row r="2773" spans="1:7" x14ac:dyDescent="0.2">
      <c r="A2773" s="85"/>
      <c r="B2773" s="25" t="s">
        <v>7156</v>
      </c>
      <c r="C2773" s="25" t="s">
        <v>13038</v>
      </c>
      <c r="D2773" s="25" t="s">
        <v>2113</v>
      </c>
      <c r="E2773" s="26" t="b">
        <v>1</v>
      </c>
      <c r="F2773" s="27" t="str">
        <f>HYPERLINK("http://nsgreg.nga.mil/genc/view?v=212751&amp;end_month=12&amp;end_day=31&amp;end_year=2014","Querétaro de Arteaga")</f>
        <v>Querétaro de Arteaga</v>
      </c>
      <c r="G2773" s="28" t="str">
        <f>HYPERLINK("http://api.nsgreg.nga.mil/geo-division/GENC/6/ed3/MX-QUE","as:GENC:6:ed3:MX-QUE")</f>
        <v>as:GENC:6:ed3:MX-QUE</v>
      </c>
    </row>
    <row r="2774" spans="1:7" x14ac:dyDescent="0.2">
      <c r="A2774" s="85"/>
      <c r="B2774" s="25" t="s">
        <v>7158</v>
      </c>
      <c r="C2774" s="25" t="s">
        <v>7159</v>
      </c>
      <c r="D2774" s="25" t="s">
        <v>2113</v>
      </c>
      <c r="E2774" s="26" t="b">
        <v>1</v>
      </c>
      <c r="F2774" s="27" t="str">
        <f>HYPERLINK("http://nsgreg.nga.mil/genc/view?v=121099&amp;gencs=T&amp;end_month=12&amp;end_day=31&amp;end_year=2014","Quintana Roo")</f>
        <v>Quintana Roo</v>
      </c>
      <c r="G2774" s="28" t="str">
        <f>HYPERLINK("http://api.nsgreg.nga.mil/geo-division/GENC/6/ed3/MX-ROO","as:GENC:6:ed3:MX-ROO")</f>
        <v>as:GENC:6:ed3:MX-ROO</v>
      </c>
    </row>
    <row r="2775" spans="1:7" x14ac:dyDescent="0.2">
      <c r="A2775" s="85"/>
      <c r="B2775" s="25" t="s">
        <v>7160</v>
      </c>
      <c r="C2775" s="25" t="s">
        <v>7161</v>
      </c>
      <c r="D2775" s="25" t="s">
        <v>2113</v>
      </c>
      <c r="E2775" s="26" t="b">
        <v>1</v>
      </c>
      <c r="F2775" s="27" t="str">
        <f>HYPERLINK("http://nsgreg.nga.mil/genc/view?v=121101&amp;gencs=T&amp;end_month=12&amp;end_day=31&amp;end_year=2014","San Luis Potosí")</f>
        <v>San Luis Potosí</v>
      </c>
      <c r="G2775" s="28" t="str">
        <f>HYPERLINK("http://api.nsgreg.nga.mil/geo-division/GENC/6/ed3/MX-SLP","as:GENC:6:ed3:MX-SLP")</f>
        <v>as:GENC:6:ed3:MX-SLP</v>
      </c>
    </row>
    <row r="2776" spans="1:7" x14ac:dyDescent="0.2">
      <c r="A2776" s="85"/>
      <c r="B2776" s="25" t="s">
        <v>7162</v>
      </c>
      <c r="C2776" s="25" t="s">
        <v>7163</v>
      </c>
      <c r="D2776" s="25" t="s">
        <v>2113</v>
      </c>
      <c r="E2776" s="26" t="b">
        <v>1</v>
      </c>
      <c r="F2776" s="27" t="str">
        <f>HYPERLINK("http://nsgreg.nga.mil/genc/view?v=121100&amp;gencs=T&amp;end_month=12&amp;end_day=31&amp;end_year=2014","Sinaloa")</f>
        <v>Sinaloa</v>
      </c>
      <c r="G2776" s="28" t="str">
        <f>HYPERLINK("http://api.nsgreg.nga.mil/geo-division/GENC/6/ed3/MX-SIN","as:GENC:6:ed3:MX-SIN")</f>
        <v>as:GENC:6:ed3:MX-SIN</v>
      </c>
    </row>
    <row r="2777" spans="1:7" x14ac:dyDescent="0.2">
      <c r="A2777" s="85"/>
      <c r="B2777" s="25" t="s">
        <v>7164</v>
      </c>
      <c r="C2777" s="25" t="s">
        <v>7165</v>
      </c>
      <c r="D2777" s="25" t="s">
        <v>2113</v>
      </c>
      <c r="E2777" s="26" t="b">
        <v>1</v>
      </c>
      <c r="F2777" s="27" t="str">
        <f>HYPERLINK("http://nsgreg.nga.mil/genc/view?v=121102&amp;gencs=T&amp;end_month=12&amp;end_day=31&amp;end_year=2014","Sonora")</f>
        <v>Sonora</v>
      </c>
      <c r="G2777" s="28" t="str">
        <f>HYPERLINK("http://api.nsgreg.nga.mil/geo-division/GENC/6/ed3/MX-SON","as:GENC:6:ed3:MX-SON")</f>
        <v>as:GENC:6:ed3:MX-SON</v>
      </c>
    </row>
    <row r="2778" spans="1:7" x14ac:dyDescent="0.2">
      <c r="A2778" s="85"/>
      <c r="B2778" s="25" t="s">
        <v>7166</v>
      </c>
      <c r="C2778" s="25" t="s">
        <v>7167</v>
      </c>
      <c r="D2778" s="25" t="s">
        <v>2113</v>
      </c>
      <c r="E2778" s="26" t="b">
        <v>1</v>
      </c>
      <c r="F2778" s="27" t="str">
        <f>HYPERLINK("http://nsgreg.nga.mil/genc/view?v=121103&amp;gencs=T&amp;end_month=12&amp;end_day=31&amp;end_year=2014","Tabasco")</f>
        <v>Tabasco</v>
      </c>
      <c r="G2778" s="28" t="str">
        <f>HYPERLINK("http://api.nsgreg.nga.mil/geo-division/GENC/6/ed3/MX-TAB","as:GENC:6:ed3:MX-TAB")</f>
        <v>as:GENC:6:ed3:MX-TAB</v>
      </c>
    </row>
    <row r="2779" spans="1:7" x14ac:dyDescent="0.2">
      <c r="A2779" s="85"/>
      <c r="B2779" s="25" t="s">
        <v>7168</v>
      </c>
      <c r="C2779" s="25" t="s">
        <v>7169</v>
      </c>
      <c r="D2779" s="25" t="s">
        <v>2113</v>
      </c>
      <c r="E2779" s="26" t="b">
        <v>1</v>
      </c>
      <c r="F2779" s="27" t="str">
        <f>HYPERLINK("http://nsgreg.nga.mil/genc/view?v=121104&amp;gencs=T&amp;end_month=12&amp;end_day=31&amp;end_year=2014","Tamaulipas")</f>
        <v>Tamaulipas</v>
      </c>
      <c r="G2779" s="28" t="str">
        <f>HYPERLINK("http://api.nsgreg.nga.mil/geo-division/GENC/6/ed3/MX-TAM","as:GENC:6:ed3:MX-TAM")</f>
        <v>as:GENC:6:ed3:MX-TAM</v>
      </c>
    </row>
    <row r="2780" spans="1:7" x14ac:dyDescent="0.2">
      <c r="A2780" s="85"/>
      <c r="B2780" s="25" t="s">
        <v>7170</v>
      </c>
      <c r="C2780" s="25" t="s">
        <v>7171</v>
      </c>
      <c r="D2780" s="25" t="s">
        <v>2113</v>
      </c>
      <c r="E2780" s="26" t="b">
        <v>1</v>
      </c>
      <c r="F2780" s="27" t="str">
        <f>HYPERLINK("http://nsgreg.nga.mil/genc/view?v=121105&amp;gencs=T&amp;end_month=12&amp;end_day=31&amp;end_year=2014","Tlaxcala")</f>
        <v>Tlaxcala</v>
      </c>
      <c r="G2780" s="28" t="str">
        <f>HYPERLINK("http://api.nsgreg.nga.mil/geo-division/GENC/6/ed3/MX-TLA","as:GENC:6:ed3:MX-TLA")</f>
        <v>as:GENC:6:ed3:MX-TLA</v>
      </c>
    </row>
    <row r="2781" spans="1:7" x14ac:dyDescent="0.2">
      <c r="A2781" s="85"/>
      <c r="B2781" s="25" t="s">
        <v>7172</v>
      </c>
      <c r="C2781" s="25" t="s">
        <v>7173</v>
      </c>
      <c r="D2781" s="25" t="s">
        <v>2113</v>
      </c>
      <c r="E2781" s="26" t="b">
        <v>1</v>
      </c>
      <c r="F2781" s="27" t="str">
        <f>HYPERLINK("http://nsgreg.nga.mil/genc/view?v=121106&amp;gencs=T&amp;end_month=12&amp;end_day=31&amp;end_year=2014","Veracruz")</f>
        <v>Veracruz</v>
      </c>
      <c r="G2781" s="28" t="str">
        <f>HYPERLINK("http://api.nsgreg.nga.mil/geo-division/GENC/6/ed3/MX-VER","as:GENC:6:ed3:MX-VER")</f>
        <v>as:GENC:6:ed3:MX-VER</v>
      </c>
    </row>
    <row r="2782" spans="1:7" x14ac:dyDescent="0.2">
      <c r="A2782" s="85"/>
      <c r="B2782" s="25" t="s">
        <v>7174</v>
      </c>
      <c r="C2782" s="25" t="s">
        <v>7175</v>
      </c>
      <c r="D2782" s="25" t="s">
        <v>2113</v>
      </c>
      <c r="E2782" s="26" t="b">
        <v>1</v>
      </c>
      <c r="F2782" s="27" t="str">
        <f>HYPERLINK("http://nsgreg.nga.mil/genc/view?v=121107&amp;gencs=T&amp;end_month=12&amp;end_day=31&amp;end_year=2014","Yucatán")</f>
        <v>Yucatán</v>
      </c>
      <c r="G2782" s="28" t="str">
        <f>HYPERLINK("http://api.nsgreg.nga.mil/geo-division/GENC/6/ed3/MX-YUC","as:GENC:6:ed3:MX-YUC")</f>
        <v>as:GENC:6:ed3:MX-YUC</v>
      </c>
    </row>
    <row r="2783" spans="1:7" x14ac:dyDescent="0.2">
      <c r="A2783" s="86"/>
      <c r="B2783" s="29" t="s">
        <v>7176</v>
      </c>
      <c r="C2783" s="29" t="s">
        <v>7177</v>
      </c>
      <c r="D2783" s="29" t="s">
        <v>2113</v>
      </c>
      <c r="E2783" s="30" t="b">
        <v>1</v>
      </c>
      <c r="F2783" s="31" t="str">
        <f>HYPERLINK("http://nsgreg.nga.mil/genc/view?v=121108&amp;gencs=T&amp;end_month=12&amp;end_day=31&amp;end_year=2014","Zacatecas")</f>
        <v>Zacatecas</v>
      </c>
      <c r="G2783" s="32" t="str">
        <f>HYPERLINK("http://api.nsgreg.nga.mil/geo-division/GENC/6/ed3/MX-ZAC","as:GENC:6:ed3:MX-ZAC")</f>
        <v>as:GENC:6:ed3:MX-ZAC</v>
      </c>
    </row>
    <row r="2784" spans="1:7" x14ac:dyDescent="0.2">
      <c r="A2784" s="84" t="str">
        <f>HYPERLINK("[#]Codes_for_GE_Names!A172:I172","MICRONESIA, FEDERATED STATES OF")</f>
        <v>MICRONESIA, FEDERATED STATES OF</v>
      </c>
      <c r="B2784" s="33" t="s">
        <v>7178</v>
      </c>
      <c r="C2784" s="33" t="s">
        <v>7179</v>
      </c>
      <c r="D2784" s="33" t="s">
        <v>2113</v>
      </c>
      <c r="E2784" s="34" t="b">
        <v>1</v>
      </c>
      <c r="F2784" s="35" t="str">
        <f>HYPERLINK("http://nsgreg.nga.mil/genc/view?v=119078&amp;gencs=T&amp;end_month=12&amp;end_day=31&amp;end_year=2014","Chuuk")</f>
        <v>Chuuk</v>
      </c>
      <c r="G2784" s="36" t="str">
        <f>HYPERLINK("http://api.nsgreg.nga.mil/geo-division/GENC/6/ed3/FM-TRK","as:GENC:6:ed3:FM-TRK")</f>
        <v>as:GENC:6:ed3:FM-TRK</v>
      </c>
    </row>
    <row r="2785" spans="1:7" x14ac:dyDescent="0.2">
      <c r="A2785" s="85"/>
      <c r="B2785" s="25" t="s">
        <v>7180</v>
      </c>
      <c r="C2785" s="25" t="s">
        <v>7181</v>
      </c>
      <c r="D2785" s="25" t="s">
        <v>2113</v>
      </c>
      <c r="E2785" s="26" t="b">
        <v>1</v>
      </c>
      <c r="F2785" s="27" t="str">
        <f>HYPERLINK("http://nsgreg.nga.mil/genc/view?v=119076&amp;gencs=T&amp;end_month=12&amp;end_day=31&amp;end_year=2014","Kosrae")</f>
        <v>Kosrae</v>
      </c>
      <c r="G2785" s="28" t="str">
        <f>HYPERLINK("http://api.nsgreg.nga.mil/geo-division/GENC/6/ed3/FM-KSA","as:GENC:6:ed3:FM-KSA")</f>
        <v>as:GENC:6:ed3:FM-KSA</v>
      </c>
    </row>
    <row r="2786" spans="1:7" x14ac:dyDescent="0.2">
      <c r="A2786" s="85"/>
      <c r="B2786" s="25" t="s">
        <v>7182</v>
      </c>
      <c r="C2786" s="25" t="s">
        <v>7183</v>
      </c>
      <c r="D2786" s="25" t="s">
        <v>2113</v>
      </c>
      <c r="E2786" s="26" t="b">
        <v>1</v>
      </c>
      <c r="F2786" s="27" t="str">
        <f>HYPERLINK("http://nsgreg.nga.mil/genc/view?v=119077&amp;gencs=T&amp;end_month=12&amp;end_day=31&amp;end_year=2014","Pohnpei")</f>
        <v>Pohnpei</v>
      </c>
      <c r="G2786" s="28" t="str">
        <f>HYPERLINK("http://api.nsgreg.nga.mil/geo-division/GENC/6/ed3/FM-PNI","as:GENC:6:ed3:FM-PNI")</f>
        <v>as:GENC:6:ed3:FM-PNI</v>
      </c>
    </row>
    <row r="2787" spans="1:7" x14ac:dyDescent="0.2">
      <c r="A2787" s="86"/>
      <c r="B2787" s="29" t="s">
        <v>7184</v>
      </c>
      <c r="C2787" s="29" t="s">
        <v>7185</v>
      </c>
      <c r="D2787" s="29" t="s">
        <v>2113</v>
      </c>
      <c r="E2787" s="30" t="b">
        <v>1</v>
      </c>
      <c r="F2787" s="31" t="str">
        <f>HYPERLINK("http://nsgreg.nga.mil/genc/view?v=119079&amp;gencs=T&amp;end_month=12&amp;end_day=31&amp;end_year=2014","Yap")</f>
        <v>Yap</v>
      </c>
      <c r="G2787" s="32" t="str">
        <f>HYPERLINK("http://api.nsgreg.nga.mil/geo-division/GENC/6/ed3/FM-YAP","as:GENC:6:ed3:FM-YAP")</f>
        <v>as:GENC:6:ed3:FM-YAP</v>
      </c>
    </row>
    <row r="2788" spans="1:7" x14ac:dyDescent="0.2">
      <c r="A2788" s="84" t="str">
        <f>HYPERLINK("[#]Codes_for_GE_Names!A174:I174","MOLDOVA")</f>
        <v>MOLDOVA</v>
      </c>
      <c r="B2788" s="33" t="s">
        <v>7186</v>
      </c>
      <c r="C2788" s="33" t="s">
        <v>7187</v>
      </c>
      <c r="D2788" s="33" t="s">
        <v>1790</v>
      </c>
      <c r="E2788" s="34" t="b">
        <v>1</v>
      </c>
      <c r="F2788" s="35" t="str">
        <f>HYPERLINK("http://nsgreg.nga.mil/genc/view?v=212490&amp;end_month=12&amp;end_day=31&amp;end_year=2014","Anenii Noi")</f>
        <v>Anenii Noi</v>
      </c>
      <c r="G2788" s="36" t="str">
        <f>HYPERLINK("http://api.nsgreg.nga.mil/geo-division/GENC/6/ed3/MD-AN","as:GENC:6:ed3:MD-AN")</f>
        <v>as:GENC:6:ed3:MD-AN</v>
      </c>
    </row>
    <row r="2789" spans="1:7" x14ac:dyDescent="0.2">
      <c r="A2789" s="85"/>
      <c r="B2789" s="25" t="s">
        <v>7192</v>
      </c>
      <c r="C2789" s="25" t="s">
        <v>7193</v>
      </c>
      <c r="D2789" s="25" t="s">
        <v>2164</v>
      </c>
      <c r="E2789" s="26" t="b">
        <v>1</v>
      </c>
      <c r="F2789" s="27" t="str">
        <f>HYPERLINK("http://nsgreg.nga.mil/genc/view?v=212491&amp;end_month=12&amp;end_day=31&amp;end_year=2014","Bălţi")</f>
        <v>Bălţi</v>
      </c>
      <c r="G2789" s="28" t="str">
        <f>HYPERLINK("http://api.nsgreg.nga.mil/geo-division/GENC/6/ed3/MD-BA","as:GENC:6:ed3:MD-BA")</f>
        <v>as:GENC:6:ed3:MD-BA</v>
      </c>
    </row>
    <row r="2790" spans="1:7" x14ac:dyDescent="0.2">
      <c r="A2790" s="85"/>
      <c r="B2790" s="25" t="s">
        <v>7188</v>
      </c>
      <c r="C2790" s="25" t="s">
        <v>7189</v>
      </c>
      <c r="D2790" s="25" t="s">
        <v>1790</v>
      </c>
      <c r="E2790" s="26" t="b">
        <v>1</v>
      </c>
      <c r="F2790" s="27" t="str">
        <f>HYPERLINK("http://nsgreg.nga.mil/genc/view?v=212494&amp;end_month=12&amp;end_day=31&amp;end_year=2014","Basarabeasca")</f>
        <v>Basarabeasca</v>
      </c>
      <c r="G2790" s="28" t="str">
        <f>HYPERLINK("http://api.nsgreg.nga.mil/geo-division/GENC/6/ed3/MD-BS","as:GENC:6:ed3:MD-BS")</f>
        <v>as:GENC:6:ed3:MD-BS</v>
      </c>
    </row>
    <row r="2791" spans="1:7" x14ac:dyDescent="0.2">
      <c r="A2791" s="85"/>
      <c r="B2791" s="25" t="s">
        <v>7254</v>
      </c>
      <c r="C2791" s="25" t="s">
        <v>13039</v>
      </c>
      <c r="D2791" s="25" t="s">
        <v>2164</v>
      </c>
      <c r="E2791" s="26" t="b">
        <v>1</v>
      </c>
      <c r="F2791" s="27" t="str">
        <f>HYPERLINK("http://nsgreg.nga.mil/genc/view?v=212492&amp;end_month=12&amp;end_day=31&amp;end_year=2014","Bender")</f>
        <v>Bender</v>
      </c>
      <c r="G2791" s="28" t="str">
        <f>HYPERLINK("http://api.nsgreg.nga.mil/geo-division/GENC/6/ed3/MD-BD","as:GENC:6:ed3:MD-BD")</f>
        <v>as:GENC:6:ed3:MD-BD</v>
      </c>
    </row>
    <row r="2792" spans="1:7" x14ac:dyDescent="0.2">
      <c r="A2792" s="85"/>
      <c r="B2792" s="25" t="s">
        <v>7190</v>
      </c>
      <c r="C2792" s="25" t="s">
        <v>7191</v>
      </c>
      <c r="D2792" s="25" t="s">
        <v>1790</v>
      </c>
      <c r="E2792" s="26" t="b">
        <v>1</v>
      </c>
      <c r="F2792" s="27" t="str">
        <f>HYPERLINK("http://nsgreg.nga.mil/genc/view?v=212493&amp;end_month=12&amp;end_day=31&amp;end_year=2014","Briceni")</f>
        <v>Briceni</v>
      </c>
      <c r="G2792" s="28" t="str">
        <f>HYPERLINK("http://api.nsgreg.nga.mil/geo-division/GENC/6/ed3/MD-BR","as:GENC:6:ed3:MD-BR")</f>
        <v>as:GENC:6:ed3:MD-BR</v>
      </c>
    </row>
    <row r="2793" spans="1:7" x14ac:dyDescent="0.2">
      <c r="A2793" s="85"/>
      <c r="B2793" s="25" t="s">
        <v>7194</v>
      </c>
      <c r="C2793" s="25" t="s">
        <v>7195</v>
      </c>
      <c r="D2793" s="25" t="s">
        <v>1790</v>
      </c>
      <c r="E2793" s="26" t="b">
        <v>1</v>
      </c>
      <c r="F2793" s="27" t="str">
        <f>HYPERLINK("http://nsgreg.nga.mil/genc/view?v=212495&amp;end_month=12&amp;end_day=31&amp;end_year=2014","Cahul")</f>
        <v>Cahul</v>
      </c>
      <c r="G2793" s="28" t="str">
        <f>HYPERLINK("http://api.nsgreg.nga.mil/geo-division/GENC/6/ed3/MD-CA","as:GENC:6:ed3:MD-CA")</f>
        <v>as:GENC:6:ed3:MD-CA</v>
      </c>
    </row>
    <row r="2794" spans="1:7" x14ac:dyDescent="0.2">
      <c r="A2794" s="85"/>
      <c r="B2794" s="25" t="s">
        <v>7204</v>
      </c>
      <c r="C2794" s="25" t="s">
        <v>7205</v>
      </c>
      <c r="D2794" s="25" t="s">
        <v>1790</v>
      </c>
      <c r="E2794" s="26" t="b">
        <v>1</v>
      </c>
      <c r="F2794" s="27" t="str">
        <f>HYPERLINK("http://nsgreg.nga.mil/genc/view?v=212496&amp;end_month=12&amp;end_day=31&amp;end_year=2014","Călăraşi")</f>
        <v>Călăraşi</v>
      </c>
      <c r="G2794" s="28" t="str">
        <f>HYPERLINK("http://api.nsgreg.nga.mil/geo-division/GENC/6/ed3/MD-CL","as:GENC:6:ed3:MD-CL")</f>
        <v>as:GENC:6:ed3:MD-CL</v>
      </c>
    </row>
    <row r="2795" spans="1:7" x14ac:dyDescent="0.2">
      <c r="A2795" s="85"/>
      <c r="B2795" s="25" t="s">
        <v>7196</v>
      </c>
      <c r="C2795" s="25" t="s">
        <v>7197</v>
      </c>
      <c r="D2795" s="25" t="s">
        <v>1790</v>
      </c>
      <c r="E2795" s="26" t="b">
        <v>1</v>
      </c>
      <c r="F2795" s="27" t="str">
        <f>HYPERLINK("http://nsgreg.nga.mil/genc/view?v=212500&amp;end_month=12&amp;end_day=31&amp;end_year=2014","Cantemir")</f>
        <v>Cantemir</v>
      </c>
      <c r="G2795" s="28" t="str">
        <f>HYPERLINK("http://api.nsgreg.nga.mil/geo-division/GENC/6/ed3/MD-CT","as:GENC:6:ed3:MD-CT")</f>
        <v>as:GENC:6:ed3:MD-CT</v>
      </c>
    </row>
    <row r="2796" spans="1:7" x14ac:dyDescent="0.2">
      <c r="A2796" s="85"/>
      <c r="B2796" s="25" t="s">
        <v>7206</v>
      </c>
      <c r="C2796" s="25" t="s">
        <v>7207</v>
      </c>
      <c r="D2796" s="25" t="s">
        <v>1790</v>
      </c>
      <c r="E2796" s="26" t="b">
        <v>1</v>
      </c>
      <c r="F2796" s="27" t="str">
        <f>HYPERLINK("http://nsgreg.nga.mil/genc/view?v=212499&amp;end_month=12&amp;end_day=31&amp;end_year=2014","Căuşeni")</f>
        <v>Căuşeni</v>
      </c>
      <c r="G2796" s="28" t="str">
        <f>HYPERLINK("http://api.nsgreg.nga.mil/geo-division/GENC/6/ed3/MD-CS","as:GENC:6:ed3:MD-CS")</f>
        <v>as:GENC:6:ed3:MD-CS</v>
      </c>
    </row>
    <row r="2797" spans="1:7" x14ac:dyDescent="0.2">
      <c r="A2797" s="85"/>
      <c r="B2797" s="25" t="s">
        <v>7198</v>
      </c>
      <c r="C2797" s="25" t="s">
        <v>7199</v>
      </c>
      <c r="D2797" s="25" t="s">
        <v>2164</v>
      </c>
      <c r="E2797" s="26" t="b">
        <v>1</v>
      </c>
      <c r="F2797" s="27" t="str">
        <f>HYPERLINK("http://nsgreg.nga.mil/genc/view?v=212501&amp;end_month=12&amp;end_day=31&amp;end_year=2014","Chişinău")</f>
        <v>Chişinău</v>
      </c>
      <c r="G2797" s="28" t="str">
        <f>HYPERLINK("http://api.nsgreg.nga.mil/geo-division/GENC/6/ed3/MD-CU","as:GENC:6:ed3:MD-CU")</f>
        <v>as:GENC:6:ed3:MD-CU</v>
      </c>
    </row>
    <row r="2798" spans="1:7" x14ac:dyDescent="0.2">
      <c r="A2798" s="85"/>
      <c r="B2798" s="25" t="s">
        <v>7200</v>
      </c>
      <c r="C2798" s="25" t="s">
        <v>7201</v>
      </c>
      <c r="D2798" s="25" t="s">
        <v>1790</v>
      </c>
      <c r="E2798" s="26" t="b">
        <v>1</v>
      </c>
      <c r="F2798" s="27" t="str">
        <f>HYPERLINK("http://nsgreg.nga.mil/genc/view?v=212497&amp;end_month=12&amp;end_day=31&amp;end_year=2014","Cimişlia")</f>
        <v>Cimişlia</v>
      </c>
      <c r="G2798" s="28" t="str">
        <f>HYPERLINK("http://api.nsgreg.nga.mil/geo-division/GENC/6/ed3/MD-CM","as:GENC:6:ed3:MD-CM")</f>
        <v>as:GENC:6:ed3:MD-CM</v>
      </c>
    </row>
    <row r="2799" spans="1:7" x14ac:dyDescent="0.2">
      <c r="A2799" s="85"/>
      <c r="B2799" s="25" t="s">
        <v>7202</v>
      </c>
      <c r="C2799" s="25" t="s">
        <v>7203</v>
      </c>
      <c r="D2799" s="25" t="s">
        <v>1790</v>
      </c>
      <c r="E2799" s="26" t="b">
        <v>1</v>
      </c>
      <c r="F2799" s="27" t="str">
        <f>HYPERLINK("http://nsgreg.nga.mil/genc/view?v=212498&amp;end_month=12&amp;end_day=31&amp;end_year=2014","Criuleni")</f>
        <v>Criuleni</v>
      </c>
      <c r="G2799" s="28" t="str">
        <f>HYPERLINK("http://api.nsgreg.nga.mil/geo-division/GENC/6/ed3/MD-CR","as:GENC:6:ed3:MD-CR")</f>
        <v>as:GENC:6:ed3:MD-CR</v>
      </c>
    </row>
    <row r="2800" spans="1:7" x14ac:dyDescent="0.2">
      <c r="A2800" s="85"/>
      <c r="B2800" s="25" t="s">
        <v>7208</v>
      </c>
      <c r="C2800" s="25" t="s">
        <v>7209</v>
      </c>
      <c r="D2800" s="25" t="s">
        <v>1790</v>
      </c>
      <c r="E2800" s="26" t="b">
        <v>1</v>
      </c>
      <c r="F2800" s="27" t="str">
        <f>HYPERLINK("http://nsgreg.nga.mil/genc/view?v=212502&amp;end_month=12&amp;end_day=31&amp;end_year=2014","Donduşeni")</f>
        <v>Donduşeni</v>
      </c>
      <c r="G2800" s="28" t="str">
        <f>HYPERLINK("http://api.nsgreg.nga.mil/geo-division/GENC/6/ed3/MD-DO","as:GENC:6:ed3:MD-DO")</f>
        <v>as:GENC:6:ed3:MD-DO</v>
      </c>
    </row>
    <row r="2801" spans="1:7" x14ac:dyDescent="0.2">
      <c r="A2801" s="85"/>
      <c r="B2801" s="25" t="s">
        <v>7210</v>
      </c>
      <c r="C2801" s="25" t="s">
        <v>7211</v>
      </c>
      <c r="D2801" s="25" t="s">
        <v>1790</v>
      </c>
      <c r="E2801" s="26" t="b">
        <v>1</v>
      </c>
      <c r="F2801" s="27" t="str">
        <f>HYPERLINK("http://nsgreg.nga.mil/genc/view?v=212503&amp;end_month=12&amp;end_day=31&amp;end_year=2014","Drochia")</f>
        <v>Drochia</v>
      </c>
      <c r="G2801" s="28" t="str">
        <f>HYPERLINK("http://api.nsgreg.nga.mil/geo-division/GENC/6/ed3/MD-DR","as:GENC:6:ed3:MD-DR")</f>
        <v>as:GENC:6:ed3:MD-DR</v>
      </c>
    </row>
    <row r="2802" spans="1:7" x14ac:dyDescent="0.2">
      <c r="A2802" s="85"/>
      <c r="B2802" s="25" t="s">
        <v>7212</v>
      </c>
      <c r="C2802" s="25" t="s">
        <v>7213</v>
      </c>
      <c r="D2802" s="25" t="s">
        <v>1790</v>
      </c>
      <c r="E2802" s="26" t="b">
        <v>1</v>
      </c>
      <c r="F2802" s="27" t="str">
        <f>HYPERLINK("http://nsgreg.nga.mil/genc/view?v=212504&amp;end_month=12&amp;end_day=31&amp;end_year=2014","Dubăsari")</f>
        <v>Dubăsari</v>
      </c>
      <c r="G2802" s="28" t="str">
        <f>HYPERLINK("http://api.nsgreg.nga.mil/geo-division/GENC/6/ed3/MD-DU","as:GENC:6:ed3:MD-DU")</f>
        <v>as:GENC:6:ed3:MD-DU</v>
      </c>
    </row>
    <row r="2803" spans="1:7" x14ac:dyDescent="0.2">
      <c r="A2803" s="85"/>
      <c r="B2803" s="25" t="s">
        <v>7214</v>
      </c>
      <c r="C2803" s="25" t="s">
        <v>7215</v>
      </c>
      <c r="D2803" s="25" t="s">
        <v>1790</v>
      </c>
      <c r="E2803" s="26" t="b">
        <v>1</v>
      </c>
      <c r="F2803" s="27" t="str">
        <f>HYPERLINK("http://nsgreg.nga.mil/genc/view?v=212505&amp;end_month=12&amp;end_day=31&amp;end_year=2014","Edineţ")</f>
        <v>Edineţ</v>
      </c>
      <c r="G2803" s="28" t="str">
        <f>HYPERLINK("http://api.nsgreg.nga.mil/geo-division/GENC/6/ed3/MD-ED","as:GENC:6:ed3:MD-ED")</f>
        <v>as:GENC:6:ed3:MD-ED</v>
      </c>
    </row>
    <row r="2804" spans="1:7" x14ac:dyDescent="0.2">
      <c r="A2804" s="85"/>
      <c r="B2804" s="25" t="s">
        <v>7218</v>
      </c>
      <c r="C2804" s="25" t="s">
        <v>7219</v>
      </c>
      <c r="D2804" s="25" t="s">
        <v>1790</v>
      </c>
      <c r="E2804" s="26" t="b">
        <v>1</v>
      </c>
      <c r="F2804" s="27" t="str">
        <f>HYPERLINK("http://nsgreg.nga.mil/genc/view?v=212506&amp;end_month=12&amp;end_day=31&amp;end_year=2014","Făleşti")</f>
        <v>Făleşti</v>
      </c>
      <c r="G2804" s="28" t="str">
        <f>HYPERLINK("http://api.nsgreg.nga.mil/geo-division/GENC/6/ed3/MD-FA","as:GENC:6:ed3:MD-FA")</f>
        <v>as:GENC:6:ed3:MD-FA</v>
      </c>
    </row>
    <row r="2805" spans="1:7" x14ac:dyDescent="0.2">
      <c r="A2805" s="85"/>
      <c r="B2805" s="25" t="s">
        <v>7216</v>
      </c>
      <c r="C2805" s="25" t="s">
        <v>7217</v>
      </c>
      <c r="D2805" s="25" t="s">
        <v>1790</v>
      </c>
      <c r="E2805" s="26" t="b">
        <v>1</v>
      </c>
      <c r="F2805" s="27" t="str">
        <f>HYPERLINK("http://nsgreg.nga.mil/genc/view?v=212507&amp;end_month=12&amp;end_day=31&amp;end_year=2014","Floreşti")</f>
        <v>Floreşti</v>
      </c>
      <c r="G2805" s="28" t="str">
        <f>HYPERLINK("http://api.nsgreg.nga.mil/geo-division/GENC/6/ed3/MD-FL","as:GENC:6:ed3:MD-FL")</f>
        <v>as:GENC:6:ed3:MD-FL</v>
      </c>
    </row>
    <row r="2806" spans="1:7" x14ac:dyDescent="0.2">
      <c r="A2806" s="85"/>
      <c r="B2806" s="25" t="s">
        <v>7222</v>
      </c>
      <c r="C2806" s="25" t="s">
        <v>13040</v>
      </c>
      <c r="D2806" s="25" t="s">
        <v>7224</v>
      </c>
      <c r="E2806" s="26" t="b">
        <v>1</v>
      </c>
      <c r="F2806" s="27" t="str">
        <f>HYPERLINK("http://nsgreg.nga.mil/genc/view?v=212508&amp;end_month=12&amp;end_day=31&amp;end_year=2014","Găgăuzia")</f>
        <v>Găgăuzia</v>
      </c>
      <c r="G2806" s="28" t="str">
        <f>HYPERLINK("http://api.nsgreg.nga.mil/geo-division/GENC/6/ed3/MD-GA","as:GENC:6:ed3:MD-GA")</f>
        <v>as:GENC:6:ed3:MD-GA</v>
      </c>
    </row>
    <row r="2807" spans="1:7" x14ac:dyDescent="0.2">
      <c r="A2807" s="85"/>
      <c r="B2807" s="25" t="s">
        <v>7220</v>
      </c>
      <c r="C2807" s="25" t="s">
        <v>7221</v>
      </c>
      <c r="D2807" s="25" t="s">
        <v>1790</v>
      </c>
      <c r="E2807" s="26" t="b">
        <v>1</v>
      </c>
      <c r="F2807" s="27" t="str">
        <f>HYPERLINK("http://nsgreg.nga.mil/genc/view?v=212509&amp;end_month=12&amp;end_day=31&amp;end_year=2014","Glodeni")</f>
        <v>Glodeni</v>
      </c>
      <c r="G2807" s="28" t="str">
        <f>HYPERLINK("http://api.nsgreg.nga.mil/geo-division/GENC/6/ed3/MD-GL","as:GENC:6:ed3:MD-GL")</f>
        <v>as:GENC:6:ed3:MD-GL</v>
      </c>
    </row>
    <row r="2808" spans="1:7" x14ac:dyDescent="0.2">
      <c r="A2808" s="85"/>
      <c r="B2808" s="25" t="s">
        <v>7225</v>
      </c>
      <c r="C2808" s="25" t="s">
        <v>7226</v>
      </c>
      <c r="D2808" s="25" t="s">
        <v>1790</v>
      </c>
      <c r="E2808" s="26" t="b">
        <v>1</v>
      </c>
      <c r="F2808" s="27" t="str">
        <f>HYPERLINK("http://nsgreg.nga.mil/genc/view?v=212510&amp;end_month=12&amp;end_day=31&amp;end_year=2014","Hînceşti")</f>
        <v>Hînceşti</v>
      </c>
      <c r="G2808" s="28" t="str">
        <f>HYPERLINK("http://api.nsgreg.nga.mil/geo-division/GENC/6/ed3/MD-HI","as:GENC:6:ed3:MD-HI")</f>
        <v>as:GENC:6:ed3:MD-HI</v>
      </c>
    </row>
    <row r="2809" spans="1:7" x14ac:dyDescent="0.2">
      <c r="A2809" s="85"/>
      <c r="B2809" s="25" t="s">
        <v>7227</v>
      </c>
      <c r="C2809" s="25" t="s">
        <v>7228</v>
      </c>
      <c r="D2809" s="25" t="s">
        <v>1790</v>
      </c>
      <c r="E2809" s="26" t="b">
        <v>1</v>
      </c>
      <c r="F2809" s="27" t="str">
        <f>HYPERLINK("http://nsgreg.nga.mil/genc/view?v=212511&amp;end_month=12&amp;end_day=31&amp;end_year=2014","Ialoveni")</f>
        <v>Ialoveni</v>
      </c>
      <c r="G2809" s="28" t="str">
        <f>HYPERLINK("http://api.nsgreg.nga.mil/geo-division/GENC/6/ed3/MD-IA","as:GENC:6:ed3:MD-IA")</f>
        <v>as:GENC:6:ed3:MD-IA</v>
      </c>
    </row>
    <row r="2810" spans="1:7" x14ac:dyDescent="0.2">
      <c r="A2810" s="85"/>
      <c r="B2810" s="25" t="s">
        <v>7229</v>
      </c>
      <c r="C2810" s="25" t="s">
        <v>7230</v>
      </c>
      <c r="D2810" s="25" t="s">
        <v>1790</v>
      </c>
      <c r="E2810" s="26" t="b">
        <v>1</v>
      </c>
      <c r="F2810" s="27" t="str">
        <f>HYPERLINK("http://nsgreg.nga.mil/genc/view?v=212512&amp;end_month=12&amp;end_day=31&amp;end_year=2014","Leova")</f>
        <v>Leova</v>
      </c>
      <c r="G2810" s="28" t="str">
        <f>HYPERLINK("http://api.nsgreg.nga.mil/geo-division/GENC/6/ed3/MD-LE","as:GENC:6:ed3:MD-LE")</f>
        <v>as:GENC:6:ed3:MD-LE</v>
      </c>
    </row>
    <row r="2811" spans="1:7" x14ac:dyDescent="0.2">
      <c r="A2811" s="85"/>
      <c r="B2811" s="25" t="s">
        <v>7231</v>
      </c>
      <c r="C2811" s="25" t="s">
        <v>7232</v>
      </c>
      <c r="D2811" s="25" t="s">
        <v>1790</v>
      </c>
      <c r="E2811" s="26" t="b">
        <v>1</v>
      </c>
      <c r="F2811" s="27" t="str">
        <f>HYPERLINK("http://nsgreg.nga.mil/genc/view?v=212513&amp;end_month=12&amp;end_day=31&amp;end_year=2014","Nisporeni")</f>
        <v>Nisporeni</v>
      </c>
      <c r="G2811" s="28" t="str">
        <f>HYPERLINK("http://api.nsgreg.nga.mil/geo-division/GENC/6/ed3/MD-NI","as:GENC:6:ed3:MD-NI")</f>
        <v>as:GENC:6:ed3:MD-NI</v>
      </c>
    </row>
    <row r="2812" spans="1:7" x14ac:dyDescent="0.2">
      <c r="A2812" s="85"/>
      <c r="B2812" s="25" t="s">
        <v>7233</v>
      </c>
      <c r="C2812" s="25" t="s">
        <v>7234</v>
      </c>
      <c r="D2812" s="25" t="s">
        <v>1790</v>
      </c>
      <c r="E2812" s="26" t="b">
        <v>1</v>
      </c>
      <c r="F2812" s="27" t="str">
        <f>HYPERLINK("http://nsgreg.nga.mil/genc/view?v=212514&amp;end_month=12&amp;end_day=31&amp;end_year=2014","Ocniţa")</f>
        <v>Ocniţa</v>
      </c>
      <c r="G2812" s="28" t="str">
        <f>HYPERLINK("http://api.nsgreg.nga.mil/geo-division/GENC/6/ed3/MD-OC","as:GENC:6:ed3:MD-OC")</f>
        <v>as:GENC:6:ed3:MD-OC</v>
      </c>
    </row>
    <row r="2813" spans="1:7" x14ac:dyDescent="0.2">
      <c r="A2813" s="85"/>
      <c r="B2813" s="25" t="s">
        <v>7235</v>
      </c>
      <c r="C2813" s="25" t="s">
        <v>7236</v>
      </c>
      <c r="D2813" s="25" t="s">
        <v>1790</v>
      </c>
      <c r="E2813" s="26" t="b">
        <v>1</v>
      </c>
      <c r="F2813" s="27" t="str">
        <f>HYPERLINK("http://nsgreg.nga.mil/genc/view?v=212515&amp;end_month=12&amp;end_day=31&amp;end_year=2014","Orhei")</f>
        <v>Orhei</v>
      </c>
      <c r="G2813" s="28" t="str">
        <f>HYPERLINK("http://api.nsgreg.nga.mil/geo-division/GENC/6/ed3/MD-OR","as:GENC:6:ed3:MD-OR")</f>
        <v>as:GENC:6:ed3:MD-OR</v>
      </c>
    </row>
    <row r="2814" spans="1:7" x14ac:dyDescent="0.2">
      <c r="A2814" s="85"/>
      <c r="B2814" s="25" t="s">
        <v>7237</v>
      </c>
      <c r="C2814" s="25" t="s">
        <v>7238</v>
      </c>
      <c r="D2814" s="25" t="s">
        <v>1790</v>
      </c>
      <c r="E2814" s="26" t="b">
        <v>1</v>
      </c>
      <c r="F2814" s="27" t="str">
        <f>HYPERLINK("http://nsgreg.nga.mil/genc/view?v=212516&amp;end_month=12&amp;end_day=31&amp;end_year=2014","Rezina")</f>
        <v>Rezina</v>
      </c>
      <c r="G2814" s="28" t="str">
        <f>HYPERLINK("http://api.nsgreg.nga.mil/geo-division/GENC/6/ed3/MD-RE","as:GENC:6:ed3:MD-RE")</f>
        <v>as:GENC:6:ed3:MD-RE</v>
      </c>
    </row>
    <row r="2815" spans="1:7" x14ac:dyDescent="0.2">
      <c r="A2815" s="85"/>
      <c r="B2815" s="25" t="s">
        <v>7239</v>
      </c>
      <c r="C2815" s="25" t="s">
        <v>7240</v>
      </c>
      <c r="D2815" s="25" t="s">
        <v>1790</v>
      </c>
      <c r="E2815" s="26" t="b">
        <v>1</v>
      </c>
      <c r="F2815" s="27" t="str">
        <f>HYPERLINK("http://nsgreg.nga.mil/genc/view?v=212517&amp;end_month=12&amp;end_day=31&amp;end_year=2014","Rîşcani")</f>
        <v>Rîşcani</v>
      </c>
      <c r="G2815" s="28" t="str">
        <f>HYPERLINK("http://api.nsgreg.nga.mil/geo-division/GENC/6/ed3/MD-RI","as:GENC:6:ed3:MD-RI")</f>
        <v>as:GENC:6:ed3:MD-RI</v>
      </c>
    </row>
    <row r="2816" spans="1:7" x14ac:dyDescent="0.2">
      <c r="A2816" s="85"/>
      <c r="B2816" s="25" t="s">
        <v>7248</v>
      </c>
      <c r="C2816" s="25" t="s">
        <v>7249</v>
      </c>
      <c r="D2816" s="25" t="s">
        <v>1790</v>
      </c>
      <c r="E2816" s="26" t="b">
        <v>1</v>
      </c>
      <c r="F2816" s="27" t="str">
        <f>HYPERLINK("http://nsgreg.nga.mil/genc/view?v=212519&amp;end_month=12&amp;end_day=31&amp;end_year=2014","Sîngerei")</f>
        <v>Sîngerei</v>
      </c>
      <c r="G2816" s="28" t="str">
        <f>HYPERLINK("http://api.nsgreg.nga.mil/geo-division/GENC/6/ed3/MD-SI","as:GENC:6:ed3:MD-SI")</f>
        <v>as:GENC:6:ed3:MD-SI</v>
      </c>
    </row>
    <row r="2817" spans="1:7" x14ac:dyDescent="0.2">
      <c r="A2817" s="85"/>
      <c r="B2817" s="25" t="s">
        <v>7258</v>
      </c>
      <c r="C2817" s="25" t="s">
        <v>7259</v>
      </c>
      <c r="D2817" s="25" t="s">
        <v>1790</v>
      </c>
      <c r="E2817" s="26" t="b">
        <v>1</v>
      </c>
      <c r="F2817" s="27" t="str">
        <f>HYPERLINK("http://nsgreg.nga.mil/genc/view?v=212518&amp;end_month=12&amp;end_day=31&amp;end_year=2014","Şoldăneşti")</f>
        <v>Şoldăneşti</v>
      </c>
      <c r="G2817" s="28" t="str">
        <f>HYPERLINK("http://api.nsgreg.nga.mil/geo-division/GENC/6/ed3/MD-SD","as:GENC:6:ed3:MD-SD")</f>
        <v>as:GENC:6:ed3:MD-SD</v>
      </c>
    </row>
    <row r="2818" spans="1:7" x14ac:dyDescent="0.2">
      <c r="A2818" s="85"/>
      <c r="B2818" s="25" t="s">
        <v>7241</v>
      </c>
      <c r="C2818" s="25" t="s">
        <v>7242</v>
      </c>
      <c r="D2818" s="25" t="s">
        <v>1790</v>
      </c>
      <c r="E2818" s="26" t="b">
        <v>1</v>
      </c>
      <c r="F2818" s="27" t="str">
        <f>HYPERLINK("http://nsgreg.nga.mil/genc/view?v=212521&amp;end_month=12&amp;end_day=31&amp;end_year=2014","Soroca")</f>
        <v>Soroca</v>
      </c>
      <c r="G2818" s="28" t="str">
        <f>HYPERLINK("http://api.nsgreg.nga.mil/geo-division/GENC/6/ed3/MD-SO","as:GENC:6:ed3:MD-SO")</f>
        <v>as:GENC:6:ed3:MD-SO</v>
      </c>
    </row>
    <row r="2819" spans="1:7" x14ac:dyDescent="0.2">
      <c r="A2819" s="85"/>
      <c r="B2819" s="25" t="s">
        <v>7260</v>
      </c>
      <c r="C2819" s="25" t="s">
        <v>13041</v>
      </c>
      <c r="D2819" s="25" t="s">
        <v>1790</v>
      </c>
      <c r="E2819" s="26" t="b">
        <v>1</v>
      </c>
      <c r="F2819" s="27" t="str">
        <f>HYPERLINK("http://nsgreg.nga.mil/genc/view?v=212523&amp;end_month=12&amp;end_day=31&amp;end_year=2014","Ştefan-Vodă")</f>
        <v>Ştefan-Vodă</v>
      </c>
      <c r="G2819" s="28" t="str">
        <f>HYPERLINK("http://api.nsgreg.nga.mil/geo-division/GENC/6/ed3/MD-SV","as:GENC:6:ed3:MD-SV")</f>
        <v>as:GENC:6:ed3:MD-SV</v>
      </c>
    </row>
    <row r="2820" spans="1:7" x14ac:dyDescent="0.2">
      <c r="A2820" s="85"/>
      <c r="B2820" s="25" t="s">
        <v>7245</v>
      </c>
      <c r="C2820" s="25" t="s">
        <v>13042</v>
      </c>
      <c r="D2820" s="25" t="s">
        <v>7247</v>
      </c>
      <c r="E2820" s="26" t="b">
        <v>1</v>
      </c>
      <c r="F2820" s="27" t="str">
        <f>HYPERLINK("http://nsgreg.nga.mil/genc/view?v=212520&amp;end_month=12&amp;end_day=31&amp;end_year=2014","Stînga Nistrului")</f>
        <v>Stînga Nistrului</v>
      </c>
      <c r="G2820" s="28" t="str">
        <f>HYPERLINK("http://api.nsgreg.nga.mil/geo-division/GENC/6/ed3/MD-SN","as:GENC:6:ed3:MD-SN")</f>
        <v>as:GENC:6:ed3:MD-SN</v>
      </c>
    </row>
    <row r="2821" spans="1:7" x14ac:dyDescent="0.2">
      <c r="A2821" s="85"/>
      <c r="B2821" s="25" t="s">
        <v>7243</v>
      </c>
      <c r="C2821" s="25" t="s">
        <v>7244</v>
      </c>
      <c r="D2821" s="25" t="s">
        <v>1790</v>
      </c>
      <c r="E2821" s="26" t="b">
        <v>1</v>
      </c>
      <c r="F2821" s="27" t="str">
        <f>HYPERLINK("http://nsgreg.nga.mil/genc/view?v=212522&amp;end_month=12&amp;end_day=31&amp;end_year=2014","Străşeni")</f>
        <v>Străşeni</v>
      </c>
      <c r="G2821" s="28" t="str">
        <f>HYPERLINK("http://api.nsgreg.nga.mil/geo-division/GENC/6/ed3/MD-ST","as:GENC:6:ed3:MD-ST")</f>
        <v>as:GENC:6:ed3:MD-ST</v>
      </c>
    </row>
    <row r="2822" spans="1:7" x14ac:dyDescent="0.2">
      <c r="A2822" s="85"/>
      <c r="B2822" s="25" t="s">
        <v>7250</v>
      </c>
      <c r="C2822" s="25" t="s">
        <v>7251</v>
      </c>
      <c r="D2822" s="25" t="s">
        <v>1790</v>
      </c>
      <c r="E2822" s="26" t="b">
        <v>1</v>
      </c>
      <c r="F2822" s="27" t="str">
        <f>HYPERLINK("http://nsgreg.nga.mil/genc/view?v=212524&amp;end_month=12&amp;end_day=31&amp;end_year=2014","Taraclia")</f>
        <v>Taraclia</v>
      </c>
      <c r="G2822" s="28" t="str">
        <f>HYPERLINK("http://api.nsgreg.nga.mil/geo-division/GENC/6/ed3/MD-TA","as:GENC:6:ed3:MD-TA")</f>
        <v>as:GENC:6:ed3:MD-TA</v>
      </c>
    </row>
    <row r="2823" spans="1:7" x14ac:dyDescent="0.2">
      <c r="A2823" s="85"/>
      <c r="B2823" s="25" t="s">
        <v>7252</v>
      </c>
      <c r="C2823" s="25" t="s">
        <v>7253</v>
      </c>
      <c r="D2823" s="25" t="s">
        <v>1790</v>
      </c>
      <c r="E2823" s="26" t="b">
        <v>1</v>
      </c>
      <c r="F2823" s="27" t="str">
        <f>HYPERLINK("http://nsgreg.nga.mil/genc/view?v=212525&amp;end_month=12&amp;end_day=31&amp;end_year=2014","Teleneşti")</f>
        <v>Teleneşti</v>
      </c>
      <c r="G2823" s="28" t="str">
        <f>HYPERLINK("http://api.nsgreg.nga.mil/geo-division/GENC/6/ed3/MD-TE","as:GENC:6:ed3:MD-TE")</f>
        <v>as:GENC:6:ed3:MD-TE</v>
      </c>
    </row>
    <row r="2824" spans="1:7" x14ac:dyDescent="0.2">
      <c r="A2824" s="86"/>
      <c r="B2824" s="29" t="s">
        <v>7256</v>
      </c>
      <c r="C2824" s="29" t="s">
        <v>7257</v>
      </c>
      <c r="D2824" s="29" t="s">
        <v>1790</v>
      </c>
      <c r="E2824" s="30" t="b">
        <v>1</v>
      </c>
      <c r="F2824" s="31" t="str">
        <f>HYPERLINK("http://nsgreg.nga.mil/genc/view?v=212526&amp;end_month=12&amp;end_day=31&amp;end_year=2014","Ungheni")</f>
        <v>Ungheni</v>
      </c>
      <c r="G2824" s="32" t="str">
        <f>HYPERLINK("http://api.nsgreg.nga.mil/geo-division/GENC/6/ed3/MD-UN","as:GENC:6:ed3:MD-UN")</f>
        <v>as:GENC:6:ed3:MD-UN</v>
      </c>
    </row>
    <row r="2825" spans="1:7" x14ac:dyDescent="0.2">
      <c r="A2825" s="84" t="str">
        <f>HYPERLINK("[#]Codes_for_GE_Names!A175:I175","MONACO")</f>
        <v>MONACO</v>
      </c>
      <c r="B2825" s="33" t="s">
        <v>7262</v>
      </c>
      <c r="C2825" s="33" t="s">
        <v>7263</v>
      </c>
      <c r="D2825" s="41" t="s">
        <v>8903</v>
      </c>
      <c r="E2825" s="42" t="b">
        <v>0</v>
      </c>
      <c r="F2825" s="35" t="str">
        <f>HYPERLINK("http://nsgreg.nga.mil/genc/view?v=120683&amp;gencs=T&amp;end_month=12&amp;end_day=31&amp;end_year=2014","Fontvieille")</f>
        <v>Fontvieille</v>
      </c>
      <c r="G2825" s="36" t="str">
        <f>HYPERLINK("http://api.nsgreg.nga.mil/geo-division/GENC/6/ed3/MC-FO","as:GENC:6:ed3:MC-FO")</f>
        <v>as:GENC:6:ed3:MC-FO</v>
      </c>
    </row>
    <row r="2826" spans="1:7" x14ac:dyDescent="0.2">
      <c r="A2826" s="85"/>
      <c r="B2826" s="25" t="s">
        <v>7265</v>
      </c>
      <c r="C2826" s="25" t="s">
        <v>7266</v>
      </c>
      <c r="D2826" s="37" t="s">
        <v>8903</v>
      </c>
      <c r="E2826" s="38" t="b">
        <v>0</v>
      </c>
      <c r="F2826" s="27" t="str">
        <f>HYPERLINK("http://nsgreg.nga.mil/genc/view?v=120685&amp;gencs=T&amp;end_month=12&amp;end_day=31&amp;end_year=2014","Jardin Exotique")</f>
        <v>Jardin Exotique</v>
      </c>
      <c r="G2826" s="28" t="str">
        <f>HYPERLINK("http://api.nsgreg.nga.mil/geo-division/GENC/6/ed3/MC-JE","as:GENC:6:ed3:MC-JE")</f>
        <v>as:GENC:6:ed3:MC-JE</v>
      </c>
    </row>
    <row r="2827" spans="1:7" x14ac:dyDescent="0.2">
      <c r="A2827" s="85"/>
      <c r="B2827" s="25" t="s">
        <v>7267</v>
      </c>
      <c r="C2827" s="25" t="s">
        <v>7268</v>
      </c>
      <c r="D2827" s="37" t="s">
        <v>8903</v>
      </c>
      <c r="E2827" s="38" t="b">
        <v>0</v>
      </c>
      <c r="F2827" s="27" t="str">
        <f>HYPERLINK("http://nsgreg.nga.mil/genc/view?v=120681&amp;gencs=T&amp;end_month=12&amp;end_day=31&amp;end_year=2014","La Colle")</f>
        <v>La Colle</v>
      </c>
      <c r="G2827" s="28" t="str">
        <f>HYPERLINK("http://api.nsgreg.nga.mil/geo-division/GENC/6/ed3/MC-CL","as:GENC:6:ed3:MC-CL")</f>
        <v>as:GENC:6:ed3:MC-CL</v>
      </c>
    </row>
    <row r="2828" spans="1:7" x14ac:dyDescent="0.2">
      <c r="A2828" s="85"/>
      <c r="B2828" s="25" t="s">
        <v>7269</v>
      </c>
      <c r="C2828" s="25" t="s">
        <v>7270</v>
      </c>
      <c r="D2828" s="37" t="s">
        <v>8903</v>
      </c>
      <c r="E2828" s="38" t="b">
        <v>0</v>
      </c>
      <c r="F2828" s="27" t="str">
        <f>HYPERLINK("http://nsgreg.nga.mil/genc/view?v=120682&amp;gencs=T&amp;end_month=12&amp;end_day=31&amp;end_year=2014","La Condamine")</f>
        <v>La Condamine</v>
      </c>
      <c r="G2828" s="28" t="str">
        <f>HYPERLINK("http://api.nsgreg.nga.mil/geo-division/GENC/6/ed3/MC-CO","as:GENC:6:ed3:MC-CO")</f>
        <v>as:GENC:6:ed3:MC-CO</v>
      </c>
    </row>
    <row r="2829" spans="1:7" x14ac:dyDescent="0.2">
      <c r="A2829" s="85"/>
      <c r="B2829" s="25" t="s">
        <v>7271</v>
      </c>
      <c r="C2829" s="25" t="s">
        <v>7272</v>
      </c>
      <c r="D2829" s="37" t="s">
        <v>8903</v>
      </c>
      <c r="E2829" s="38" t="b">
        <v>0</v>
      </c>
      <c r="F2829" s="27" t="str">
        <f>HYPERLINK("http://nsgreg.nga.mil/genc/view?v=120684&amp;gencs=T&amp;end_month=12&amp;end_day=31&amp;end_year=2014","La Gare")</f>
        <v>La Gare</v>
      </c>
      <c r="G2829" s="28" t="str">
        <f>HYPERLINK("http://api.nsgreg.nga.mil/geo-division/GENC/6/ed3/MC-GA","as:GENC:6:ed3:MC-GA")</f>
        <v>as:GENC:6:ed3:MC-GA</v>
      </c>
    </row>
    <row r="2830" spans="1:7" x14ac:dyDescent="0.2">
      <c r="A2830" s="85"/>
      <c r="B2830" s="25" t="s">
        <v>7275</v>
      </c>
      <c r="C2830" s="25" t="s">
        <v>7276</v>
      </c>
      <c r="D2830" s="37" t="s">
        <v>8903</v>
      </c>
      <c r="E2830" s="38" t="b">
        <v>0</v>
      </c>
      <c r="F2830" s="27" t="str">
        <f>HYPERLINK("http://nsgreg.nga.mil/genc/view?v=120686&amp;gencs=T&amp;end_month=12&amp;end_day=31&amp;end_year=2014","Larvotto")</f>
        <v>Larvotto</v>
      </c>
      <c r="G2830" s="28" t="str">
        <f>HYPERLINK("http://api.nsgreg.nga.mil/geo-division/GENC/6/ed3/MC-LA","as:GENC:6:ed3:MC-LA")</f>
        <v>as:GENC:6:ed3:MC-LA</v>
      </c>
    </row>
    <row r="2831" spans="1:7" x14ac:dyDescent="0.2">
      <c r="A2831" s="85"/>
      <c r="B2831" s="25" t="s">
        <v>7273</v>
      </c>
      <c r="C2831" s="25" t="s">
        <v>7274</v>
      </c>
      <c r="D2831" s="37" t="s">
        <v>8903</v>
      </c>
      <c r="E2831" s="38" t="b">
        <v>0</v>
      </c>
      <c r="F2831" s="27" t="str">
        <f>HYPERLINK("http://nsgreg.nga.mil/genc/view?v=120694&amp;gencs=T&amp;end_month=12&amp;end_day=31&amp;end_year=2014","La Source")</f>
        <v>La Source</v>
      </c>
      <c r="G2831" s="28" t="str">
        <f>HYPERLINK("http://api.nsgreg.nga.mil/geo-division/GENC/6/ed3/MC-SO","as:GENC:6:ed3:MC-SO")</f>
        <v>as:GENC:6:ed3:MC-SO</v>
      </c>
    </row>
    <row r="2832" spans="1:7" x14ac:dyDescent="0.2">
      <c r="A2832" s="85"/>
      <c r="B2832" s="25" t="s">
        <v>7277</v>
      </c>
      <c r="C2832" s="25" t="s">
        <v>7278</v>
      </c>
      <c r="D2832" s="37" t="s">
        <v>8903</v>
      </c>
      <c r="E2832" s="38" t="b">
        <v>0</v>
      </c>
      <c r="F2832" s="27" t="str">
        <f>HYPERLINK("http://nsgreg.nga.mil/genc/view?v=120687&amp;gencs=T&amp;end_month=12&amp;end_day=31&amp;end_year=2014","Malbousquet")</f>
        <v>Malbousquet</v>
      </c>
      <c r="G2832" s="28" t="str">
        <f>HYPERLINK("http://api.nsgreg.nga.mil/geo-division/GENC/6/ed3/MC-MA","as:GENC:6:ed3:MC-MA")</f>
        <v>as:GENC:6:ed3:MC-MA</v>
      </c>
    </row>
    <row r="2833" spans="1:7" x14ac:dyDescent="0.2">
      <c r="A2833" s="85"/>
      <c r="B2833" s="25" t="s">
        <v>7279</v>
      </c>
      <c r="C2833" s="25" t="s">
        <v>7280</v>
      </c>
      <c r="D2833" s="37" t="s">
        <v>8903</v>
      </c>
      <c r="E2833" s="38" t="b">
        <v>0</v>
      </c>
      <c r="F2833" s="27" t="str">
        <f>HYPERLINK("http://nsgreg.nga.mil/genc/view?v=120690&amp;gencs=T&amp;end_month=12&amp;end_day=31&amp;end_year=2014","Monaco-Ville")</f>
        <v>Monaco-Ville</v>
      </c>
      <c r="G2833" s="28" t="str">
        <f>HYPERLINK("http://api.nsgreg.nga.mil/geo-division/GENC/6/ed3/MC-MO","as:GENC:6:ed3:MC-MO")</f>
        <v>as:GENC:6:ed3:MC-MO</v>
      </c>
    </row>
    <row r="2834" spans="1:7" x14ac:dyDescent="0.2">
      <c r="A2834" s="85"/>
      <c r="B2834" s="25" t="s">
        <v>7281</v>
      </c>
      <c r="C2834" s="25" t="s">
        <v>7282</v>
      </c>
      <c r="D2834" s="37" t="s">
        <v>8903</v>
      </c>
      <c r="E2834" s="38" t="b">
        <v>0</v>
      </c>
      <c r="F2834" s="27" t="str">
        <f>HYPERLINK("http://nsgreg.nga.mil/genc/view?v=120689&amp;gencs=T&amp;end_month=12&amp;end_day=31&amp;end_year=2014","Moneghetti")</f>
        <v>Moneghetti</v>
      </c>
      <c r="G2834" s="28" t="str">
        <f>HYPERLINK("http://api.nsgreg.nga.mil/geo-division/GENC/6/ed3/MC-MG","as:GENC:6:ed3:MC-MG")</f>
        <v>as:GENC:6:ed3:MC-MG</v>
      </c>
    </row>
    <row r="2835" spans="1:7" x14ac:dyDescent="0.2">
      <c r="A2835" s="85"/>
      <c r="B2835" s="25" t="s">
        <v>7283</v>
      </c>
      <c r="C2835" s="25" t="s">
        <v>7284</v>
      </c>
      <c r="D2835" s="37" t="s">
        <v>8903</v>
      </c>
      <c r="E2835" s="38" t="b">
        <v>0</v>
      </c>
      <c r="F2835" s="27" t="str">
        <f>HYPERLINK("http://nsgreg.nga.mil/genc/view?v=120688&amp;gencs=T&amp;end_month=12&amp;end_day=31&amp;end_year=2014","Monte-Carlo")</f>
        <v>Monte-Carlo</v>
      </c>
      <c r="G2835" s="28" t="str">
        <f>HYPERLINK("http://api.nsgreg.nga.mil/geo-division/GENC/6/ed3/MC-MC","as:GENC:6:ed3:MC-MC")</f>
        <v>as:GENC:6:ed3:MC-MC</v>
      </c>
    </row>
    <row r="2836" spans="1:7" x14ac:dyDescent="0.2">
      <c r="A2836" s="85"/>
      <c r="B2836" s="25" t="s">
        <v>7285</v>
      </c>
      <c r="C2836" s="25" t="s">
        <v>7286</v>
      </c>
      <c r="D2836" s="37" t="s">
        <v>8903</v>
      </c>
      <c r="E2836" s="38" t="b">
        <v>0</v>
      </c>
      <c r="F2836" s="27" t="str">
        <f>HYPERLINK("http://nsgreg.nga.mil/genc/view?v=120691&amp;gencs=T&amp;end_month=12&amp;end_day=31&amp;end_year=2014","Moulins")</f>
        <v>Moulins</v>
      </c>
      <c r="G2836" s="28" t="str">
        <f>HYPERLINK("http://api.nsgreg.nga.mil/geo-division/GENC/6/ed3/MC-MU","as:GENC:6:ed3:MC-MU")</f>
        <v>as:GENC:6:ed3:MC-MU</v>
      </c>
    </row>
    <row r="2837" spans="1:7" x14ac:dyDescent="0.2">
      <c r="A2837" s="85"/>
      <c r="B2837" s="25" t="s">
        <v>7287</v>
      </c>
      <c r="C2837" s="25" t="s">
        <v>7288</v>
      </c>
      <c r="D2837" s="37" t="s">
        <v>8903</v>
      </c>
      <c r="E2837" s="38" t="b">
        <v>0</v>
      </c>
      <c r="F2837" s="27" t="str">
        <f>HYPERLINK("http://nsgreg.nga.mil/genc/view?v=120692&amp;gencs=T&amp;end_month=12&amp;end_day=31&amp;end_year=2014","Port-Hercule")</f>
        <v>Port-Hercule</v>
      </c>
      <c r="G2837" s="28" t="str">
        <f>HYPERLINK("http://api.nsgreg.nga.mil/geo-division/GENC/6/ed3/MC-PH","as:GENC:6:ed3:MC-PH")</f>
        <v>as:GENC:6:ed3:MC-PH</v>
      </c>
    </row>
    <row r="2838" spans="1:7" x14ac:dyDescent="0.2">
      <c r="A2838" s="85"/>
      <c r="B2838" s="25" t="s">
        <v>7291</v>
      </c>
      <c r="C2838" s="25" t="s">
        <v>7292</v>
      </c>
      <c r="D2838" s="37" t="s">
        <v>8903</v>
      </c>
      <c r="E2838" s="38" t="b">
        <v>0</v>
      </c>
      <c r="F2838" s="27" t="str">
        <f>HYPERLINK("http://nsgreg.nga.mil/genc/view?v=120693&amp;gencs=T&amp;end_month=12&amp;end_day=31&amp;end_year=2014","Sainte-Dévote")</f>
        <v>Sainte-Dévote</v>
      </c>
      <c r="G2838" s="28" t="str">
        <f>HYPERLINK("http://api.nsgreg.nga.mil/geo-division/GENC/6/ed3/MC-SD","as:GENC:6:ed3:MC-SD")</f>
        <v>as:GENC:6:ed3:MC-SD</v>
      </c>
    </row>
    <row r="2839" spans="1:7" x14ac:dyDescent="0.2">
      <c r="A2839" s="85"/>
      <c r="B2839" s="25" t="s">
        <v>7289</v>
      </c>
      <c r="C2839" s="25" t="s">
        <v>7290</v>
      </c>
      <c r="D2839" s="37" t="s">
        <v>8903</v>
      </c>
      <c r="E2839" s="38" t="b">
        <v>0</v>
      </c>
      <c r="F2839" s="27" t="str">
        <f>HYPERLINK("http://nsgreg.nga.mil/genc/view?v=120696&amp;gencs=T&amp;end_month=12&amp;end_day=31&amp;end_year=2014","Saint-Roman")</f>
        <v>Saint-Roman</v>
      </c>
      <c r="G2839" s="28" t="str">
        <f>HYPERLINK("http://api.nsgreg.nga.mil/geo-division/GENC/6/ed3/MC-SR","as:GENC:6:ed3:MC-SR")</f>
        <v>as:GENC:6:ed3:MC-SR</v>
      </c>
    </row>
    <row r="2840" spans="1:7" x14ac:dyDescent="0.2">
      <c r="A2840" s="85"/>
      <c r="B2840" s="25" t="s">
        <v>7293</v>
      </c>
      <c r="C2840" s="25" t="s">
        <v>7294</v>
      </c>
      <c r="D2840" s="37" t="s">
        <v>8903</v>
      </c>
      <c r="E2840" s="38" t="b">
        <v>0</v>
      </c>
      <c r="F2840" s="27" t="str">
        <f>HYPERLINK("http://nsgreg.nga.mil/genc/view?v=120695&amp;gencs=T&amp;end_month=12&amp;end_day=31&amp;end_year=2014","Spélugues")</f>
        <v>Spélugues</v>
      </c>
      <c r="G2840" s="28" t="str">
        <f>HYPERLINK("http://api.nsgreg.nga.mil/geo-division/GENC/6/ed3/MC-SP","as:GENC:6:ed3:MC-SP")</f>
        <v>as:GENC:6:ed3:MC-SP</v>
      </c>
    </row>
    <row r="2841" spans="1:7" x14ac:dyDescent="0.2">
      <c r="A2841" s="86"/>
      <c r="B2841" s="29" t="s">
        <v>7295</v>
      </c>
      <c r="C2841" s="29" t="s">
        <v>7296</v>
      </c>
      <c r="D2841" s="39" t="s">
        <v>8903</v>
      </c>
      <c r="E2841" s="40" t="b">
        <v>0</v>
      </c>
      <c r="F2841" s="31" t="str">
        <f>HYPERLINK("http://nsgreg.nga.mil/genc/view?v=120697&amp;gencs=T&amp;end_month=12&amp;end_day=31&amp;end_year=2014","Vallon de la Rousse")</f>
        <v>Vallon de la Rousse</v>
      </c>
      <c r="G2841" s="32" t="str">
        <f>HYPERLINK("http://api.nsgreg.nga.mil/geo-division/GENC/6/ed3/MC-VR","as:GENC:6:ed3:MC-VR")</f>
        <v>as:GENC:6:ed3:MC-VR</v>
      </c>
    </row>
    <row r="2842" spans="1:7" x14ac:dyDescent="0.2">
      <c r="A2842" s="84" t="str">
        <f>HYPERLINK("[#]Codes_for_GE_Names!A176:I176","MONGOLIA")</f>
        <v>MONGOLIA</v>
      </c>
      <c r="B2842" s="33" t="s">
        <v>7297</v>
      </c>
      <c r="C2842" s="33" t="s">
        <v>7298</v>
      </c>
      <c r="D2842" s="33" t="s">
        <v>1719</v>
      </c>
      <c r="E2842" s="34" t="b">
        <v>1</v>
      </c>
      <c r="F2842" s="35" t="str">
        <f>HYPERLINK("http://nsgreg.nga.mil/genc/view?v=120918&amp;gencs=T&amp;end_month=12&amp;end_day=31&amp;end_year=2014","Arhangay")</f>
        <v>Arhangay</v>
      </c>
      <c r="G2842" s="36" t="str">
        <f>HYPERLINK("http://api.nsgreg.nga.mil/geo-division/GENC/6/ed3/MN-073","as:GENC:6:ed3:MN-073")</f>
        <v>as:GENC:6:ed3:MN-073</v>
      </c>
    </row>
    <row r="2843" spans="1:7" x14ac:dyDescent="0.2">
      <c r="A2843" s="85"/>
      <c r="B2843" s="25" t="s">
        <v>7301</v>
      </c>
      <c r="C2843" s="25" t="s">
        <v>7302</v>
      </c>
      <c r="D2843" s="25" t="s">
        <v>1719</v>
      </c>
      <c r="E2843" s="26" t="b">
        <v>1</v>
      </c>
      <c r="F2843" s="27" t="str">
        <f>HYPERLINK("http://nsgreg.nga.mil/genc/view?v=120916&amp;gencs=T&amp;end_month=12&amp;end_day=31&amp;end_year=2014","Bayanhongor")</f>
        <v>Bayanhongor</v>
      </c>
      <c r="G2843" s="28" t="str">
        <f>HYPERLINK("http://api.nsgreg.nga.mil/geo-division/GENC/6/ed3/MN-069","as:GENC:6:ed3:MN-069")</f>
        <v>as:GENC:6:ed3:MN-069</v>
      </c>
    </row>
    <row r="2844" spans="1:7" x14ac:dyDescent="0.2">
      <c r="A2844" s="85"/>
      <c r="B2844" s="25" t="s">
        <v>7299</v>
      </c>
      <c r="C2844" s="25" t="s">
        <v>7300</v>
      </c>
      <c r="D2844" s="25" t="s">
        <v>1719</v>
      </c>
      <c r="E2844" s="26" t="b">
        <v>1</v>
      </c>
      <c r="F2844" s="27" t="str">
        <f>HYPERLINK("http://nsgreg.nga.mil/genc/view?v=120917&amp;gencs=T&amp;end_month=12&amp;end_day=31&amp;end_year=2014","Bayan-Ölgiy")</f>
        <v>Bayan-Ölgiy</v>
      </c>
      <c r="G2844" s="28" t="str">
        <f>HYPERLINK("http://api.nsgreg.nga.mil/geo-division/GENC/6/ed3/MN-071","as:GENC:6:ed3:MN-071")</f>
        <v>as:GENC:6:ed3:MN-071</v>
      </c>
    </row>
    <row r="2845" spans="1:7" x14ac:dyDescent="0.2">
      <c r="A2845" s="85"/>
      <c r="B2845" s="25" t="s">
        <v>7303</v>
      </c>
      <c r="C2845" s="25" t="s">
        <v>7304</v>
      </c>
      <c r="D2845" s="25" t="s">
        <v>1719</v>
      </c>
      <c r="E2845" s="26" t="b">
        <v>1</v>
      </c>
      <c r="F2845" s="27" t="str">
        <f>HYPERLINK("http://nsgreg.nga.mil/genc/view?v=120915&amp;gencs=T&amp;end_month=12&amp;end_day=31&amp;end_year=2014","Bulgan")</f>
        <v>Bulgan</v>
      </c>
      <c r="G2845" s="28" t="str">
        <f>HYPERLINK("http://api.nsgreg.nga.mil/geo-division/GENC/6/ed3/MN-067","as:GENC:6:ed3:MN-067")</f>
        <v>as:GENC:6:ed3:MN-067</v>
      </c>
    </row>
    <row r="2846" spans="1:7" x14ac:dyDescent="0.2">
      <c r="A2846" s="85"/>
      <c r="B2846" s="25" t="s">
        <v>7305</v>
      </c>
      <c r="C2846" s="25" t="s">
        <v>13043</v>
      </c>
      <c r="D2846" s="25" t="s">
        <v>1719</v>
      </c>
      <c r="E2846" s="26" t="b">
        <v>1</v>
      </c>
      <c r="F2846" s="27" t="str">
        <f>HYPERLINK("http://nsgreg.nga.mil/genc/view?v=212612&amp;end_month=12&amp;end_day=31&amp;end_year=2014","Darhan-Uul")</f>
        <v>Darhan-Uul</v>
      </c>
      <c r="G2846" s="28" t="str">
        <f>HYPERLINK("http://api.nsgreg.nga.mil/geo-division/GENC/6/ed3/MN-037","as:GENC:6:ed3:MN-037")</f>
        <v>as:GENC:6:ed3:MN-037</v>
      </c>
    </row>
    <row r="2847" spans="1:7" x14ac:dyDescent="0.2">
      <c r="A2847" s="85"/>
      <c r="B2847" s="25" t="s">
        <v>7307</v>
      </c>
      <c r="C2847" s="25" t="s">
        <v>7308</v>
      </c>
      <c r="D2847" s="25" t="s">
        <v>1719</v>
      </c>
      <c r="E2847" s="26" t="b">
        <v>1</v>
      </c>
      <c r="F2847" s="27" t="str">
        <f>HYPERLINK("http://nsgreg.nga.mil/genc/view?v=120911&amp;gencs=T&amp;end_month=12&amp;end_day=31&amp;end_year=2014","Dornod")</f>
        <v>Dornod</v>
      </c>
      <c r="G2847" s="28" t="str">
        <f>HYPERLINK("http://api.nsgreg.nga.mil/geo-division/GENC/6/ed3/MN-061","as:GENC:6:ed3:MN-061")</f>
        <v>as:GENC:6:ed3:MN-061</v>
      </c>
    </row>
    <row r="2848" spans="1:7" x14ac:dyDescent="0.2">
      <c r="A2848" s="85"/>
      <c r="B2848" s="25" t="s">
        <v>7309</v>
      </c>
      <c r="C2848" s="25" t="s">
        <v>7310</v>
      </c>
      <c r="D2848" s="25" t="s">
        <v>1719</v>
      </c>
      <c r="E2848" s="26" t="b">
        <v>1</v>
      </c>
      <c r="F2848" s="27" t="str">
        <f>HYPERLINK("http://nsgreg.nga.mil/genc/view?v=120912&amp;gencs=T&amp;end_month=12&amp;end_day=31&amp;end_year=2014","Dornogovĭ")</f>
        <v>Dornogovĭ</v>
      </c>
      <c r="G2848" s="28" t="str">
        <f>HYPERLINK("http://api.nsgreg.nga.mil/geo-division/GENC/6/ed3/MN-063","as:GENC:6:ed3:MN-063")</f>
        <v>as:GENC:6:ed3:MN-063</v>
      </c>
    </row>
    <row r="2849" spans="1:7" x14ac:dyDescent="0.2">
      <c r="A2849" s="85"/>
      <c r="B2849" s="25" t="s">
        <v>7311</v>
      </c>
      <c r="C2849" s="25" t="s">
        <v>7312</v>
      </c>
      <c r="D2849" s="25" t="s">
        <v>1719</v>
      </c>
      <c r="E2849" s="26" t="b">
        <v>1</v>
      </c>
      <c r="F2849" s="27" t="str">
        <f>HYPERLINK("http://nsgreg.nga.mil/genc/view?v=120910&amp;gencs=T&amp;end_month=12&amp;end_day=31&amp;end_year=2014","Dundgovĭ")</f>
        <v>Dundgovĭ</v>
      </c>
      <c r="G2849" s="28" t="str">
        <f>HYPERLINK("http://api.nsgreg.nga.mil/geo-division/GENC/6/ed3/MN-059","as:GENC:6:ed3:MN-059")</f>
        <v>as:GENC:6:ed3:MN-059</v>
      </c>
    </row>
    <row r="2850" spans="1:7" x14ac:dyDescent="0.2">
      <c r="A2850" s="85"/>
      <c r="B2850" s="25" t="s">
        <v>7313</v>
      </c>
      <c r="C2850" s="25" t="s">
        <v>7314</v>
      </c>
      <c r="D2850" s="25" t="s">
        <v>1719</v>
      </c>
      <c r="E2850" s="26" t="b">
        <v>1</v>
      </c>
      <c r="F2850" s="27" t="str">
        <f>HYPERLINK("http://nsgreg.nga.mil/genc/view?v=120909&amp;gencs=T&amp;end_month=12&amp;end_day=31&amp;end_year=2014","Dzavhan")</f>
        <v>Dzavhan</v>
      </c>
      <c r="G2850" s="28" t="str">
        <f>HYPERLINK("http://api.nsgreg.nga.mil/geo-division/GENC/6/ed3/MN-057","as:GENC:6:ed3:MN-057")</f>
        <v>as:GENC:6:ed3:MN-057</v>
      </c>
    </row>
    <row r="2851" spans="1:7" x14ac:dyDescent="0.2">
      <c r="A2851" s="85"/>
      <c r="B2851" s="25" t="s">
        <v>7315</v>
      </c>
      <c r="C2851" s="25" t="s">
        <v>7316</v>
      </c>
      <c r="D2851" s="25" t="s">
        <v>1719</v>
      </c>
      <c r="E2851" s="26" t="b">
        <v>1</v>
      </c>
      <c r="F2851" s="27" t="str">
        <f>HYPERLINK("http://nsgreg.nga.mil/genc/view?v=120914&amp;gencs=T&amp;end_month=12&amp;end_day=31&amp;end_year=2014","Govĭ-Altay")</f>
        <v>Govĭ-Altay</v>
      </c>
      <c r="G2851" s="28" t="str">
        <f>HYPERLINK("http://api.nsgreg.nga.mil/geo-division/GENC/6/ed3/MN-065","as:GENC:6:ed3:MN-065")</f>
        <v>as:GENC:6:ed3:MN-065</v>
      </c>
    </row>
    <row r="2852" spans="1:7" x14ac:dyDescent="0.2">
      <c r="A2852" s="85"/>
      <c r="B2852" s="25" t="s">
        <v>7317</v>
      </c>
      <c r="C2852" s="25" t="s">
        <v>13044</v>
      </c>
      <c r="D2852" s="25" t="s">
        <v>1719</v>
      </c>
      <c r="E2852" s="26" t="b">
        <v>1</v>
      </c>
      <c r="F2852" s="27" t="str">
        <f>HYPERLINK("http://nsgreg.nga.mil/genc/view?v=212613&amp;end_month=12&amp;end_day=31&amp;end_year=2014","Govĭsümber")</f>
        <v>Govĭsümber</v>
      </c>
      <c r="G2852" s="28" t="str">
        <f>HYPERLINK("http://api.nsgreg.nga.mil/geo-division/GENC/6/ed3/MN-064","as:GENC:6:ed3:MN-064")</f>
        <v>as:GENC:6:ed3:MN-064</v>
      </c>
    </row>
    <row r="2853" spans="1:7" x14ac:dyDescent="0.2">
      <c r="A2853" s="85"/>
      <c r="B2853" s="25" t="s">
        <v>7319</v>
      </c>
      <c r="C2853" s="25" t="s">
        <v>7320</v>
      </c>
      <c r="D2853" s="25" t="s">
        <v>1719</v>
      </c>
      <c r="E2853" s="26" t="b">
        <v>1</v>
      </c>
      <c r="F2853" s="27" t="str">
        <f>HYPERLINK("http://nsgreg.nga.mil/genc/view?v=120900&amp;gencs=T&amp;end_month=12&amp;end_day=31&amp;end_year=2014","Hentiy")</f>
        <v>Hentiy</v>
      </c>
      <c r="G2853" s="28" t="str">
        <f>HYPERLINK("http://api.nsgreg.nga.mil/geo-division/GENC/6/ed3/MN-039","as:GENC:6:ed3:MN-039")</f>
        <v>as:GENC:6:ed3:MN-039</v>
      </c>
    </row>
    <row r="2854" spans="1:7" x14ac:dyDescent="0.2">
      <c r="A2854" s="85"/>
      <c r="B2854" s="25" t="s">
        <v>7321</v>
      </c>
      <c r="C2854" s="25" t="s">
        <v>7322</v>
      </c>
      <c r="D2854" s="25" t="s">
        <v>1719</v>
      </c>
      <c r="E2854" s="26" t="b">
        <v>1</v>
      </c>
      <c r="F2854" s="27" t="str">
        <f>HYPERLINK("http://nsgreg.nga.mil/genc/view?v=120902&amp;gencs=T&amp;end_month=12&amp;end_day=31&amp;end_year=2014","Hovd")</f>
        <v>Hovd</v>
      </c>
      <c r="G2854" s="28" t="str">
        <f>HYPERLINK("http://api.nsgreg.nga.mil/geo-division/GENC/6/ed3/MN-043","as:GENC:6:ed3:MN-043")</f>
        <v>as:GENC:6:ed3:MN-043</v>
      </c>
    </row>
    <row r="2855" spans="1:7" x14ac:dyDescent="0.2">
      <c r="A2855" s="85"/>
      <c r="B2855" s="25" t="s">
        <v>7323</v>
      </c>
      <c r="C2855" s="25" t="s">
        <v>7324</v>
      </c>
      <c r="D2855" s="25" t="s">
        <v>1719</v>
      </c>
      <c r="E2855" s="26" t="b">
        <v>1</v>
      </c>
      <c r="F2855" s="27" t="str">
        <f>HYPERLINK("http://nsgreg.nga.mil/genc/view?v=120901&amp;gencs=T&amp;end_month=12&amp;end_day=31&amp;end_year=2014","Hövsgöl")</f>
        <v>Hövsgöl</v>
      </c>
      <c r="G2855" s="28" t="str">
        <f>HYPERLINK("http://api.nsgreg.nga.mil/geo-division/GENC/6/ed3/MN-041","as:GENC:6:ed3:MN-041")</f>
        <v>as:GENC:6:ed3:MN-041</v>
      </c>
    </row>
    <row r="2856" spans="1:7" x14ac:dyDescent="0.2">
      <c r="A2856" s="85"/>
      <c r="B2856" s="25" t="s">
        <v>7337</v>
      </c>
      <c r="C2856" s="25" t="s">
        <v>7338</v>
      </c>
      <c r="D2856" s="25" t="s">
        <v>1719</v>
      </c>
      <c r="E2856" s="26" t="b">
        <v>1</v>
      </c>
      <c r="F2856" s="27" t="str">
        <f>HYPERLINK("http://nsgreg.nga.mil/genc/view?v=120907&amp;gencs=T&amp;end_month=12&amp;end_day=31&amp;end_year=2014","Ömnögovĭ")</f>
        <v>Ömnögovĭ</v>
      </c>
      <c r="G2856" s="28" t="str">
        <f>HYPERLINK("http://api.nsgreg.nga.mil/geo-division/GENC/6/ed3/MN-053","as:GENC:6:ed3:MN-053")</f>
        <v>as:GENC:6:ed3:MN-053</v>
      </c>
    </row>
    <row r="2857" spans="1:7" x14ac:dyDescent="0.2">
      <c r="A2857" s="85"/>
      <c r="B2857" s="25" t="s">
        <v>7325</v>
      </c>
      <c r="C2857" s="25" t="s">
        <v>7326</v>
      </c>
      <c r="D2857" s="25" t="s">
        <v>1719</v>
      </c>
      <c r="E2857" s="26" t="b">
        <v>1</v>
      </c>
      <c r="F2857" s="27" t="str">
        <f>HYPERLINK("http://nsgreg.nga.mil/genc/view?v=120898&amp;gencs=T&amp;end_month=12&amp;end_day=31&amp;end_year=2014","Orhon")</f>
        <v>Orhon</v>
      </c>
      <c r="G2857" s="28" t="str">
        <f>HYPERLINK("http://api.nsgreg.nga.mil/geo-division/GENC/6/ed3/MN-035","as:GENC:6:ed3:MN-035")</f>
        <v>as:GENC:6:ed3:MN-035</v>
      </c>
    </row>
    <row r="2858" spans="1:7" x14ac:dyDescent="0.2">
      <c r="A2858" s="85"/>
      <c r="B2858" s="25" t="s">
        <v>7339</v>
      </c>
      <c r="C2858" s="25" t="s">
        <v>7340</v>
      </c>
      <c r="D2858" s="25" t="s">
        <v>1719</v>
      </c>
      <c r="E2858" s="26" t="b">
        <v>1</v>
      </c>
      <c r="F2858" s="27" t="str">
        <f>HYPERLINK("http://nsgreg.nga.mil/genc/view?v=120908&amp;gencs=T&amp;end_month=12&amp;end_day=31&amp;end_year=2014","Övörhangay")</f>
        <v>Övörhangay</v>
      </c>
      <c r="G2858" s="28" t="str">
        <f>HYPERLINK("http://api.nsgreg.nga.mil/geo-division/GENC/6/ed3/MN-055","as:GENC:6:ed3:MN-055")</f>
        <v>as:GENC:6:ed3:MN-055</v>
      </c>
    </row>
    <row r="2859" spans="1:7" x14ac:dyDescent="0.2">
      <c r="A2859" s="85"/>
      <c r="B2859" s="25" t="s">
        <v>7327</v>
      </c>
      <c r="C2859" s="25" t="s">
        <v>7328</v>
      </c>
      <c r="D2859" s="25" t="s">
        <v>1719</v>
      </c>
      <c r="E2859" s="26" t="b">
        <v>1</v>
      </c>
      <c r="F2859" s="27" t="str">
        <f>HYPERLINK("http://nsgreg.nga.mil/genc/view?v=120905&amp;gencs=T&amp;end_month=12&amp;end_day=31&amp;end_year=2014","Selenge")</f>
        <v>Selenge</v>
      </c>
      <c r="G2859" s="28" t="str">
        <f>HYPERLINK("http://api.nsgreg.nga.mil/geo-division/GENC/6/ed3/MN-049","as:GENC:6:ed3:MN-049")</f>
        <v>as:GENC:6:ed3:MN-049</v>
      </c>
    </row>
    <row r="2860" spans="1:7" x14ac:dyDescent="0.2">
      <c r="A2860" s="85"/>
      <c r="B2860" s="25" t="s">
        <v>7329</v>
      </c>
      <c r="C2860" s="25" t="s">
        <v>7330</v>
      </c>
      <c r="D2860" s="25" t="s">
        <v>1719</v>
      </c>
      <c r="E2860" s="26" t="b">
        <v>1</v>
      </c>
      <c r="F2860" s="27" t="str">
        <f>HYPERLINK("http://nsgreg.nga.mil/genc/view?v=120906&amp;gencs=T&amp;end_month=12&amp;end_day=31&amp;end_year=2014","Sühbaatar")</f>
        <v>Sühbaatar</v>
      </c>
      <c r="G2860" s="28" t="str">
        <f>HYPERLINK("http://api.nsgreg.nga.mil/geo-division/GENC/6/ed3/MN-051","as:GENC:6:ed3:MN-051")</f>
        <v>as:GENC:6:ed3:MN-051</v>
      </c>
    </row>
    <row r="2861" spans="1:7" x14ac:dyDescent="0.2">
      <c r="A2861" s="85"/>
      <c r="B2861" s="25" t="s">
        <v>7331</v>
      </c>
      <c r="C2861" s="25" t="s">
        <v>7332</v>
      </c>
      <c r="D2861" s="25" t="s">
        <v>1719</v>
      </c>
      <c r="E2861" s="26" t="b">
        <v>1</v>
      </c>
      <c r="F2861" s="27" t="str">
        <f>HYPERLINK("http://nsgreg.nga.mil/genc/view?v=120904&amp;gencs=T&amp;end_month=12&amp;end_day=31&amp;end_year=2014","Töv")</f>
        <v>Töv</v>
      </c>
      <c r="G2861" s="28" t="str">
        <f>HYPERLINK("http://api.nsgreg.nga.mil/geo-division/GENC/6/ed3/MN-047","as:GENC:6:ed3:MN-047")</f>
        <v>as:GENC:6:ed3:MN-047</v>
      </c>
    </row>
    <row r="2862" spans="1:7" x14ac:dyDescent="0.2">
      <c r="A2862" s="85"/>
      <c r="B2862" s="25" t="s">
        <v>7333</v>
      </c>
      <c r="C2862" s="25" t="s">
        <v>7334</v>
      </c>
      <c r="D2862" s="25" t="s">
        <v>2046</v>
      </c>
      <c r="E2862" s="26" t="b">
        <v>1</v>
      </c>
      <c r="F2862" s="27" t="str">
        <f>HYPERLINK("http://nsgreg.nga.mil/genc/view?v=212614&amp;end_month=12&amp;end_day=31&amp;end_year=2014","Ulaanbaatar")</f>
        <v>Ulaanbaatar</v>
      </c>
      <c r="G2862" s="28" t="str">
        <f>HYPERLINK("http://api.nsgreg.nga.mil/geo-division/GENC/6/ed3/MN-1","as:GENC:6:ed3:MN-1")</f>
        <v>as:GENC:6:ed3:MN-1</v>
      </c>
    </row>
    <row r="2863" spans="1:7" x14ac:dyDescent="0.2">
      <c r="A2863" s="86"/>
      <c r="B2863" s="29" t="s">
        <v>7335</v>
      </c>
      <c r="C2863" s="29" t="s">
        <v>7336</v>
      </c>
      <c r="D2863" s="29" t="s">
        <v>1719</v>
      </c>
      <c r="E2863" s="30" t="b">
        <v>1</v>
      </c>
      <c r="F2863" s="31" t="str">
        <f>HYPERLINK("http://nsgreg.nga.mil/genc/view?v=120903&amp;gencs=T&amp;end_month=12&amp;end_day=31&amp;end_year=2014","Uvs")</f>
        <v>Uvs</v>
      </c>
      <c r="G2863" s="32" t="str">
        <f>HYPERLINK("http://api.nsgreg.nga.mil/geo-division/GENC/6/ed3/MN-046","as:GENC:6:ed3:MN-046")</f>
        <v>as:GENC:6:ed3:MN-046</v>
      </c>
    </row>
    <row r="2864" spans="1:7" x14ac:dyDescent="0.2">
      <c r="A2864" s="84" t="str">
        <f>HYPERLINK("[#]Codes_for_GE_Names!A177:I177","MONTENEGRO")</f>
        <v>MONTENEGRO</v>
      </c>
      <c r="B2864" s="33" t="s">
        <v>7341</v>
      </c>
      <c r="C2864" s="33" t="s">
        <v>7342</v>
      </c>
      <c r="D2864" s="33" t="s">
        <v>2164</v>
      </c>
      <c r="E2864" s="34" t="b">
        <v>1</v>
      </c>
      <c r="F2864" s="35" t="str">
        <f>HYPERLINK("http://nsgreg.nga.mil/genc/view?v=212527&amp;end_month=12&amp;end_day=31&amp;end_year=2014","Andrijevica")</f>
        <v>Andrijevica</v>
      </c>
      <c r="G2864" s="36" t="str">
        <f>HYPERLINK("http://api.nsgreg.nga.mil/geo-division/GENC/6/ed3/ME-01","as:GENC:6:ed3:ME-01")</f>
        <v>as:GENC:6:ed3:ME-01</v>
      </c>
    </row>
    <row r="2865" spans="1:7" x14ac:dyDescent="0.2">
      <c r="A2865" s="85"/>
      <c r="B2865" s="25" t="s">
        <v>7343</v>
      </c>
      <c r="C2865" s="25" t="s">
        <v>7344</v>
      </c>
      <c r="D2865" s="25" t="s">
        <v>2164</v>
      </c>
      <c r="E2865" s="26" t="b">
        <v>1</v>
      </c>
      <c r="F2865" s="27" t="str">
        <f>HYPERLINK("http://nsgreg.nga.mil/genc/view?v=212528&amp;end_month=12&amp;end_day=31&amp;end_year=2014","Bar")</f>
        <v>Bar</v>
      </c>
      <c r="G2865" s="28" t="str">
        <f>HYPERLINK("http://api.nsgreg.nga.mil/geo-division/GENC/6/ed3/ME-02","as:GENC:6:ed3:ME-02")</f>
        <v>as:GENC:6:ed3:ME-02</v>
      </c>
    </row>
    <row r="2866" spans="1:7" x14ac:dyDescent="0.2">
      <c r="A2866" s="85"/>
      <c r="B2866" s="25" t="s">
        <v>7345</v>
      </c>
      <c r="C2866" s="25" t="s">
        <v>7346</v>
      </c>
      <c r="D2866" s="25" t="s">
        <v>2164</v>
      </c>
      <c r="E2866" s="26" t="b">
        <v>1</v>
      </c>
      <c r="F2866" s="27" t="str">
        <f>HYPERLINK("http://nsgreg.nga.mil/genc/view?v=212529&amp;end_month=12&amp;end_day=31&amp;end_year=2014","Berane")</f>
        <v>Berane</v>
      </c>
      <c r="G2866" s="28" t="str">
        <f>HYPERLINK("http://api.nsgreg.nga.mil/geo-division/GENC/6/ed3/ME-03","as:GENC:6:ed3:ME-03")</f>
        <v>as:GENC:6:ed3:ME-03</v>
      </c>
    </row>
    <row r="2867" spans="1:7" x14ac:dyDescent="0.2">
      <c r="A2867" s="85"/>
      <c r="B2867" s="25" t="s">
        <v>7347</v>
      </c>
      <c r="C2867" s="25" t="s">
        <v>7348</v>
      </c>
      <c r="D2867" s="25" t="s">
        <v>2164</v>
      </c>
      <c r="E2867" s="26" t="b">
        <v>1</v>
      </c>
      <c r="F2867" s="27" t="str">
        <f>HYPERLINK("http://nsgreg.nga.mil/genc/view?v=212530&amp;end_month=12&amp;end_day=31&amp;end_year=2014","Bijelo Polje")</f>
        <v>Bijelo Polje</v>
      </c>
      <c r="G2867" s="28" t="str">
        <f>HYPERLINK("http://api.nsgreg.nga.mil/geo-division/GENC/6/ed3/ME-04","as:GENC:6:ed3:ME-04")</f>
        <v>as:GENC:6:ed3:ME-04</v>
      </c>
    </row>
    <row r="2868" spans="1:7" x14ac:dyDescent="0.2">
      <c r="A2868" s="85"/>
      <c r="B2868" s="25" t="s">
        <v>7349</v>
      </c>
      <c r="C2868" s="25" t="s">
        <v>7350</v>
      </c>
      <c r="D2868" s="25" t="s">
        <v>2164</v>
      </c>
      <c r="E2868" s="26" t="b">
        <v>1</v>
      </c>
      <c r="F2868" s="27" t="str">
        <f>HYPERLINK("http://nsgreg.nga.mil/genc/view?v=212531&amp;end_month=12&amp;end_day=31&amp;end_year=2014","Budva")</f>
        <v>Budva</v>
      </c>
      <c r="G2868" s="28" t="str">
        <f>HYPERLINK("http://api.nsgreg.nga.mil/geo-division/GENC/6/ed3/ME-05","as:GENC:6:ed3:ME-05")</f>
        <v>as:GENC:6:ed3:ME-05</v>
      </c>
    </row>
    <row r="2869" spans="1:7" x14ac:dyDescent="0.2">
      <c r="A2869" s="85"/>
      <c r="B2869" s="25" t="s">
        <v>7351</v>
      </c>
      <c r="C2869" s="25" t="s">
        <v>7352</v>
      </c>
      <c r="D2869" s="25" t="s">
        <v>2164</v>
      </c>
      <c r="E2869" s="26" t="b">
        <v>1</v>
      </c>
      <c r="F2869" s="27" t="str">
        <f>HYPERLINK("http://nsgreg.nga.mil/genc/view?v=212532&amp;end_month=12&amp;end_day=31&amp;end_year=2014","Cetinje")</f>
        <v>Cetinje</v>
      </c>
      <c r="G2869" s="28" t="str">
        <f>HYPERLINK("http://api.nsgreg.nga.mil/geo-division/GENC/6/ed3/ME-06","as:GENC:6:ed3:ME-06")</f>
        <v>as:GENC:6:ed3:ME-06</v>
      </c>
    </row>
    <row r="2870" spans="1:7" x14ac:dyDescent="0.2">
      <c r="A2870" s="85"/>
      <c r="B2870" s="25" t="s">
        <v>7353</v>
      </c>
      <c r="C2870" s="25" t="s">
        <v>7354</v>
      </c>
      <c r="D2870" s="25" t="s">
        <v>2164</v>
      </c>
      <c r="E2870" s="26" t="b">
        <v>1</v>
      </c>
      <c r="F2870" s="27" t="str">
        <f>HYPERLINK("http://nsgreg.nga.mil/genc/view?v=212533&amp;end_month=12&amp;end_day=31&amp;end_year=2014","Danilovgrad")</f>
        <v>Danilovgrad</v>
      </c>
      <c r="G2870" s="28" t="str">
        <f>HYPERLINK("http://api.nsgreg.nga.mil/geo-division/GENC/6/ed3/ME-07","as:GENC:6:ed3:ME-07")</f>
        <v>as:GENC:6:ed3:ME-07</v>
      </c>
    </row>
    <row r="2871" spans="1:7" x14ac:dyDescent="0.2">
      <c r="A2871" s="85"/>
      <c r="B2871" s="25" t="s">
        <v>13045</v>
      </c>
      <c r="C2871" s="25" t="s">
        <v>13046</v>
      </c>
      <c r="D2871" s="25" t="s">
        <v>2164</v>
      </c>
      <c r="E2871" s="26" t="b">
        <v>1</v>
      </c>
      <c r="F2871" s="27" t="str">
        <f>HYPERLINK("http://nsgreg.nga.mil/genc/view?v=120756&amp;gencs=T&amp;end_month=12&amp;end_day=31&amp;end_year=2014","Gusinje")</f>
        <v>Gusinje</v>
      </c>
      <c r="G2871" s="28" t="str">
        <f>HYPERLINK("http://api.nsgreg.nga.mil/geo-division/GENC/6/ed3/ME-22","as:GENC:6:ed3:ME-22")</f>
        <v>as:GENC:6:ed3:ME-22</v>
      </c>
    </row>
    <row r="2872" spans="1:7" x14ac:dyDescent="0.2">
      <c r="A2872" s="85"/>
      <c r="B2872" s="25" t="s">
        <v>7355</v>
      </c>
      <c r="C2872" s="25" t="s">
        <v>13047</v>
      </c>
      <c r="D2872" s="25" t="s">
        <v>2164</v>
      </c>
      <c r="E2872" s="26" t="b">
        <v>1</v>
      </c>
      <c r="F2872" s="27" t="str">
        <f>HYPERLINK("http://nsgreg.nga.mil/genc/view?v=212534&amp;end_month=12&amp;end_day=31&amp;end_year=2014","Herceg Novi")</f>
        <v>Herceg Novi</v>
      </c>
      <c r="G2872" s="28" t="str">
        <f>HYPERLINK("http://api.nsgreg.nga.mil/geo-division/GENC/6/ed3/ME-08","as:GENC:6:ed3:ME-08")</f>
        <v>as:GENC:6:ed3:ME-08</v>
      </c>
    </row>
    <row r="2873" spans="1:7" x14ac:dyDescent="0.2">
      <c r="A2873" s="85"/>
      <c r="B2873" s="25" t="s">
        <v>7357</v>
      </c>
      <c r="C2873" s="25" t="s">
        <v>7358</v>
      </c>
      <c r="D2873" s="25" t="s">
        <v>2164</v>
      </c>
      <c r="E2873" s="26" t="b">
        <v>1</v>
      </c>
      <c r="F2873" s="27" t="str">
        <f>HYPERLINK("http://nsgreg.nga.mil/genc/view?v=212535&amp;end_month=12&amp;end_day=31&amp;end_year=2014","Kolašin")</f>
        <v>Kolašin</v>
      </c>
      <c r="G2873" s="28" t="str">
        <f>HYPERLINK("http://api.nsgreg.nga.mil/geo-division/GENC/6/ed3/ME-09","as:GENC:6:ed3:ME-09")</f>
        <v>as:GENC:6:ed3:ME-09</v>
      </c>
    </row>
    <row r="2874" spans="1:7" x14ac:dyDescent="0.2">
      <c r="A2874" s="85"/>
      <c r="B2874" s="25" t="s">
        <v>7359</v>
      </c>
      <c r="C2874" s="25" t="s">
        <v>7360</v>
      </c>
      <c r="D2874" s="25" t="s">
        <v>2164</v>
      </c>
      <c r="E2874" s="26" t="b">
        <v>1</v>
      </c>
      <c r="F2874" s="27" t="str">
        <f>HYPERLINK("http://nsgreg.nga.mil/genc/view?v=212536&amp;end_month=12&amp;end_day=31&amp;end_year=2014","Kotor")</f>
        <v>Kotor</v>
      </c>
      <c r="G2874" s="28" t="str">
        <f>HYPERLINK("http://api.nsgreg.nga.mil/geo-division/GENC/6/ed3/ME-10","as:GENC:6:ed3:ME-10")</f>
        <v>as:GENC:6:ed3:ME-10</v>
      </c>
    </row>
    <row r="2875" spans="1:7" x14ac:dyDescent="0.2">
      <c r="A2875" s="85"/>
      <c r="B2875" s="25" t="s">
        <v>7361</v>
      </c>
      <c r="C2875" s="25" t="s">
        <v>7362</v>
      </c>
      <c r="D2875" s="25" t="s">
        <v>2164</v>
      </c>
      <c r="E2875" s="26" t="b">
        <v>1</v>
      </c>
      <c r="F2875" s="27" t="str">
        <f>HYPERLINK("http://nsgreg.nga.mil/genc/view?v=212537&amp;end_month=12&amp;end_day=31&amp;end_year=2014","Mojkovac")</f>
        <v>Mojkovac</v>
      </c>
      <c r="G2875" s="28" t="str">
        <f>HYPERLINK("http://api.nsgreg.nga.mil/geo-division/GENC/6/ed3/ME-11","as:GENC:6:ed3:ME-11")</f>
        <v>as:GENC:6:ed3:ME-11</v>
      </c>
    </row>
    <row r="2876" spans="1:7" x14ac:dyDescent="0.2">
      <c r="A2876" s="85"/>
      <c r="B2876" s="25" t="s">
        <v>7363</v>
      </c>
      <c r="C2876" s="25" t="s">
        <v>13048</v>
      </c>
      <c r="D2876" s="25" t="s">
        <v>2164</v>
      </c>
      <c r="E2876" s="26" t="b">
        <v>1</v>
      </c>
      <c r="F2876" s="27" t="str">
        <f>HYPERLINK("http://nsgreg.nga.mil/genc/view?v=212538&amp;end_month=12&amp;end_day=31&amp;end_year=2014","Nikšić")</f>
        <v>Nikšić</v>
      </c>
      <c r="G2876" s="28" t="str">
        <f>HYPERLINK("http://api.nsgreg.nga.mil/geo-division/GENC/6/ed3/ME-12","as:GENC:6:ed3:ME-12")</f>
        <v>as:GENC:6:ed3:ME-12</v>
      </c>
    </row>
    <row r="2877" spans="1:7" x14ac:dyDescent="0.2">
      <c r="A2877" s="85"/>
      <c r="B2877" s="25" t="s">
        <v>13049</v>
      </c>
      <c r="C2877" s="25" t="s">
        <v>13050</v>
      </c>
      <c r="D2877" s="25" t="s">
        <v>2164</v>
      </c>
      <c r="E2877" s="26" t="b">
        <v>1</v>
      </c>
      <c r="F2877" s="27" t="str">
        <f>HYPERLINK("http://nsgreg.nga.mil/genc/view?v=120757&amp;gencs=T&amp;end_month=12&amp;end_day=31&amp;end_year=2014","Petnjica")</f>
        <v>Petnjica</v>
      </c>
      <c r="G2877" s="28" t="str">
        <f>HYPERLINK("http://api.nsgreg.nga.mil/geo-division/GENC/6/ed3/ME-23","as:GENC:6:ed3:ME-23")</f>
        <v>as:GENC:6:ed3:ME-23</v>
      </c>
    </row>
    <row r="2878" spans="1:7" x14ac:dyDescent="0.2">
      <c r="A2878" s="85"/>
      <c r="B2878" s="25" t="s">
        <v>7365</v>
      </c>
      <c r="C2878" s="25" t="s">
        <v>7366</v>
      </c>
      <c r="D2878" s="25" t="s">
        <v>2164</v>
      </c>
      <c r="E2878" s="26" t="b">
        <v>1</v>
      </c>
      <c r="F2878" s="27" t="str">
        <f>HYPERLINK("http://nsgreg.nga.mil/genc/view?v=212539&amp;end_month=12&amp;end_day=31&amp;end_year=2014","Plav")</f>
        <v>Plav</v>
      </c>
      <c r="G2878" s="28" t="str">
        <f>HYPERLINK("http://api.nsgreg.nga.mil/geo-division/GENC/6/ed3/ME-13","as:GENC:6:ed3:ME-13")</f>
        <v>as:GENC:6:ed3:ME-13</v>
      </c>
    </row>
    <row r="2879" spans="1:7" x14ac:dyDescent="0.2">
      <c r="A2879" s="85"/>
      <c r="B2879" s="25" t="s">
        <v>7367</v>
      </c>
      <c r="C2879" s="25" t="s">
        <v>7368</v>
      </c>
      <c r="D2879" s="25" t="s">
        <v>2164</v>
      </c>
      <c r="E2879" s="26" t="b">
        <v>1</v>
      </c>
      <c r="F2879" s="27" t="str">
        <f>HYPERLINK("http://nsgreg.nga.mil/genc/view?v=212540&amp;end_month=12&amp;end_day=31&amp;end_year=2014","Pljevlja")</f>
        <v>Pljevlja</v>
      </c>
      <c r="G2879" s="28" t="str">
        <f>HYPERLINK("http://api.nsgreg.nga.mil/geo-division/GENC/6/ed3/ME-14","as:GENC:6:ed3:ME-14")</f>
        <v>as:GENC:6:ed3:ME-14</v>
      </c>
    </row>
    <row r="2880" spans="1:7" x14ac:dyDescent="0.2">
      <c r="A2880" s="85"/>
      <c r="B2880" s="25" t="s">
        <v>7369</v>
      </c>
      <c r="C2880" s="25" t="s">
        <v>7370</v>
      </c>
      <c r="D2880" s="25" t="s">
        <v>2164</v>
      </c>
      <c r="E2880" s="26" t="b">
        <v>1</v>
      </c>
      <c r="F2880" s="27" t="str">
        <f>HYPERLINK("http://nsgreg.nga.mil/genc/view?v=212541&amp;end_month=12&amp;end_day=31&amp;end_year=2014","Plužine")</f>
        <v>Plužine</v>
      </c>
      <c r="G2880" s="28" t="str">
        <f>HYPERLINK("http://api.nsgreg.nga.mil/geo-division/GENC/6/ed3/ME-15","as:GENC:6:ed3:ME-15")</f>
        <v>as:GENC:6:ed3:ME-15</v>
      </c>
    </row>
    <row r="2881" spans="1:7" x14ac:dyDescent="0.2">
      <c r="A2881" s="85"/>
      <c r="B2881" s="25" t="s">
        <v>7371</v>
      </c>
      <c r="C2881" s="25" t="s">
        <v>7372</v>
      </c>
      <c r="D2881" s="25" t="s">
        <v>2164</v>
      </c>
      <c r="E2881" s="26" t="b">
        <v>1</v>
      </c>
      <c r="F2881" s="27" t="str">
        <f>HYPERLINK("http://nsgreg.nga.mil/genc/view?v=212542&amp;end_month=12&amp;end_day=31&amp;end_year=2014","Podgorica")</f>
        <v>Podgorica</v>
      </c>
      <c r="G2881" s="28" t="str">
        <f>HYPERLINK("http://api.nsgreg.nga.mil/geo-division/GENC/6/ed3/ME-16","as:GENC:6:ed3:ME-16")</f>
        <v>as:GENC:6:ed3:ME-16</v>
      </c>
    </row>
    <row r="2882" spans="1:7" x14ac:dyDescent="0.2">
      <c r="A2882" s="85"/>
      <c r="B2882" s="25" t="s">
        <v>7373</v>
      </c>
      <c r="C2882" s="25" t="s">
        <v>7374</v>
      </c>
      <c r="D2882" s="25" t="s">
        <v>2164</v>
      </c>
      <c r="E2882" s="26" t="b">
        <v>1</v>
      </c>
      <c r="F2882" s="27" t="str">
        <f>HYPERLINK("http://nsgreg.nga.mil/genc/view?v=212543&amp;end_month=12&amp;end_day=31&amp;end_year=2014","Rožaje")</f>
        <v>Rožaje</v>
      </c>
      <c r="G2882" s="28" t="str">
        <f>HYPERLINK("http://api.nsgreg.nga.mil/geo-division/GENC/6/ed3/ME-17","as:GENC:6:ed3:ME-17")</f>
        <v>as:GENC:6:ed3:ME-17</v>
      </c>
    </row>
    <row r="2883" spans="1:7" x14ac:dyDescent="0.2">
      <c r="A2883" s="85"/>
      <c r="B2883" s="25" t="s">
        <v>7379</v>
      </c>
      <c r="C2883" s="25" t="s">
        <v>7380</v>
      </c>
      <c r="D2883" s="25" t="s">
        <v>2164</v>
      </c>
      <c r="E2883" s="26" t="b">
        <v>1</v>
      </c>
      <c r="F2883" s="27" t="str">
        <f>HYPERLINK("http://nsgreg.nga.mil/genc/view?v=212544&amp;end_month=12&amp;end_day=31&amp;end_year=2014","Šavnik")</f>
        <v>Šavnik</v>
      </c>
      <c r="G2883" s="28" t="str">
        <f>HYPERLINK("http://api.nsgreg.nga.mil/geo-division/GENC/6/ed3/ME-18","as:GENC:6:ed3:ME-18")</f>
        <v>as:GENC:6:ed3:ME-18</v>
      </c>
    </row>
    <row r="2884" spans="1:7" x14ac:dyDescent="0.2">
      <c r="A2884" s="85"/>
      <c r="B2884" s="25" t="s">
        <v>7375</v>
      </c>
      <c r="C2884" s="25" t="s">
        <v>7376</v>
      </c>
      <c r="D2884" s="25" t="s">
        <v>2164</v>
      </c>
      <c r="E2884" s="26" t="b">
        <v>1</v>
      </c>
      <c r="F2884" s="27" t="str">
        <f>HYPERLINK("http://nsgreg.nga.mil/genc/view?v=212545&amp;end_month=12&amp;end_day=31&amp;end_year=2014","Tivat")</f>
        <v>Tivat</v>
      </c>
      <c r="G2884" s="28" t="str">
        <f>HYPERLINK("http://api.nsgreg.nga.mil/geo-division/GENC/6/ed3/ME-19","as:GENC:6:ed3:ME-19")</f>
        <v>as:GENC:6:ed3:ME-19</v>
      </c>
    </row>
    <row r="2885" spans="1:7" x14ac:dyDescent="0.2">
      <c r="A2885" s="85"/>
      <c r="B2885" s="25" t="s">
        <v>7377</v>
      </c>
      <c r="C2885" s="25" t="s">
        <v>7378</v>
      </c>
      <c r="D2885" s="25" t="s">
        <v>2164</v>
      </c>
      <c r="E2885" s="26" t="b">
        <v>1</v>
      </c>
      <c r="F2885" s="27" t="str">
        <f>HYPERLINK("http://nsgreg.nga.mil/genc/view?v=212546&amp;end_month=12&amp;end_day=31&amp;end_year=2014","Ulcinj")</f>
        <v>Ulcinj</v>
      </c>
      <c r="G2885" s="28" t="str">
        <f>HYPERLINK("http://api.nsgreg.nga.mil/geo-division/GENC/6/ed3/ME-20","as:GENC:6:ed3:ME-20")</f>
        <v>as:GENC:6:ed3:ME-20</v>
      </c>
    </row>
    <row r="2886" spans="1:7" x14ac:dyDescent="0.2">
      <c r="A2886" s="86"/>
      <c r="B2886" s="29" t="s">
        <v>7381</v>
      </c>
      <c r="C2886" s="29" t="s">
        <v>7382</v>
      </c>
      <c r="D2886" s="29" t="s">
        <v>2164</v>
      </c>
      <c r="E2886" s="30" t="b">
        <v>1</v>
      </c>
      <c r="F2886" s="31" t="str">
        <f>HYPERLINK("http://nsgreg.nga.mil/genc/view?v=212547&amp;end_month=12&amp;end_day=31&amp;end_year=2014","Žabljak")</f>
        <v>Žabljak</v>
      </c>
      <c r="G2886" s="32" t="str">
        <f>HYPERLINK("http://api.nsgreg.nga.mil/geo-division/GENC/6/ed3/ME-21","as:GENC:6:ed3:ME-21")</f>
        <v>as:GENC:6:ed3:ME-21</v>
      </c>
    </row>
    <row r="2887" spans="1:7" x14ac:dyDescent="0.2">
      <c r="A2887" s="84" t="str">
        <f>HYPERLINK("[#]Codes_for_GE_Names!A178:I178","MONTSERRAT")</f>
        <v>MONTSERRAT</v>
      </c>
      <c r="B2887" s="33" t="s">
        <v>13051</v>
      </c>
      <c r="C2887" s="33" t="s">
        <v>13052</v>
      </c>
      <c r="D2887" s="33" t="s">
        <v>1970</v>
      </c>
      <c r="E2887" s="34" t="b">
        <v>1</v>
      </c>
      <c r="F2887" s="35" t="str">
        <f>HYPERLINK("http://nsgreg.nga.mil/genc/view?v=212617&amp;end_month=12&amp;end_day=31&amp;end_year=2014","Saint Anthony")</f>
        <v>Saint Anthony</v>
      </c>
      <c r="G2887" s="36" t="str">
        <f>HYPERLINK("http://api.nsgreg.nga.mil/geo-division/GENC/6/ed3/MS-01","as:GENC:6:ed3:MS-01")</f>
        <v>as:GENC:6:ed3:MS-01</v>
      </c>
    </row>
    <row r="2888" spans="1:7" x14ac:dyDescent="0.2">
      <c r="A2888" s="85"/>
      <c r="B2888" s="25" t="s">
        <v>13053</v>
      </c>
      <c r="C2888" s="25" t="s">
        <v>13054</v>
      </c>
      <c r="D2888" s="25" t="s">
        <v>1970</v>
      </c>
      <c r="E2888" s="26" t="b">
        <v>1</v>
      </c>
      <c r="F2888" s="27" t="str">
        <f>HYPERLINK("http://nsgreg.nga.mil/genc/view?v=212618&amp;end_month=12&amp;end_day=31&amp;end_year=2014","Saint Georges")</f>
        <v>Saint Georges</v>
      </c>
      <c r="G2888" s="28" t="str">
        <f>HYPERLINK("http://api.nsgreg.nga.mil/geo-division/GENC/6/ed3/MS-02","as:GENC:6:ed3:MS-02")</f>
        <v>as:GENC:6:ed3:MS-02</v>
      </c>
    </row>
    <row r="2889" spans="1:7" x14ac:dyDescent="0.2">
      <c r="A2889" s="86"/>
      <c r="B2889" s="29" t="s">
        <v>13055</v>
      </c>
      <c r="C2889" s="29" t="s">
        <v>2033</v>
      </c>
      <c r="D2889" s="29" t="s">
        <v>1970</v>
      </c>
      <c r="E2889" s="30" t="b">
        <v>1</v>
      </c>
      <c r="F2889" s="31" t="str">
        <f>HYPERLINK("http://nsgreg.nga.mil/genc/view?v=212619&amp;end_month=12&amp;end_day=31&amp;end_year=2014","Saint Peter")</f>
        <v>Saint Peter</v>
      </c>
      <c r="G2889" s="32" t="str">
        <f>HYPERLINK("http://api.nsgreg.nga.mil/geo-division/GENC/6/ed3/MS-03","as:GENC:6:ed3:MS-03")</f>
        <v>as:GENC:6:ed3:MS-03</v>
      </c>
    </row>
    <row r="2890" spans="1:7" x14ac:dyDescent="0.2">
      <c r="A2890" s="84" t="str">
        <f>HYPERLINK("[#]Codes_for_GE_Names!A179:I179","MOROCCO")</f>
        <v>MOROCCO</v>
      </c>
      <c r="B2890" s="33" t="s">
        <v>7383</v>
      </c>
      <c r="C2890" s="33" t="s">
        <v>13056</v>
      </c>
      <c r="D2890" s="41" t="s">
        <v>3158</v>
      </c>
      <c r="E2890" s="42" t="b">
        <v>0</v>
      </c>
      <c r="F2890" s="35" t="str">
        <f>HYPERLINK("http://nsgreg.nga.mil/genc/view?v=212427&amp;end_month=12&amp;end_day=31&amp;end_year=2014","Agadir Ida Outanane")</f>
        <v>Agadir Ida Outanane</v>
      </c>
      <c r="G2890" s="36" t="str">
        <f>HYPERLINK("http://api.nsgreg.nga.mil/geo-division/GENC/6/ed3/MA-AGD","as:GENC:6:ed3:MA-AGD")</f>
        <v>as:GENC:6:ed3:MA-AGD</v>
      </c>
    </row>
    <row r="2891" spans="1:7" x14ac:dyDescent="0.2">
      <c r="A2891" s="85"/>
      <c r="B2891" s="25" t="s">
        <v>7385</v>
      </c>
      <c r="C2891" s="25" t="s">
        <v>7386</v>
      </c>
      <c r="D2891" s="37" t="s">
        <v>1719</v>
      </c>
      <c r="E2891" s="38" t="b">
        <v>0</v>
      </c>
      <c r="F2891" s="27" t="str">
        <f>HYPERLINK("http://nsgreg.nga.mil/genc/view?v=212448&amp;end_month=12&amp;end_day=31&amp;end_year=2014","Al Haouz")</f>
        <v>Al Haouz</v>
      </c>
      <c r="G2891" s="28" t="str">
        <f>HYPERLINK("http://api.nsgreg.nga.mil/geo-division/GENC/6/ed3/MA-HAO","as:GENC:6:ed3:MA-HAO")</f>
        <v>as:GENC:6:ed3:MA-HAO</v>
      </c>
    </row>
    <row r="2892" spans="1:7" x14ac:dyDescent="0.2">
      <c r="A2892" s="85"/>
      <c r="B2892" s="25" t="s">
        <v>7387</v>
      </c>
      <c r="C2892" s="25" t="s">
        <v>7388</v>
      </c>
      <c r="D2892" s="37" t="s">
        <v>1719</v>
      </c>
      <c r="E2892" s="38" t="b">
        <v>0</v>
      </c>
      <c r="F2892" s="27" t="str">
        <f>HYPERLINK("http://nsgreg.nga.mil/genc/view?v=212449&amp;end_month=12&amp;end_day=31&amp;end_year=2014","Al Hoceïma")</f>
        <v>Al Hoceïma</v>
      </c>
      <c r="G2892" s="28" t="str">
        <f>HYPERLINK("http://api.nsgreg.nga.mil/geo-division/GENC/6/ed3/MA-HOC","as:GENC:6:ed3:MA-HOC")</f>
        <v>as:GENC:6:ed3:MA-HOC</v>
      </c>
    </row>
    <row r="2893" spans="1:7" x14ac:dyDescent="0.2">
      <c r="A2893" s="85"/>
      <c r="B2893" s="25" t="s">
        <v>7391</v>
      </c>
      <c r="C2893" s="25" t="s">
        <v>7392</v>
      </c>
      <c r="D2893" s="37" t="s">
        <v>1719</v>
      </c>
      <c r="E2893" s="38" t="b">
        <v>0</v>
      </c>
      <c r="F2893" s="27" t="str">
        <f>HYPERLINK("http://nsgreg.nga.mil/genc/view?v=212429&amp;end_month=12&amp;end_day=31&amp;end_year=2014","Assa-Zag")</f>
        <v>Assa-Zag</v>
      </c>
      <c r="G2893" s="28" t="str">
        <f>HYPERLINK("http://api.nsgreg.nga.mil/geo-division/GENC/6/ed3/MA-ASZ","as:GENC:6:ed3:MA-ASZ")</f>
        <v>as:GENC:6:ed3:MA-ASZ</v>
      </c>
    </row>
    <row r="2894" spans="1:7" x14ac:dyDescent="0.2">
      <c r="A2894" s="85"/>
      <c r="B2894" s="25" t="s">
        <v>7393</v>
      </c>
      <c r="C2894" s="25" t="s">
        <v>7394</v>
      </c>
      <c r="D2894" s="37" t="s">
        <v>1719</v>
      </c>
      <c r="E2894" s="38" t="b">
        <v>0</v>
      </c>
      <c r="F2894" s="27" t="str">
        <f>HYPERLINK("http://nsgreg.nga.mil/genc/view?v=212430&amp;end_month=12&amp;end_day=31&amp;end_year=2014","Azilal")</f>
        <v>Azilal</v>
      </c>
      <c r="G2894" s="28" t="str">
        <f>HYPERLINK("http://api.nsgreg.nga.mil/geo-division/GENC/6/ed3/MA-AZI","as:GENC:6:ed3:MA-AZI")</f>
        <v>as:GENC:6:ed3:MA-AZI</v>
      </c>
    </row>
    <row r="2895" spans="1:7" x14ac:dyDescent="0.2">
      <c r="A2895" s="85"/>
      <c r="B2895" s="25" t="s">
        <v>7397</v>
      </c>
      <c r="C2895" s="25" t="s">
        <v>7398</v>
      </c>
      <c r="D2895" s="37" t="s">
        <v>1719</v>
      </c>
      <c r="E2895" s="38" t="b">
        <v>0</v>
      </c>
      <c r="F2895" s="27" t="str">
        <f>HYPERLINK("http://nsgreg.nga.mil/genc/view?v=212431&amp;end_month=12&amp;end_day=31&amp;end_year=2014","Beni Mellal")</f>
        <v>Beni Mellal</v>
      </c>
      <c r="G2895" s="28" t="str">
        <f>HYPERLINK("http://api.nsgreg.nga.mil/geo-division/GENC/6/ed3/MA-BEM","as:GENC:6:ed3:MA-BEM")</f>
        <v>as:GENC:6:ed3:MA-BEM</v>
      </c>
    </row>
    <row r="2896" spans="1:7" x14ac:dyDescent="0.2">
      <c r="A2896" s="85"/>
      <c r="B2896" s="25" t="s">
        <v>7395</v>
      </c>
      <c r="C2896" s="25" t="s">
        <v>7396</v>
      </c>
      <c r="D2896" s="37" t="s">
        <v>1719</v>
      </c>
      <c r="E2896" s="38" t="b">
        <v>0</v>
      </c>
      <c r="F2896" s="27" t="str">
        <f>HYPERLINK("http://nsgreg.nga.mil/genc/view?v=212433&amp;end_month=12&amp;end_day=31&amp;end_year=2014","Ben Slimane")</f>
        <v>Ben Slimane</v>
      </c>
      <c r="G2896" s="28" t="str">
        <f>HYPERLINK("http://api.nsgreg.nga.mil/geo-division/GENC/6/ed3/MA-BES","as:GENC:6:ed3:MA-BES")</f>
        <v>as:GENC:6:ed3:MA-BES</v>
      </c>
    </row>
    <row r="2897" spans="1:7" x14ac:dyDescent="0.2">
      <c r="A2897" s="85"/>
      <c r="B2897" s="25" t="s">
        <v>7399</v>
      </c>
      <c r="C2897" s="25" t="s">
        <v>7400</v>
      </c>
      <c r="D2897" s="37" t="s">
        <v>1719</v>
      </c>
      <c r="E2897" s="38" t="b">
        <v>0</v>
      </c>
      <c r="F2897" s="27" t="str">
        <f>HYPERLINK("http://nsgreg.nga.mil/genc/view?v=212432&amp;end_month=12&amp;end_day=31&amp;end_year=2014","Berkane")</f>
        <v>Berkane</v>
      </c>
      <c r="G2897" s="28" t="str">
        <f>HYPERLINK("http://api.nsgreg.nga.mil/geo-division/GENC/6/ed3/MA-BER","as:GENC:6:ed3:MA-BER")</f>
        <v>as:GENC:6:ed3:MA-BER</v>
      </c>
    </row>
    <row r="2898" spans="1:7" x14ac:dyDescent="0.2">
      <c r="A2898" s="85"/>
      <c r="B2898" s="25" t="s">
        <v>7403</v>
      </c>
      <c r="C2898" s="25" t="s">
        <v>7404</v>
      </c>
      <c r="D2898" s="37" t="s">
        <v>1719</v>
      </c>
      <c r="E2898" s="38" t="b">
        <v>0</v>
      </c>
      <c r="F2898" s="27" t="str">
        <f>HYPERLINK("http://nsgreg.nga.mil/genc/view?v=212435&amp;end_month=12&amp;end_day=31&amp;end_year=2014","Boulemane")</f>
        <v>Boulemane</v>
      </c>
      <c r="G2898" s="28" t="str">
        <f>HYPERLINK("http://api.nsgreg.nga.mil/geo-division/GENC/6/ed3/MA-BOM","as:GENC:6:ed3:MA-BOM")</f>
        <v>as:GENC:6:ed3:MA-BOM</v>
      </c>
    </row>
    <row r="2899" spans="1:7" x14ac:dyDescent="0.2">
      <c r="A2899" s="85"/>
      <c r="B2899" s="25" t="s">
        <v>7405</v>
      </c>
      <c r="C2899" s="25" t="s">
        <v>7406</v>
      </c>
      <c r="D2899" s="37" t="s">
        <v>3158</v>
      </c>
      <c r="E2899" s="38" t="b">
        <v>0</v>
      </c>
      <c r="F2899" s="27" t="str">
        <f>HYPERLINK("http://nsgreg.nga.mil/genc/view?v=212436&amp;end_month=12&amp;end_day=31&amp;end_year=2014","Casablanca")</f>
        <v>Casablanca</v>
      </c>
      <c r="G2899" s="28" t="str">
        <f>HYPERLINK("http://api.nsgreg.nga.mil/geo-division/GENC/6/ed3/MA-CAS","as:GENC:6:ed3:MA-CAS")</f>
        <v>as:GENC:6:ed3:MA-CAS</v>
      </c>
    </row>
    <row r="2900" spans="1:7" x14ac:dyDescent="0.2">
      <c r="A2900" s="85"/>
      <c r="B2900" s="25" t="s">
        <v>7407</v>
      </c>
      <c r="C2900" s="25" t="s">
        <v>7408</v>
      </c>
      <c r="D2900" s="25" t="s">
        <v>2087</v>
      </c>
      <c r="E2900" s="26" t="b">
        <v>1</v>
      </c>
      <c r="F2900" s="27" t="str">
        <f>HYPERLINK("http://nsgreg.nga.mil/genc/view?v=212419&amp;end_month=12&amp;end_day=31&amp;end_year=2014","Chaouia-Ouardigha")</f>
        <v>Chaouia-Ouardigha</v>
      </c>
      <c r="G2900" s="28" t="str">
        <f>HYPERLINK("http://api.nsgreg.nga.mil/geo-division/GENC/6/ed3/MA-09","as:GENC:6:ed3:MA-09")</f>
        <v>as:GENC:6:ed3:MA-09</v>
      </c>
    </row>
    <row r="2901" spans="1:7" x14ac:dyDescent="0.2">
      <c r="A2901" s="85"/>
      <c r="B2901" s="25" t="s">
        <v>7410</v>
      </c>
      <c r="C2901" s="25" t="s">
        <v>7411</v>
      </c>
      <c r="D2901" s="37" t="s">
        <v>1719</v>
      </c>
      <c r="E2901" s="38" t="b">
        <v>0</v>
      </c>
      <c r="F2901" s="27" t="str">
        <f>HYPERLINK("http://nsgreg.nga.mil/genc/view?v=212437&amp;end_month=12&amp;end_day=31&amp;end_year=2014","Chefchaouen")</f>
        <v>Chefchaouen</v>
      </c>
      <c r="G2901" s="28" t="str">
        <f>HYPERLINK("http://api.nsgreg.nga.mil/geo-division/GENC/6/ed3/MA-CHE","as:GENC:6:ed3:MA-CHE")</f>
        <v>as:GENC:6:ed3:MA-CHE</v>
      </c>
    </row>
    <row r="2902" spans="1:7" x14ac:dyDescent="0.2">
      <c r="A2902" s="85"/>
      <c r="B2902" s="25" t="s">
        <v>7412</v>
      </c>
      <c r="C2902" s="25" t="s">
        <v>7413</v>
      </c>
      <c r="D2902" s="37" t="s">
        <v>1719</v>
      </c>
      <c r="E2902" s="38" t="b">
        <v>0</v>
      </c>
      <c r="F2902" s="27" t="str">
        <f>HYPERLINK("http://nsgreg.nga.mil/genc/view?v=212438&amp;end_month=12&amp;end_day=31&amp;end_year=2014","Chichaoua")</f>
        <v>Chichaoua</v>
      </c>
      <c r="G2902" s="28" t="str">
        <f>HYPERLINK("http://api.nsgreg.nga.mil/geo-division/GENC/6/ed3/MA-CHI","as:GENC:6:ed3:MA-CHI")</f>
        <v>as:GENC:6:ed3:MA-CHI</v>
      </c>
    </row>
    <row r="2903" spans="1:7" x14ac:dyDescent="0.2">
      <c r="A2903" s="85"/>
      <c r="B2903" s="25" t="s">
        <v>7414</v>
      </c>
      <c r="C2903" s="25" t="s">
        <v>7415</v>
      </c>
      <c r="D2903" s="37" t="s">
        <v>1719</v>
      </c>
      <c r="E2903" s="38" t="b">
        <v>0</v>
      </c>
      <c r="F2903" s="27" t="str">
        <f>HYPERLINK("http://nsgreg.nga.mil/genc/view?v=212439&amp;end_month=12&amp;end_day=31&amp;end_year=2014","Chtouka-Ait Baha")</f>
        <v>Chtouka-Ait Baha</v>
      </c>
      <c r="G2903" s="28" t="str">
        <f>HYPERLINK("http://api.nsgreg.nga.mil/geo-division/GENC/6/ed3/MA-CHT","as:GENC:6:ed3:MA-CHT")</f>
        <v>as:GENC:6:ed3:MA-CHT</v>
      </c>
    </row>
    <row r="2904" spans="1:7" x14ac:dyDescent="0.2">
      <c r="A2904" s="85"/>
      <c r="B2904" s="25" t="s">
        <v>7416</v>
      </c>
      <c r="C2904" s="25" t="s">
        <v>7417</v>
      </c>
      <c r="D2904" s="25" t="s">
        <v>2087</v>
      </c>
      <c r="E2904" s="26" t="b">
        <v>1</v>
      </c>
      <c r="F2904" s="27" t="str">
        <f>HYPERLINK("http://nsgreg.nga.mil/genc/view?v=212420&amp;end_month=12&amp;end_day=31&amp;end_year=2014","Doukkala-Abda")</f>
        <v>Doukkala-Abda</v>
      </c>
      <c r="G2904" s="28" t="str">
        <f>HYPERLINK("http://api.nsgreg.nga.mil/geo-division/GENC/6/ed3/MA-10","as:GENC:6:ed3:MA-10")</f>
        <v>as:GENC:6:ed3:MA-10</v>
      </c>
    </row>
    <row r="2905" spans="1:7" x14ac:dyDescent="0.2">
      <c r="A2905" s="85"/>
      <c r="B2905" s="25" t="s">
        <v>7418</v>
      </c>
      <c r="C2905" s="25" t="s">
        <v>7419</v>
      </c>
      <c r="D2905" s="37" t="s">
        <v>1719</v>
      </c>
      <c r="E2905" s="38" t="b">
        <v>0</v>
      </c>
      <c r="F2905" s="27" t="str">
        <f>HYPERLINK("http://nsgreg.nga.mil/genc/view?v=212447&amp;end_month=12&amp;end_day=31&amp;end_year=2014","El Hajeb")</f>
        <v>El Hajeb</v>
      </c>
      <c r="G2905" s="28" t="str">
        <f>HYPERLINK("http://api.nsgreg.nga.mil/geo-division/GENC/6/ed3/MA-HAJ","as:GENC:6:ed3:MA-HAJ")</f>
        <v>as:GENC:6:ed3:MA-HAJ</v>
      </c>
    </row>
    <row r="2906" spans="1:7" x14ac:dyDescent="0.2">
      <c r="A2906" s="85"/>
      <c r="B2906" s="25" t="s">
        <v>7420</v>
      </c>
      <c r="C2906" s="25" t="s">
        <v>7421</v>
      </c>
      <c r="D2906" s="37" t="s">
        <v>1719</v>
      </c>
      <c r="E2906" s="38" t="b">
        <v>0</v>
      </c>
      <c r="F2906" s="27" t="str">
        <f>HYPERLINK("http://nsgreg.nga.mil/genc/view?v=212452&amp;end_month=12&amp;end_day=31&amp;end_year=2014","El Jadida")</f>
        <v>El Jadida</v>
      </c>
      <c r="G2906" s="28" t="str">
        <f>HYPERLINK("http://api.nsgreg.nga.mil/geo-division/GENC/6/ed3/MA-JDI","as:GENC:6:ed3:MA-JDI")</f>
        <v>as:GENC:6:ed3:MA-JDI</v>
      </c>
    </row>
    <row r="2907" spans="1:7" x14ac:dyDescent="0.2">
      <c r="A2907" s="85"/>
      <c r="B2907" s="25" t="s">
        <v>7450</v>
      </c>
      <c r="C2907" s="25" t="s">
        <v>13057</v>
      </c>
      <c r="D2907" s="37" t="s">
        <v>1719</v>
      </c>
      <c r="E2907" s="38" t="b">
        <v>0</v>
      </c>
      <c r="F2907" s="27" t="str">
        <f>HYPERLINK("http://nsgreg.nga.mil/genc/view?v=212455&amp;end_month=12&amp;end_day=31&amp;end_year=2014","El Kelaa des Sraghna")</f>
        <v>El Kelaa des Sraghna</v>
      </c>
      <c r="G2907" s="28" t="str">
        <f>HYPERLINK("http://api.nsgreg.nga.mil/geo-division/GENC/6/ed3/MA-KES","as:GENC:6:ed3:MA-KES")</f>
        <v>as:GENC:6:ed3:MA-KES</v>
      </c>
    </row>
    <row r="2908" spans="1:7" x14ac:dyDescent="0.2">
      <c r="A2908" s="85"/>
      <c r="B2908" s="25" t="s">
        <v>7422</v>
      </c>
      <c r="C2908" s="25" t="s">
        <v>13058</v>
      </c>
      <c r="D2908" s="37" t="s">
        <v>1719</v>
      </c>
      <c r="E2908" s="38" t="b">
        <v>0</v>
      </c>
      <c r="F2908" s="27" t="str">
        <f>HYPERLINK("http://nsgreg.nga.mil/genc/view?v=212440&amp;end_month=12&amp;end_day=31&amp;end_year=2014","Er Rachidia")</f>
        <v>Er Rachidia</v>
      </c>
      <c r="G2908" s="28" t="str">
        <f>HYPERLINK("http://api.nsgreg.nga.mil/geo-division/GENC/6/ed3/MA-ERR","as:GENC:6:ed3:MA-ERR")</f>
        <v>as:GENC:6:ed3:MA-ERR</v>
      </c>
    </row>
    <row r="2909" spans="1:7" x14ac:dyDescent="0.2">
      <c r="A2909" s="85"/>
      <c r="B2909" s="25" t="s">
        <v>7426</v>
      </c>
      <c r="C2909" s="25" t="s">
        <v>7427</v>
      </c>
      <c r="D2909" s="37" t="s">
        <v>1719</v>
      </c>
      <c r="E2909" s="38" t="b">
        <v>0</v>
      </c>
      <c r="F2909" s="27" t="str">
        <f>HYPERLINK("http://nsgreg.nga.mil/genc/view?v=212441&amp;end_month=12&amp;end_day=31&amp;end_year=2014","Essaouira")</f>
        <v>Essaouira</v>
      </c>
      <c r="G2909" s="28" t="str">
        <f>HYPERLINK("http://api.nsgreg.nga.mil/geo-division/GENC/6/ed3/MA-ESI","as:GENC:6:ed3:MA-ESI")</f>
        <v>as:GENC:6:ed3:MA-ESI</v>
      </c>
    </row>
    <row r="2910" spans="1:7" x14ac:dyDescent="0.2">
      <c r="A2910" s="85"/>
      <c r="B2910" s="25" t="s">
        <v>7428</v>
      </c>
      <c r="C2910" s="25" t="s">
        <v>7429</v>
      </c>
      <c r="D2910" s="37" t="s">
        <v>3158</v>
      </c>
      <c r="E2910" s="38" t="b">
        <v>0</v>
      </c>
      <c r="F2910" s="27" t="str">
        <f>HYPERLINK("http://nsgreg.nga.mil/genc/view?v=212443&amp;end_month=12&amp;end_day=31&amp;end_year=2014","Fahs-Beni Makada")</f>
        <v>Fahs-Beni Makada</v>
      </c>
      <c r="G2910" s="28" t="str">
        <f>HYPERLINK("http://api.nsgreg.nga.mil/geo-division/GENC/6/ed3/MA-FAH","as:GENC:6:ed3:MA-FAH")</f>
        <v>as:GENC:6:ed3:MA-FAH</v>
      </c>
    </row>
    <row r="2911" spans="1:7" x14ac:dyDescent="0.2">
      <c r="A2911" s="85"/>
      <c r="B2911" s="25" t="s">
        <v>7432</v>
      </c>
      <c r="C2911" s="25" t="s">
        <v>7433</v>
      </c>
      <c r="D2911" s="25" t="s">
        <v>2087</v>
      </c>
      <c r="E2911" s="26" t="b">
        <v>1</v>
      </c>
      <c r="F2911" s="27" t="str">
        <f>HYPERLINK("http://nsgreg.nga.mil/genc/view?v=212415&amp;end_month=12&amp;end_day=31&amp;end_year=2014","Fès-Boulemane")</f>
        <v>Fès-Boulemane</v>
      </c>
      <c r="G2911" s="28" t="str">
        <f>HYPERLINK("http://api.nsgreg.nga.mil/geo-division/GENC/6/ed3/MA-05","as:GENC:6:ed3:MA-05")</f>
        <v>as:GENC:6:ed3:MA-05</v>
      </c>
    </row>
    <row r="2912" spans="1:7" x14ac:dyDescent="0.2">
      <c r="A2912" s="85"/>
      <c r="B2912" s="25" t="s">
        <v>7434</v>
      </c>
      <c r="C2912" s="25" t="s">
        <v>7435</v>
      </c>
      <c r="D2912" s="37" t="s">
        <v>3158</v>
      </c>
      <c r="E2912" s="38" t="b">
        <v>0</v>
      </c>
      <c r="F2912" s="27" t="str">
        <f>HYPERLINK("http://nsgreg.nga.mil/genc/view?v=212444&amp;end_month=12&amp;end_day=31&amp;end_year=2014","Fès-Dar-Dbibegh")</f>
        <v>Fès-Dar-Dbibegh</v>
      </c>
      <c r="G2912" s="28" t="str">
        <f>HYPERLINK("http://api.nsgreg.nga.mil/geo-division/GENC/6/ed3/MA-FES","as:GENC:6:ed3:MA-FES")</f>
        <v>as:GENC:6:ed3:MA-FES</v>
      </c>
    </row>
    <row r="2913" spans="1:7" x14ac:dyDescent="0.2">
      <c r="A2913" s="85"/>
      <c r="B2913" s="25" t="s">
        <v>7430</v>
      </c>
      <c r="C2913" s="25" t="s">
        <v>7431</v>
      </c>
      <c r="D2913" s="37" t="s">
        <v>1719</v>
      </c>
      <c r="E2913" s="38" t="b">
        <v>0</v>
      </c>
      <c r="F2913" s="27" t="str">
        <f>HYPERLINK("http://nsgreg.nga.mil/genc/view?v=212445&amp;end_month=12&amp;end_day=31&amp;end_year=2014","Figuig")</f>
        <v>Figuig</v>
      </c>
      <c r="G2913" s="28" t="str">
        <f>HYPERLINK("http://api.nsgreg.nga.mil/geo-division/GENC/6/ed3/MA-FIG","as:GENC:6:ed3:MA-FIG")</f>
        <v>as:GENC:6:ed3:MA-FIG</v>
      </c>
    </row>
    <row r="2914" spans="1:7" x14ac:dyDescent="0.2">
      <c r="A2914" s="85"/>
      <c r="B2914" s="25" t="s">
        <v>7436</v>
      </c>
      <c r="C2914" s="25" t="s">
        <v>7437</v>
      </c>
      <c r="D2914" s="25" t="s">
        <v>2087</v>
      </c>
      <c r="E2914" s="26" t="b">
        <v>1</v>
      </c>
      <c r="F2914" s="27" t="str">
        <f>HYPERLINK("http://nsgreg.nga.mil/genc/view?v=212412&amp;end_month=12&amp;end_day=31&amp;end_year=2014","Gharb-Chrarda-Beni Hssen")</f>
        <v>Gharb-Chrarda-Beni Hssen</v>
      </c>
      <c r="G2914" s="28" t="str">
        <f>HYPERLINK("http://api.nsgreg.nga.mil/geo-division/GENC/6/ed3/MA-02","as:GENC:6:ed3:MA-02")</f>
        <v>as:GENC:6:ed3:MA-02</v>
      </c>
    </row>
    <row r="2915" spans="1:7" x14ac:dyDescent="0.2">
      <c r="A2915" s="85"/>
      <c r="B2915" s="25" t="s">
        <v>7438</v>
      </c>
      <c r="C2915" s="25" t="s">
        <v>7439</v>
      </c>
      <c r="D2915" s="25" t="s">
        <v>2087</v>
      </c>
      <c r="E2915" s="26" t="b">
        <v>1</v>
      </c>
      <c r="F2915" s="27" t="str">
        <f>HYPERLINK("http://nsgreg.nga.mil/genc/view?v=212418&amp;end_month=12&amp;end_day=31&amp;end_year=2014","Grand Casablanca")</f>
        <v>Grand Casablanca</v>
      </c>
      <c r="G2915" s="28" t="str">
        <f>HYPERLINK("http://api.nsgreg.nga.mil/geo-division/GENC/6/ed3/MA-08","as:GENC:6:ed3:MA-08")</f>
        <v>as:GENC:6:ed3:MA-08</v>
      </c>
    </row>
    <row r="2916" spans="1:7" x14ac:dyDescent="0.2">
      <c r="A2916" s="85"/>
      <c r="B2916" s="25" t="s">
        <v>7440</v>
      </c>
      <c r="C2916" s="25" t="s">
        <v>7441</v>
      </c>
      <c r="D2916" s="37" t="s">
        <v>1719</v>
      </c>
      <c r="E2916" s="38" t="b">
        <v>0</v>
      </c>
      <c r="F2916" s="27" t="str">
        <f>HYPERLINK("http://nsgreg.nga.mil/genc/view?v=212446&amp;end_month=12&amp;end_day=31&amp;end_year=2014","Guelmim")</f>
        <v>Guelmim</v>
      </c>
      <c r="G2916" s="28" t="str">
        <f>HYPERLINK("http://api.nsgreg.nga.mil/geo-division/GENC/6/ed3/MA-GUE","as:GENC:6:ed3:MA-GUE")</f>
        <v>as:GENC:6:ed3:MA-GUE</v>
      </c>
    </row>
    <row r="2917" spans="1:7" x14ac:dyDescent="0.2">
      <c r="A2917" s="85"/>
      <c r="B2917" s="25" t="s">
        <v>7442</v>
      </c>
      <c r="C2917" s="25" t="s">
        <v>13059</v>
      </c>
      <c r="D2917" s="25" t="s">
        <v>2087</v>
      </c>
      <c r="E2917" s="26" t="b">
        <v>1</v>
      </c>
      <c r="F2917" s="27" t="str">
        <f>HYPERLINK("http://nsgreg.nga.mil/genc/view?v=212424&amp;end_month=12&amp;end_day=31&amp;end_year=2014","Guelmim-Es Semara")</f>
        <v>Guelmim-Es Semara</v>
      </c>
      <c r="G2917" s="28" t="str">
        <f>HYPERLINK("http://api.nsgreg.nga.mil/geo-division/GENC/6/ed3/MA-14","as:GENC:6:ed3:MA-14")</f>
        <v>as:GENC:6:ed3:MA-14</v>
      </c>
    </row>
    <row r="2918" spans="1:7" x14ac:dyDescent="0.2">
      <c r="A2918" s="85"/>
      <c r="B2918" s="25" t="s">
        <v>7444</v>
      </c>
      <c r="C2918" s="25" t="s">
        <v>7445</v>
      </c>
      <c r="D2918" s="37" t="s">
        <v>1719</v>
      </c>
      <c r="E2918" s="38" t="b">
        <v>0</v>
      </c>
      <c r="F2918" s="27" t="str">
        <f>HYPERLINK("http://nsgreg.nga.mil/genc/view?v=212450&amp;end_month=12&amp;end_day=31&amp;end_year=2014","Ifrane")</f>
        <v>Ifrane</v>
      </c>
      <c r="G2918" s="28" t="str">
        <f>HYPERLINK("http://api.nsgreg.nga.mil/geo-division/GENC/6/ed3/MA-IFR","as:GENC:6:ed3:MA-IFR")</f>
        <v>as:GENC:6:ed3:MA-IFR</v>
      </c>
    </row>
    <row r="2919" spans="1:7" x14ac:dyDescent="0.2">
      <c r="A2919" s="85"/>
      <c r="B2919" s="25" t="s">
        <v>7446</v>
      </c>
      <c r="C2919" s="25" t="s">
        <v>7447</v>
      </c>
      <c r="D2919" s="37" t="s">
        <v>3158</v>
      </c>
      <c r="E2919" s="38" t="b">
        <v>0</v>
      </c>
      <c r="F2919" s="27" t="str">
        <f>HYPERLINK("http://nsgreg.nga.mil/genc/view?v=212451&amp;end_month=12&amp;end_day=31&amp;end_year=2014","Inezgane-Ait Melloul")</f>
        <v>Inezgane-Ait Melloul</v>
      </c>
      <c r="G2919" s="28" t="str">
        <f>HYPERLINK("http://api.nsgreg.nga.mil/geo-division/GENC/6/ed3/MA-INE","as:GENC:6:ed3:MA-INE")</f>
        <v>as:GENC:6:ed3:MA-INE</v>
      </c>
    </row>
    <row r="2920" spans="1:7" x14ac:dyDescent="0.2">
      <c r="A2920" s="85"/>
      <c r="B2920" s="25" t="s">
        <v>7448</v>
      </c>
      <c r="C2920" s="25" t="s">
        <v>7449</v>
      </c>
      <c r="D2920" s="37" t="s">
        <v>1719</v>
      </c>
      <c r="E2920" s="38" t="b">
        <v>0</v>
      </c>
      <c r="F2920" s="27" t="str">
        <f>HYPERLINK("http://nsgreg.nga.mil/genc/view?v=212453&amp;end_month=12&amp;end_day=31&amp;end_year=2014","Jrada")</f>
        <v>Jrada</v>
      </c>
      <c r="G2920" s="28" t="str">
        <f>HYPERLINK("http://api.nsgreg.nga.mil/geo-division/GENC/6/ed3/MA-JRA","as:GENC:6:ed3:MA-JRA")</f>
        <v>as:GENC:6:ed3:MA-JRA</v>
      </c>
    </row>
    <row r="2921" spans="1:7" x14ac:dyDescent="0.2">
      <c r="A2921" s="85"/>
      <c r="B2921" s="25" t="s">
        <v>7458</v>
      </c>
      <c r="C2921" s="25" t="s">
        <v>7459</v>
      </c>
      <c r="D2921" s="37" t="s">
        <v>1719</v>
      </c>
      <c r="E2921" s="38" t="b">
        <v>0</v>
      </c>
      <c r="F2921" s="27" t="str">
        <f>HYPERLINK("http://nsgreg.nga.mil/genc/view?v=212454&amp;end_month=12&amp;end_day=31&amp;end_year=2014","Kénitra")</f>
        <v>Kénitra</v>
      </c>
      <c r="G2921" s="28" t="str">
        <f>HYPERLINK("http://api.nsgreg.nga.mil/geo-division/GENC/6/ed3/MA-KEN","as:GENC:6:ed3:MA-KEN")</f>
        <v>as:GENC:6:ed3:MA-KEN</v>
      </c>
    </row>
    <row r="2922" spans="1:7" x14ac:dyDescent="0.2">
      <c r="A2922" s="85"/>
      <c r="B2922" s="25" t="s">
        <v>7452</v>
      </c>
      <c r="C2922" s="25" t="s">
        <v>7453</v>
      </c>
      <c r="D2922" s="37" t="s">
        <v>1719</v>
      </c>
      <c r="E2922" s="38" t="b">
        <v>0</v>
      </c>
      <c r="F2922" s="27" t="str">
        <f>HYPERLINK("http://nsgreg.nga.mil/genc/view?v=212456&amp;end_month=12&amp;end_day=31&amp;end_year=2014","Khemisset")</f>
        <v>Khemisset</v>
      </c>
      <c r="G2922" s="28" t="str">
        <f>HYPERLINK("http://api.nsgreg.nga.mil/geo-division/GENC/6/ed3/MA-KHE","as:GENC:6:ed3:MA-KHE")</f>
        <v>as:GENC:6:ed3:MA-KHE</v>
      </c>
    </row>
    <row r="2923" spans="1:7" x14ac:dyDescent="0.2">
      <c r="A2923" s="85"/>
      <c r="B2923" s="25" t="s">
        <v>7454</v>
      </c>
      <c r="C2923" s="25" t="s">
        <v>7455</v>
      </c>
      <c r="D2923" s="37" t="s">
        <v>1719</v>
      </c>
      <c r="E2923" s="38" t="b">
        <v>0</v>
      </c>
      <c r="F2923" s="27" t="str">
        <f>HYPERLINK("http://nsgreg.nga.mil/genc/view?v=212457&amp;end_month=12&amp;end_day=31&amp;end_year=2014","Khenifra")</f>
        <v>Khenifra</v>
      </c>
      <c r="G2923" s="28" t="str">
        <f>HYPERLINK("http://api.nsgreg.nga.mil/geo-division/GENC/6/ed3/MA-KHN","as:GENC:6:ed3:MA-KHN")</f>
        <v>as:GENC:6:ed3:MA-KHN</v>
      </c>
    </row>
    <row r="2924" spans="1:7" x14ac:dyDescent="0.2">
      <c r="A2924" s="85"/>
      <c r="B2924" s="25" t="s">
        <v>7456</v>
      </c>
      <c r="C2924" s="25" t="s">
        <v>7457</v>
      </c>
      <c r="D2924" s="37" t="s">
        <v>1719</v>
      </c>
      <c r="E2924" s="38" t="b">
        <v>0</v>
      </c>
      <c r="F2924" s="27" t="str">
        <f>HYPERLINK("http://nsgreg.nga.mil/genc/view?v=212458&amp;end_month=12&amp;end_day=31&amp;end_year=2014","Khouribga")</f>
        <v>Khouribga</v>
      </c>
      <c r="G2924" s="28" t="str">
        <f>HYPERLINK("http://api.nsgreg.nga.mil/geo-division/GENC/6/ed3/MA-KHO","as:GENC:6:ed3:MA-KHO")</f>
        <v>as:GENC:6:ed3:MA-KHO</v>
      </c>
    </row>
    <row r="2925" spans="1:7" x14ac:dyDescent="0.2">
      <c r="A2925" s="85"/>
      <c r="B2925" s="25" t="s">
        <v>7464</v>
      </c>
      <c r="C2925" s="25" t="s">
        <v>7465</v>
      </c>
      <c r="D2925" s="37" t="s">
        <v>1719</v>
      </c>
      <c r="E2925" s="38" t="b">
        <v>0</v>
      </c>
      <c r="F2925" s="27" t="str">
        <f>HYPERLINK("http://nsgreg.nga.mil/genc/view?v=212459&amp;end_month=12&amp;end_day=31&amp;end_year=2014","Laâyoune")</f>
        <v>Laâyoune</v>
      </c>
      <c r="G2925" s="28" t="str">
        <f>HYPERLINK("http://api.nsgreg.nga.mil/geo-division/GENC/6/ed3/MA-LAA","as:GENC:6:ed3:MA-LAA")</f>
        <v>as:GENC:6:ed3:MA-LAA</v>
      </c>
    </row>
    <row r="2926" spans="1:7" x14ac:dyDescent="0.2">
      <c r="A2926" s="85"/>
      <c r="B2926" s="25" t="s">
        <v>7466</v>
      </c>
      <c r="C2926" s="25" t="s">
        <v>13060</v>
      </c>
      <c r="D2926" s="25" t="s">
        <v>2087</v>
      </c>
      <c r="E2926" s="26" t="b">
        <v>1</v>
      </c>
      <c r="F2926" s="27" t="str">
        <f>HYPERLINK("http://nsgreg.nga.mil/genc/view?v=212425&amp;end_month=12&amp;end_day=31&amp;end_year=2014","Laâyoune-Boujdour-Sakia El Hamra")</f>
        <v>Laâyoune-Boujdour-Sakia El Hamra</v>
      </c>
      <c r="G2926" s="28" t="str">
        <f>HYPERLINK("http://api.nsgreg.nga.mil/geo-division/GENC/6/ed3/MA-15","as:GENC:6:ed3:MA-15")</f>
        <v>as:GENC:6:ed3:MA-15</v>
      </c>
    </row>
    <row r="2927" spans="1:7" x14ac:dyDescent="0.2">
      <c r="A2927" s="85"/>
      <c r="B2927" s="25" t="s">
        <v>7462</v>
      </c>
      <c r="C2927" s="25" t="s">
        <v>7463</v>
      </c>
      <c r="D2927" s="37" t="s">
        <v>1719</v>
      </c>
      <c r="E2927" s="38" t="b">
        <v>0</v>
      </c>
      <c r="F2927" s="27" t="str">
        <f>HYPERLINK("http://nsgreg.nga.mil/genc/view?v=212460&amp;end_month=12&amp;end_day=31&amp;end_year=2014","Larache")</f>
        <v>Larache</v>
      </c>
      <c r="G2927" s="28" t="str">
        <f>HYPERLINK("http://api.nsgreg.nga.mil/geo-division/GENC/6/ed3/MA-LAR","as:GENC:6:ed3:MA-LAR")</f>
        <v>as:GENC:6:ed3:MA-LAR</v>
      </c>
    </row>
    <row r="2928" spans="1:7" x14ac:dyDescent="0.2">
      <c r="A2928" s="85"/>
      <c r="B2928" s="25" t="s">
        <v>7468</v>
      </c>
      <c r="C2928" s="25" t="s">
        <v>7469</v>
      </c>
      <c r="D2928" s="37" t="s">
        <v>3158</v>
      </c>
      <c r="E2928" s="38" t="b">
        <v>0</v>
      </c>
      <c r="F2928" s="27" t="str">
        <f>HYPERLINK("http://nsgreg.nga.mil/genc/view?v=212463&amp;end_month=12&amp;end_day=31&amp;end_year=2014","Marrakech-Medina")</f>
        <v>Marrakech-Medina</v>
      </c>
      <c r="G2928" s="28" t="str">
        <f>HYPERLINK("http://api.nsgreg.nga.mil/geo-division/GENC/6/ed3/MA-MMD","as:GENC:6:ed3:MA-MMD")</f>
        <v>as:GENC:6:ed3:MA-MMD</v>
      </c>
    </row>
    <row r="2929" spans="1:7" x14ac:dyDescent="0.2">
      <c r="A2929" s="85"/>
      <c r="B2929" s="25" t="s">
        <v>7470</v>
      </c>
      <c r="C2929" s="25" t="s">
        <v>7471</v>
      </c>
      <c r="D2929" s="37" t="s">
        <v>3158</v>
      </c>
      <c r="E2929" s="38" t="b">
        <v>0</v>
      </c>
      <c r="F2929" s="27" t="str">
        <f>HYPERLINK("http://nsgreg.nga.mil/genc/view?v=212464&amp;end_month=12&amp;end_day=31&amp;end_year=2014","Marrakech-Menara")</f>
        <v>Marrakech-Menara</v>
      </c>
      <c r="G2929" s="28" t="str">
        <f>HYPERLINK("http://api.nsgreg.nga.mil/geo-division/GENC/6/ed3/MA-MMN","as:GENC:6:ed3:MA-MMN")</f>
        <v>as:GENC:6:ed3:MA-MMN</v>
      </c>
    </row>
    <row r="2930" spans="1:7" x14ac:dyDescent="0.2">
      <c r="A2930" s="85"/>
      <c r="B2930" s="25" t="s">
        <v>7472</v>
      </c>
      <c r="C2930" s="25" t="s">
        <v>7473</v>
      </c>
      <c r="D2930" s="25" t="s">
        <v>2087</v>
      </c>
      <c r="E2930" s="26" t="b">
        <v>1</v>
      </c>
      <c r="F2930" s="27" t="str">
        <f>HYPERLINK("http://nsgreg.nga.mil/genc/view?v=212421&amp;end_month=12&amp;end_day=31&amp;end_year=2014","Marrakech-Tensift-Al Haouz")</f>
        <v>Marrakech-Tensift-Al Haouz</v>
      </c>
      <c r="G2930" s="28" t="str">
        <f>HYPERLINK("http://api.nsgreg.nga.mil/geo-division/GENC/6/ed3/MA-11","as:GENC:6:ed3:MA-11")</f>
        <v>as:GENC:6:ed3:MA-11</v>
      </c>
    </row>
    <row r="2931" spans="1:7" x14ac:dyDescent="0.2">
      <c r="A2931" s="85"/>
      <c r="B2931" s="25" t="s">
        <v>7482</v>
      </c>
      <c r="C2931" s="25" t="s">
        <v>7483</v>
      </c>
      <c r="D2931" s="37" t="s">
        <v>1719</v>
      </c>
      <c r="E2931" s="38" t="b">
        <v>0</v>
      </c>
      <c r="F2931" s="27" t="str">
        <f>HYPERLINK("http://nsgreg.nga.mil/genc/view?v=212461&amp;end_month=12&amp;end_day=31&amp;end_year=2014","Médiouna")</f>
        <v>Médiouna</v>
      </c>
      <c r="G2931" s="28" t="str">
        <f>HYPERLINK("http://api.nsgreg.nga.mil/geo-division/GENC/6/ed3/MA-MED","as:GENC:6:ed3:MA-MED")</f>
        <v>as:GENC:6:ed3:MA-MED</v>
      </c>
    </row>
    <row r="2932" spans="1:7" x14ac:dyDescent="0.2">
      <c r="A2932" s="85"/>
      <c r="B2932" s="25" t="s">
        <v>7474</v>
      </c>
      <c r="C2932" s="25" t="s">
        <v>7475</v>
      </c>
      <c r="D2932" s="37" t="s">
        <v>3158</v>
      </c>
      <c r="E2932" s="38" t="b">
        <v>0</v>
      </c>
      <c r="F2932" s="27" t="str">
        <f>HYPERLINK("http://nsgreg.nga.mil/genc/view?v=212462&amp;end_month=12&amp;end_day=31&amp;end_year=2014","Meknès")</f>
        <v>Meknès</v>
      </c>
      <c r="G2932" s="28" t="str">
        <f>HYPERLINK("http://api.nsgreg.nga.mil/geo-division/GENC/6/ed3/MA-MEK","as:GENC:6:ed3:MA-MEK")</f>
        <v>as:GENC:6:ed3:MA-MEK</v>
      </c>
    </row>
    <row r="2933" spans="1:7" x14ac:dyDescent="0.2">
      <c r="A2933" s="85"/>
      <c r="B2933" s="25" t="s">
        <v>7476</v>
      </c>
      <c r="C2933" s="25" t="s">
        <v>7477</v>
      </c>
      <c r="D2933" s="25" t="s">
        <v>2087</v>
      </c>
      <c r="E2933" s="26" t="b">
        <v>1</v>
      </c>
      <c r="F2933" s="27" t="str">
        <f>HYPERLINK("http://nsgreg.nga.mil/genc/view?v=212416&amp;end_month=12&amp;end_day=31&amp;end_year=2014","Meknès-Tafilalet")</f>
        <v>Meknès-Tafilalet</v>
      </c>
      <c r="G2933" s="28" t="str">
        <f>HYPERLINK("http://api.nsgreg.nga.mil/geo-division/GENC/6/ed3/MA-06","as:GENC:6:ed3:MA-06")</f>
        <v>as:GENC:6:ed3:MA-06</v>
      </c>
    </row>
    <row r="2934" spans="1:7" x14ac:dyDescent="0.2">
      <c r="A2934" s="85"/>
      <c r="B2934" s="25" t="s">
        <v>7478</v>
      </c>
      <c r="C2934" s="25" t="s">
        <v>7479</v>
      </c>
      <c r="D2934" s="37" t="s">
        <v>3158</v>
      </c>
      <c r="E2934" s="38" t="b">
        <v>0</v>
      </c>
      <c r="F2934" s="27" t="str">
        <f>HYPERLINK("http://nsgreg.nga.mil/genc/view?v=212465&amp;end_month=12&amp;end_day=31&amp;end_year=2014","Mohammadia")</f>
        <v>Mohammadia</v>
      </c>
      <c r="G2934" s="28" t="str">
        <f>HYPERLINK("http://api.nsgreg.nga.mil/geo-division/GENC/6/ed3/MA-MOH","as:GENC:6:ed3:MA-MOH")</f>
        <v>as:GENC:6:ed3:MA-MOH</v>
      </c>
    </row>
    <row r="2935" spans="1:7" x14ac:dyDescent="0.2">
      <c r="A2935" s="85"/>
      <c r="B2935" s="25" t="s">
        <v>7480</v>
      </c>
      <c r="C2935" s="25" t="s">
        <v>7481</v>
      </c>
      <c r="D2935" s="37" t="s">
        <v>1719</v>
      </c>
      <c r="E2935" s="38" t="b">
        <v>0</v>
      </c>
      <c r="F2935" s="27" t="str">
        <f>HYPERLINK("http://nsgreg.nga.mil/genc/view?v=212466&amp;end_month=12&amp;end_day=31&amp;end_year=2014","Moulay Yacoub")</f>
        <v>Moulay Yacoub</v>
      </c>
      <c r="G2935" s="28" t="str">
        <f>HYPERLINK("http://api.nsgreg.nga.mil/geo-division/GENC/6/ed3/MA-MOU","as:GENC:6:ed3:MA-MOU")</f>
        <v>as:GENC:6:ed3:MA-MOU</v>
      </c>
    </row>
    <row r="2936" spans="1:7" x14ac:dyDescent="0.2">
      <c r="A2936" s="85"/>
      <c r="B2936" s="25" t="s">
        <v>7484</v>
      </c>
      <c r="C2936" s="25" t="s">
        <v>7485</v>
      </c>
      <c r="D2936" s="37" t="s">
        <v>1719</v>
      </c>
      <c r="E2936" s="38" t="b">
        <v>0</v>
      </c>
      <c r="F2936" s="27" t="str">
        <f>HYPERLINK("http://nsgreg.nga.mil/genc/view?v=212467&amp;end_month=12&amp;end_day=31&amp;end_year=2014","Nador")</f>
        <v>Nador</v>
      </c>
      <c r="G2936" s="28" t="str">
        <f>HYPERLINK("http://api.nsgreg.nga.mil/geo-division/GENC/6/ed3/MA-NAD","as:GENC:6:ed3:MA-NAD")</f>
        <v>as:GENC:6:ed3:MA-NAD</v>
      </c>
    </row>
    <row r="2937" spans="1:7" x14ac:dyDescent="0.2">
      <c r="A2937" s="85"/>
      <c r="B2937" s="25" t="s">
        <v>7486</v>
      </c>
      <c r="C2937" s="25" t="s">
        <v>7487</v>
      </c>
      <c r="D2937" s="37" t="s">
        <v>1719</v>
      </c>
      <c r="E2937" s="38" t="b">
        <v>0</v>
      </c>
      <c r="F2937" s="27" t="str">
        <f>HYPERLINK("http://nsgreg.nga.mil/genc/view?v=212468&amp;end_month=12&amp;end_day=31&amp;end_year=2014","Nouaceur")</f>
        <v>Nouaceur</v>
      </c>
      <c r="G2937" s="28" t="str">
        <f>HYPERLINK("http://api.nsgreg.nga.mil/geo-division/GENC/6/ed3/MA-NOU","as:GENC:6:ed3:MA-NOU")</f>
        <v>as:GENC:6:ed3:MA-NOU</v>
      </c>
    </row>
    <row r="2938" spans="1:7" x14ac:dyDescent="0.2">
      <c r="A2938" s="85"/>
      <c r="B2938" s="25" t="s">
        <v>7460</v>
      </c>
      <c r="C2938" s="25" t="s">
        <v>13061</v>
      </c>
      <c r="D2938" s="25" t="s">
        <v>2087</v>
      </c>
      <c r="E2938" s="26" t="b">
        <v>1</v>
      </c>
      <c r="F2938" s="27" t="str">
        <f>HYPERLINK("http://nsgreg.nga.mil/genc/view?v=212414&amp;end_month=12&amp;end_day=31&amp;end_year=2014","Oriental")</f>
        <v>Oriental</v>
      </c>
      <c r="G2938" s="28" t="str">
        <f>HYPERLINK("http://api.nsgreg.nga.mil/geo-division/GENC/6/ed3/MA-04","as:GENC:6:ed3:MA-04")</f>
        <v>as:GENC:6:ed3:MA-04</v>
      </c>
    </row>
    <row r="2939" spans="1:7" x14ac:dyDescent="0.2">
      <c r="A2939" s="85"/>
      <c r="B2939" s="25" t="s">
        <v>7488</v>
      </c>
      <c r="C2939" s="25" t="s">
        <v>7489</v>
      </c>
      <c r="D2939" s="37" t="s">
        <v>1719</v>
      </c>
      <c r="E2939" s="38" t="b">
        <v>0</v>
      </c>
      <c r="F2939" s="27" t="str">
        <f>HYPERLINK("http://nsgreg.nga.mil/genc/view?v=212469&amp;end_month=12&amp;end_day=31&amp;end_year=2014","Ouarzazate")</f>
        <v>Ouarzazate</v>
      </c>
      <c r="G2939" s="28" t="str">
        <f>HYPERLINK("http://api.nsgreg.nga.mil/geo-division/GENC/6/ed3/MA-OUA","as:GENC:6:ed3:MA-OUA")</f>
        <v>as:GENC:6:ed3:MA-OUA</v>
      </c>
    </row>
    <row r="2940" spans="1:7" x14ac:dyDescent="0.2">
      <c r="A2940" s="85"/>
      <c r="B2940" s="25" t="s">
        <v>7494</v>
      </c>
      <c r="C2940" s="25" t="s">
        <v>7495</v>
      </c>
      <c r="D2940" s="37" t="s">
        <v>3158</v>
      </c>
      <c r="E2940" s="38" t="b">
        <v>0</v>
      </c>
      <c r="F2940" s="27" t="str">
        <f>HYPERLINK("http://nsgreg.nga.mil/genc/view?v=212471&amp;end_month=12&amp;end_day=31&amp;end_year=2014","Oujda-Angad")</f>
        <v>Oujda-Angad</v>
      </c>
      <c r="G2940" s="28" t="str">
        <f>HYPERLINK("http://api.nsgreg.nga.mil/geo-division/GENC/6/ed3/MA-OUJ","as:GENC:6:ed3:MA-OUJ")</f>
        <v>as:GENC:6:ed3:MA-OUJ</v>
      </c>
    </row>
    <row r="2941" spans="1:7" x14ac:dyDescent="0.2">
      <c r="A2941" s="85"/>
      <c r="B2941" s="25" t="s">
        <v>7496</v>
      </c>
      <c r="C2941" s="25" t="s">
        <v>7497</v>
      </c>
      <c r="D2941" s="37" t="s">
        <v>3158</v>
      </c>
      <c r="E2941" s="38" t="b">
        <v>0</v>
      </c>
      <c r="F2941" s="27" t="str">
        <f>HYPERLINK("http://nsgreg.nga.mil/genc/view?v=212472&amp;end_month=12&amp;end_day=31&amp;end_year=2014","Rabat")</f>
        <v>Rabat</v>
      </c>
      <c r="G2941" s="28" t="str">
        <f>HYPERLINK("http://api.nsgreg.nga.mil/geo-division/GENC/6/ed3/MA-RAB","as:GENC:6:ed3:MA-RAB")</f>
        <v>as:GENC:6:ed3:MA-RAB</v>
      </c>
    </row>
    <row r="2942" spans="1:7" x14ac:dyDescent="0.2">
      <c r="A2942" s="85"/>
      <c r="B2942" s="25" t="s">
        <v>7498</v>
      </c>
      <c r="C2942" s="25" t="s">
        <v>13062</v>
      </c>
      <c r="D2942" s="25" t="s">
        <v>2087</v>
      </c>
      <c r="E2942" s="26" t="b">
        <v>1</v>
      </c>
      <c r="F2942" s="27" t="str">
        <f>HYPERLINK("http://nsgreg.nga.mil/genc/view?v=212417&amp;end_month=12&amp;end_day=31&amp;end_year=2014","Rabat-Salé-Zemmour-Zaër")</f>
        <v>Rabat-Salé-Zemmour-Zaër</v>
      </c>
      <c r="G2942" s="28" t="str">
        <f>HYPERLINK("http://api.nsgreg.nga.mil/geo-division/GENC/6/ed3/MA-07","as:GENC:6:ed3:MA-07")</f>
        <v>as:GENC:6:ed3:MA-07</v>
      </c>
    </row>
    <row r="2943" spans="1:7" x14ac:dyDescent="0.2">
      <c r="A2943" s="85"/>
      <c r="B2943" s="25" t="s">
        <v>7500</v>
      </c>
      <c r="C2943" s="25" t="s">
        <v>6954</v>
      </c>
      <c r="D2943" s="37" t="s">
        <v>1719</v>
      </c>
      <c r="E2943" s="38" t="b">
        <v>0</v>
      </c>
      <c r="F2943" s="27" t="str">
        <f>HYPERLINK("http://nsgreg.nga.mil/genc/view?v=212473&amp;end_month=12&amp;end_day=31&amp;end_year=2014","Safi")</f>
        <v>Safi</v>
      </c>
      <c r="G2943" s="28" t="str">
        <f>HYPERLINK("http://api.nsgreg.nga.mil/geo-division/GENC/6/ed3/MA-SAF","as:GENC:6:ed3:MA-SAF")</f>
        <v>as:GENC:6:ed3:MA-SAF</v>
      </c>
    </row>
    <row r="2944" spans="1:7" x14ac:dyDescent="0.2">
      <c r="A2944" s="85"/>
      <c r="B2944" s="25" t="s">
        <v>7501</v>
      </c>
      <c r="C2944" s="25" t="s">
        <v>7502</v>
      </c>
      <c r="D2944" s="37" t="s">
        <v>3158</v>
      </c>
      <c r="E2944" s="38" t="b">
        <v>0</v>
      </c>
      <c r="F2944" s="27" t="str">
        <f>HYPERLINK("http://nsgreg.nga.mil/genc/view?v=212474&amp;end_month=12&amp;end_day=31&amp;end_year=2014","Salé")</f>
        <v>Salé</v>
      </c>
      <c r="G2944" s="28" t="str">
        <f>HYPERLINK("http://api.nsgreg.nga.mil/geo-division/GENC/6/ed3/MA-SAL","as:GENC:6:ed3:MA-SAL")</f>
        <v>as:GENC:6:ed3:MA-SAL</v>
      </c>
    </row>
    <row r="2945" spans="1:7" x14ac:dyDescent="0.2">
      <c r="A2945" s="85"/>
      <c r="B2945" s="25" t="s">
        <v>7503</v>
      </c>
      <c r="C2945" s="25" t="s">
        <v>7504</v>
      </c>
      <c r="D2945" s="37" t="s">
        <v>1719</v>
      </c>
      <c r="E2945" s="38" t="b">
        <v>0</v>
      </c>
      <c r="F2945" s="27" t="str">
        <f>HYPERLINK("http://nsgreg.nga.mil/genc/view?v=212475&amp;end_month=12&amp;end_day=31&amp;end_year=2014","Sefrou")</f>
        <v>Sefrou</v>
      </c>
      <c r="G2945" s="28" t="str">
        <f>HYPERLINK("http://api.nsgreg.nga.mil/geo-division/GENC/6/ed3/MA-SEF","as:GENC:6:ed3:MA-SEF")</f>
        <v>as:GENC:6:ed3:MA-SEF</v>
      </c>
    </row>
    <row r="2946" spans="1:7" x14ac:dyDescent="0.2">
      <c r="A2946" s="85"/>
      <c r="B2946" s="25" t="s">
        <v>7505</v>
      </c>
      <c r="C2946" s="25" t="s">
        <v>7506</v>
      </c>
      <c r="D2946" s="37" t="s">
        <v>1719</v>
      </c>
      <c r="E2946" s="38" t="b">
        <v>0</v>
      </c>
      <c r="F2946" s="27" t="str">
        <f>HYPERLINK("http://nsgreg.nga.mil/genc/view?v=212476&amp;end_month=12&amp;end_day=31&amp;end_year=2014","Settat")</f>
        <v>Settat</v>
      </c>
      <c r="G2946" s="28" t="str">
        <f>HYPERLINK("http://api.nsgreg.nga.mil/geo-division/GENC/6/ed3/MA-SET","as:GENC:6:ed3:MA-SET")</f>
        <v>as:GENC:6:ed3:MA-SET</v>
      </c>
    </row>
    <row r="2947" spans="1:7" x14ac:dyDescent="0.2">
      <c r="A2947" s="85"/>
      <c r="B2947" s="25" t="s">
        <v>7507</v>
      </c>
      <c r="C2947" s="25" t="s">
        <v>7508</v>
      </c>
      <c r="D2947" s="37" t="s">
        <v>1719</v>
      </c>
      <c r="E2947" s="38" t="b">
        <v>0</v>
      </c>
      <c r="F2947" s="27" t="str">
        <f>HYPERLINK("http://nsgreg.nga.mil/genc/view?v=212477&amp;end_month=12&amp;end_day=31&amp;end_year=2014","Sidi Kacem")</f>
        <v>Sidi Kacem</v>
      </c>
      <c r="G2947" s="28" t="str">
        <f>HYPERLINK("http://api.nsgreg.nga.mil/geo-division/GENC/6/ed3/MA-SIK","as:GENC:6:ed3:MA-SIK")</f>
        <v>as:GENC:6:ed3:MA-SIK</v>
      </c>
    </row>
    <row r="2948" spans="1:7" x14ac:dyDescent="0.2">
      <c r="A2948" s="85"/>
      <c r="B2948" s="25" t="s">
        <v>7509</v>
      </c>
      <c r="C2948" s="25" t="s">
        <v>7510</v>
      </c>
      <c r="D2948" s="37" t="s">
        <v>3158</v>
      </c>
      <c r="E2948" s="38" t="b">
        <v>0</v>
      </c>
      <c r="F2948" s="27" t="str">
        <f>HYPERLINK("http://nsgreg.nga.mil/genc/view?v=212479&amp;end_month=12&amp;end_day=31&amp;end_year=2014","Sidi Youssef Ben Ali")</f>
        <v>Sidi Youssef Ben Ali</v>
      </c>
      <c r="G2948" s="28" t="str">
        <f>HYPERLINK("http://api.nsgreg.nga.mil/geo-division/GENC/6/ed3/MA-SYB","as:GENC:6:ed3:MA-SYB")</f>
        <v>as:GENC:6:ed3:MA-SYB</v>
      </c>
    </row>
    <row r="2949" spans="1:7" x14ac:dyDescent="0.2">
      <c r="A2949" s="85"/>
      <c r="B2949" s="25" t="s">
        <v>7511</v>
      </c>
      <c r="C2949" s="25" t="s">
        <v>13063</v>
      </c>
      <c r="D2949" s="37" t="s">
        <v>3158</v>
      </c>
      <c r="E2949" s="38" t="b">
        <v>0</v>
      </c>
      <c r="F2949" s="27" t="str">
        <f>HYPERLINK("http://nsgreg.nga.mil/genc/view?v=212478&amp;end_month=12&amp;end_day=31&amp;end_year=2014","Skhirat-Temara")</f>
        <v>Skhirat-Temara</v>
      </c>
      <c r="G2949" s="28" t="str">
        <f>HYPERLINK("http://api.nsgreg.nga.mil/geo-division/GENC/6/ed3/MA-SKH","as:GENC:6:ed3:MA-SKH")</f>
        <v>as:GENC:6:ed3:MA-SKH</v>
      </c>
    </row>
    <row r="2950" spans="1:7" x14ac:dyDescent="0.2">
      <c r="A2950" s="85"/>
      <c r="B2950" s="25" t="s">
        <v>7513</v>
      </c>
      <c r="C2950" s="25" t="s">
        <v>13064</v>
      </c>
      <c r="D2950" s="25" t="s">
        <v>2087</v>
      </c>
      <c r="E2950" s="26" t="b">
        <v>1</v>
      </c>
      <c r="F2950" s="27" t="str">
        <f>HYPERLINK("http://nsgreg.nga.mil/genc/view?v=212423&amp;end_month=12&amp;end_day=31&amp;end_year=2014","Souss-Massa-Drâa")</f>
        <v>Souss-Massa-Drâa</v>
      </c>
      <c r="G2950" s="28" t="str">
        <f>HYPERLINK("http://api.nsgreg.nga.mil/geo-division/GENC/6/ed3/MA-13","as:GENC:6:ed3:MA-13")</f>
        <v>as:GENC:6:ed3:MA-13</v>
      </c>
    </row>
    <row r="2951" spans="1:7" x14ac:dyDescent="0.2">
      <c r="A2951" s="85"/>
      <c r="B2951" s="25" t="s">
        <v>7515</v>
      </c>
      <c r="C2951" s="25" t="s">
        <v>7516</v>
      </c>
      <c r="D2951" s="25" t="s">
        <v>2087</v>
      </c>
      <c r="E2951" s="26" t="b">
        <v>1</v>
      </c>
      <c r="F2951" s="27" t="str">
        <f>HYPERLINK("http://nsgreg.nga.mil/genc/view?v=212422&amp;end_month=12&amp;end_day=31&amp;end_year=2014","Tadla-Azilal")</f>
        <v>Tadla-Azilal</v>
      </c>
      <c r="G2951" s="28" t="str">
        <f>HYPERLINK("http://api.nsgreg.nga.mil/geo-division/GENC/6/ed3/MA-12","as:GENC:6:ed3:MA-12")</f>
        <v>as:GENC:6:ed3:MA-12</v>
      </c>
    </row>
    <row r="2952" spans="1:7" x14ac:dyDescent="0.2">
      <c r="A2952" s="85"/>
      <c r="B2952" s="25" t="s">
        <v>7519</v>
      </c>
      <c r="C2952" s="25" t="s">
        <v>13065</v>
      </c>
      <c r="D2952" s="37" t="s">
        <v>3158</v>
      </c>
      <c r="E2952" s="38" t="b">
        <v>0</v>
      </c>
      <c r="F2952" s="27" t="str">
        <f>HYPERLINK("http://nsgreg.nga.mil/genc/view?v=212487&amp;end_month=12&amp;end_day=31&amp;end_year=2014","Tanger-Asilah")</f>
        <v>Tanger-Asilah</v>
      </c>
      <c r="G2952" s="28" t="str">
        <f>HYPERLINK("http://api.nsgreg.nga.mil/geo-division/GENC/6/ed3/MA-TNG","as:GENC:6:ed3:MA-TNG")</f>
        <v>as:GENC:6:ed3:MA-TNG</v>
      </c>
    </row>
    <row r="2953" spans="1:7" x14ac:dyDescent="0.2">
      <c r="A2953" s="85"/>
      <c r="B2953" s="25" t="s">
        <v>7521</v>
      </c>
      <c r="C2953" s="25" t="s">
        <v>7522</v>
      </c>
      <c r="D2953" s="25" t="s">
        <v>2087</v>
      </c>
      <c r="E2953" s="26" t="b">
        <v>1</v>
      </c>
      <c r="F2953" s="27" t="str">
        <f>HYPERLINK("http://nsgreg.nga.mil/genc/view?v=212411&amp;end_month=12&amp;end_day=31&amp;end_year=2014","Tanger-Tétouan")</f>
        <v>Tanger-Tétouan</v>
      </c>
      <c r="G2953" s="28" t="str">
        <f>HYPERLINK("http://api.nsgreg.nga.mil/geo-division/GENC/6/ed3/MA-01","as:GENC:6:ed3:MA-01")</f>
        <v>as:GENC:6:ed3:MA-01</v>
      </c>
    </row>
    <row r="2954" spans="1:7" x14ac:dyDescent="0.2">
      <c r="A2954" s="85"/>
      <c r="B2954" s="25" t="s">
        <v>7517</v>
      </c>
      <c r="C2954" s="25" t="s">
        <v>7518</v>
      </c>
      <c r="D2954" s="37" t="s">
        <v>1719</v>
      </c>
      <c r="E2954" s="38" t="b">
        <v>0</v>
      </c>
      <c r="F2954" s="27" t="str">
        <f>HYPERLINK("http://nsgreg.nga.mil/genc/view?v=212488&amp;end_month=12&amp;end_day=31&amp;end_year=2014","Tan-Tan")</f>
        <v>Tan-Tan</v>
      </c>
      <c r="G2954" s="28" t="str">
        <f>HYPERLINK("http://api.nsgreg.nga.mil/geo-division/GENC/6/ed3/MA-TNT","as:GENC:6:ed3:MA-TNT")</f>
        <v>as:GENC:6:ed3:MA-TNT</v>
      </c>
    </row>
    <row r="2955" spans="1:7" x14ac:dyDescent="0.2">
      <c r="A2955" s="85"/>
      <c r="B2955" s="25" t="s">
        <v>7523</v>
      </c>
      <c r="C2955" s="25" t="s">
        <v>7524</v>
      </c>
      <c r="D2955" s="37" t="s">
        <v>1719</v>
      </c>
      <c r="E2955" s="38" t="b">
        <v>0</v>
      </c>
      <c r="F2955" s="27" t="str">
        <f>HYPERLINK("http://nsgreg.nga.mil/genc/view?v=212481&amp;end_month=12&amp;end_day=31&amp;end_year=2014","Taounate")</f>
        <v>Taounate</v>
      </c>
      <c r="G2955" s="28" t="str">
        <f>HYPERLINK("http://api.nsgreg.nga.mil/geo-division/GENC/6/ed3/MA-TAO","as:GENC:6:ed3:MA-TAO")</f>
        <v>as:GENC:6:ed3:MA-TAO</v>
      </c>
    </row>
    <row r="2956" spans="1:7" x14ac:dyDescent="0.2">
      <c r="A2956" s="85"/>
      <c r="B2956" s="25" t="s">
        <v>7525</v>
      </c>
      <c r="C2956" s="25" t="s">
        <v>7526</v>
      </c>
      <c r="D2956" s="37" t="s">
        <v>1719</v>
      </c>
      <c r="E2956" s="38" t="b">
        <v>0</v>
      </c>
      <c r="F2956" s="27" t="str">
        <f>HYPERLINK("http://nsgreg.nga.mil/genc/view?v=212480&amp;end_month=12&amp;end_day=31&amp;end_year=2014","Taourirt")</f>
        <v>Taourirt</v>
      </c>
      <c r="G2956" s="28" t="str">
        <f>HYPERLINK("http://api.nsgreg.nga.mil/geo-division/GENC/6/ed3/MA-TAI","as:GENC:6:ed3:MA-TAI")</f>
        <v>as:GENC:6:ed3:MA-TAI</v>
      </c>
    </row>
    <row r="2957" spans="1:7" x14ac:dyDescent="0.2">
      <c r="A2957" s="85"/>
      <c r="B2957" s="25" t="s">
        <v>7527</v>
      </c>
      <c r="C2957" s="25" t="s">
        <v>13066</v>
      </c>
      <c r="D2957" s="37" t="s">
        <v>1719</v>
      </c>
      <c r="E2957" s="38" t="b">
        <v>0</v>
      </c>
      <c r="F2957" s="27" t="str">
        <f>HYPERLINK("http://nsgreg.nga.mil/genc/view?v=212482&amp;end_month=12&amp;end_day=31&amp;end_year=2014","Taroudannt")</f>
        <v>Taroudannt</v>
      </c>
      <c r="G2957" s="28" t="str">
        <f>HYPERLINK("http://api.nsgreg.nga.mil/geo-division/GENC/6/ed3/MA-TAR","as:GENC:6:ed3:MA-TAR")</f>
        <v>as:GENC:6:ed3:MA-TAR</v>
      </c>
    </row>
    <row r="2958" spans="1:7" x14ac:dyDescent="0.2">
      <c r="A2958" s="85"/>
      <c r="B2958" s="25" t="s">
        <v>7529</v>
      </c>
      <c r="C2958" s="25" t="s">
        <v>7530</v>
      </c>
      <c r="D2958" s="37" t="s">
        <v>1719</v>
      </c>
      <c r="E2958" s="38" t="b">
        <v>0</v>
      </c>
      <c r="F2958" s="27" t="str">
        <f>HYPERLINK("http://nsgreg.nga.mil/genc/view?v=212483&amp;end_month=12&amp;end_day=31&amp;end_year=2014","Tata")</f>
        <v>Tata</v>
      </c>
      <c r="G2958" s="28" t="str">
        <f>HYPERLINK("http://api.nsgreg.nga.mil/geo-division/GENC/6/ed3/MA-TAT","as:GENC:6:ed3:MA-TAT")</f>
        <v>as:GENC:6:ed3:MA-TAT</v>
      </c>
    </row>
    <row r="2959" spans="1:7" x14ac:dyDescent="0.2">
      <c r="A2959" s="85"/>
      <c r="B2959" s="25" t="s">
        <v>7531</v>
      </c>
      <c r="C2959" s="25" t="s">
        <v>7532</v>
      </c>
      <c r="D2959" s="37" t="s">
        <v>1719</v>
      </c>
      <c r="E2959" s="38" t="b">
        <v>0</v>
      </c>
      <c r="F2959" s="27" t="str">
        <f>HYPERLINK("http://nsgreg.nga.mil/genc/view?v=212484&amp;end_month=12&amp;end_day=31&amp;end_year=2014","Taza")</f>
        <v>Taza</v>
      </c>
      <c r="G2959" s="28" t="str">
        <f>HYPERLINK("http://api.nsgreg.nga.mil/geo-division/GENC/6/ed3/MA-TAZ","as:GENC:6:ed3:MA-TAZ")</f>
        <v>as:GENC:6:ed3:MA-TAZ</v>
      </c>
    </row>
    <row r="2960" spans="1:7" x14ac:dyDescent="0.2">
      <c r="A2960" s="85"/>
      <c r="B2960" s="25" t="s">
        <v>7533</v>
      </c>
      <c r="C2960" s="25" t="s">
        <v>7534</v>
      </c>
      <c r="D2960" s="25" t="s">
        <v>2087</v>
      </c>
      <c r="E2960" s="26" t="b">
        <v>1</v>
      </c>
      <c r="F2960" s="27" t="str">
        <f>HYPERLINK("http://nsgreg.nga.mil/genc/view?v=212413&amp;end_month=12&amp;end_day=31&amp;end_year=2014","Taza-Al Hoceima-Taounate")</f>
        <v>Taza-Al Hoceima-Taounate</v>
      </c>
      <c r="G2960" s="28" t="str">
        <f>HYPERLINK("http://api.nsgreg.nga.mil/geo-division/GENC/6/ed3/MA-03","as:GENC:6:ed3:MA-03")</f>
        <v>as:GENC:6:ed3:MA-03</v>
      </c>
    </row>
    <row r="2961" spans="1:7" x14ac:dyDescent="0.2">
      <c r="A2961" s="85"/>
      <c r="B2961" s="25" t="s">
        <v>7537</v>
      </c>
      <c r="C2961" s="25" t="s">
        <v>7538</v>
      </c>
      <c r="D2961" s="37" t="s">
        <v>1719</v>
      </c>
      <c r="E2961" s="38" t="b">
        <v>0</v>
      </c>
      <c r="F2961" s="27" t="str">
        <f>HYPERLINK("http://nsgreg.nga.mil/genc/view?v=212485&amp;end_month=12&amp;end_day=31&amp;end_year=2014","Tétouan")</f>
        <v>Tétouan</v>
      </c>
      <c r="G2961" s="28" t="str">
        <f>HYPERLINK("http://api.nsgreg.nga.mil/geo-division/GENC/6/ed3/MA-TET","as:GENC:6:ed3:MA-TET")</f>
        <v>as:GENC:6:ed3:MA-TET</v>
      </c>
    </row>
    <row r="2962" spans="1:7" x14ac:dyDescent="0.2">
      <c r="A2962" s="85"/>
      <c r="B2962" s="25" t="s">
        <v>7535</v>
      </c>
      <c r="C2962" s="25" t="s">
        <v>7536</v>
      </c>
      <c r="D2962" s="37" t="s">
        <v>1719</v>
      </c>
      <c r="E2962" s="38" t="b">
        <v>0</v>
      </c>
      <c r="F2962" s="27" t="str">
        <f>HYPERLINK("http://nsgreg.nga.mil/genc/view?v=212486&amp;end_month=12&amp;end_day=31&amp;end_year=2014","Tiznit")</f>
        <v>Tiznit</v>
      </c>
      <c r="G2962" s="28" t="str">
        <f>HYPERLINK("http://api.nsgreg.nga.mil/geo-division/GENC/6/ed3/MA-TIZ","as:GENC:6:ed3:MA-TIZ")</f>
        <v>as:GENC:6:ed3:MA-TIZ</v>
      </c>
    </row>
    <row r="2963" spans="1:7" x14ac:dyDescent="0.2">
      <c r="A2963" s="86"/>
      <c r="B2963" s="29" t="s">
        <v>7539</v>
      </c>
      <c r="C2963" s="29" t="s">
        <v>7540</v>
      </c>
      <c r="D2963" s="39" t="s">
        <v>1719</v>
      </c>
      <c r="E2963" s="40" t="b">
        <v>0</v>
      </c>
      <c r="F2963" s="31" t="str">
        <f>HYPERLINK("http://nsgreg.nga.mil/genc/view?v=212489&amp;end_month=12&amp;end_day=31&amp;end_year=2014","Zagora")</f>
        <v>Zagora</v>
      </c>
      <c r="G2963" s="32" t="str">
        <f>HYPERLINK("http://api.nsgreg.nga.mil/geo-division/GENC/6/ed3/MA-ZAG","as:GENC:6:ed3:MA-ZAG")</f>
        <v>as:GENC:6:ed3:MA-ZAG</v>
      </c>
    </row>
    <row r="2964" spans="1:7" x14ac:dyDescent="0.2">
      <c r="A2964" s="84" t="str">
        <f>HYPERLINK("[#]Codes_for_GE_Names!A180:I180","MOZAMBIQUE")</f>
        <v>MOZAMBIQUE</v>
      </c>
      <c r="B2964" s="33" t="s">
        <v>7541</v>
      </c>
      <c r="C2964" s="33" t="s">
        <v>7542</v>
      </c>
      <c r="D2964" s="33" t="s">
        <v>1719</v>
      </c>
      <c r="E2964" s="34" t="b">
        <v>1</v>
      </c>
      <c r="F2964" s="35" t="str">
        <f>HYPERLINK("http://nsgreg.nga.mil/genc/view?v=121132&amp;gencs=T&amp;end_month=12&amp;end_day=31&amp;end_year=2014","Cabo Delgado")</f>
        <v>Cabo Delgado</v>
      </c>
      <c r="G2964" s="36" t="str">
        <f>HYPERLINK("http://api.nsgreg.nga.mil/geo-division/GENC/6/ed3/MZ-P","as:GENC:6:ed3:MZ-P")</f>
        <v>as:GENC:6:ed3:MZ-P</v>
      </c>
    </row>
    <row r="2965" spans="1:7" x14ac:dyDescent="0.2">
      <c r="A2965" s="85"/>
      <c r="B2965" s="25" t="s">
        <v>7543</v>
      </c>
      <c r="C2965" s="25" t="s">
        <v>7544</v>
      </c>
      <c r="D2965" s="25" t="s">
        <v>1719</v>
      </c>
      <c r="E2965" s="26" t="b">
        <v>1</v>
      </c>
      <c r="F2965" s="27" t="str">
        <f>HYPERLINK("http://nsgreg.nga.mil/genc/view?v=121127&amp;gencs=T&amp;end_month=12&amp;end_day=31&amp;end_year=2014","Gaza")</f>
        <v>Gaza</v>
      </c>
      <c r="G2965" s="28" t="str">
        <f>HYPERLINK("http://api.nsgreg.nga.mil/geo-division/GENC/6/ed3/MZ-G","as:GENC:6:ed3:MZ-G")</f>
        <v>as:GENC:6:ed3:MZ-G</v>
      </c>
    </row>
    <row r="2966" spans="1:7" x14ac:dyDescent="0.2">
      <c r="A2966" s="85"/>
      <c r="B2966" s="25" t="s">
        <v>7545</v>
      </c>
      <c r="C2966" s="25" t="s">
        <v>7546</v>
      </c>
      <c r="D2966" s="25" t="s">
        <v>1719</v>
      </c>
      <c r="E2966" s="26" t="b">
        <v>1</v>
      </c>
      <c r="F2966" s="27" t="str">
        <f>HYPERLINK("http://nsgreg.nga.mil/genc/view?v=121128&amp;gencs=T&amp;end_month=12&amp;end_day=31&amp;end_year=2014","Inhambane")</f>
        <v>Inhambane</v>
      </c>
      <c r="G2966" s="28" t="str">
        <f>HYPERLINK("http://api.nsgreg.nga.mil/geo-division/GENC/6/ed3/MZ-I","as:GENC:6:ed3:MZ-I")</f>
        <v>as:GENC:6:ed3:MZ-I</v>
      </c>
    </row>
    <row r="2967" spans="1:7" x14ac:dyDescent="0.2">
      <c r="A2967" s="85"/>
      <c r="B2967" s="25" t="s">
        <v>7547</v>
      </c>
      <c r="C2967" s="25" t="s">
        <v>7548</v>
      </c>
      <c r="D2967" s="25" t="s">
        <v>1719</v>
      </c>
      <c r="E2967" s="26" t="b">
        <v>1</v>
      </c>
      <c r="F2967" s="27" t="str">
        <f>HYPERLINK("http://nsgreg.nga.mil/genc/view?v=121126&amp;gencs=T&amp;end_month=12&amp;end_day=31&amp;end_year=2014","Manica")</f>
        <v>Manica</v>
      </c>
      <c r="G2967" s="28" t="str">
        <f>HYPERLINK("http://api.nsgreg.nga.mil/geo-division/GENC/6/ed3/MZ-B","as:GENC:6:ed3:MZ-B")</f>
        <v>as:GENC:6:ed3:MZ-B</v>
      </c>
    </row>
    <row r="2968" spans="1:7" x14ac:dyDescent="0.2">
      <c r="A2968" s="85"/>
      <c r="B2968" s="25" t="s">
        <v>7551</v>
      </c>
      <c r="C2968" s="25" t="s">
        <v>7550</v>
      </c>
      <c r="D2968" s="25" t="s">
        <v>2046</v>
      </c>
      <c r="E2968" s="26" t="b">
        <v>1</v>
      </c>
      <c r="F2968" s="27" t="str">
        <f>HYPERLINK("http://nsgreg.nga.mil/genc/view?v=121130&amp;gencs=T&amp;end_month=12&amp;end_day=31&amp;end_year=2014","Maputo")</f>
        <v>Maputo</v>
      </c>
      <c r="G2968" s="28" t="str">
        <f>HYPERLINK("http://api.nsgreg.nga.mil/geo-division/GENC/6/ed3/MZ-MPM","as:GENC:6:ed3:MZ-MPM")</f>
        <v>as:GENC:6:ed3:MZ-MPM</v>
      </c>
    </row>
    <row r="2969" spans="1:7" x14ac:dyDescent="0.2">
      <c r="A2969" s="85"/>
      <c r="B2969" s="25" t="s">
        <v>7549</v>
      </c>
      <c r="C2969" s="25" t="s">
        <v>7550</v>
      </c>
      <c r="D2969" s="25" t="s">
        <v>1719</v>
      </c>
      <c r="E2969" s="26" t="b">
        <v>1</v>
      </c>
      <c r="F2969" s="27" t="str">
        <f>HYPERLINK("http://nsgreg.nga.mil/genc/view?v=121129&amp;gencs=T&amp;end_month=12&amp;end_day=31&amp;end_year=2014","Maputo")</f>
        <v>Maputo</v>
      </c>
      <c r="G2969" s="28" t="str">
        <f>HYPERLINK("http://api.nsgreg.nga.mil/geo-division/GENC/6/ed3/MZ-L","as:GENC:6:ed3:MZ-L")</f>
        <v>as:GENC:6:ed3:MZ-L</v>
      </c>
    </row>
    <row r="2970" spans="1:7" x14ac:dyDescent="0.2">
      <c r="A2970" s="85"/>
      <c r="B2970" s="25" t="s">
        <v>7552</v>
      </c>
      <c r="C2970" s="25" t="s">
        <v>7553</v>
      </c>
      <c r="D2970" s="25" t="s">
        <v>1719</v>
      </c>
      <c r="E2970" s="26" t="b">
        <v>1</v>
      </c>
      <c r="F2970" s="27" t="str">
        <f>HYPERLINK("http://nsgreg.nga.mil/genc/view?v=121131&amp;gencs=T&amp;end_month=12&amp;end_day=31&amp;end_year=2014","Nampula")</f>
        <v>Nampula</v>
      </c>
      <c r="G2970" s="28" t="str">
        <f>HYPERLINK("http://api.nsgreg.nga.mil/geo-division/GENC/6/ed3/MZ-N","as:GENC:6:ed3:MZ-N")</f>
        <v>as:GENC:6:ed3:MZ-N</v>
      </c>
    </row>
    <row r="2971" spans="1:7" x14ac:dyDescent="0.2">
      <c r="A2971" s="85"/>
      <c r="B2971" s="25" t="s">
        <v>7554</v>
      </c>
      <c r="C2971" s="25" t="s">
        <v>7555</v>
      </c>
      <c r="D2971" s="25" t="s">
        <v>1719</v>
      </c>
      <c r="E2971" s="26" t="b">
        <v>1</v>
      </c>
      <c r="F2971" s="27" t="str">
        <f>HYPERLINK("http://nsgreg.nga.mil/genc/view?v=121125&amp;gencs=T&amp;end_month=12&amp;end_day=31&amp;end_year=2014","Niassa")</f>
        <v>Niassa</v>
      </c>
      <c r="G2971" s="28" t="str">
        <f>HYPERLINK("http://api.nsgreg.nga.mil/geo-division/GENC/6/ed3/MZ-A","as:GENC:6:ed3:MZ-A")</f>
        <v>as:GENC:6:ed3:MZ-A</v>
      </c>
    </row>
    <row r="2972" spans="1:7" x14ac:dyDescent="0.2">
      <c r="A2972" s="85"/>
      <c r="B2972" s="25" t="s">
        <v>7556</v>
      </c>
      <c r="C2972" s="25" t="s">
        <v>7557</v>
      </c>
      <c r="D2972" s="25" t="s">
        <v>1719</v>
      </c>
      <c r="E2972" s="26" t="b">
        <v>1</v>
      </c>
      <c r="F2972" s="27" t="str">
        <f>HYPERLINK("http://nsgreg.nga.mil/genc/view?v=121134&amp;gencs=T&amp;end_month=12&amp;end_day=31&amp;end_year=2014","Sofala")</f>
        <v>Sofala</v>
      </c>
      <c r="G2972" s="28" t="str">
        <f>HYPERLINK("http://api.nsgreg.nga.mil/geo-division/GENC/6/ed3/MZ-S","as:GENC:6:ed3:MZ-S")</f>
        <v>as:GENC:6:ed3:MZ-S</v>
      </c>
    </row>
    <row r="2973" spans="1:7" x14ac:dyDescent="0.2">
      <c r="A2973" s="85"/>
      <c r="B2973" s="25" t="s">
        <v>7558</v>
      </c>
      <c r="C2973" s="25" t="s">
        <v>7559</v>
      </c>
      <c r="D2973" s="25" t="s">
        <v>1719</v>
      </c>
      <c r="E2973" s="26" t="b">
        <v>1</v>
      </c>
      <c r="F2973" s="27" t="str">
        <f>HYPERLINK("http://nsgreg.nga.mil/genc/view?v=121135&amp;gencs=T&amp;end_month=12&amp;end_day=31&amp;end_year=2014","Tete")</f>
        <v>Tete</v>
      </c>
      <c r="G2973" s="28" t="str">
        <f>HYPERLINK("http://api.nsgreg.nga.mil/geo-division/GENC/6/ed3/MZ-T","as:GENC:6:ed3:MZ-T")</f>
        <v>as:GENC:6:ed3:MZ-T</v>
      </c>
    </row>
    <row r="2974" spans="1:7" x14ac:dyDescent="0.2">
      <c r="A2974" s="86"/>
      <c r="B2974" s="29" t="s">
        <v>7560</v>
      </c>
      <c r="C2974" s="29" t="s">
        <v>7561</v>
      </c>
      <c r="D2974" s="29" t="s">
        <v>1719</v>
      </c>
      <c r="E2974" s="30" t="b">
        <v>1</v>
      </c>
      <c r="F2974" s="31" t="str">
        <f>HYPERLINK("http://nsgreg.nga.mil/genc/view?v=121133&amp;gencs=T&amp;end_month=12&amp;end_day=31&amp;end_year=2014","Zambézia")</f>
        <v>Zambézia</v>
      </c>
      <c r="G2974" s="32" t="str">
        <f>HYPERLINK("http://api.nsgreg.nga.mil/geo-division/GENC/6/ed3/MZ-Q","as:GENC:6:ed3:MZ-Q")</f>
        <v>as:GENC:6:ed3:MZ-Q</v>
      </c>
    </row>
    <row r="2975" spans="1:7" x14ac:dyDescent="0.2">
      <c r="A2975" s="84" t="str">
        <f>HYPERLINK("[#]Codes_for_GE_Names!A181:I181","NAMIBIA")</f>
        <v>NAMIBIA</v>
      </c>
      <c r="B2975" s="33" t="s">
        <v>7592</v>
      </c>
      <c r="C2975" s="33" t="s">
        <v>7593</v>
      </c>
      <c r="D2975" s="33" t="s">
        <v>2087</v>
      </c>
      <c r="E2975" s="34" t="b">
        <v>1</v>
      </c>
      <c r="F2975" s="35" t="str">
        <f>HYPERLINK("http://nsgreg.nga.mil/genc/view?v=121137&amp;gencs=T&amp;end_month=12&amp;end_day=31&amp;end_year=2014","Erongo")</f>
        <v>Erongo</v>
      </c>
      <c r="G2975" s="36" t="str">
        <f>HYPERLINK("http://api.nsgreg.nga.mil/geo-division/GENC/6/ed3/NA-ER","as:GENC:6:ed3:NA-ER")</f>
        <v>as:GENC:6:ed3:NA-ER</v>
      </c>
    </row>
    <row r="2976" spans="1:7" x14ac:dyDescent="0.2">
      <c r="A2976" s="85"/>
      <c r="B2976" s="25" t="s">
        <v>7594</v>
      </c>
      <c r="C2976" s="25" t="s">
        <v>7595</v>
      </c>
      <c r="D2976" s="25" t="s">
        <v>2087</v>
      </c>
      <c r="E2976" s="26" t="b">
        <v>1</v>
      </c>
      <c r="F2976" s="27" t="str">
        <f>HYPERLINK("http://nsgreg.nga.mil/genc/view?v=121138&amp;gencs=T&amp;end_month=12&amp;end_day=31&amp;end_year=2014","Hardap")</f>
        <v>Hardap</v>
      </c>
      <c r="G2976" s="28" t="str">
        <f>HYPERLINK("http://api.nsgreg.nga.mil/geo-division/GENC/6/ed3/NA-HA","as:GENC:6:ed3:NA-HA")</f>
        <v>as:GENC:6:ed3:NA-HA</v>
      </c>
    </row>
    <row r="2977" spans="1:7" x14ac:dyDescent="0.2">
      <c r="A2977" s="85"/>
      <c r="B2977" s="25" t="s">
        <v>7596</v>
      </c>
      <c r="C2977" s="25" t="s">
        <v>13067</v>
      </c>
      <c r="D2977" s="25" t="s">
        <v>2087</v>
      </c>
      <c r="E2977" s="26" t="b">
        <v>1</v>
      </c>
      <c r="F2977" s="27" t="str">
        <f>HYPERLINK("http://nsgreg.nga.mil/genc/view?v=212755&amp;end_month=12&amp;end_day=31&amp;end_year=2014","//Karas")</f>
        <v>//Karas</v>
      </c>
      <c r="G2977" s="28" t="str">
        <f>HYPERLINK("http://api.nsgreg.nga.mil/geo-division/GENC/6/ed3/NA-KA","as:GENC:6:ed3:NA-KA")</f>
        <v>as:GENC:6:ed3:NA-KA</v>
      </c>
    </row>
    <row r="2978" spans="1:7" x14ac:dyDescent="0.2">
      <c r="A2978" s="85"/>
      <c r="B2978" s="25" t="s">
        <v>13068</v>
      </c>
      <c r="C2978" s="25" t="s">
        <v>13069</v>
      </c>
      <c r="D2978" s="25" t="s">
        <v>2087</v>
      </c>
      <c r="E2978" s="26" t="b">
        <v>1</v>
      </c>
      <c r="F2978" s="27" t="str">
        <f>HYPERLINK("http://nsgreg.nga.mil/genc/view?v=121140&amp;gencs=T&amp;end_month=12&amp;end_day=31&amp;end_year=2014","Kavango East")</f>
        <v>Kavango East</v>
      </c>
      <c r="G2978" s="28" t="str">
        <f>HYPERLINK("http://api.nsgreg.nga.mil/geo-division/GENC/6/ed3/NA-KE","as:GENC:6:ed3:NA-KE")</f>
        <v>as:GENC:6:ed3:NA-KE</v>
      </c>
    </row>
    <row r="2979" spans="1:7" x14ac:dyDescent="0.2">
      <c r="A2979" s="85"/>
      <c r="B2979" s="25" t="s">
        <v>13070</v>
      </c>
      <c r="C2979" s="25" t="s">
        <v>13071</v>
      </c>
      <c r="D2979" s="25" t="s">
        <v>2087</v>
      </c>
      <c r="E2979" s="26" t="b">
        <v>1</v>
      </c>
      <c r="F2979" s="27" t="str">
        <f>HYPERLINK("http://nsgreg.nga.mil/genc/view?v=121143&amp;gencs=T&amp;end_month=12&amp;end_day=31&amp;end_year=2014","Kavango West")</f>
        <v>Kavango West</v>
      </c>
      <c r="G2979" s="28" t="str">
        <f>HYPERLINK("http://api.nsgreg.nga.mil/geo-division/GENC/6/ed3/NA-KW","as:GENC:6:ed3:NA-KW")</f>
        <v>as:GENC:6:ed3:NA-KW</v>
      </c>
    </row>
    <row r="2980" spans="1:7" x14ac:dyDescent="0.2">
      <c r="A2980" s="85"/>
      <c r="B2980" s="25" t="s">
        <v>7598</v>
      </c>
      <c r="C2980" s="25" t="s">
        <v>7599</v>
      </c>
      <c r="D2980" s="25" t="s">
        <v>2087</v>
      </c>
      <c r="E2980" s="26" t="b">
        <v>1</v>
      </c>
      <c r="F2980" s="27" t="str">
        <f>HYPERLINK("http://nsgreg.nga.mil/genc/view?v=121141&amp;gencs=T&amp;end_month=12&amp;end_day=31&amp;end_year=2014","Khomas")</f>
        <v>Khomas</v>
      </c>
      <c r="G2980" s="28" t="str">
        <f>HYPERLINK("http://api.nsgreg.nga.mil/geo-division/GENC/6/ed3/NA-KH","as:GENC:6:ed3:NA-KH")</f>
        <v>as:GENC:6:ed3:NA-KH</v>
      </c>
    </row>
    <row r="2981" spans="1:7" x14ac:dyDescent="0.2">
      <c r="A2981" s="85"/>
      <c r="B2981" s="25" t="s">
        <v>7600</v>
      </c>
      <c r="C2981" s="25" t="s">
        <v>7601</v>
      </c>
      <c r="D2981" s="25" t="s">
        <v>2087</v>
      </c>
      <c r="E2981" s="26" t="b">
        <v>1</v>
      </c>
      <c r="F2981" s="27" t="str">
        <f>HYPERLINK("http://nsgreg.nga.mil/genc/view?v=121142&amp;gencs=T&amp;end_month=12&amp;end_day=31&amp;end_year=2014","Kunene")</f>
        <v>Kunene</v>
      </c>
      <c r="G2981" s="28" t="str">
        <f>HYPERLINK("http://api.nsgreg.nga.mil/geo-division/GENC/6/ed3/NA-KU","as:GENC:6:ed3:NA-KU")</f>
        <v>as:GENC:6:ed3:NA-KU</v>
      </c>
    </row>
    <row r="2982" spans="1:7" x14ac:dyDescent="0.2">
      <c r="A2982" s="85"/>
      <c r="B2982" s="25" t="s">
        <v>7602</v>
      </c>
      <c r="C2982" s="25" t="s">
        <v>7603</v>
      </c>
      <c r="D2982" s="25" t="s">
        <v>2087</v>
      </c>
      <c r="E2982" s="26" t="b">
        <v>1</v>
      </c>
      <c r="F2982" s="27" t="str">
        <f>HYPERLINK("http://nsgreg.nga.mil/genc/view?v=121150&amp;gencs=T&amp;end_month=12&amp;end_day=31&amp;end_year=2014","Ohangwena")</f>
        <v>Ohangwena</v>
      </c>
      <c r="G2982" s="28" t="str">
        <f>HYPERLINK("http://api.nsgreg.nga.mil/geo-division/GENC/6/ed3/NA-OW","as:GENC:6:ed3:NA-OW")</f>
        <v>as:GENC:6:ed3:NA-OW</v>
      </c>
    </row>
    <row r="2983" spans="1:7" x14ac:dyDescent="0.2">
      <c r="A2983" s="85"/>
      <c r="B2983" s="25" t="s">
        <v>7606</v>
      </c>
      <c r="C2983" s="25" t="s">
        <v>7607</v>
      </c>
      <c r="D2983" s="25" t="s">
        <v>2087</v>
      </c>
      <c r="E2983" s="26" t="b">
        <v>1</v>
      </c>
      <c r="F2983" s="27" t="str">
        <f>HYPERLINK("http://nsgreg.nga.mil/genc/view?v=121145&amp;gencs=T&amp;end_month=12&amp;end_day=31&amp;end_year=2014","Omaheke")</f>
        <v>Omaheke</v>
      </c>
      <c r="G2983" s="28" t="str">
        <f>HYPERLINK("http://api.nsgreg.nga.mil/geo-division/GENC/6/ed3/NA-OH","as:GENC:6:ed3:NA-OH")</f>
        <v>as:GENC:6:ed3:NA-OH</v>
      </c>
    </row>
    <row r="2984" spans="1:7" x14ac:dyDescent="0.2">
      <c r="A2984" s="85"/>
      <c r="B2984" s="25" t="s">
        <v>7608</v>
      </c>
      <c r="C2984" s="25" t="s">
        <v>7609</v>
      </c>
      <c r="D2984" s="25" t="s">
        <v>2087</v>
      </c>
      <c r="E2984" s="26" t="b">
        <v>1</v>
      </c>
      <c r="F2984" s="27" t="str">
        <f>HYPERLINK("http://nsgreg.nga.mil/genc/view?v=121148&amp;gencs=T&amp;end_month=12&amp;end_day=31&amp;end_year=2014","Omusati")</f>
        <v>Omusati</v>
      </c>
      <c r="G2984" s="28" t="str">
        <f>HYPERLINK("http://api.nsgreg.nga.mil/geo-division/GENC/6/ed3/NA-OS","as:GENC:6:ed3:NA-OS")</f>
        <v>as:GENC:6:ed3:NA-OS</v>
      </c>
    </row>
    <row r="2985" spans="1:7" x14ac:dyDescent="0.2">
      <c r="A2985" s="85"/>
      <c r="B2985" s="25" t="s">
        <v>7610</v>
      </c>
      <c r="C2985" s="25" t="s">
        <v>7611</v>
      </c>
      <c r="D2985" s="25" t="s">
        <v>2087</v>
      </c>
      <c r="E2985" s="26" t="b">
        <v>1</v>
      </c>
      <c r="F2985" s="27" t="str">
        <f>HYPERLINK("http://nsgreg.nga.mil/genc/view?v=121147&amp;gencs=T&amp;end_month=12&amp;end_day=31&amp;end_year=2014","Oshana")</f>
        <v>Oshana</v>
      </c>
      <c r="G2985" s="28" t="str">
        <f>HYPERLINK("http://api.nsgreg.nga.mil/geo-division/GENC/6/ed3/NA-ON","as:GENC:6:ed3:NA-ON")</f>
        <v>as:GENC:6:ed3:NA-ON</v>
      </c>
    </row>
    <row r="2986" spans="1:7" x14ac:dyDescent="0.2">
      <c r="A2986" s="85"/>
      <c r="B2986" s="25" t="s">
        <v>7612</v>
      </c>
      <c r="C2986" s="25" t="s">
        <v>7613</v>
      </c>
      <c r="D2986" s="25" t="s">
        <v>2087</v>
      </c>
      <c r="E2986" s="26" t="b">
        <v>1</v>
      </c>
      <c r="F2986" s="27" t="str">
        <f>HYPERLINK("http://nsgreg.nga.mil/genc/view?v=121149&amp;gencs=T&amp;end_month=12&amp;end_day=31&amp;end_year=2014","Oshikoto")</f>
        <v>Oshikoto</v>
      </c>
      <c r="G2986" s="28" t="str">
        <f>HYPERLINK("http://api.nsgreg.nga.mil/geo-division/GENC/6/ed3/NA-OT","as:GENC:6:ed3:NA-OT")</f>
        <v>as:GENC:6:ed3:NA-OT</v>
      </c>
    </row>
    <row r="2987" spans="1:7" x14ac:dyDescent="0.2">
      <c r="A2987" s="85"/>
      <c r="B2987" s="25" t="s">
        <v>7614</v>
      </c>
      <c r="C2987" s="25" t="s">
        <v>7615</v>
      </c>
      <c r="D2987" s="25" t="s">
        <v>2087</v>
      </c>
      <c r="E2987" s="26" t="b">
        <v>1</v>
      </c>
      <c r="F2987" s="27" t="str">
        <f>HYPERLINK("http://nsgreg.nga.mil/genc/view?v=121144&amp;gencs=T&amp;end_month=12&amp;end_day=31&amp;end_year=2014","Otjozondjupa")</f>
        <v>Otjozondjupa</v>
      </c>
      <c r="G2987" s="28" t="str">
        <f>HYPERLINK("http://api.nsgreg.nga.mil/geo-division/GENC/6/ed3/NA-OD","as:GENC:6:ed3:NA-OD")</f>
        <v>as:GENC:6:ed3:NA-OD</v>
      </c>
    </row>
    <row r="2988" spans="1:7" x14ac:dyDescent="0.2">
      <c r="A2988" s="86"/>
      <c r="B2988" s="29" t="s">
        <v>7590</v>
      </c>
      <c r="C2988" s="29" t="s">
        <v>13072</v>
      </c>
      <c r="D2988" s="29" t="s">
        <v>2087</v>
      </c>
      <c r="E2988" s="30" t="b">
        <v>1</v>
      </c>
      <c r="F2988" s="31" t="str">
        <f>HYPERLINK("http://nsgreg.nga.mil/genc/view?v=121136&amp;gencs=T&amp;end_month=12&amp;end_day=31&amp;end_year=2014","Zambezi")</f>
        <v>Zambezi</v>
      </c>
      <c r="G2988" s="32" t="str">
        <f>HYPERLINK("http://api.nsgreg.nga.mil/geo-division/GENC/6/ed3/NA-CA","as:GENC:6:ed3:NA-CA")</f>
        <v>as:GENC:6:ed3:NA-CA</v>
      </c>
    </row>
    <row r="2989" spans="1:7" x14ac:dyDescent="0.2">
      <c r="A2989" s="84" t="str">
        <f>HYPERLINK("[#]Codes_for_GE_Names!A182:I182","NAURU")</f>
        <v>NAURU</v>
      </c>
      <c r="B2989" s="33" t="s">
        <v>7616</v>
      </c>
      <c r="C2989" s="33" t="s">
        <v>7617</v>
      </c>
      <c r="D2989" s="33" t="s">
        <v>1790</v>
      </c>
      <c r="E2989" s="34" t="b">
        <v>1</v>
      </c>
      <c r="F2989" s="35" t="str">
        <f>HYPERLINK("http://nsgreg.nga.mil/genc/view?v=212809&amp;end_month=12&amp;end_day=31&amp;end_year=2014","Aiwo")</f>
        <v>Aiwo</v>
      </c>
      <c r="G2989" s="36" t="str">
        <f>HYPERLINK("http://api.nsgreg.nga.mil/geo-division/GENC/6/ed3/NR-01","as:GENC:6:ed3:NR-01")</f>
        <v>as:GENC:6:ed3:NR-01</v>
      </c>
    </row>
    <row r="2990" spans="1:7" x14ac:dyDescent="0.2">
      <c r="A2990" s="85"/>
      <c r="B2990" s="25" t="s">
        <v>7618</v>
      </c>
      <c r="C2990" s="25" t="s">
        <v>7619</v>
      </c>
      <c r="D2990" s="25" t="s">
        <v>1790</v>
      </c>
      <c r="E2990" s="26" t="b">
        <v>1</v>
      </c>
      <c r="F2990" s="27" t="str">
        <f>HYPERLINK("http://nsgreg.nga.mil/genc/view?v=212810&amp;end_month=12&amp;end_day=31&amp;end_year=2014","Anabar")</f>
        <v>Anabar</v>
      </c>
      <c r="G2990" s="28" t="str">
        <f>HYPERLINK("http://api.nsgreg.nga.mil/geo-division/GENC/6/ed3/NR-02","as:GENC:6:ed3:NR-02")</f>
        <v>as:GENC:6:ed3:NR-02</v>
      </c>
    </row>
    <row r="2991" spans="1:7" x14ac:dyDescent="0.2">
      <c r="A2991" s="85"/>
      <c r="B2991" s="25" t="s">
        <v>7620</v>
      </c>
      <c r="C2991" s="25" t="s">
        <v>7621</v>
      </c>
      <c r="D2991" s="25" t="s">
        <v>1790</v>
      </c>
      <c r="E2991" s="26" t="b">
        <v>1</v>
      </c>
      <c r="F2991" s="27" t="str">
        <f>HYPERLINK("http://nsgreg.nga.mil/genc/view?v=212811&amp;end_month=12&amp;end_day=31&amp;end_year=2014","Anetan")</f>
        <v>Anetan</v>
      </c>
      <c r="G2991" s="28" t="str">
        <f>HYPERLINK("http://api.nsgreg.nga.mil/geo-division/GENC/6/ed3/NR-03","as:GENC:6:ed3:NR-03")</f>
        <v>as:GENC:6:ed3:NR-03</v>
      </c>
    </row>
    <row r="2992" spans="1:7" x14ac:dyDescent="0.2">
      <c r="A2992" s="85"/>
      <c r="B2992" s="25" t="s">
        <v>7622</v>
      </c>
      <c r="C2992" s="25" t="s">
        <v>7623</v>
      </c>
      <c r="D2992" s="25" t="s">
        <v>1790</v>
      </c>
      <c r="E2992" s="26" t="b">
        <v>1</v>
      </c>
      <c r="F2992" s="27" t="str">
        <f>HYPERLINK("http://nsgreg.nga.mil/genc/view?v=212812&amp;end_month=12&amp;end_day=31&amp;end_year=2014","Anibare")</f>
        <v>Anibare</v>
      </c>
      <c r="G2992" s="28" t="str">
        <f>HYPERLINK("http://api.nsgreg.nga.mil/geo-division/GENC/6/ed3/NR-04","as:GENC:6:ed3:NR-04")</f>
        <v>as:GENC:6:ed3:NR-04</v>
      </c>
    </row>
    <row r="2993" spans="1:7" x14ac:dyDescent="0.2">
      <c r="A2993" s="85"/>
      <c r="B2993" s="25" t="s">
        <v>7624</v>
      </c>
      <c r="C2993" s="25" t="s">
        <v>7625</v>
      </c>
      <c r="D2993" s="25" t="s">
        <v>1790</v>
      </c>
      <c r="E2993" s="26" t="b">
        <v>1</v>
      </c>
      <c r="F2993" s="27" t="str">
        <f>HYPERLINK("http://nsgreg.nga.mil/genc/view?v=212813&amp;end_month=12&amp;end_day=31&amp;end_year=2014","Baiti")</f>
        <v>Baiti</v>
      </c>
      <c r="G2993" s="28" t="str">
        <f>HYPERLINK("http://api.nsgreg.nga.mil/geo-division/GENC/6/ed3/NR-05","as:GENC:6:ed3:NR-05")</f>
        <v>as:GENC:6:ed3:NR-05</v>
      </c>
    </row>
    <row r="2994" spans="1:7" x14ac:dyDescent="0.2">
      <c r="A2994" s="85"/>
      <c r="B2994" s="25" t="s">
        <v>7626</v>
      </c>
      <c r="C2994" s="25" t="s">
        <v>7627</v>
      </c>
      <c r="D2994" s="25" t="s">
        <v>1790</v>
      </c>
      <c r="E2994" s="26" t="b">
        <v>1</v>
      </c>
      <c r="F2994" s="27" t="str">
        <f>HYPERLINK("http://nsgreg.nga.mil/genc/view?v=212814&amp;end_month=12&amp;end_day=31&amp;end_year=2014","Boe")</f>
        <v>Boe</v>
      </c>
      <c r="G2994" s="28" t="str">
        <f>HYPERLINK("http://api.nsgreg.nga.mil/geo-division/GENC/6/ed3/NR-06","as:GENC:6:ed3:NR-06")</f>
        <v>as:GENC:6:ed3:NR-06</v>
      </c>
    </row>
    <row r="2995" spans="1:7" x14ac:dyDescent="0.2">
      <c r="A2995" s="85"/>
      <c r="B2995" s="25" t="s">
        <v>7628</v>
      </c>
      <c r="C2995" s="25" t="s">
        <v>7629</v>
      </c>
      <c r="D2995" s="25" t="s">
        <v>1790</v>
      </c>
      <c r="E2995" s="26" t="b">
        <v>1</v>
      </c>
      <c r="F2995" s="27" t="str">
        <f>HYPERLINK("http://nsgreg.nga.mil/genc/view?v=212815&amp;end_month=12&amp;end_day=31&amp;end_year=2014","Buada")</f>
        <v>Buada</v>
      </c>
      <c r="G2995" s="28" t="str">
        <f>HYPERLINK("http://api.nsgreg.nga.mil/geo-division/GENC/6/ed3/NR-07","as:GENC:6:ed3:NR-07")</f>
        <v>as:GENC:6:ed3:NR-07</v>
      </c>
    </row>
    <row r="2996" spans="1:7" x14ac:dyDescent="0.2">
      <c r="A2996" s="85"/>
      <c r="B2996" s="25" t="s">
        <v>7630</v>
      </c>
      <c r="C2996" s="25" t="s">
        <v>7631</v>
      </c>
      <c r="D2996" s="25" t="s">
        <v>1790</v>
      </c>
      <c r="E2996" s="26" t="b">
        <v>1</v>
      </c>
      <c r="F2996" s="27" t="str">
        <f>HYPERLINK("http://nsgreg.nga.mil/genc/view?v=212816&amp;end_month=12&amp;end_day=31&amp;end_year=2014","Denigomodu")</f>
        <v>Denigomodu</v>
      </c>
      <c r="G2996" s="28" t="str">
        <f>HYPERLINK("http://api.nsgreg.nga.mil/geo-division/GENC/6/ed3/NR-08","as:GENC:6:ed3:NR-08")</f>
        <v>as:GENC:6:ed3:NR-08</v>
      </c>
    </row>
    <row r="2997" spans="1:7" x14ac:dyDescent="0.2">
      <c r="A2997" s="85"/>
      <c r="B2997" s="25" t="s">
        <v>7632</v>
      </c>
      <c r="C2997" s="25" t="s">
        <v>7633</v>
      </c>
      <c r="D2997" s="25" t="s">
        <v>1790</v>
      </c>
      <c r="E2997" s="26" t="b">
        <v>1</v>
      </c>
      <c r="F2997" s="27" t="str">
        <f>HYPERLINK("http://nsgreg.nga.mil/genc/view?v=212817&amp;end_month=12&amp;end_day=31&amp;end_year=2014","Ewa")</f>
        <v>Ewa</v>
      </c>
      <c r="G2997" s="28" t="str">
        <f>HYPERLINK("http://api.nsgreg.nga.mil/geo-division/GENC/6/ed3/NR-09","as:GENC:6:ed3:NR-09")</f>
        <v>as:GENC:6:ed3:NR-09</v>
      </c>
    </row>
    <row r="2998" spans="1:7" x14ac:dyDescent="0.2">
      <c r="A2998" s="85"/>
      <c r="B2998" s="25" t="s">
        <v>7634</v>
      </c>
      <c r="C2998" s="25" t="s">
        <v>7635</v>
      </c>
      <c r="D2998" s="25" t="s">
        <v>1790</v>
      </c>
      <c r="E2998" s="26" t="b">
        <v>1</v>
      </c>
      <c r="F2998" s="27" t="str">
        <f>HYPERLINK("http://nsgreg.nga.mil/genc/view?v=212818&amp;end_month=12&amp;end_day=31&amp;end_year=2014","Ijuw")</f>
        <v>Ijuw</v>
      </c>
      <c r="G2998" s="28" t="str">
        <f>HYPERLINK("http://api.nsgreg.nga.mil/geo-division/GENC/6/ed3/NR-10","as:GENC:6:ed3:NR-10")</f>
        <v>as:GENC:6:ed3:NR-10</v>
      </c>
    </row>
    <row r="2999" spans="1:7" x14ac:dyDescent="0.2">
      <c r="A2999" s="85"/>
      <c r="B2999" s="25" t="s">
        <v>7636</v>
      </c>
      <c r="C2999" s="25" t="s">
        <v>7637</v>
      </c>
      <c r="D2999" s="25" t="s">
        <v>1790</v>
      </c>
      <c r="E2999" s="26" t="b">
        <v>1</v>
      </c>
      <c r="F2999" s="27" t="str">
        <f>HYPERLINK("http://nsgreg.nga.mil/genc/view?v=212819&amp;end_month=12&amp;end_day=31&amp;end_year=2014","Meneng")</f>
        <v>Meneng</v>
      </c>
      <c r="G2999" s="28" t="str">
        <f>HYPERLINK("http://api.nsgreg.nga.mil/geo-division/GENC/6/ed3/NR-11","as:GENC:6:ed3:NR-11")</f>
        <v>as:GENC:6:ed3:NR-11</v>
      </c>
    </row>
    <row r="3000" spans="1:7" x14ac:dyDescent="0.2">
      <c r="A3000" s="85"/>
      <c r="B3000" s="25" t="s">
        <v>7638</v>
      </c>
      <c r="C3000" s="25" t="s">
        <v>7639</v>
      </c>
      <c r="D3000" s="25" t="s">
        <v>1790</v>
      </c>
      <c r="E3000" s="26" t="b">
        <v>1</v>
      </c>
      <c r="F3000" s="27" t="str">
        <f>HYPERLINK("http://nsgreg.nga.mil/genc/view?v=212820&amp;end_month=12&amp;end_day=31&amp;end_year=2014","Nibok")</f>
        <v>Nibok</v>
      </c>
      <c r="G3000" s="28" t="str">
        <f>HYPERLINK("http://api.nsgreg.nga.mil/geo-division/GENC/6/ed3/NR-12","as:GENC:6:ed3:NR-12")</f>
        <v>as:GENC:6:ed3:NR-12</v>
      </c>
    </row>
    <row r="3001" spans="1:7" x14ac:dyDescent="0.2">
      <c r="A3001" s="85"/>
      <c r="B3001" s="25" t="s">
        <v>7640</v>
      </c>
      <c r="C3001" s="25" t="s">
        <v>7641</v>
      </c>
      <c r="D3001" s="25" t="s">
        <v>1790</v>
      </c>
      <c r="E3001" s="26" t="b">
        <v>1</v>
      </c>
      <c r="F3001" s="27" t="str">
        <f>HYPERLINK("http://nsgreg.nga.mil/genc/view?v=212821&amp;end_month=12&amp;end_day=31&amp;end_year=2014","Uaboe")</f>
        <v>Uaboe</v>
      </c>
      <c r="G3001" s="28" t="str">
        <f>HYPERLINK("http://api.nsgreg.nga.mil/geo-division/GENC/6/ed3/NR-13","as:GENC:6:ed3:NR-13")</f>
        <v>as:GENC:6:ed3:NR-13</v>
      </c>
    </row>
    <row r="3002" spans="1:7" x14ac:dyDescent="0.2">
      <c r="A3002" s="86"/>
      <c r="B3002" s="29" t="s">
        <v>7642</v>
      </c>
      <c r="C3002" s="29" t="s">
        <v>7643</v>
      </c>
      <c r="D3002" s="29" t="s">
        <v>1790</v>
      </c>
      <c r="E3002" s="30" t="b">
        <v>1</v>
      </c>
      <c r="F3002" s="31" t="str">
        <f>HYPERLINK("http://nsgreg.nga.mil/genc/view?v=212822&amp;end_month=12&amp;end_day=31&amp;end_year=2014","Yaren")</f>
        <v>Yaren</v>
      </c>
      <c r="G3002" s="32" t="str">
        <f>HYPERLINK("http://api.nsgreg.nga.mil/geo-division/GENC/6/ed3/NR-14","as:GENC:6:ed3:NR-14")</f>
        <v>as:GENC:6:ed3:NR-14</v>
      </c>
    </row>
    <row r="3003" spans="1:7" x14ac:dyDescent="0.2">
      <c r="A3003" s="84" t="str">
        <f>HYPERLINK("[#]Codes_for_GE_Names!A184:I184","NEPAL")</f>
        <v>NEPAL</v>
      </c>
      <c r="B3003" s="33" t="s">
        <v>7644</v>
      </c>
      <c r="C3003" s="33" t="s">
        <v>13073</v>
      </c>
      <c r="D3003" s="33" t="s">
        <v>7646</v>
      </c>
      <c r="E3003" s="34" t="b">
        <v>1</v>
      </c>
      <c r="F3003" s="35" t="str">
        <f>HYPERLINK("http://nsgreg.nga.mil/genc/view?v=212795&amp;end_month=12&amp;end_day=31&amp;end_year=2014","Bāgmatī")</f>
        <v>Bāgmatī</v>
      </c>
      <c r="G3003" s="36" t="str">
        <f>HYPERLINK("http://api.nsgreg.nga.mil/geo-division/GENC/6/ed3/NP-BA","as:GENC:6:ed3:NP-BA")</f>
        <v>as:GENC:6:ed3:NP-BA</v>
      </c>
    </row>
    <row r="3004" spans="1:7" x14ac:dyDescent="0.2">
      <c r="A3004" s="85"/>
      <c r="B3004" s="25" t="s">
        <v>7647</v>
      </c>
      <c r="C3004" s="25" t="s">
        <v>13074</v>
      </c>
      <c r="D3004" s="25" t="s">
        <v>7646</v>
      </c>
      <c r="E3004" s="26" t="b">
        <v>1</v>
      </c>
      <c r="F3004" s="27" t="str">
        <f>HYPERLINK("http://nsgreg.nga.mil/genc/view?v=212796&amp;end_month=12&amp;end_day=31&amp;end_year=2014","Bherī")</f>
        <v>Bherī</v>
      </c>
      <c r="G3004" s="28" t="str">
        <f>HYPERLINK("http://api.nsgreg.nga.mil/geo-division/GENC/6/ed3/NP-BH","as:GENC:6:ed3:NP-BH")</f>
        <v>as:GENC:6:ed3:NP-BH</v>
      </c>
    </row>
    <row r="3005" spans="1:7" x14ac:dyDescent="0.2">
      <c r="A3005" s="85"/>
      <c r="B3005" s="25" t="s">
        <v>7651</v>
      </c>
      <c r="C3005" s="25" t="s">
        <v>13075</v>
      </c>
      <c r="D3005" s="25" t="s">
        <v>7646</v>
      </c>
      <c r="E3005" s="26" t="b">
        <v>1</v>
      </c>
      <c r="F3005" s="27" t="str">
        <f>HYPERLINK("http://nsgreg.nga.mil/genc/view?v=212797&amp;end_month=12&amp;end_day=31&amp;end_year=2014","Dhawalāgiri")</f>
        <v>Dhawalāgiri</v>
      </c>
      <c r="G3005" s="28" t="str">
        <f>HYPERLINK("http://api.nsgreg.nga.mil/geo-division/GENC/6/ed3/NP-DH","as:GENC:6:ed3:NP-DH")</f>
        <v>as:GENC:6:ed3:NP-DH</v>
      </c>
    </row>
    <row r="3006" spans="1:7" x14ac:dyDescent="0.2">
      <c r="A3006" s="85"/>
      <c r="B3006" s="25" t="s">
        <v>7656</v>
      </c>
      <c r="C3006" s="25" t="s">
        <v>13076</v>
      </c>
      <c r="D3006" s="25" t="s">
        <v>7646</v>
      </c>
      <c r="E3006" s="26" t="b">
        <v>1</v>
      </c>
      <c r="F3006" s="27" t="str">
        <f>HYPERLINK("http://nsgreg.nga.mil/genc/view?v=212798&amp;end_month=12&amp;end_day=31&amp;end_year=2014","Gandakī")</f>
        <v>Gandakī</v>
      </c>
      <c r="G3006" s="28" t="str">
        <f>HYPERLINK("http://api.nsgreg.nga.mil/geo-division/GENC/6/ed3/NP-GA","as:GENC:6:ed3:NP-GA")</f>
        <v>as:GENC:6:ed3:NP-GA</v>
      </c>
    </row>
    <row r="3007" spans="1:7" x14ac:dyDescent="0.2">
      <c r="A3007" s="85"/>
      <c r="B3007" s="25" t="s">
        <v>7658</v>
      </c>
      <c r="C3007" s="25" t="s">
        <v>7659</v>
      </c>
      <c r="D3007" s="25" t="s">
        <v>7646</v>
      </c>
      <c r="E3007" s="26" t="b">
        <v>1</v>
      </c>
      <c r="F3007" s="27" t="str">
        <f>HYPERLINK("http://nsgreg.nga.mil/genc/view?v=212799&amp;end_month=12&amp;end_day=31&amp;end_year=2014","Janakpur")</f>
        <v>Janakpur</v>
      </c>
      <c r="G3007" s="28" t="str">
        <f>HYPERLINK("http://api.nsgreg.nga.mil/geo-division/GENC/6/ed3/NP-JA","as:GENC:6:ed3:NP-JA")</f>
        <v>as:GENC:6:ed3:NP-JA</v>
      </c>
    </row>
    <row r="3008" spans="1:7" x14ac:dyDescent="0.2">
      <c r="A3008" s="85"/>
      <c r="B3008" s="25" t="s">
        <v>7660</v>
      </c>
      <c r="C3008" s="25" t="s">
        <v>13077</v>
      </c>
      <c r="D3008" s="25" t="s">
        <v>7646</v>
      </c>
      <c r="E3008" s="26" t="b">
        <v>1</v>
      </c>
      <c r="F3008" s="27" t="str">
        <f>HYPERLINK("http://nsgreg.nga.mil/genc/view?v=212800&amp;end_month=12&amp;end_day=31&amp;end_year=2014","Karnālī")</f>
        <v>Karnālī</v>
      </c>
      <c r="G3008" s="28" t="str">
        <f>HYPERLINK("http://api.nsgreg.nga.mil/geo-division/GENC/6/ed3/NP-KA","as:GENC:6:ed3:NP-KA")</f>
        <v>as:GENC:6:ed3:NP-KA</v>
      </c>
    </row>
    <row r="3009" spans="1:7" x14ac:dyDescent="0.2">
      <c r="A3009" s="85"/>
      <c r="B3009" s="25" t="s">
        <v>7662</v>
      </c>
      <c r="C3009" s="25" t="s">
        <v>13078</v>
      </c>
      <c r="D3009" s="25" t="s">
        <v>7646</v>
      </c>
      <c r="E3009" s="26" t="b">
        <v>1</v>
      </c>
      <c r="F3009" s="27" t="str">
        <f>HYPERLINK("http://nsgreg.nga.mil/genc/view?v=212801&amp;end_month=12&amp;end_day=31&amp;end_year=2014","Kosī")</f>
        <v>Kosī</v>
      </c>
      <c r="G3009" s="28" t="str">
        <f>HYPERLINK("http://api.nsgreg.nga.mil/geo-division/GENC/6/ed3/NP-KO","as:GENC:6:ed3:NP-KO")</f>
        <v>as:GENC:6:ed3:NP-KO</v>
      </c>
    </row>
    <row r="3010" spans="1:7" x14ac:dyDescent="0.2">
      <c r="A3010" s="85"/>
      <c r="B3010" s="25" t="s">
        <v>7664</v>
      </c>
      <c r="C3010" s="25" t="s">
        <v>13079</v>
      </c>
      <c r="D3010" s="25" t="s">
        <v>7646</v>
      </c>
      <c r="E3010" s="26" t="b">
        <v>1</v>
      </c>
      <c r="F3010" s="27" t="str">
        <f>HYPERLINK("http://nsgreg.nga.mil/genc/view?v=212802&amp;end_month=12&amp;end_day=31&amp;end_year=2014","Lumbinī")</f>
        <v>Lumbinī</v>
      </c>
      <c r="G3010" s="28" t="str">
        <f>HYPERLINK("http://api.nsgreg.nga.mil/geo-division/GENC/6/ed3/NP-LU","as:GENC:6:ed3:NP-LU")</f>
        <v>as:GENC:6:ed3:NP-LU</v>
      </c>
    </row>
    <row r="3011" spans="1:7" x14ac:dyDescent="0.2">
      <c r="A3011" s="85"/>
      <c r="B3011" s="25" t="s">
        <v>7649</v>
      </c>
      <c r="C3011" s="25" t="s">
        <v>7668</v>
      </c>
      <c r="D3011" s="37" t="s">
        <v>7650</v>
      </c>
      <c r="E3011" s="38" t="b">
        <v>0</v>
      </c>
      <c r="F3011" s="27" t="str">
        <f>HYPERLINK("http://nsgreg.nga.mil/genc/view?v=212790&amp;end_month=12&amp;end_day=31&amp;end_year=2014","Madhyamanchal")</f>
        <v>Madhyamanchal</v>
      </c>
      <c r="G3011" s="28" t="str">
        <f>HYPERLINK("http://api.nsgreg.nga.mil/geo-division/GENC/6/ed3/NP-1","as:GENC:6:ed3:NP-1")</f>
        <v>as:GENC:6:ed3:NP-1</v>
      </c>
    </row>
    <row r="3012" spans="1:7" x14ac:dyDescent="0.2">
      <c r="A3012" s="85"/>
      <c r="B3012" s="25" t="s">
        <v>7666</v>
      </c>
      <c r="C3012" s="25" t="s">
        <v>7667</v>
      </c>
      <c r="D3012" s="37" t="s">
        <v>7650</v>
      </c>
      <c r="E3012" s="38" t="b">
        <v>0</v>
      </c>
      <c r="F3012" s="27" t="str">
        <f>HYPERLINK("http://nsgreg.nga.mil/genc/view?v=212791&amp;end_month=12&amp;end_day=31&amp;end_year=2014","Madhya Pashchimanchal")</f>
        <v>Madhya Pashchimanchal</v>
      </c>
      <c r="G3012" s="28" t="str">
        <f>HYPERLINK("http://api.nsgreg.nga.mil/geo-division/GENC/6/ed3/NP-2","as:GENC:6:ed3:NP-2")</f>
        <v>as:GENC:6:ed3:NP-2</v>
      </c>
    </row>
    <row r="3013" spans="1:7" x14ac:dyDescent="0.2">
      <c r="A3013" s="85"/>
      <c r="B3013" s="25" t="s">
        <v>7669</v>
      </c>
      <c r="C3013" s="25" t="s">
        <v>13080</v>
      </c>
      <c r="D3013" s="25" t="s">
        <v>7646</v>
      </c>
      <c r="E3013" s="26" t="b">
        <v>1</v>
      </c>
      <c r="F3013" s="27" t="str">
        <f>HYPERLINK("http://nsgreg.nga.mil/genc/view?v=212803&amp;end_month=12&amp;end_day=31&amp;end_year=2014","Mahākālī")</f>
        <v>Mahākālī</v>
      </c>
      <c r="G3013" s="28" t="str">
        <f>HYPERLINK("http://api.nsgreg.nga.mil/geo-division/GENC/6/ed3/NP-MA","as:GENC:6:ed3:NP-MA")</f>
        <v>as:GENC:6:ed3:NP-MA</v>
      </c>
    </row>
    <row r="3014" spans="1:7" x14ac:dyDescent="0.2">
      <c r="A3014" s="85"/>
      <c r="B3014" s="25" t="s">
        <v>7671</v>
      </c>
      <c r="C3014" s="25" t="s">
        <v>13081</v>
      </c>
      <c r="D3014" s="25" t="s">
        <v>7646</v>
      </c>
      <c r="E3014" s="26" t="b">
        <v>1</v>
      </c>
      <c r="F3014" s="27" t="str">
        <f>HYPERLINK("http://nsgreg.nga.mil/genc/view?v=212804&amp;end_month=12&amp;end_day=31&amp;end_year=2014","Mechī")</f>
        <v>Mechī</v>
      </c>
      <c r="G3014" s="28" t="str">
        <f>HYPERLINK("http://api.nsgreg.nga.mil/geo-division/GENC/6/ed3/NP-ME","as:GENC:6:ed3:NP-ME")</f>
        <v>as:GENC:6:ed3:NP-ME</v>
      </c>
    </row>
    <row r="3015" spans="1:7" x14ac:dyDescent="0.2">
      <c r="A3015" s="85"/>
      <c r="B3015" s="25" t="s">
        <v>7674</v>
      </c>
      <c r="C3015" s="25" t="s">
        <v>13082</v>
      </c>
      <c r="D3015" s="25" t="s">
        <v>7646</v>
      </c>
      <c r="E3015" s="26" t="b">
        <v>1</v>
      </c>
      <c r="F3015" s="27" t="str">
        <f>HYPERLINK("http://nsgreg.nga.mil/genc/view?v=212805&amp;end_month=12&amp;end_day=31&amp;end_year=2014","Nārāyanī")</f>
        <v>Nārāyanī</v>
      </c>
      <c r="G3015" s="28" t="str">
        <f>HYPERLINK("http://api.nsgreg.nga.mil/geo-division/GENC/6/ed3/NP-NA","as:GENC:6:ed3:NP-NA")</f>
        <v>as:GENC:6:ed3:NP-NA</v>
      </c>
    </row>
    <row r="3016" spans="1:7" x14ac:dyDescent="0.2">
      <c r="A3016" s="85"/>
      <c r="B3016" s="25" t="s">
        <v>7676</v>
      </c>
      <c r="C3016" s="25" t="s">
        <v>7677</v>
      </c>
      <c r="D3016" s="37" t="s">
        <v>7650</v>
      </c>
      <c r="E3016" s="38" t="b">
        <v>0</v>
      </c>
      <c r="F3016" s="27" t="str">
        <f>HYPERLINK("http://nsgreg.nga.mil/genc/view?v=212792&amp;end_month=12&amp;end_day=31&amp;end_year=2014","Pashchimanchal")</f>
        <v>Pashchimanchal</v>
      </c>
      <c r="G3016" s="28" t="str">
        <f>HYPERLINK("http://api.nsgreg.nga.mil/geo-division/GENC/6/ed3/NP-3","as:GENC:6:ed3:NP-3")</f>
        <v>as:GENC:6:ed3:NP-3</v>
      </c>
    </row>
    <row r="3017" spans="1:7" x14ac:dyDescent="0.2">
      <c r="A3017" s="85"/>
      <c r="B3017" s="25" t="s">
        <v>7653</v>
      </c>
      <c r="C3017" s="25" t="s">
        <v>7678</v>
      </c>
      <c r="D3017" s="37" t="s">
        <v>7650</v>
      </c>
      <c r="E3017" s="38" t="b">
        <v>0</v>
      </c>
      <c r="F3017" s="27" t="str">
        <f>HYPERLINK("http://nsgreg.nga.mil/genc/view?v=212793&amp;end_month=12&amp;end_day=31&amp;end_year=2014","Purwanchal")</f>
        <v>Purwanchal</v>
      </c>
      <c r="G3017" s="28" t="str">
        <f>HYPERLINK("http://api.nsgreg.nga.mil/geo-division/GENC/6/ed3/NP-4","as:GENC:6:ed3:NP-4")</f>
        <v>as:GENC:6:ed3:NP-4</v>
      </c>
    </row>
    <row r="3018" spans="1:7" x14ac:dyDescent="0.2">
      <c r="A3018" s="85"/>
      <c r="B3018" s="25" t="s">
        <v>7679</v>
      </c>
      <c r="C3018" s="25" t="s">
        <v>13083</v>
      </c>
      <c r="D3018" s="25" t="s">
        <v>7646</v>
      </c>
      <c r="E3018" s="26" t="b">
        <v>1</v>
      </c>
      <c r="F3018" s="27" t="str">
        <f>HYPERLINK("http://nsgreg.nga.mil/genc/view?v=212806&amp;end_month=12&amp;end_day=31&amp;end_year=2014","Rāptī")</f>
        <v>Rāptī</v>
      </c>
      <c r="G3018" s="28" t="str">
        <f>HYPERLINK("http://api.nsgreg.nga.mil/geo-division/GENC/6/ed3/NP-RA","as:GENC:6:ed3:NP-RA")</f>
        <v>as:GENC:6:ed3:NP-RA</v>
      </c>
    </row>
    <row r="3019" spans="1:7" x14ac:dyDescent="0.2">
      <c r="A3019" s="85"/>
      <c r="B3019" s="25" t="s">
        <v>7681</v>
      </c>
      <c r="C3019" s="25" t="s">
        <v>13084</v>
      </c>
      <c r="D3019" s="25" t="s">
        <v>7646</v>
      </c>
      <c r="E3019" s="26" t="b">
        <v>1</v>
      </c>
      <c r="F3019" s="27" t="str">
        <f>HYPERLINK("http://nsgreg.nga.mil/genc/view?v=212807&amp;end_month=12&amp;end_day=31&amp;end_year=2014","Sagarmāthā")</f>
        <v>Sagarmāthā</v>
      </c>
      <c r="G3019" s="28" t="str">
        <f>HYPERLINK("http://api.nsgreg.nga.mil/geo-division/GENC/6/ed3/NP-SA","as:GENC:6:ed3:NP-SA")</f>
        <v>as:GENC:6:ed3:NP-SA</v>
      </c>
    </row>
    <row r="3020" spans="1:7" x14ac:dyDescent="0.2">
      <c r="A3020" s="85"/>
      <c r="B3020" s="25" t="s">
        <v>7683</v>
      </c>
      <c r="C3020" s="25" t="s">
        <v>13085</v>
      </c>
      <c r="D3020" s="25" t="s">
        <v>7646</v>
      </c>
      <c r="E3020" s="26" t="b">
        <v>1</v>
      </c>
      <c r="F3020" s="27" t="str">
        <f>HYPERLINK("http://nsgreg.nga.mil/genc/view?v=212808&amp;end_month=12&amp;end_day=31&amp;end_year=2014","Setī")</f>
        <v>Setī</v>
      </c>
      <c r="G3020" s="28" t="str">
        <f>HYPERLINK("http://api.nsgreg.nga.mil/geo-division/GENC/6/ed3/NP-SE","as:GENC:6:ed3:NP-SE")</f>
        <v>as:GENC:6:ed3:NP-SE</v>
      </c>
    </row>
    <row r="3021" spans="1:7" x14ac:dyDescent="0.2">
      <c r="A3021" s="86"/>
      <c r="B3021" s="29" t="s">
        <v>7654</v>
      </c>
      <c r="C3021" s="29" t="s">
        <v>7685</v>
      </c>
      <c r="D3021" s="39" t="s">
        <v>7650</v>
      </c>
      <c r="E3021" s="40" t="b">
        <v>0</v>
      </c>
      <c r="F3021" s="31" t="str">
        <f>HYPERLINK("http://nsgreg.nga.mil/genc/view?v=212794&amp;end_month=12&amp;end_day=31&amp;end_year=2014","Sudur Pashchimanchal")</f>
        <v>Sudur Pashchimanchal</v>
      </c>
      <c r="G3021" s="32" t="str">
        <f>HYPERLINK("http://api.nsgreg.nga.mil/geo-division/GENC/6/ed3/NP-5","as:GENC:6:ed3:NP-5")</f>
        <v>as:GENC:6:ed3:NP-5</v>
      </c>
    </row>
    <row r="3022" spans="1:7" x14ac:dyDescent="0.2">
      <c r="A3022" s="84" t="str">
        <f>HYPERLINK("[#]Codes_for_GE_Names!A185:I185","NETHERLANDS")</f>
        <v>NETHERLANDS</v>
      </c>
      <c r="B3022" s="33" t="s">
        <v>7693</v>
      </c>
      <c r="C3022" s="33" t="s">
        <v>7694</v>
      </c>
      <c r="D3022" s="33" t="s">
        <v>1719</v>
      </c>
      <c r="E3022" s="34" t="b">
        <v>1</v>
      </c>
      <c r="F3022" s="35" t="str">
        <f>HYPERLINK("http://nsgreg.nga.mil/genc/view?v=121218&amp;gencs=T&amp;end_month=12&amp;end_day=31&amp;end_year=2014","Drenthe")</f>
        <v>Drenthe</v>
      </c>
      <c r="G3022" s="36" t="str">
        <f>HYPERLINK("http://api.nsgreg.nga.mil/geo-division/GENC/6/ed3/NL-DR","as:GENC:6:ed3:NL-DR")</f>
        <v>as:GENC:6:ed3:NL-DR</v>
      </c>
    </row>
    <row r="3023" spans="1:7" x14ac:dyDescent="0.2">
      <c r="A3023" s="85"/>
      <c r="B3023" s="25" t="s">
        <v>7695</v>
      </c>
      <c r="C3023" s="25" t="s">
        <v>7696</v>
      </c>
      <c r="D3023" s="25" t="s">
        <v>1719</v>
      </c>
      <c r="E3023" s="26" t="b">
        <v>1</v>
      </c>
      <c r="F3023" s="27" t="str">
        <f>HYPERLINK("http://nsgreg.nga.mil/genc/view?v=121219&amp;gencs=T&amp;end_month=12&amp;end_day=31&amp;end_year=2014","Flevoland")</f>
        <v>Flevoland</v>
      </c>
      <c r="G3023" s="28" t="str">
        <f>HYPERLINK("http://api.nsgreg.nga.mil/geo-division/GENC/6/ed3/NL-FL","as:GENC:6:ed3:NL-FL")</f>
        <v>as:GENC:6:ed3:NL-FL</v>
      </c>
    </row>
    <row r="3024" spans="1:7" x14ac:dyDescent="0.2">
      <c r="A3024" s="85"/>
      <c r="B3024" s="25" t="s">
        <v>7697</v>
      </c>
      <c r="C3024" s="25" t="s">
        <v>7698</v>
      </c>
      <c r="D3024" s="25" t="s">
        <v>1719</v>
      </c>
      <c r="E3024" s="26" t="b">
        <v>1</v>
      </c>
      <c r="F3024" s="27" t="str">
        <f>HYPERLINK("http://nsgreg.nga.mil/genc/view?v=212767&amp;end_month=12&amp;end_day=31&amp;end_year=2014","Fryslân")</f>
        <v>Fryslân</v>
      </c>
      <c r="G3024" s="28" t="str">
        <f>HYPERLINK("http://api.nsgreg.nga.mil/geo-division/GENC/6/ed3/NL-FR","as:GENC:6:ed3:NL-FR")</f>
        <v>as:GENC:6:ed3:NL-FR</v>
      </c>
    </row>
    <row r="3025" spans="1:7" x14ac:dyDescent="0.2">
      <c r="A3025" s="85"/>
      <c r="B3025" s="25" t="s">
        <v>7699</v>
      </c>
      <c r="C3025" s="25" t="s">
        <v>7700</v>
      </c>
      <c r="D3025" s="25" t="s">
        <v>1719</v>
      </c>
      <c r="E3025" s="26" t="b">
        <v>1</v>
      </c>
      <c r="F3025" s="27" t="str">
        <f>HYPERLINK("http://nsgreg.nga.mil/genc/view?v=121221&amp;gencs=T&amp;end_month=12&amp;end_day=31&amp;end_year=2014","Gelderland")</f>
        <v>Gelderland</v>
      </c>
      <c r="G3025" s="28" t="str">
        <f>HYPERLINK("http://api.nsgreg.nga.mil/geo-division/GENC/6/ed3/NL-GE","as:GENC:6:ed3:NL-GE")</f>
        <v>as:GENC:6:ed3:NL-GE</v>
      </c>
    </row>
    <row r="3026" spans="1:7" x14ac:dyDescent="0.2">
      <c r="A3026" s="85"/>
      <c r="B3026" s="25" t="s">
        <v>7701</v>
      </c>
      <c r="C3026" s="25" t="s">
        <v>7702</v>
      </c>
      <c r="D3026" s="25" t="s">
        <v>1719</v>
      </c>
      <c r="E3026" s="26" t="b">
        <v>1</v>
      </c>
      <c r="F3026" s="27" t="str">
        <f>HYPERLINK("http://nsgreg.nga.mil/genc/view?v=121222&amp;gencs=T&amp;end_month=12&amp;end_day=31&amp;end_year=2014","Groningen")</f>
        <v>Groningen</v>
      </c>
      <c r="G3026" s="28" t="str">
        <f>HYPERLINK("http://api.nsgreg.nga.mil/geo-division/GENC/6/ed3/NL-GR","as:GENC:6:ed3:NL-GR")</f>
        <v>as:GENC:6:ed3:NL-GR</v>
      </c>
    </row>
    <row r="3027" spans="1:7" x14ac:dyDescent="0.2">
      <c r="A3027" s="85"/>
      <c r="B3027" s="25" t="s">
        <v>7703</v>
      </c>
      <c r="C3027" s="25" t="s">
        <v>2561</v>
      </c>
      <c r="D3027" s="25" t="s">
        <v>1719</v>
      </c>
      <c r="E3027" s="26" t="b">
        <v>1</v>
      </c>
      <c r="F3027" s="27" t="str">
        <f>HYPERLINK("http://nsgreg.nga.mil/genc/view?v=121223&amp;gencs=T&amp;end_month=12&amp;end_day=31&amp;end_year=2014","Limburg")</f>
        <v>Limburg</v>
      </c>
      <c r="G3027" s="28" t="str">
        <f>HYPERLINK("http://api.nsgreg.nga.mil/geo-division/GENC/6/ed3/NL-LI","as:GENC:6:ed3:NL-LI")</f>
        <v>as:GENC:6:ed3:NL-LI</v>
      </c>
    </row>
    <row r="3028" spans="1:7" x14ac:dyDescent="0.2">
      <c r="A3028" s="85"/>
      <c r="B3028" s="25" t="s">
        <v>7704</v>
      </c>
      <c r="C3028" s="25" t="s">
        <v>7705</v>
      </c>
      <c r="D3028" s="25" t="s">
        <v>1719</v>
      </c>
      <c r="E3028" s="26" t="b">
        <v>1</v>
      </c>
      <c r="F3028" s="27" t="str">
        <f>HYPERLINK("http://nsgreg.nga.mil/genc/view?v=121224&amp;gencs=T&amp;end_month=12&amp;end_day=31&amp;end_year=2014","Noord-Brabant")</f>
        <v>Noord-Brabant</v>
      </c>
      <c r="G3028" s="28" t="str">
        <f>HYPERLINK("http://api.nsgreg.nga.mil/geo-division/GENC/6/ed3/NL-NB","as:GENC:6:ed3:NL-NB")</f>
        <v>as:GENC:6:ed3:NL-NB</v>
      </c>
    </row>
    <row r="3029" spans="1:7" x14ac:dyDescent="0.2">
      <c r="A3029" s="85"/>
      <c r="B3029" s="25" t="s">
        <v>7706</v>
      </c>
      <c r="C3029" s="25" t="s">
        <v>7707</v>
      </c>
      <c r="D3029" s="25" t="s">
        <v>1719</v>
      </c>
      <c r="E3029" s="26" t="b">
        <v>1</v>
      </c>
      <c r="F3029" s="27" t="str">
        <f>HYPERLINK("http://nsgreg.nga.mil/genc/view?v=121225&amp;gencs=T&amp;end_month=12&amp;end_day=31&amp;end_year=2014","Noord-Holland")</f>
        <v>Noord-Holland</v>
      </c>
      <c r="G3029" s="28" t="str">
        <f>HYPERLINK("http://api.nsgreg.nga.mil/geo-division/GENC/6/ed3/NL-NH","as:GENC:6:ed3:NL-NH")</f>
        <v>as:GENC:6:ed3:NL-NH</v>
      </c>
    </row>
    <row r="3030" spans="1:7" x14ac:dyDescent="0.2">
      <c r="A3030" s="85"/>
      <c r="B3030" s="25" t="s">
        <v>7708</v>
      </c>
      <c r="C3030" s="25" t="s">
        <v>7709</v>
      </c>
      <c r="D3030" s="25" t="s">
        <v>1719</v>
      </c>
      <c r="E3030" s="26" t="b">
        <v>1</v>
      </c>
      <c r="F3030" s="27" t="str">
        <f>HYPERLINK("http://nsgreg.nga.mil/genc/view?v=121226&amp;gencs=T&amp;end_month=12&amp;end_day=31&amp;end_year=2014","Overijssel")</f>
        <v>Overijssel</v>
      </c>
      <c r="G3030" s="28" t="str">
        <f>HYPERLINK("http://api.nsgreg.nga.mil/geo-division/GENC/6/ed3/NL-OV","as:GENC:6:ed3:NL-OV")</f>
        <v>as:GENC:6:ed3:NL-OV</v>
      </c>
    </row>
    <row r="3031" spans="1:7" x14ac:dyDescent="0.2">
      <c r="A3031" s="85"/>
      <c r="B3031" s="25" t="s">
        <v>7716</v>
      </c>
      <c r="C3031" s="25" t="s">
        <v>7717</v>
      </c>
      <c r="D3031" s="25" t="s">
        <v>1719</v>
      </c>
      <c r="E3031" s="26" t="b">
        <v>1</v>
      </c>
      <c r="F3031" s="27" t="str">
        <f>HYPERLINK("http://nsgreg.nga.mil/genc/view?v=121228&amp;gencs=T&amp;end_month=12&amp;end_day=31&amp;end_year=2014","Utrecht")</f>
        <v>Utrecht</v>
      </c>
      <c r="G3031" s="28" t="str">
        <f>HYPERLINK("http://api.nsgreg.nga.mil/geo-division/GENC/6/ed3/NL-UT","as:GENC:6:ed3:NL-UT")</f>
        <v>as:GENC:6:ed3:NL-UT</v>
      </c>
    </row>
    <row r="3032" spans="1:7" x14ac:dyDescent="0.2">
      <c r="A3032" s="85"/>
      <c r="B3032" s="25" t="s">
        <v>7718</v>
      </c>
      <c r="C3032" s="25" t="s">
        <v>7719</v>
      </c>
      <c r="D3032" s="25" t="s">
        <v>1719</v>
      </c>
      <c r="E3032" s="26" t="b">
        <v>1</v>
      </c>
      <c r="F3032" s="27" t="str">
        <f>HYPERLINK("http://nsgreg.nga.mil/genc/view?v=121229&amp;gencs=T&amp;end_month=12&amp;end_day=31&amp;end_year=2014","Zeeland")</f>
        <v>Zeeland</v>
      </c>
      <c r="G3032" s="28" t="str">
        <f>HYPERLINK("http://api.nsgreg.nga.mil/geo-division/GENC/6/ed3/NL-ZE","as:GENC:6:ed3:NL-ZE")</f>
        <v>as:GENC:6:ed3:NL-ZE</v>
      </c>
    </row>
    <row r="3033" spans="1:7" x14ac:dyDescent="0.2">
      <c r="A3033" s="86"/>
      <c r="B3033" s="29" t="s">
        <v>7720</v>
      </c>
      <c r="C3033" s="29" t="s">
        <v>7721</v>
      </c>
      <c r="D3033" s="29" t="s">
        <v>1719</v>
      </c>
      <c r="E3033" s="30" t="b">
        <v>1</v>
      </c>
      <c r="F3033" s="31" t="str">
        <f>HYPERLINK("http://nsgreg.nga.mil/genc/view?v=121230&amp;gencs=T&amp;end_month=12&amp;end_day=31&amp;end_year=2014","Zuid-Holland")</f>
        <v>Zuid-Holland</v>
      </c>
      <c r="G3033" s="32" t="str">
        <f>HYPERLINK("http://api.nsgreg.nga.mil/geo-division/GENC/6/ed3/NL-ZH","as:GENC:6:ed3:NL-ZH")</f>
        <v>as:GENC:6:ed3:NL-ZH</v>
      </c>
    </row>
    <row r="3034" spans="1:7" x14ac:dyDescent="0.2">
      <c r="A3034" s="84" t="str">
        <f>HYPERLINK("[#]Codes_for_GE_Names!A186:I186","NEW CALEDONIA")</f>
        <v>NEW CALEDONIA</v>
      </c>
      <c r="B3034" s="33" t="s">
        <v>13086</v>
      </c>
      <c r="C3034" s="33" t="s">
        <v>13087</v>
      </c>
      <c r="D3034" s="33" t="s">
        <v>1719</v>
      </c>
      <c r="E3034" s="34" t="b">
        <v>1</v>
      </c>
      <c r="F3034" s="35" t="str">
        <f>HYPERLINK("http://nsgreg.nga.mil/genc/view?v=212757&amp;end_month=12&amp;end_day=31&amp;end_year=2014","Province Îles")</f>
        <v>Province Îles</v>
      </c>
      <c r="G3034" s="36" t="str">
        <f>HYPERLINK("http://api.nsgreg.nga.mil/geo-division/GENC/6/ed3/NC-01","as:GENC:6:ed3:NC-01")</f>
        <v>as:GENC:6:ed3:NC-01</v>
      </c>
    </row>
    <row r="3035" spans="1:7" x14ac:dyDescent="0.2">
      <c r="A3035" s="85"/>
      <c r="B3035" s="25" t="s">
        <v>13088</v>
      </c>
      <c r="C3035" s="25" t="s">
        <v>13089</v>
      </c>
      <c r="D3035" s="25" t="s">
        <v>1719</v>
      </c>
      <c r="E3035" s="26" t="b">
        <v>1</v>
      </c>
      <c r="F3035" s="27" t="str">
        <f>HYPERLINK("http://nsgreg.nga.mil/genc/view?v=212758&amp;end_month=12&amp;end_day=31&amp;end_year=2014","Province Nord")</f>
        <v>Province Nord</v>
      </c>
      <c r="G3035" s="28" t="str">
        <f>HYPERLINK("http://api.nsgreg.nga.mil/geo-division/GENC/6/ed3/NC-02","as:GENC:6:ed3:NC-02")</f>
        <v>as:GENC:6:ed3:NC-02</v>
      </c>
    </row>
    <row r="3036" spans="1:7" x14ac:dyDescent="0.2">
      <c r="A3036" s="86"/>
      <c r="B3036" s="29" t="s">
        <v>13090</v>
      </c>
      <c r="C3036" s="29" t="s">
        <v>13091</v>
      </c>
      <c r="D3036" s="29" t="s">
        <v>1719</v>
      </c>
      <c r="E3036" s="30" t="b">
        <v>1</v>
      </c>
      <c r="F3036" s="31" t="str">
        <f>HYPERLINK("http://nsgreg.nga.mil/genc/view?v=212759&amp;end_month=12&amp;end_day=31&amp;end_year=2014","Province Sud")</f>
        <v>Province Sud</v>
      </c>
      <c r="G3036" s="32" t="str">
        <f>HYPERLINK("http://api.nsgreg.nga.mil/geo-division/GENC/6/ed3/NC-03","as:GENC:6:ed3:NC-03")</f>
        <v>as:GENC:6:ed3:NC-03</v>
      </c>
    </row>
    <row r="3037" spans="1:7" x14ac:dyDescent="0.2">
      <c r="A3037" s="84" t="str">
        <f>HYPERLINK("[#]Codes_for_GE_Names!A187:I187","NEW ZEALAND")</f>
        <v>NEW ZEALAND</v>
      </c>
      <c r="B3037" s="33" t="s">
        <v>7722</v>
      </c>
      <c r="C3037" s="33" t="s">
        <v>7723</v>
      </c>
      <c r="D3037" s="33" t="s">
        <v>2087</v>
      </c>
      <c r="E3037" s="34" t="b">
        <v>1</v>
      </c>
      <c r="F3037" s="35" t="str">
        <f>HYPERLINK("http://nsgreg.nga.mil/genc/view?v=212823&amp;end_month=12&amp;end_day=31&amp;end_year=2014","Auckland")</f>
        <v>Auckland</v>
      </c>
      <c r="G3037" s="36" t="str">
        <f>HYPERLINK("http://api.nsgreg.nga.mil/geo-division/GENC/6/ed3/NZ-AUK","as:GENC:6:ed3:NZ-AUK")</f>
        <v>as:GENC:6:ed3:NZ-AUK</v>
      </c>
    </row>
    <row r="3038" spans="1:7" x14ac:dyDescent="0.2">
      <c r="A3038" s="85"/>
      <c r="B3038" s="25" t="s">
        <v>7725</v>
      </c>
      <c r="C3038" s="25" t="s">
        <v>7726</v>
      </c>
      <c r="D3038" s="25" t="s">
        <v>2087</v>
      </c>
      <c r="E3038" s="26" t="b">
        <v>1</v>
      </c>
      <c r="F3038" s="27" t="str">
        <f>HYPERLINK("http://nsgreg.nga.mil/genc/view?v=212824&amp;end_month=12&amp;end_day=31&amp;end_year=2014","Bay of Plenty")</f>
        <v>Bay of Plenty</v>
      </c>
      <c r="G3038" s="28" t="str">
        <f>HYPERLINK("http://api.nsgreg.nga.mil/geo-division/GENC/6/ed3/NZ-BOP","as:GENC:6:ed3:NZ-BOP")</f>
        <v>as:GENC:6:ed3:NZ-BOP</v>
      </c>
    </row>
    <row r="3039" spans="1:7" x14ac:dyDescent="0.2">
      <c r="A3039" s="85"/>
      <c r="B3039" s="25" t="s">
        <v>7727</v>
      </c>
      <c r="C3039" s="25" t="s">
        <v>7728</v>
      </c>
      <c r="D3039" s="25" t="s">
        <v>2087</v>
      </c>
      <c r="E3039" s="26" t="b">
        <v>1</v>
      </c>
      <c r="F3039" s="27" t="str">
        <f>HYPERLINK("http://nsgreg.nga.mil/genc/view?v=212825&amp;end_month=12&amp;end_day=31&amp;end_year=2014","Canterbury")</f>
        <v>Canterbury</v>
      </c>
      <c r="G3039" s="28" t="str">
        <f>HYPERLINK("http://api.nsgreg.nga.mil/geo-division/GENC/6/ed3/NZ-CAN","as:GENC:6:ed3:NZ-CAN")</f>
        <v>as:GENC:6:ed3:NZ-CAN</v>
      </c>
    </row>
    <row r="3040" spans="1:7" x14ac:dyDescent="0.2">
      <c r="A3040" s="85"/>
      <c r="B3040" s="25" t="s">
        <v>7729</v>
      </c>
      <c r="C3040" s="25" t="s">
        <v>13092</v>
      </c>
      <c r="D3040" s="25" t="s">
        <v>1790</v>
      </c>
      <c r="E3040" s="26" t="b">
        <v>1</v>
      </c>
      <c r="F3040" s="27" t="str">
        <f>HYPERLINK("http://nsgreg.nga.mil/genc/view?v=212826&amp;end_month=12&amp;end_day=31&amp;end_year=2014","Chatham Islands")</f>
        <v>Chatham Islands</v>
      </c>
      <c r="G3040" s="28" t="str">
        <f>HYPERLINK("http://api.nsgreg.nga.mil/geo-division/GENC/6/ed3/NZ-CIT","as:GENC:6:ed3:NZ-CIT")</f>
        <v>as:GENC:6:ed3:NZ-CIT</v>
      </c>
    </row>
    <row r="3041" spans="1:7" x14ac:dyDescent="0.2">
      <c r="A3041" s="85"/>
      <c r="B3041" s="25" t="s">
        <v>7732</v>
      </c>
      <c r="C3041" s="25" t="s">
        <v>13093</v>
      </c>
      <c r="D3041" s="25" t="s">
        <v>2087</v>
      </c>
      <c r="E3041" s="26" t="b">
        <v>1</v>
      </c>
      <c r="F3041" s="27" t="str">
        <f>HYPERLINK("http://nsgreg.nga.mil/genc/view?v=212827&amp;end_month=12&amp;end_day=31&amp;end_year=2014","Gisborne")</f>
        <v>Gisborne</v>
      </c>
      <c r="G3041" s="28" t="str">
        <f>HYPERLINK("http://api.nsgreg.nga.mil/geo-division/GENC/6/ed3/NZ-GIS","as:GENC:6:ed3:NZ-GIS")</f>
        <v>as:GENC:6:ed3:NZ-GIS</v>
      </c>
    </row>
    <row r="3042" spans="1:7" x14ac:dyDescent="0.2">
      <c r="A3042" s="85"/>
      <c r="B3042" s="25" t="s">
        <v>7735</v>
      </c>
      <c r="C3042" s="25" t="s">
        <v>13094</v>
      </c>
      <c r="D3042" s="25" t="s">
        <v>2087</v>
      </c>
      <c r="E3042" s="26" t="b">
        <v>1</v>
      </c>
      <c r="F3042" s="27" t="str">
        <f>HYPERLINK("http://nsgreg.nga.mil/genc/view?v=212828&amp;end_month=12&amp;end_day=31&amp;end_year=2014","Hawke’s Bay")</f>
        <v>Hawke’s Bay</v>
      </c>
      <c r="G3042" s="28" t="str">
        <f>HYPERLINK("http://api.nsgreg.nga.mil/geo-division/GENC/6/ed3/NZ-HKB","as:GENC:6:ed3:NZ-HKB")</f>
        <v>as:GENC:6:ed3:NZ-HKB</v>
      </c>
    </row>
    <row r="3043" spans="1:7" x14ac:dyDescent="0.2">
      <c r="A3043" s="85"/>
      <c r="B3043" s="25" t="s">
        <v>7737</v>
      </c>
      <c r="C3043" s="25" t="s">
        <v>7739</v>
      </c>
      <c r="D3043" s="25" t="s">
        <v>2087</v>
      </c>
      <c r="E3043" s="26" t="b">
        <v>1</v>
      </c>
      <c r="F3043" s="27" t="str">
        <f>HYPERLINK("http://nsgreg.nga.mil/genc/view?v=212830&amp;end_month=12&amp;end_day=31&amp;end_year=2014","Manawatu-Wanganui")</f>
        <v>Manawatu-Wanganui</v>
      </c>
      <c r="G3043" s="28" t="str">
        <f>HYPERLINK("http://api.nsgreg.nga.mil/geo-division/GENC/6/ed3/NZ-MWT","as:GENC:6:ed3:NZ-MWT")</f>
        <v>as:GENC:6:ed3:NZ-MWT</v>
      </c>
    </row>
    <row r="3044" spans="1:7" x14ac:dyDescent="0.2">
      <c r="A3044" s="85"/>
      <c r="B3044" s="25" t="s">
        <v>7740</v>
      </c>
      <c r="C3044" s="25" t="s">
        <v>13095</v>
      </c>
      <c r="D3044" s="25" t="s">
        <v>2087</v>
      </c>
      <c r="E3044" s="26" t="b">
        <v>1</v>
      </c>
      <c r="F3044" s="27" t="str">
        <f>HYPERLINK("http://nsgreg.nga.mil/genc/view?v=212829&amp;end_month=12&amp;end_day=31&amp;end_year=2014","Marlborough")</f>
        <v>Marlborough</v>
      </c>
      <c r="G3044" s="28" t="str">
        <f>HYPERLINK("http://api.nsgreg.nga.mil/geo-division/GENC/6/ed3/NZ-MBH","as:GENC:6:ed3:NZ-MBH")</f>
        <v>as:GENC:6:ed3:NZ-MBH</v>
      </c>
    </row>
    <row r="3045" spans="1:7" x14ac:dyDescent="0.2">
      <c r="A3045" s="85"/>
      <c r="B3045" s="25" t="s">
        <v>7744</v>
      </c>
      <c r="C3045" s="25" t="s">
        <v>13096</v>
      </c>
      <c r="D3045" s="25" t="s">
        <v>2087</v>
      </c>
      <c r="E3045" s="26" t="b">
        <v>1</v>
      </c>
      <c r="F3045" s="27" t="str">
        <f>HYPERLINK("http://nsgreg.nga.mil/genc/view?v=212831&amp;end_month=12&amp;end_day=31&amp;end_year=2014","Nelson")</f>
        <v>Nelson</v>
      </c>
      <c r="G3045" s="28" t="str">
        <f>HYPERLINK("http://api.nsgreg.nga.mil/geo-division/GENC/6/ed3/NZ-NSN","as:GENC:6:ed3:NZ-NSN")</f>
        <v>as:GENC:6:ed3:NZ-NSN</v>
      </c>
    </row>
    <row r="3046" spans="1:7" x14ac:dyDescent="0.2">
      <c r="A3046" s="85"/>
      <c r="B3046" s="25" t="s">
        <v>7746</v>
      </c>
      <c r="C3046" s="25" t="s">
        <v>7747</v>
      </c>
      <c r="D3046" s="37" t="s">
        <v>3443</v>
      </c>
      <c r="E3046" s="38" t="b">
        <v>0</v>
      </c>
      <c r="F3046" s="27" t="str">
        <f>HYPERLINK("http://nsgreg.nga.mil/genc/view?v=121293&amp;gencs=T&amp;end_month=12&amp;end_day=31&amp;end_year=2014","North Island")</f>
        <v>North Island</v>
      </c>
      <c r="G3046" s="28" t="str">
        <f>HYPERLINK("http://api.nsgreg.nga.mil/geo-division/GENC/6/ed3/NZ-N","as:GENC:6:ed3:NZ-N")</f>
        <v>as:GENC:6:ed3:NZ-N</v>
      </c>
    </row>
    <row r="3047" spans="1:7" x14ac:dyDescent="0.2">
      <c r="A3047" s="85"/>
      <c r="B3047" s="25" t="s">
        <v>7748</v>
      </c>
      <c r="C3047" s="25" t="s">
        <v>7749</v>
      </c>
      <c r="D3047" s="25" t="s">
        <v>2087</v>
      </c>
      <c r="E3047" s="26" t="b">
        <v>1</v>
      </c>
      <c r="F3047" s="27" t="str">
        <f>HYPERLINK("http://nsgreg.nga.mil/genc/view?v=212832&amp;end_month=12&amp;end_day=31&amp;end_year=2014","Northland")</f>
        <v>Northland</v>
      </c>
      <c r="G3047" s="28" t="str">
        <f>HYPERLINK("http://api.nsgreg.nga.mil/geo-division/GENC/6/ed3/NZ-NTL","as:GENC:6:ed3:NZ-NTL")</f>
        <v>as:GENC:6:ed3:NZ-NTL</v>
      </c>
    </row>
    <row r="3048" spans="1:7" x14ac:dyDescent="0.2">
      <c r="A3048" s="85"/>
      <c r="B3048" s="25" t="s">
        <v>7750</v>
      </c>
      <c r="C3048" s="25" t="s">
        <v>7751</v>
      </c>
      <c r="D3048" s="25" t="s">
        <v>2087</v>
      </c>
      <c r="E3048" s="26" t="b">
        <v>1</v>
      </c>
      <c r="F3048" s="27" t="str">
        <f>HYPERLINK("http://nsgreg.nga.mil/genc/view?v=212833&amp;end_month=12&amp;end_day=31&amp;end_year=2014","Otago")</f>
        <v>Otago</v>
      </c>
      <c r="G3048" s="28" t="str">
        <f>HYPERLINK("http://api.nsgreg.nga.mil/geo-division/GENC/6/ed3/NZ-OTA","as:GENC:6:ed3:NZ-OTA")</f>
        <v>as:GENC:6:ed3:NZ-OTA</v>
      </c>
    </row>
    <row r="3049" spans="1:7" x14ac:dyDescent="0.2">
      <c r="A3049" s="85"/>
      <c r="B3049" s="25" t="s">
        <v>7752</v>
      </c>
      <c r="C3049" s="25" t="s">
        <v>7753</v>
      </c>
      <c r="D3049" s="37" t="s">
        <v>3443</v>
      </c>
      <c r="E3049" s="38" t="b">
        <v>0</v>
      </c>
      <c r="F3049" s="27" t="str">
        <f>HYPERLINK("http://nsgreg.nga.mil/genc/view?v=121297&amp;gencs=T&amp;end_month=12&amp;end_day=31&amp;end_year=2014","South Island")</f>
        <v>South Island</v>
      </c>
      <c r="G3049" s="28" t="str">
        <f>HYPERLINK("http://api.nsgreg.nga.mil/geo-division/GENC/6/ed3/NZ-S","as:GENC:6:ed3:NZ-S")</f>
        <v>as:GENC:6:ed3:NZ-S</v>
      </c>
    </row>
    <row r="3050" spans="1:7" x14ac:dyDescent="0.2">
      <c r="A3050" s="85"/>
      <c r="B3050" s="25" t="s">
        <v>7742</v>
      </c>
      <c r="C3050" s="25" t="s">
        <v>7754</v>
      </c>
      <c r="D3050" s="25" t="s">
        <v>2087</v>
      </c>
      <c r="E3050" s="26" t="b">
        <v>1</v>
      </c>
      <c r="F3050" s="27" t="str">
        <f>HYPERLINK("http://nsgreg.nga.mil/genc/view?v=212834&amp;end_month=12&amp;end_day=31&amp;end_year=2014","Southland")</f>
        <v>Southland</v>
      </c>
      <c r="G3050" s="28" t="str">
        <f>HYPERLINK("http://api.nsgreg.nga.mil/geo-division/GENC/6/ed3/NZ-STL","as:GENC:6:ed3:NZ-STL")</f>
        <v>as:GENC:6:ed3:NZ-STL</v>
      </c>
    </row>
    <row r="3051" spans="1:7" x14ac:dyDescent="0.2">
      <c r="A3051" s="85"/>
      <c r="B3051" s="25" t="s">
        <v>7755</v>
      </c>
      <c r="C3051" s="25" t="s">
        <v>7756</v>
      </c>
      <c r="D3051" s="25" t="s">
        <v>2087</v>
      </c>
      <c r="E3051" s="26" t="b">
        <v>1</v>
      </c>
      <c r="F3051" s="27" t="str">
        <f>HYPERLINK("http://nsgreg.nga.mil/genc/view?v=212836&amp;end_month=12&amp;end_day=31&amp;end_year=2014","Taranaki")</f>
        <v>Taranaki</v>
      </c>
      <c r="G3051" s="28" t="str">
        <f>HYPERLINK("http://api.nsgreg.nga.mil/geo-division/GENC/6/ed3/NZ-TKI","as:GENC:6:ed3:NZ-TKI")</f>
        <v>as:GENC:6:ed3:NZ-TKI</v>
      </c>
    </row>
    <row r="3052" spans="1:7" x14ac:dyDescent="0.2">
      <c r="A3052" s="85"/>
      <c r="B3052" s="25" t="s">
        <v>7757</v>
      </c>
      <c r="C3052" s="25" t="s">
        <v>13097</v>
      </c>
      <c r="D3052" s="25" t="s">
        <v>2087</v>
      </c>
      <c r="E3052" s="26" t="b">
        <v>1</v>
      </c>
      <c r="F3052" s="27" t="str">
        <f>HYPERLINK("http://nsgreg.nga.mil/genc/view?v=212835&amp;end_month=12&amp;end_day=31&amp;end_year=2014","Tasman")</f>
        <v>Tasman</v>
      </c>
      <c r="G3052" s="28" t="str">
        <f>HYPERLINK("http://api.nsgreg.nga.mil/geo-division/GENC/6/ed3/NZ-TAS","as:GENC:6:ed3:NZ-TAS")</f>
        <v>as:GENC:6:ed3:NZ-TAS</v>
      </c>
    </row>
    <row r="3053" spans="1:7" x14ac:dyDescent="0.2">
      <c r="A3053" s="85"/>
      <c r="B3053" s="25" t="s">
        <v>7768</v>
      </c>
      <c r="C3053" s="25" t="s">
        <v>7769</v>
      </c>
      <c r="D3053" s="25" t="s">
        <v>2087</v>
      </c>
      <c r="E3053" s="26" t="b">
        <v>1</v>
      </c>
      <c r="F3053" s="27" t="str">
        <f>HYPERLINK("http://nsgreg.nga.mil/genc/view?v=212838&amp;end_month=12&amp;end_day=31&amp;end_year=2014","Waikato")</f>
        <v>Waikato</v>
      </c>
      <c r="G3053" s="28" t="str">
        <f>HYPERLINK("http://api.nsgreg.nga.mil/geo-division/GENC/6/ed3/NZ-WKO","as:GENC:6:ed3:NZ-WKO")</f>
        <v>as:GENC:6:ed3:NZ-WKO</v>
      </c>
    </row>
    <row r="3054" spans="1:7" x14ac:dyDescent="0.2">
      <c r="A3054" s="85"/>
      <c r="B3054" s="25" t="s">
        <v>7764</v>
      </c>
      <c r="C3054" s="25" t="s">
        <v>7771</v>
      </c>
      <c r="D3054" s="25" t="s">
        <v>2087</v>
      </c>
      <c r="E3054" s="26" t="b">
        <v>1</v>
      </c>
      <c r="F3054" s="27" t="str">
        <f>HYPERLINK("http://nsgreg.nga.mil/genc/view?v=212837&amp;end_month=12&amp;end_day=31&amp;end_year=2014","Wellington")</f>
        <v>Wellington</v>
      </c>
      <c r="G3054" s="28" t="str">
        <f>HYPERLINK("http://api.nsgreg.nga.mil/geo-division/GENC/6/ed3/NZ-WGN","as:GENC:6:ed3:NZ-WGN")</f>
        <v>as:GENC:6:ed3:NZ-WGN</v>
      </c>
    </row>
    <row r="3055" spans="1:7" x14ac:dyDescent="0.2">
      <c r="A3055" s="86"/>
      <c r="B3055" s="29" t="s">
        <v>7762</v>
      </c>
      <c r="C3055" s="29" t="s">
        <v>7772</v>
      </c>
      <c r="D3055" s="29" t="s">
        <v>2087</v>
      </c>
      <c r="E3055" s="30" t="b">
        <v>1</v>
      </c>
      <c r="F3055" s="31" t="str">
        <f>HYPERLINK("http://nsgreg.nga.mil/genc/view?v=212839&amp;end_month=12&amp;end_day=31&amp;end_year=2014","West Coast")</f>
        <v>West Coast</v>
      </c>
      <c r="G3055" s="32" t="str">
        <f>HYPERLINK("http://api.nsgreg.nga.mil/geo-division/GENC/6/ed3/NZ-WTC","as:GENC:6:ed3:NZ-WTC")</f>
        <v>as:GENC:6:ed3:NZ-WTC</v>
      </c>
    </row>
    <row r="3056" spans="1:7" x14ac:dyDescent="0.2">
      <c r="A3056" s="84" t="str">
        <f>HYPERLINK("[#]Codes_for_GE_Names!A188:I188","NICARAGUA")</f>
        <v>NICARAGUA</v>
      </c>
      <c r="B3056" s="33" t="s">
        <v>7776</v>
      </c>
      <c r="C3056" s="33" t="s">
        <v>7777</v>
      </c>
      <c r="D3056" s="33" t="s">
        <v>3322</v>
      </c>
      <c r="E3056" s="34" t="b">
        <v>1</v>
      </c>
      <c r="F3056" s="35" t="str">
        <f>HYPERLINK("http://nsgreg.nga.mil/genc/view?v=121196&amp;gencs=T&amp;end_month=12&amp;end_day=31&amp;end_year=2014","Atlántico Norte")</f>
        <v>Atlántico Norte</v>
      </c>
      <c r="G3056" s="36" t="str">
        <f>HYPERLINK("http://api.nsgreg.nga.mil/geo-division/GENC/6/ed3/NI-AN","as:GENC:6:ed3:NI-AN")</f>
        <v>as:GENC:6:ed3:NI-AN</v>
      </c>
    </row>
    <row r="3057" spans="1:7" x14ac:dyDescent="0.2">
      <c r="A3057" s="85"/>
      <c r="B3057" s="25" t="s">
        <v>7778</v>
      </c>
      <c r="C3057" s="25" t="s">
        <v>7779</v>
      </c>
      <c r="D3057" s="25" t="s">
        <v>3322</v>
      </c>
      <c r="E3057" s="26" t="b">
        <v>1</v>
      </c>
      <c r="F3057" s="27" t="str">
        <f>HYPERLINK("http://nsgreg.nga.mil/genc/view?v=121197&amp;gencs=T&amp;end_month=12&amp;end_day=31&amp;end_year=2014","Atlántico Sur")</f>
        <v>Atlántico Sur</v>
      </c>
      <c r="G3057" s="28" t="str">
        <f>HYPERLINK("http://api.nsgreg.nga.mil/geo-division/GENC/6/ed3/NI-AS","as:GENC:6:ed3:NI-AS")</f>
        <v>as:GENC:6:ed3:NI-AS</v>
      </c>
    </row>
    <row r="3058" spans="1:7" x14ac:dyDescent="0.2">
      <c r="A3058" s="85"/>
      <c r="B3058" s="25" t="s">
        <v>7780</v>
      </c>
      <c r="C3058" s="25" t="s">
        <v>7781</v>
      </c>
      <c r="D3058" s="25" t="s">
        <v>2590</v>
      </c>
      <c r="E3058" s="26" t="b">
        <v>1</v>
      </c>
      <c r="F3058" s="27" t="str">
        <f>HYPERLINK("http://nsgreg.nga.mil/genc/view?v=121198&amp;gencs=T&amp;end_month=12&amp;end_day=31&amp;end_year=2014","Boaco")</f>
        <v>Boaco</v>
      </c>
      <c r="G3058" s="28" t="str">
        <f>HYPERLINK("http://api.nsgreg.nga.mil/geo-division/GENC/6/ed3/NI-BO","as:GENC:6:ed3:NI-BO")</f>
        <v>as:GENC:6:ed3:NI-BO</v>
      </c>
    </row>
    <row r="3059" spans="1:7" x14ac:dyDescent="0.2">
      <c r="A3059" s="85"/>
      <c r="B3059" s="25" t="s">
        <v>7782</v>
      </c>
      <c r="C3059" s="25" t="s">
        <v>7783</v>
      </c>
      <c r="D3059" s="25" t="s">
        <v>2590</v>
      </c>
      <c r="E3059" s="26" t="b">
        <v>1</v>
      </c>
      <c r="F3059" s="27" t="str">
        <f>HYPERLINK("http://nsgreg.nga.mil/genc/view?v=121199&amp;gencs=T&amp;end_month=12&amp;end_day=31&amp;end_year=2014","Carazo")</f>
        <v>Carazo</v>
      </c>
      <c r="G3059" s="28" t="str">
        <f>HYPERLINK("http://api.nsgreg.nga.mil/geo-division/GENC/6/ed3/NI-CA","as:GENC:6:ed3:NI-CA")</f>
        <v>as:GENC:6:ed3:NI-CA</v>
      </c>
    </row>
    <row r="3060" spans="1:7" x14ac:dyDescent="0.2">
      <c r="A3060" s="85"/>
      <c r="B3060" s="25" t="s">
        <v>7784</v>
      </c>
      <c r="C3060" s="25" t="s">
        <v>7785</v>
      </c>
      <c r="D3060" s="25" t="s">
        <v>2590</v>
      </c>
      <c r="E3060" s="26" t="b">
        <v>1</v>
      </c>
      <c r="F3060" s="27" t="str">
        <f>HYPERLINK("http://nsgreg.nga.mil/genc/view?v=121200&amp;gencs=T&amp;end_month=12&amp;end_day=31&amp;end_year=2014","Chinandega")</f>
        <v>Chinandega</v>
      </c>
      <c r="G3060" s="28" t="str">
        <f>HYPERLINK("http://api.nsgreg.nga.mil/geo-division/GENC/6/ed3/NI-CI","as:GENC:6:ed3:NI-CI")</f>
        <v>as:GENC:6:ed3:NI-CI</v>
      </c>
    </row>
    <row r="3061" spans="1:7" x14ac:dyDescent="0.2">
      <c r="A3061" s="85"/>
      <c r="B3061" s="25" t="s">
        <v>7786</v>
      </c>
      <c r="C3061" s="25" t="s">
        <v>7787</v>
      </c>
      <c r="D3061" s="25" t="s">
        <v>2590</v>
      </c>
      <c r="E3061" s="26" t="b">
        <v>1</v>
      </c>
      <c r="F3061" s="27" t="str">
        <f>HYPERLINK("http://nsgreg.nga.mil/genc/view?v=121201&amp;gencs=T&amp;end_month=12&amp;end_day=31&amp;end_year=2014","Chontales")</f>
        <v>Chontales</v>
      </c>
      <c r="G3061" s="28" t="str">
        <f>HYPERLINK("http://api.nsgreg.nga.mil/geo-division/GENC/6/ed3/NI-CO","as:GENC:6:ed3:NI-CO")</f>
        <v>as:GENC:6:ed3:NI-CO</v>
      </c>
    </row>
    <row r="3062" spans="1:7" x14ac:dyDescent="0.2">
      <c r="A3062" s="85"/>
      <c r="B3062" s="25" t="s">
        <v>7788</v>
      </c>
      <c r="C3062" s="25" t="s">
        <v>7789</v>
      </c>
      <c r="D3062" s="25" t="s">
        <v>2590</v>
      </c>
      <c r="E3062" s="26" t="b">
        <v>1</v>
      </c>
      <c r="F3062" s="27" t="str">
        <f>HYPERLINK("http://nsgreg.nga.mil/genc/view?v=121202&amp;gencs=T&amp;end_month=12&amp;end_day=31&amp;end_year=2014","Estelí")</f>
        <v>Estelí</v>
      </c>
      <c r="G3062" s="28" t="str">
        <f>HYPERLINK("http://api.nsgreg.nga.mil/geo-division/GENC/6/ed3/NI-ES","as:GENC:6:ed3:NI-ES")</f>
        <v>as:GENC:6:ed3:NI-ES</v>
      </c>
    </row>
    <row r="3063" spans="1:7" x14ac:dyDescent="0.2">
      <c r="A3063" s="85"/>
      <c r="B3063" s="25" t="s">
        <v>7790</v>
      </c>
      <c r="C3063" s="25" t="s">
        <v>7791</v>
      </c>
      <c r="D3063" s="25" t="s">
        <v>2590</v>
      </c>
      <c r="E3063" s="26" t="b">
        <v>1</v>
      </c>
      <c r="F3063" s="27" t="str">
        <f>HYPERLINK("http://nsgreg.nga.mil/genc/view?v=121203&amp;gencs=T&amp;end_month=12&amp;end_day=31&amp;end_year=2014","Granada")</f>
        <v>Granada</v>
      </c>
      <c r="G3063" s="28" t="str">
        <f>HYPERLINK("http://api.nsgreg.nga.mil/geo-division/GENC/6/ed3/NI-GR","as:GENC:6:ed3:NI-GR")</f>
        <v>as:GENC:6:ed3:NI-GR</v>
      </c>
    </row>
    <row r="3064" spans="1:7" x14ac:dyDescent="0.2">
      <c r="A3064" s="85"/>
      <c r="B3064" s="25" t="s">
        <v>7792</v>
      </c>
      <c r="C3064" s="25" t="s">
        <v>7793</v>
      </c>
      <c r="D3064" s="25" t="s">
        <v>2590</v>
      </c>
      <c r="E3064" s="26" t="b">
        <v>1</v>
      </c>
      <c r="F3064" s="27" t="str">
        <f>HYPERLINK("http://nsgreg.nga.mil/genc/view?v=121204&amp;gencs=T&amp;end_month=12&amp;end_day=31&amp;end_year=2014","Jinotega")</f>
        <v>Jinotega</v>
      </c>
      <c r="G3064" s="28" t="str">
        <f>HYPERLINK("http://api.nsgreg.nga.mil/geo-division/GENC/6/ed3/NI-JI","as:GENC:6:ed3:NI-JI")</f>
        <v>as:GENC:6:ed3:NI-JI</v>
      </c>
    </row>
    <row r="3065" spans="1:7" x14ac:dyDescent="0.2">
      <c r="A3065" s="85"/>
      <c r="B3065" s="25" t="s">
        <v>7794</v>
      </c>
      <c r="C3065" s="25" t="s">
        <v>7795</v>
      </c>
      <c r="D3065" s="25" t="s">
        <v>2590</v>
      </c>
      <c r="E3065" s="26" t="b">
        <v>1</v>
      </c>
      <c r="F3065" s="27" t="str">
        <f>HYPERLINK("http://nsgreg.nga.mil/genc/view?v=121205&amp;gencs=T&amp;end_month=12&amp;end_day=31&amp;end_year=2014","León")</f>
        <v>León</v>
      </c>
      <c r="G3065" s="28" t="str">
        <f>HYPERLINK("http://api.nsgreg.nga.mil/geo-division/GENC/6/ed3/NI-LE","as:GENC:6:ed3:NI-LE")</f>
        <v>as:GENC:6:ed3:NI-LE</v>
      </c>
    </row>
    <row r="3066" spans="1:7" x14ac:dyDescent="0.2">
      <c r="A3066" s="85"/>
      <c r="B3066" s="25" t="s">
        <v>7796</v>
      </c>
      <c r="C3066" s="25" t="s">
        <v>7797</v>
      </c>
      <c r="D3066" s="25" t="s">
        <v>2590</v>
      </c>
      <c r="E3066" s="26" t="b">
        <v>1</v>
      </c>
      <c r="F3066" s="27" t="str">
        <f>HYPERLINK("http://nsgreg.nga.mil/genc/view?v=121206&amp;gencs=T&amp;end_month=12&amp;end_day=31&amp;end_year=2014","Madriz")</f>
        <v>Madriz</v>
      </c>
      <c r="G3066" s="28" t="str">
        <f>HYPERLINK("http://api.nsgreg.nga.mil/geo-division/GENC/6/ed3/NI-MD","as:GENC:6:ed3:NI-MD")</f>
        <v>as:GENC:6:ed3:NI-MD</v>
      </c>
    </row>
    <row r="3067" spans="1:7" x14ac:dyDescent="0.2">
      <c r="A3067" s="85"/>
      <c r="B3067" s="25" t="s">
        <v>7798</v>
      </c>
      <c r="C3067" s="25" t="s">
        <v>7799</v>
      </c>
      <c r="D3067" s="25" t="s">
        <v>2590</v>
      </c>
      <c r="E3067" s="26" t="b">
        <v>1</v>
      </c>
      <c r="F3067" s="27" t="str">
        <f>HYPERLINK("http://nsgreg.nga.mil/genc/view?v=121207&amp;gencs=T&amp;end_month=12&amp;end_day=31&amp;end_year=2014","Managua")</f>
        <v>Managua</v>
      </c>
      <c r="G3067" s="28" t="str">
        <f>HYPERLINK("http://api.nsgreg.nga.mil/geo-division/GENC/6/ed3/NI-MN","as:GENC:6:ed3:NI-MN")</f>
        <v>as:GENC:6:ed3:NI-MN</v>
      </c>
    </row>
    <row r="3068" spans="1:7" x14ac:dyDescent="0.2">
      <c r="A3068" s="85"/>
      <c r="B3068" s="25" t="s">
        <v>7800</v>
      </c>
      <c r="C3068" s="25" t="s">
        <v>7801</v>
      </c>
      <c r="D3068" s="25" t="s">
        <v>2590</v>
      </c>
      <c r="E3068" s="26" t="b">
        <v>1</v>
      </c>
      <c r="F3068" s="27" t="str">
        <f>HYPERLINK("http://nsgreg.nga.mil/genc/view?v=121208&amp;gencs=T&amp;end_month=12&amp;end_day=31&amp;end_year=2014","Masaya")</f>
        <v>Masaya</v>
      </c>
      <c r="G3068" s="28" t="str">
        <f>HYPERLINK("http://api.nsgreg.nga.mil/geo-division/GENC/6/ed3/NI-MS","as:GENC:6:ed3:NI-MS")</f>
        <v>as:GENC:6:ed3:NI-MS</v>
      </c>
    </row>
    <row r="3069" spans="1:7" x14ac:dyDescent="0.2">
      <c r="A3069" s="85"/>
      <c r="B3069" s="25" t="s">
        <v>7802</v>
      </c>
      <c r="C3069" s="25" t="s">
        <v>7803</v>
      </c>
      <c r="D3069" s="25" t="s">
        <v>2590</v>
      </c>
      <c r="E3069" s="26" t="b">
        <v>1</v>
      </c>
      <c r="F3069" s="27" t="str">
        <f>HYPERLINK("http://nsgreg.nga.mil/genc/view?v=121209&amp;gencs=T&amp;end_month=12&amp;end_day=31&amp;end_year=2014","Matagalpa")</f>
        <v>Matagalpa</v>
      </c>
      <c r="G3069" s="28" t="str">
        <f>HYPERLINK("http://api.nsgreg.nga.mil/geo-division/GENC/6/ed3/NI-MT","as:GENC:6:ed3:NI-MT")</f>
        <v>as:GENC:6:ed3:NI-MT</v>
      </c>
    </row>
    <row r="3070" spans="1:7" x14ac:dyDescent="0.2">
      <c r="A3070" s="85"/>
      <c r="B3070" s="25" t="s">
        <v>7804</v>
      </c>
      <c r="C3070" s="25" t="s">
        <v>7805</v>
      </c>
      <c r="D3070" s="25" t="s">
        <v>2590</v>
      </c>
      <c r="E3070" s="26" t="b">
        <v>1</v>
      </c>
      <c r="F3070" s="27" t="str">
        <f>HYPERLINK("http://nsgreg.nga.mil/genc/view?v=121210&amp;gencs=T&amp;end_month=12&amp;end_day=31&amp;end_year=2014","Nueva Segovia")</f>
        <v>Nueva Segovia</v>
      </c>
      <c r="G3070" s="28" t="str">
        <f>HYPERLINK("http://api.nsgreg.nga.mil/geo-division/GENC/6/ed3/NI-NS","as:GENC:6:ed3:NI-NS")</f>
        <v>as:GENC:6:ed3:NI-NS</v>
      </c>
    </row>
    <row r="3071" spans="1:7" x14ac:dyDescent="0.2">
      <c r="A3071" s="85"/>
      <c r="B3071" s="25" t="s">
        <v>7808</v>
      </c>
      <c r="C3071" s="25" t="s">
        <v>7809</v>
      </c>
      <c r="D3071" s="25" t="s">
        <v>2590</v>
      </c>
      <c r="E3071" s="26" t="b">
        <v>1</v>
      </c>
      <c r="F3071" s="27" t="str">
        <f>HYPERLINK("http://nsgreg.nga.mil/genc/view?v=121212&amp;gencs=T&amp;end_month=12&amp;end_day=31&amp;end_year=2014","Río San Juan")</f>
        <v>Río San Juan</v>
      </c>
      <c r="G3071" s="28" t="str">
        <f>HYPERLINK("http://api.nsgreg.nga.mil/geo-division/GENC/6/ed3/NI-SJ","as:GENC:6:ed3:NI-SJ")</f>
        <v>as:GENC:6:ed3:NI-SJ</v>
      </c>
    </row>
    <row r="3072" spans="1:7" x14ac:dyDescent="0.2">
      <c r="A3072" s="86"/>
      <c r="B3072" s="29" t="s">
        <v>7806</v>
      </c>
      <c r="C3072" s="29" t="s">
        <v>7807</v>
      </c>
      <c r="D3072" s="29" t="s">
        <v>2590</v>
      </c>
      <c r="E3072" s="30" t="b">
        <v>1</v>
      </c>
      <c r="F3072" s="31" t="str">
        <f>HYPERLINK("http://nsgreg.nga.mil/genc/view?v=121211&amp;gencs=T&amp;end_month=12&amp;end_day=31&amp;end_year=2014","Rivas")</f>
        <v>Rivas</v>
      </c>
      <c r="G3072" s="32" t="str">
        <f>HYPERLINK("http://api.nsgreg.nga.mil/geo-division/GENC/6/ed3/NI-RI","as:GENC:6:ed3:NI-RI")</f>
        <v>as:GENC:6:ed3:NI-RI</v>
      </c>
    </row>
    <row r="3073" spans="1:7" x14ac:dyDescent="0.2">
      <c r="A3073" s="84" t="str">
        <f>HYPERLINK("[#]Codes_for_GE_Names!A189:I189","NIGER")</f>
        <v>NIGER</v>
      </c>
      <c r="B3073" s="33" t="s">
        <v>7810</v>
      </c>
      <c r="C3073" s="33" t="s">
        <v>7811</v>
      </c>
      <c r="D3073" s="33" t="s">
        <v>2087</v>
      </c>
      <c r="E3073" s="34" t="b">
        <v>1</v>
      </c>
      <c r="F3073" s="35" t="str">
        <f>HYPERLINK("http://nsgreg.nga.mil/genc/view?v=121151&amp;gencs=T&amp;end_month=12&amp;end_day=31&amp;end_year=2014","Agadez")</f>
        <v>Agadez</v>
      </c>
      <c r="G3073" s="36" t="str">
        <f>HYPERLINK("http://api.nsgreg.nga.mil/geo-division/GENC/6/ed3/NE-1","as:GENC:6:ed3:NE-1")</f>
        <v>as:GENC:6:ed3:NE-1</v>
      </c>
    </row>
    <row r="3074" spans="1:7" x14ac:dyDescent="0.2">
      <c r="A3074" s="85"/>
      <c r="B3074" s="25" t="s">
        <v>7812</v>
      </c>
      <c r="C3074" s="25" t="s">
        <v>7813</v>
      </c>
      <c r="D3074" s="25" t="s">
        <v>2087</v>
      </c>
      <c r="E3074" s="26" t="b">
        <v>1</v>
      </c>
      <c r="F3074" s="27" t="str">
        <f>HYPERLINK("http://nsgreg.nga.mil/genc/view?v=121152&amp;gencs=T&amp;end_month=12&amp;end_day=31&amp;end_year=2014","Diffa")</f>
        <v>Diffa</v>
      </c>
      <c r="G3074" s="28" t="str">
        <f>HYPERLINK("http://api.nsgreg.nga.mil/geo-division/GENC/6/ed3/NE-2","as:GENC:6:ed3:NE-2")</f>
        <v>as:GENC:6:ed3:NE-2</v>
      </c>
    </row>
    <row r="3075" spans="1:7" x14ac:dyDescent="0.2">
      <c r="A3075" s="85"/>
      <c r="B3075" s="25" t="s">
        <v>7814</v>
      </c>
      <c r="C3075" s="25" t="s">
        <v>7815</v>
      </c>
      <c r="D3075" s="25" t="s">
        <v>2087</v>
      </c>
      <c r="E3075" s="26" t="b">
        <v>1</v>
      </c>
      <c r="F3075" s="27" t="str">
        <f>HYPERLINK("http://nsgreg.nga.mil/genc/view?v=121153&amp;gencs=T&amp;end_month=12&amp;end_day=31&amp;end_year=2014","Dosso")</f>
        <v>Dosso</v>
      </c>
      <c r="G3075" s="28" t="str">
        <f>HYPERLINK("http://api.nsgreg.nga.mil/geo-division/GENC/6/ed3/NE-3","as:GENC:6:ed3:NE-3")</f>
        <v>as:GENC:6:ed3:NE-3</v>
      </c>
    </row>
    <row r="3076" spans="1:7" x14ac:dyDescent="0.2">
      <c r="A3076" s="85"/>
      <c r="B3076" s="25" t="s">
        <v>7816</v>
      </c>
      <c r="C3076" s="25" t="s">
        <v>7817</v>
      </c>
      <c r="D3076" s="25" t="s">
        <v>2087</v>
      </c>
      <c r="E3076" s="26" t="b">
        <v>1</v>
      </c>
      <c r="F3076" s="27" t="str">
        <f>HYPERLINK("http://nsgreg.nga.mil/genc/view?v=121154&amp;gencs=T&amp;end_month=12&amp;end_day=31&amp;end_year=2014","Maradi")</f>
        <v>Maradi</v>
      </c>
      <c r="G3076" s="28" t="str">
        <f>HYPERLINK("http://api.nsgreg.nga.mil/geo-division/GENC/6/ed3/NE-4","as:GENC:6:ed3:NE-4")</f>
        <v>as:GENC:6:ed3:NE-4</v>
      </c>
    </row>
    <row r="3077" spans="1:7" x14ac:dyDescent="0.2">
      <c r="A3077" s="85"/>
      <c r="B3077" s="25" t="s">
        <v>7818</v>
      </c>
      <c r="C3077" s="25" t="s">
        <v>7819</v>
      </c>
      <c r="D3077" s="25" t="s">
        <v>3322</v>
      </c>
      <c r="E3077" s="26" t="b">
        <v>1</v>
      </c>
      <c r="F3077" s="27" t="str">
        <f>HYPERLINK("http://nsgreg.nga.mil/genc/view?v=212760&amp;end_month=12&amp;end_day=31&amp;end_year=2014","Niamey")</f>
        <v>Niamey</v>
      </c>
      <c r="G3077" s="28" t="str">
        <f>HYPERLINK("http://api.nsgreg.nga.mil/geo-division/GENC/6/ed3/NE-8","as:GENC:6:ed3:NE-8")</f>
        <v>as:GENC:6:ed3:NE-8</v>
      </c>
    </row>
    <row r="3078" spans="1:7" x14ac:dyDescent="0.2">
      <c r="A3078" s="85"/>
      <c r="B3078" s="25" t="s">
        <v>7821</v>
      </c>
      <c r="C3078" s="25" t="s">
        <v>7822</v>
      </c>
      <c r="D3078" s="25" t="s">
        <v>2087</v>
      </c>
      <c r="E3078" s="26" t="b">
        <v>1</v>
      </c>
      <c r="F3078" s="27" t="str">
        <f>HYPERLINK("http://nsgreg.nga.mil/genc/view?v=121155&amp;gencs=T&amp;end_month=12&amp;end_day=31&amp;end_year=2014","Tahoua")</f>
        <v>Tahoua</v>
      </c>
      <c r="G3078" s="28" t="str">
        <f>HYPERLINK("http://api.nsgreg.nga.mil/geo-division/GENC/6/ed3/NE-5","as:GENC:6:ed3:NE-5")</f>
        <v>as:GENC:6:ed3:NE-5</v>
      </c>
    </row>
    <row r="3079" spans="1:7" x14ac:dyDescent="0.2">
      <c r="A3079" s="85"/>
      <c r="B3079" s="25" t="s">
        <v>7823</v>
      </c>
      <c r="C3079" s="25" t="s">
        <v>7824</v>
      </c>
      <c r="D3079" s="25" t="s">
        <v>2087</v>
      </c>
      <c r="E3079" s="26" t="b">
        <v>1</v>
      </c>
      <c r="F3079" s="27" t="str">
        <f>HYPERLINK("http://nsgreg.nga.mil/genc/view?v=121156&amp;gencs=T&amp;end_month=12&amp;end_day=31&amp;end_year=2014","Tillabéri")</f>
        <v>Tillabéri</v>
      </c>
      <c r="G3079" s="28" t="str">
        <f>HYPERLINK("http://api.nsgreg.nga.mil/geo-division/GENC/6/ed3/NE-6","as:GENC:6:ed3:NE-6")</f>
        <v>as:GENC:6:ed3:NE-6</v>
      </c>
    </row>
    <row r="3080" spans="1:7" x14ac:dyDescent="0.2">
      <c r="A3080" s="86"/>
      <c r="B3080" s="29" t="s">
        <v>7825</v>
      </c>
      <c r="C3080" s="29" t="s">
        <v>7826</v>
      </c>
      <c r="D3080" s="29" t="s">
        <v>2087</v>
      </c>
      <c r="E3080" s="30" t="b">
        <v>1</v>
      </c>
      <c r="F3080" s="31" t="str">
        <f>HYPERLINK("http://nsgreg.nga.mil/genc/view?v=121157&amp;gencs=T&amp;end_month=12&amp;end_day=31&amp;end_year=2014","Zinder")</f>
        <v>Zinder</v>
      </c>
      <c r="G3080" s="32" t="str">
        <f>HYPERLINK("http://api.nsgreg.nga.mil/geo-division/GENC/6/ed3/NE-7","as:GENC:6:ed3:NE-7")</f>
        <v>as:GENC:6:ed3:NE-7</v>
      </c>
    </row>
    <row r="3081" spans="1:7" x14ac:dyDescent="0.2">
      <c r="A3081" s="84" t="str">
        <f>HYPERLINK("[#]Codes_for_GE_Names!A190:I190","NIGERIA")</f>
        <v>NIGERIA</v>
      </c>
      <c r="B3081" s="33" t="s">
        <v>7827</v>
      </c>
      <c r="C3081" s="33" t="s">
        <v>7828</v>
      </c>
      <c r="D3081" s="33" t="s">
        <v>2113</v>
      </c>
      <c r="E3081" s="34" t="b">
        <v>1</v>
      </c>
      <c r="F3081" s="35" t="str">
        <f>HYPERLINK("http://nsgreg.nga.mil/genc/view?v=121159&amp;gencs=T&amp;end_month=12&amp;end_day=31&amp;end_year=2014","Abia")</f>
        <v>Abia</v>
      </c>
      <c r="G3081" s="36" t="str">
        <f>HYPERLINK("http://api.nsgreg.nga.mil/geo-division/GENC/6/ed3/NG-AB","as:GENC:6:ed3:NG-AB")</f>
        <v>as:GENC:6:ed3:NG-AB</v>
      </c>
    </row>
    <row r="3082" spans="1:7" x14ac:dyDescent="0.2">
      <c r="A3082" s="85"/>
      <c r="B3082" s="25" t="s">
        <v>7832</v>
      </c>
      <c r="C3082" s="25" t="s">
        <v>7833</v>
      </c>
      <c r="D3082" s="25" t="s">
        <v>2113</v>
      </c>
      <c r="E3082" s="26" t="b">
        <v>1</v>
      </c>
      <c r="F3082" s="27" t="str">
        <f>HYPERLINK("http://nsgreg.nga.mil/genc/view?v=121160&amp;gencs=T&amp;end_month=12&amp;end_day=31&amp;end_year=2014","Adamawa")</f>
        <v>Adamawa</v>
      </c>
      <c r="G3082" s="28" t="str">
        <f>HYPERLINK("http://api.nsgreg.nga.mil/geo-division/GENC/6/ed3/NG-AD","as:GENC:6:ed3:NG-AD")</f>
        <v>as:GENC:6:ed3:NG-AD</v>
      </c>
    </row>
    <row r="3083" spans="1:7" x14ac:dyDescent="0.2">
      <c r="A3083" s="85"/>
      <c r="B3083" s="25" t="s">
        <v>7834</v>
      </c>
      <c r="C3083" s="25" t="s">
        <v>7835</v>
      </c>
      <c r="D3083" s="25" t="s">
        <v>2113</v>
      </c>
      <c r="E3083" s="26" t="b">
        <v>1</v>
      </c>
      <c r="F3083" s="27" t="str">
        <f>HYPERLINK("http://nsgreg.nga.mil/genc/view?v=121161&amp;gencs=T&amp;end_month=12&amp;end_day=31&amp;end_year=2014","Akwa Ibom")</f>
        <v>Akwa Ibom</v>
      </c>
      <c r="G3083" s="28" t="str">
        <f>HYPERLINK("http://api.nsgreg.nga.mil/geo-division/GENC/6/ed3/NG-AK","as:GENC:6:ed3:NG-AK")</f>
        <v>as:GENC:6:ed3:NG-AK</v>
      </c>
    </row>
    <row r="3084" spans="1:7" x14ac:dyDescent="0.2">
      <c r="A3084" s="85"/>
      <c r="B3084" s="25" t="s">
        <v>7836</v>
      </c>
      <c r="C3084" s="25" t="s">
        <v>7837</v>
      </c>
      <c r="D3084" s="25" t="s">
        <v>2113</v>
      </c>
      <c r="E3084" s="26" t="b">
        <v>1</v>
      </c>
      <c r="F3084" s="27" t="str">
        <f>HYPERLINK("http://nsgreg.nga.mil/genc/view?v=121162&amp;gencs=T&amp;end_month=12&amp;end_day=31&amp;end_year=2014","Anambra")</f>
        <v>Anambra</v>
      </c>
      <c r="G3084" s="28" t="str">
        <f>HYPERLINK("http://api.nsgreg.nga.mil/geo-division/GENC/6/ed3/NG-AN","as:GENC:6:ed3:NG-AN")</f>
        <v>as:GENC:6:ed3:NG-AN</v>
      </c>
    </row>
    <row r="3085" spans="1:7" x14ac:dyDescent="0.2">
      <c r="A3085" s="85"/>
      <c r="B3085" s="25" t="s">
        <v>7838</v>
      </c>
      <c r="C3085" s="25" t="s">
        <v>7839</v>
      </c>
      <c r="D3085" s="25" t="s">
        <v>2113</v>
      </c>
      <c r="E3085" s="26" t="b">
        <v>1</v>
      </c>
      <c r="F3085" s="27" t="str">
        <f>HYPERLINK("http://nsgreg.nga.mil/genc/view?v=121163&amp;gencs=T&amp;end_month=12&amp;end_day=31&amp;end_year=2014","Bauchi")</f>
        <v>Bauchi</v>
      </c>
      <c r="G3085" s="28" t="str">
        <f>HYPERLINK("http://api.nsgreg.nga.mil/geo-division/GENC/6/ed3/NG-BA","as:GENC:6:ed3:NG-BA")</f>
        <v>as:GENC:6:ed3:NG-BA</v>
      </c>
    </row>
    <row r="3086" spans="1:7" x14ac:dyDescent="0.2">
      <c r="A3086" s="85"/>
      <c r="B3086" s="25" t="s">
        <v>7840</v>
      </c>
      <c r="C3086" s="25" t="s">
        <v>7841</v>
      </c>
      <c r="D3086" s="25" t="s">
        <v>2113</v>
      </c>
      <c r="E3086" s="26" t="b">
        <v>1</v>
      </c>
      <c r="F3086" s="27" t="str">
        <f>HYPERLINK("http://nsgreg.nga.mil/genc/view?v=121166&amp;gencs=T&amp;end_month=12&amp;end_day=31&amp;end_year=2014","Bayelsa")</f>
        <v>Bayelsa</v>
      </c>
      <c r="G3086" s="28" t="str">
        <f>HYPERLINK("http://api.nsgreg.nga.mil/geo-division/GENC/6/ed3/NG-BY","as:GENC:6:ed3:NG-BY")</f>
        <v>as:GENC:6:ed3:NG-BY</v>
      </c>
    </row>
    <row r="3087" spans="1:7" x14ac:dyDescent="0.2">
      <c r="A3087" s="85"/>
      <c r="B3087" s="25" t="s">
        <v>7842</v>
      </c>
      <c r="C3087" s="25" t="s">
        <v>7843</v>
      </c>
      <c r="D3087" s="25" t="s">
        <v>2113</v>
      </c>
      <c r="E3087" s="26" t="b">
        <v>1</v>
      </c>
      <c r="F3087" s="27" t="str">
        <f>HYPERLINK("http://nsgreg.nga.mil/genc/view?v=121164&amp;gencs=T&amp;end_month=12&amp;end_day=31&amp;end_year=2014","Benue")</f>
        <v>Benue</v>
      </c>
      <c r="G3087" s="28" t="str">
        <f>HYPERLINK("http://api.nsgreg.nga.mil/geo-division/GENC/6/ed3/NG-BE","as:GENC:6:ed3:NG-BE")</f>
        <v>as:GENC:6:ed3:NG-BE</v>
      </c>
    </row>
    <row r="3088" spans="1:7" x14ac:dyDescent="0.2">
      <c r="A3088" s="85"/>
      <c r="B3088" s="25" t="s">
        <v>7844</v>
      </c>
      <c r="C3088" s="25" t="s">
        <v>7845</v>
      </c>
      <c r="D3088" s="25" t="s">
        <v>2113</v>
      </c>
      <c r="E3088" s="26" t="b">
        <v>1</v>
      </c>
      <c r="F3088" s="27" t="str">
        <f>HYPERLINK("http://nsgreg.nga.mil/genc/view?v=121165&amp;gencs=T&amp;end_month=12&amp;end_day=31&amp;end_year=2014","Borno")</f>
        <v>Borno</v>
      </c>
      <c r="G3088" s="28" t="str">
        <f>HYPERLINK("http://api.nsgreg.nga.mil/geo-division/GENC/6/ed3/NG-BO","as:GENC:6:ed3:NG-BO")</f>
        <v>as:GENC:6:ed3:NG-BO</v>
      </c>
    </row>
    <row r="3089" spans="1:7" x14ac:dyDescent="0.2">
      <c r="A3089" s="85"/>
      <c r="B3089" s="25" t="s">
        <v>7846</v>
      </c>
      <c r="C3089" s="25" t="s">
        <v>7847</v>
      </c>
      <c r="D3089" s="25" t="s">
        <v>2113</v>
      </c>
      <c r="E3089" s="26" t="b">
        <v>1</v>
      </c>
      <c r="F3089" s="27" t="str">
        <f>HYPERLINK("http://nsgreg.nga.mil/genc/view?v=121167&amp;gencs=T&amp;end_month=12&amp;end_day=31&amp;end_year=2014","Cross River")</f>
        <v>Cross River</v>
      </c>
      <c r="G3089" s="28" t="str">
        <f>HYPERLINK("http://api.nsgreg.nga.mil/geo-division/GENC/6/ed3/NG-CR","as:GENC:6:ed3:NG-CR")</f>
        <v>as:GENC:6:ed3:NG-CR</v>
      </c>
    </row>
    <row r="3090" spans="1:7" x14ac:dyDescent="0.2">
      <c r="A3090" s="85"/>
      <c r="B3090" s="25" t="s">
        <v>7848</v>
      </c>
      <c r="C3090" s="25" t="s">
        <v>7849</v>
      </c>
      <c r="D3090" s="25" t="s">
        <v>2113</v>
      </c>
      <c r="E3090" s="26" t="b">
        <v>1</v>
      </c>
      <c r="F3090" s="27" t="str">
        <f>HYPERLINK("http://nsgreg.nga.mil/genc/view?v=121168&amp;gencs=T&amp;end_month=12&amp;end_day=31&amp;end_year=2014","Delta")</f>
        <v>Delta</v>
      </c>
      <c r="G3090" s="28" t="str">
        <f>HYPERLINK("http://api.nsgreg.nga.mil/geo-division/GENC/6/ed3/NG-DE","as:GENC:6:ed3:NG-DE")</f>
        <v>as:GENC:6:ed3:NG-DE</v>
      </c>
    </row>
    <row r="3091" spans="1:7" x14ac:dyDescent="0.2">
      <c r="A3091" s="85"/>
      <c r="B3091" s="25" t="s">
        <v>7850</v>
      </c>
      <c r="C3091" s="25" t="s">
        <v>7851</v>
      </c>
      <c r="D3091" s="25" t="s">
        <v>2113</v>
      </c>
      <c r="E3091" s="26" t="b">
        <v>1</v>
      </c>
      <c r="F3091" s="27" t="str">
        <f>HYPERLINK("http://nsgreg.nga.mil/genc/view?v=121169&amp;gencs=T&amp;end_month=12&amp;end_day=31&amp;end_year=2014","Ebonyi")</f>
        <v>Ebonyi</v>
      </c>
      <c r="G3091" s="28" t="str">
        <f>HYPERLINK("http://api.nsgreg.nga.mil/geo-division/GENC/6/ed3/NG-EB","as:GENC:6:ed3:NG-EB")</f>
        <v>as:GENC:6:ed3:NG-EB</v>
      </c>
    </row>
    <row r="3092" spans="1:7" x14ac:dyDescent="0.2">
      <c r="A3092" s="85"/>
      <c r="B3092" s="25" t="s">
        <v>7852</v>
      </c>
      <c r="C3092" s="25" t="s">
        <v>7853</v>
      </c>
      <c r="D3092" s="25" t="s">
        <v>2113</v>
      </c>
      <c r="E3092" s="26" t="b">
        <v>1</v>
      </c>
      <c r="F3092" s="27" t="str">
        <f>HYPERLINK("http://nsgreg.nga.mil/genc/view?v=121170&amp;gencs=T&amp;end_month=12&amp;end_day=31&amp;end_year=2014","Edo")</f>
        <v>Edo</v>
      </c>
      <c r="G3092" s="28" t="str">
        <f>HYPERLINK("http://api.nsgreg.nga.mil/geo-division/GENC/6/ed3/NG-ED","as:GENC:6:ed3:NG-ED")</f>
        <v>as:GENC:6:ed3:NG-ED</v>
      </c>
    </row>
    <row r="3093" spans="1:7" x14ac:dyDescent="0.2">
      <c r="A3093" s="85"/>
      <c r="B3093" s="25" t="s">
        <v>7854</v>
      </c>
      <c r="C3093" s="25" t="s">
        <v>7855</v>
      </c>
      <c r="D3093" s="25" t="s">
        <v>2113</v>
      </c>
      <c r="E3093" s="26" t="b">
        <v>1</v>
      </c>
      <c r="F3093" s="27" t="str">
        <f>HYPERLINK("http://nsgreg.nga.mil/genc/view?v=121171&amp;gencs=T&amp;end_month=12&amp;end_day=31&amp;end_year=2014","Ekiti")</f>
        <v>Ekiti</v>
      </c>
      <c r="G3093" s="28" t="str">
        <f>HYPERLINK("http://api.nsgreg.nga.mil/geo-division/GENC/6/ed3/NG-EK","as:GENC:6:ed3:NG-EK")</f>
        <v>as:GENC:6:ed3:NG-EK</v>
      </c>
    </row>
    <row r="3094" spans="1:7" x14ac:dyDescent="0.2">
      <c r="A3094" s="85"/>
      <c r="B3094" s="25" t="s">
        <v>7856</v>
      </c>
      <c r="C3094" s="25" t="s">
        <v>7857</v>
      </c>
      <c r="D3094" s="25" t="s">
        <v>2113</v>
      </c>
      <c r="E3094" s="26" t="b">
        <v>1</v>
      </c>
      <c r="F3094" s="27" t="str">
        <f>HYPERLINK("http://nsgreg.nga.mil/genc/view?v=121172&amp;gencs=T&amp;end_month=12&amp;end_day=31&amp;end_year=2014","Enugu")</f>
        <v>Enugu</v>
      </c>
      <c r="G3094" s="28" t="str">
        <f>HYPERLINK("http://api.nsgreg.nga.mil/geo-division/GENC/6/ed3/NG-EN","as:GENC:6:ed3:NG-EN")</f>
        <v>as:GENC:6:ed3:NG-EN</v>
      </c>
    </row>
    <row r="3095" spans="1:7" x14ac:dyDescent="0.2">
      <c r="A3095" s="85"/>
      <c r="B3095" s="25" t="s">
        <v>7829</v>
      </c>
      <c r="C3095" s="25" t="s">
        <v>13098</v>
      </c>
      <c r="D3095" s="25" t="s">
        <v>7831</v>
      </c>
      <c r="E3095" s="26" t="b">
        <v>1</v>
      </c>
      <c r="F3095" s="27" t="str">
        <f>HYPERLINK("http://nsgreg.nga.mil/genc/view?v=212761&amp;end_month=12&amp;end_day=31&amp;end_year=2014","Federal Capital Territory")</f>
        <v>Federal Capital Territory</v>
      </c>
      <c r="G3095" s="28" t="str">
        <f>HYPERLINK("http://api.nsgreg.nga.mil/geo-division/GENC/6/ed3/NG-FC","as:GENC:6:ed3:NG-FC")</f>
        <v>as:GENC:6:ed3:NG-FC</v>
      </c>
    </row>
    <row r="3096" spans="1:7" x14ac:dyDescent="0.2">
      <c r="A3096" s="85"/>
      <c r="B3096" s="25" t="s">
        <v>7858</v>
      </c>
      <c r="C3096" s="25" t="s">
        <v>7859</v>
      </c>
      <c r="D3096" s="25" t="s">
        <v>2113</v>
      </c>
      <c r="E3096" s="26" t="b">
        <v>1</v>
      </c>
      <c r="F3096" s="27" t="str">
        <f>HYPERLINK("http://nsgreg.nga.mil/genc/view?v=121174&amp;gencs=T&amp;end_month=12&amp;end_day=31&amp;end_year=2014","Gombe")</f>
        <v>Gombe</v>
      </c>
      <c r="G3096" s="28" t="str">
        <f>HYPERLINK("http://api.nsgreg.nga.mil/geo-division/GENC/6/ed3/NG-GO","as:GENC:6:ed3:NG-GO")</f>
        <v>as:GENC:6:ed3:NG-GO</v>
      </c>
    </row>
    <row r="3097" spans="1:7" x14ac:dyDescent="0.2">
      <c r="A3097" s="85"/>
      <c r="B3097" s="25" t="s">
        <v>7860</v>
      </c>
      <c r="C3097" s="25" t="s">
        <v>7861</v>
      </c>
      <c r="D3097" s="25" t="s">
        <v>2113</v>
      </c>
      <c r="E3097" s="26" t="b">
        <v>1</v>
      </c>
      <c r="F3097" s="27" t="str">
        <f>HYPERLINK("http://nsgreg.nga.mil/genc/view?v=121175&amp;gencs=T&amp;end_month=12&amp;end_day=31&amp;end_year=2014","Imo")</f>
        <v>Imo</v>
      </c>
      <c r="G3097" s="28" t="str">
        <f>HYPERLINK("http://api.nsgreg.nga.mil/geo-division/GENC/6/ed3/NG-IM","as:GENC:6:ed3:NG-IM")</f>
        <v>as:GENC:6:ed3:NG-IM</v>
      </c>
    </row>
    <row r="3098" spans="1:7" x14ac:dyDescent="0.2">
      <c r="A3098" s="85"/>
      <c r="B3098" s="25" t="s">
        <v>7862</v>
      </c>
      <c r="C3098" s="25" t="s">
        <v>7863</v>
      </c>
      <c r="D3098" s="25" t="s">
        <v>2113</v>
      </c>
      <c r="E3098" s="26" t="b">
        <v>1</v>
      </c>
      <c r="F3098" s="27" t="str">
        <f>HYPERLINK("http://nsgreg.nga.mil/genc/view?v=121176&amp;gencs=T&amp;end_month=12&amp;end_day=31&amp;end_year=2014","Jigawa")</f>
        <v>Jigawa</v>
      </c>
      <c r="G3098" s="28" t="str">
        <f>HYPERLINK("http://api.nsgreg.nga.mil/geo-division/GENC/6/ed3/NG-JI","as:GENC:6:ed3:NG-JI")</f>
        <v>as:GENC:6:ed3:NG-JI</v>
      </c>
    </row>
    <row r="3099" spans="1:7" x14ac:dyDescent="0.2">
      <c r="A3099" s="85"/>
      <c r="B3099" s="25" t="s">
        <v>7864</v>
      </c>
      <c r="C3099" s="25" t="s">
        <v>7865</v>
      </c>
      <c r="D3099" s="25" t="s">
        <v>2113</v>
      </c>
      <c r="E3099" s="26" t="b">
        <v>1</v>
      </c>
      <c r="F3099" s="27" t="str">
        <f>HYPERLINK("http://nsgreg.nga.mil/genc/view?v=121177&amp;gencs=T&amp;end_month=12&amp;end_day=31&amp;end_year=2014","Kaduna")</f>
        <v>Kaduna</v>
      </c>
      <c r="G3099" s="28" t="str">
        <f>HYPERLINK("http://api.nsgreg.nga.mil/geo-division/GENC/6/ed3/NG-KD","as:GENC:6:ed3:NG-KD")</f>
        <v>as:GENC:6:ed3:NG-KD</v>
      </c>
    </row>
    <row r="3100" spans="1:7" x14ac:dyDescent="0.2">
      <c r="A3100" s="85"/>
      <c r="B3100" s="25" t="s">
        <v>7866</v>
      </c>
      <c r="C3100" s="25" t="s">
        <v>7867</v>
      </c>
      <c r="D3100" s="25" t="s">
        <v>2113</v>
      </c>
      <c r="E3100" s="26" t="b">
        <v>1</v>
      </c>
      <c r="F3100" s="27" t="str">
        <f>HYPERLINK("http://nsgreg.nga.mil/genc/view?v=121179&amp;gencs=T&amp;end_month=12&amp;end_day=31&amp;end_year=2014","Kano")</f>
        <v>Kano</v>
      </c>
      <c r="G3100" s="28" t="str">
        <f>HYPERLINK("http://api.nsgreg.nga.mil/geo-division/GENC/6/ed3/NG-KN","as:GENC:6:ed3:NG-KN")</f>
        <v>as:GENC:6:ed3:NG-KN</v>
      </c>
    </row>
    <row r="3101" spans="1:7" x14ac:dyDescent="0.2">
      <c r="A3101" s="85"/>
      <c r="B3101" s="25" t="s">
        <v>7868</v>
      </c>
      <c r="C3101" s="25" t="s">
        <v>7869</v>
      </c>
      <c r="D3101" s="25" t="s">
        <v>2113</v>
      </c>
      <c r="E3101" s="26" t="b">
        <v>1</v>
      </c>
      <c r="F3101" s="27" t="str">
        <f>HYPERLINK("http://nsgreg.nga.mil/genc/view?v=121181&amp;gencs=T&amp;end_month=12&amp;end_day=31&amp;end_year=2014","Katsina")</f>
        <v>Katsina</v>
      </c>
      <c r="G3101" s="28" t="str">
        <f>HYPERLINK("http://api.nsgreg.nga.mil/geo-division/GENC/6/ed3/NG-KT","as:GENC:6:ed3:NG-KT")</f>
        <v>as:GENC:6:ed3:NG-KT</v>
      </c>
    </row>
    <row r="3102" spans="1:7" x14ac:dyDescent="0.2">
      <c r="A3102" s="85"/>
      <c r="B3102" s="25" t="s">
        <v>7870</v>
      </c>
      <c r="C3102" s="25" t="s">
        <v>7871</v>
      </c>
      <c r="D3102" s="25" t="s">
        <v>2113</v>
      </c>
      <c r="E3102" s="26" t="b">
        <v>1</v>
      </c>
      <c r="F3102" s="27" t="str">
        <f>HYPERLINK("http://nsgreg.nga.mil/genc/view?v=121178&amp;gencs=T&amp;end_month=12&amp;end_day=31&amp;end_year=2014","Kebbi")</f>
        <v>Kebbi</v>
      </c>
      <c r="G3102" s="28" t="str">
        <f>HYPERLINK("http://api.nsgreg.nga.mil/geo-division/GENC/6/ed3/NG-KE","as:GENC:6:ed3:NG-KE")</f>
        <v>as:GENC:6:ed3:NG-KE</v>
      </c>
    </row>
    <row r="3103" spans="1:7" x14ac:dyDescent="0.2">
      <c r="A3103" s="85"/>
      <c r="B3103" s="25" t="s">
        <v>7872</v>
      </c>
      <c r="C3103" s="25" t="s">
        <v>7873</v>
      </c>
      <c r="D3103" s="25" t="s">
        <v>2113</v>
      </c>
      <c r="E3103" s="26" t="b">
        <v>1</v>
      </c>
      <c r="F3103" s="27" t="str">
        <f>HYPERLINK("http://nsgreg.nga.mil/genc/view?v=121180&amp;gencs=T&amp;end_month=12&amp;end_day=31&amp;end_year=2014","Kogi")</f>
        <v>Kogi</v>
      </c>
      <c r="G3103" s="28" t="str">
        <f>HYPERLINK("http://api.nsgreg.nga.mil/geo-division/GENC/6/ed3/NG-KO","as:GENC:6:ed3:NG-KO")</f>
        <v>as:GENC:6:ed3:NG-KO</v>
      </c>
    </row>
    <row r="3104" spans="1:7" x14ac:dyDescent="0.2">
      <c r="A3104" s="85"/>
      <c r="B3104" s="25" t="s">
        <v>7874</v>
      </c>
      <c r="C3104" s="25" t="s">
        <v>7875</v>
      </c>
      <c r="D3104" s="25" t="s">
        <v>2113</v>
      </c>
      <c r="E3104" s="26" t="b">
        <v>1</v>
      </c>
      <c r="F3104" s="27" t="str">
        <f>HYPERLINK("http://nsgreg.nga.mil/genc/view?v=121182&amp;gencs=T&amp;end_month=12&amp;end_day=31&amp;end_year=2014","Kwara")</f>
        <v>Kwara</v>
      </c>
      <c r="G3104" s="28" t="str">
        <f>HYPERLINK("http://api.nsgreg.nga.mil/geo-division/GENC/6/ed3/NG-KW","as:GENC:6:ed3:NG-KW")</f>
        <v>as:GENC:6:ed3:NG-KW</v>
      </c>
    </row>
    <row r="3105" spans="1:7" x14ac:dyDescent="0.2">
      <c r="A3105" s="85"/>
      <c r="B3105" s="25" t="s">
        <v>7876</v>
      </c>
      <c r="C3105" s="25" t="s">
        <v>7877</v>
      </c>
      <c r="D3105" s="25" t="s">
        <v>2113</v>
      </c>
      <c r="E3105" s="26" t="b">
        <v>1</v>
      </c>
      <c r="F3105" s="27" t="str">
        <f>HYPERLINK("http://nsgreg.nga.mil/genc/view?v=121183&amp;gencs=T&amp;end_month=12&amp;end_day=31&amp;end_year=2014","Lagos")</f>
        <v>Lagos</v>
      </c>
      <c r="G3105" s="28" t="str">
        <f>HYPERLINK("http://api.nsgreg.nga.mil/geo-division/GENC/6/ed3/NG-LA","as:GENC:6:ed3:NG-LA")</f>
        <v>as:GENC:6:ed3:NG-LA</v>
      </c>
    </row>
    <row r="3106" spans="1:7" x14ac:dyDescent="0.2">
      <c r="A3106" s="85"/>
      <c r="B3106" s="25" t="s">
        <v>7878</v>
      </c>
      <c r="C3106" s="25" t="s">
        <v>13099</v>
      </c>
      <c r="D3106" s="25" t="s">
        <v>2113</v>
      </c>
      <c r="E3106" s="26" t="b">
        <v>1</v>
      </c>
      <c r="F3106" s="27" t="str">
        <f>HYPERLINK("http://nsgreg.nga.mil/genc/view?v=121184&amp;gencs=T&amp;end_month=12&amp;end_day=31&amp;end_year=2014","Nasarawa")</f>
        <v>Nasarawa</v>
      </c>
      <c r="G3106" s="28" t="str">
        <f>HYPERLINK("http://api.nsgreg.nga.mil/geo-division/GENC/6/ed3/NG-NA","as:GENC:6:ed3:NG-NA")</f>
        <v>as:GENC:6:ed3:NG-NA</v>
      </c>
    </row>
    <row r="3107" spans="1:7" x14ac:dyDescent="0.2">
      <c r="A3107" s="85"/>
      <c r="B3107" s="25" t="s">
        <v>7880</v>
      </c>
      <c r="C3107" s="25" t="s">
        <v>1632</v>
      </c>
      <c r="D3107" s="25" t="s">
        <v>2113</v>
      </c>
      <c r="E3107" s="26" t="b">
        <v>1</v>
      </c>
      <c r="F3107" s="27" t="str">
        <f>HYPERLINK("http://nsgreg.nga.mil/genc/view?v=121185&amp;gencs=T&amp;end_month=12&amp;end_day=31&amp;end_year=2014","Niger")</f>
        <v>Niger</v>
      </c>
      <c r="G3107" s="28" t="str">
        <f>HYPERLINK("http://api.nsgreg.nga.mil/geo-division/GENC/6/ed3/NG-NI","as:GENC:6:ed3:NG-NI")</f>
        <v>as:GENC:6:ed3:NG-NI</v>
      </c>
    </row>
    <row r="3108" spans="1:7" x14ac:dyDescent="0.2">
      <c r="A3108" s="85"/>
      <c r="B3108" s="25" t="s">
        <v>7881</v>
      </c>
      <c r="C3108" s="25" t="s">
        <v>7882</v>
      </c>
      <c r="D3108" s="25" t="s">
        <v>2113</v>
      </c>
      <c r="E3108" s="26" t="b">
        <v>1</v>
      </c>
      <c r="F3108" s="27" t="str">
        <f>HYPERLINK("http://nsgreg.nga.mil/genc/view?v=121186&amp;gencs=T&amp;end_month=12&amp;end_day=31&amp;end_year=2014","Ogun")</f>
        <v>Ogun</v>
      </c>
      <c r="G3108" s="28" t="str">
        <f>HYPERLINK("http://api.nsgreg.nga.mil/geo-division/GENC/6/ed3/NG-OG","as:GENC:6:ed3:NG-OG")</f>
        <v>as:GENC:6:ed3:NG-OG</v>
      </c>
    </row>
    <row r="3109" spans="1:7" x14ac:dyDescent="0.2">
      <c r="A3109" s="85"/>
      <c r="B3109" s="25" t="s">
        <v>7883</v>
      </c>
      <c r="C3109" s="25" t="s">
        <v>7884</v>
      </c>
      <c r="D3109" s="25" t="s">
        <v>2113</v>
      </c>
      <c r="E3109" s="26" t="b">
        <v>1</v>
      </c>
      <c r="F3109" s="27" t="str">
        <f>HYPERLINK("http://nsgreg.nga.mil/genc/view?v=121187&amp;gencs=T&amp;end_month=12&amp;end_day=31&amp;end_year=2014","Ondo")</f>
        <v>Ondo</v>
      </c>
      <c r="G3109" s="28" t="str">
        <f>HYPERLINK("http://api.nsgreg.nga.mil/geo-division/GENC/6/ed3/NG-ON","as:GENC:6:ed3:NG-ON")</f>
        <v>as:GENC:6:ed3:NG-ON</v>
      </c>
    </row>
    <row r="3110" spans="1:7" x14ac:dyDescent="0.2">
      <c r="A3110" s="85"/>
      <c r="B3110" s="25" t="s">
        <v>7885</v>
      </c>
      <c r="C3110" s="25" t="s">
        <v>7886</v>
      </c>
      <c r="D3110" s="25" t="s">
        <v>2113</v>
      </c>
      <c r="E3110" s="26" t="b">
        <v>1</v>
      </c>
      <c r="F3110" s="27" t="str">
        <f>HYPERLINK("http://nsgreg.nga.mil/genc/view?v=121188&amp;gencs=T&amp;end_month=12&amp;end_day=31&amp;end_year=2014","Osun")</f>
        <v>Osun</v>
      </c>
      <c r="G3110" s="28" t="str">
        <f>HYPERLINK("http://api.nsgreg.nga.mil/geo-division/GENC/6/ed3/NG-OS","as:GENC:6:ed3:NG-OS")</f>
        <v>as:GENC:6:ed3:NG-OS</v>
      </c>
    </row>
    <row r="3111" spans="1:7" x14ac:dyDescent="0.2">
      <c r="A3111" s="85"/>
      <c r="B3111" s="25" t="s">
        <v>7887</v>
      </c>
      <c r="C3111" s="25" t="s">
        <v>7888</v>
      </c>
      <c r="D3111" s="25" t="s">
        <v>2113</v>
      </c>
      <c r="E3111" s="26" t="b">
        <v>1</v>
      </c>
      <c r="F3111" s="27" t="str">
        <f>HYPERLINK("http://nsgreg.nga.mil/genc/view?v=121189&amp;gencs=T&amp;end_month=12&amp;end_day=31&amp;end_year=2014","Oyo")</f>
        <v>Oyo</v>
      </c>
      <c r="G3111" s="28" t="str">
        <f>HYPERLINK("http://api.nsgreg.nga.mil/geo-division/GENC/6/ed3/NG-OY","as:GENC:6:ed3:NG-OY")</f>
        <v>as:GENC:6:ed3:NG-OY</v>
      </c>
    </row>
    <row r="3112" spans="1:7" x14ac:dyDescent="0.2">
      <c r="A3112" s="85"/>
      <c r="B3112" s="25" t="s">
        <v>7889</v>
      </c>
      <c r="C3112" s="25" t="s">
        <v>2610</v>
      </c>
      <c r="D3112" s="25" t="s">
        <v>2113</v>
      </c>
      <c r="E3112" s="26" t="b">
        <v>1</v>
      </c>
      <c r="F3112" s="27" t="str">
        <f>HYPERLINK("http://nsgreg.nga.mil/genc/view?v=121190&amp;gencs=T&amp;end_month=12&amp;end_day=31&amp;end_year=2014","Plateau")</f>
        <v>Plateau</v>
      </c>
      <c r="G3112" s="28" t="str">
        <f>HYPERLINK("http://api.nsgreg.nga.mil/geo-division/GENC/6/ed3/NG-PL","as:GENC:6:ed3:NG-PL")</f>
        <v>as:GENC:6:ed3:NG-PL</v>
      </c>
    </row>
    <row r="3113" spans="1:7" x14ac:dyDescent="0.2">
      <c r="A3113" s="85"/>
      <c r="B3113" s="25" t="s">
        <v>7890</v>
      </c>
      <c r="C3113" s="25" t="s">
        <v>7891</v>
      </c>
      <c r="D3113" s="25" t="s">
        <v>2113</v>
      </c>
      <c r="E3113" s="26" t="b">
        <v>1</v>
      </c>
      <c r="F3113" s="27" t="str">
        <f>HYPERLINK("http://nsgreg.nga.mil/genc/view?v=121191&amp;gencs=T&amp;end_month=12&amp;end_day=31&amp;end_year=2014","Rivers")</f>
        <v>Rivers</v>
      </c>
      <c r="G3113" s="28" t="str">
        <f>HYPERLINK("http://api.nsgreg.nga.mil/geo-division/GENC/6/ed3/NG-RI","as:GENC:6:ed3:NG-RI")</f>
        <v>as:GENC:6:ed3:NG-RI</v>
      </c>
    </row>
    <row r="3114" spans="1:7" x14ac:dyDescent="0.2">
      <c r="A3114" s="85"/>
      <c r="B3114" s="25" t="s">
        <v>7892</v>
      </c>
      <c r="C3114" s="25" t="s">
        <v>7893</v>
      </c>
      <c r="D3114" s="25" t="s">
        <v>2113</v>
      </c>
      <c r="E3114" s="26" t="b">
        <v>1</v>
      </c>
      <c r="F3114" s="27" t="str">
        <f>HYPERLINK("http://nsgreg.nga.mil/genc/view?v=121192&amp;gencs=T&amp;end_month=12&amp;end_day=31&amp;end_year=2014","Sokoto")</f>
        <v>Sokoto</v>
      </c>
      <c r="G3114" s="28" t="str">
        <f>HYPERLINK("http://api.nsgreg.nga.mil/geo-division/GENC/6/ed3/NG-SO","as:GENC:6:ed3:NG-SO")</f>
        <v>as:GENC:6:ed3:NG-SO</v>
      </c>
    </row>
    <row r="3115" spans="1:7" x14ac:dyDescent="0.2">
      <c r="A3115" s="85"/>
      <c r="B3115" s="25" t="s">
        <v>7894</v>
      </c>
      <c r="C3115" s="25" t="s">
        <v>7895</v>
      </c>
      <c r="D3115" s="25" t="s">
        <v>2113</v>
      </c>
      <c r="E3115" s="26" t="b">
        <v>1</v>
      </c>
      <c r="F3115" s="27" t="str">
        <f>HYPERLINK("http://nsgreg.nga.mil/genc/view?v=121193&amp;gencs=T&amp;end_month=12&amp;end_day=31&amp;end_year=2014","Taraba")</f>
        <v>Taraba</v>
      </c>
      <c r="G3115" s="28" t="str">
        <f>HYPERLINK("http://api.nsgreg.nga.mil/geo-division/GENC/6/ed3/NG-TA","as:GENC:6:ed3:NG-TA")</f>
        <v>as:GENC:6:ed3:NG-TA</v>
      </c>
    </row>
    <row r="3116" spans="1:7" x14ac:dyDescent="0.2">
      <c r="A3116" s="85"/>
      <c r="B3116" s="25" t="s">
        <v>7896</v>
      </c>
      <c r="C3116" s="25" t="s">
        <v>7897</v>
      </c>
      <c r="D3116" s="25" t="s">
        <v>2113</v>
      </c>
      <c r="E3116" s="26" t="b">
        <v>1</v>
      </c>
      <c r="F3116" s="27" t="str">
        <f>HYPERLINK("http://nsgreg.nga.mil/genc/view?v=121194&amp;gencs=T&amp;end_month=12&amp;end_day=31&amp;end_year=2014","Yobe")</f>
        <v>Yobe</v>
      </c>
      <c r="G3116" s="28" t="str">
        <f>HYPERLINK("http://api.nsgreg.nga.mil/geo-division/GENC/6/ed3/NG-YO","as:GENC:6:ed3:NG-YO")</f>
        <v>as:GENC:6:ed3:NG-YO</v>
      </c>
    </row>
    <row r="3117" spans="1:7" x14ac:dyDescent="0.2">
      <c r="A3117" s="86"/>
      <c r="B3117" s="29" t="s">
        <v>7898</v>
      </c>
      <c r="C3117" s="29" t="s">
        <v>7899</v>
      </c>
      <c r="D3117" s="29" t="s">
        <v>2113</v>
      </c>
      <c r="E3117" s="30" t="b">
        <v>1</v>
      </c>
      <c r="F3117" s="31" t="str">
        <f>HYPERLINK("http://nsgreg.nga.mil/genc/view?v=121195&amp;gencs=T&amp;end_month=12&amp;end_day=31&amp;end_year=2014","Zamfara")</f>
        <v>Zamfara</v>
      </c>
      <c r="G3117" s="32" t="str">
        <f>HYPERLINK("http://api.nsgreg.nga.mil/geo-division/GENC/6/ed3/NG-ZA","as:GENC:6:ed3:NG-ZA")</f>
        <v>as:GENC:6:ed3:NG-ZA</v>
      </c>
    </row>
    <row r="3118" spans="1:7" x14ac:dyDescent="0.2">
      <c r="A3118" s="84" t="str">
        <f>HYPERLINK("[#]Codes_for_GE_Names!A194:I194","NORWAY")</f>
        <v>NORWAY</v>
      </c>
      <c r="B3118" s="33" t="s">
        <v>7900</v>
      </c>
      <c r="C3118" s="33" t="s">
        <v>7901</v>
      </c>
      <c r="D3118" s="33" t="s">
        <v>1788</v>
      </c>
      <c r="E3118" s="34" t="b">
        <v>1</v>
      </c>
      <c r="F3118" s="35" t="str">
        <f>HYPERLINK("http://nsgreg.nga.mil/genc/view?v=212770&amp;end_month=12&amp;end_day=31&amp;end_year=2014","Akershus")</f>
        <v>Akershus</v>
      </c>
      <c r="G3118" s="36" t="str">
        <f>HYPERLINK("http://api.nsgreg.nga.mil/geo-division/GENC/6/ed3/NO-02","as:GENC:6:ed3:NO-02")</f>
        <v>as:GENC:6:ed3:NO-02</v>
      </c>
    </row>
    <row r="3119" spans="1:7" x14ac:dyDescent="0.2">
      <c r="A3119" s="85"/>
      <c r="B3119" s="25" t="s">
        <v>7902</v>
      </c>
      <c r="C3119" s="25" t="s">
        <v>7903</v>
      </c>
      <c r="D3119" s="25" t="s">
        <v>1788</v>
      </c>
      <c r="E3119" s="26" t="b">
        <v>1</v>
      </c>
      <c r="F3119" s="27" t="str">
        <f>HYPERLINK("http://nsgreg.nga.mil/genc/view?v=212777&amp;end_month=12&amp;end_day=31&amp;end_year=2014","Aust-Agder")</f>
        <v>Aust-Agder</v>
      </c>
      <c r="G3119" s="28" t="str">
        <f>HYPERLINK("http://api.nsgreg.nga.mil/geo-division/GENC/6/ed3/NO-09","as:GENC:6:ed3:NO-09")</f>
        <v>as:GENC:6:ed3:NO-09</v>
      </c>
    </row>
    <row r="3120" spans="1:7" x14ac:dyDescent="0.2">
      <c r="A3120" s="85"/>
      <c r="B3120" s="25" t="s">
        <v>7904</v>
      </c>
      <c r="C3120" s="25" t="s">
        <v>7905</v>
      </c>
      <c r="D3120" s="25" t="s">
        <v>1788</v>
      </c>
      <c r="E3120" s="26" t="b">
        <v>1</v>
      </c>
      <c r="F3120" s="27" t="str">
        <f>HYPERLINK("http://nsgreg.nga.mil/genc/view?v=212774&amp;end_month=12&amp;end_day=31&amp;end_year=2014","Buskerud")</f>
        <v>Buskerud</v>
      </c>
      <c r="G3120" s="28" t="str">
        <f>HYPERLINK("http://api.nsgreg.nga.mil/geo-division/GENC/6/ed3/NO-06","as:GENC:6:ed3:NO-06")</f>
        <v>as:GENC:6:ed3:NO-06</v>
      </c>
    </row>
    <row r="3121" spans="1:7" x14ac:dyDescent="0.2">
      <c r="A3121" s="85"/>
      <c r="B3121" s="25" t="s">
        <v>7906</v>
      </c>
      <c r="C3121" s="25" t="s">
        <v>7907</v>
      </c>
      <c r="D3121" s="25" t="s">
        <v>1788</v>
      </c>
      <c r="E3121" s="26" t="b">
        <v>1</v>
      </c>
      <c r="F3121" s="27" t="str">
        <f>HYPERLINK("http://nsgreg.nga.mil/genc/view?v=212787&amp;end_month=12&amp;end_day=31&amp;end_year=2014","Finnmark")</f>
        <v>Finnmark</v>
      </c>
      <c r="G3121" s="28" t="str">
        <f>HYPERLINK("http://api.nsgreg.nga.mil/geo-division/GENC/6/ed3/NO-20","as:GENC:6:ed3:NO-20")</f>
        <v>as:GENC:6:ed3:NO-20</v>
      </c>
    </row>
    <row r="3122" spans="1:7" x14ac:dyDescent="0.2">
      <c r="A3122" s="85"/>
      <c r="B3122" s="25" t="s">
        <v>7910</v>
      </c>
      <c r="C3122" s="25" t="s">
        <v>7911</v>
      </c>
      <c r="D3122" s="25" t="s">
        <v>1788</v>
      </c>
      <c r="E3122" s="26" t="b">
        <v>1</v>
      </c>
      <c r="F3122" s="27" t="str">
        <f>HYPERLINK("http://nsgreg.nga.mil/genc/view?v=212772&amp;end_month=12&amp;end_day=31&amp;end_year=2014","Hedmark")</f>
        <v>Hedmark</v>
      </c>
      <c r="G3122" s="28" t="str">
        <f>HYPERLINK("http://api.nsgreg.nga.mil/geo-division/GENC/6/ed3/NO-04","as:GENC:6:ed3:NO-04")</f>
        <v>as:GENC:6:ed3:NO-04</v>
      </c>
    </row>
    <row r="3123" spans="1:7" x14ac:dyDescent="0.2">
      <c r="A3123" s="85"/>
      <c r="B3123" s="25" t="s">
        <v>7912</v>
      </c>
      <c r="C3123" s="25" t="s">
        <v>7913</v>
      </c>
      <c r="D3123" s="25" t="s">
        <v>1788</v>
      </c>
      <c r="E3123" s="26" t="b">
        <v>1</v>
      </c>
      <c r="F3123" s="27" t="str">
        <f>HYPERLINK("http://nsgreg.nga.mil/genc/view?v=212780&amp;end_month=12&amp;end_day=31&amp;end_year=2014","Hordaland")</f>
        <v>Hordaland</v>
      </c>
      <c r="G3123" s="28" t="str">
        <f>HYPERLINK("http://api.nsgreg.nga.mil/geo-division/GENC/6/ed3/NO-12","as:GENC:6:ed3:NO-12")</f>
        <v>as:GENC:6:ed3:NO-12</v>
      </c>
    </row>
    <row r="3124" spans="1:7" x14ac:dyDescent="0.2">
      <c r="A3124" s="85"/>
      <c r="B3124" s="25" t="s">
        <v>7917</v>
      </c>
      <c r="C3124" s="25" t="s">
        <v>7918</v>
      </c>
      <c r="D3124" s="25" t="s">
        <v>1788</v>
      </c>
      <c r="E3124" s="26" t="b">
        <v>1</v>
      </c>
      <c r="F3124" s="27" t="str">
        <f>HYPERLINK("http://nsgreg.nga.mil/genc/view?v=212782&amp;end_month=12&amp;end_day=31&amp;end_year=2014","Møre og Romsdal")</f>
        <v>Møre og Romsdal</v>
      </c>
      <c r="G3124" s="28" t="str">
        <f>HYPERLINK("http://api.nsgreg.nga.mil/geo-division/GENC/6/ed3/NO-15","as:GENC:6:ed3:NO-15")</f>
        <v>as:GENC:6:ed3:NO-15</v>
      </c>
    </row>
    <row r="3125" spans="1:7" x14ac:dyDescent="0.2">
      <c r="A3125" s="85"/>
      <c r="B3125" s="25" t="s">
        <v>7921</v>
      </c>
      <c r="C3125" s="25" t="s">
        <v>7922</v>
      </c>
      <c r="D3125" s="25" t="s">
        <v>1788</v>
      </c>
      <c r="E3125" s="26" t="b">
        <v>1</v>
      </c>
      <c r="F3125" s="27" t="str">
        <f>HYPERLINK("http://nsgreg.nga.mil/genc/view?v=212785&amp;end_month=12&amp;end_day=31&amp;end_year=2014","Nordland")</f>
        <v>Nordland</v>
      </c>
      <c r="G3125" s="28" t="str">
        <f>HYPERLINK("http://api.nsgreg.nga.mil/geo-division/GENC/6/ed3/NO-18","as:GENC:6:ed3:NO-18")</f>
        <v>as:GENC:6:ed3:NO-18</v>
      </c>
    </row>
    <row r="3126" spans="1:7" x14ac:dyDescent="0.2">
      <c r="A3126" s="85"/>
      <c r="B3126" s="25" t="s">
        <v>7919</v>
      </c>
      <c r="C3126" s="25" t="s">
        <v>7920</v>
      </c>
      <c r="D3126" s="25" t="s">
        <v>1788</v>
      </c>
      <c r="E3126" s="26" t="b">
        <v>1</v>
      </c>
      <c r="F3126" s="27" t="str">
        <f>HYPERLINK("http://nsgreg.nga.mil/genc/view?v=212784&amp;end_month=12&amp;end_day=31&amp;end_year=2014","Nord-Trøndelag")</f>
        <v>Nord-Trøndelag</v>
      </c>
      <c r="G3126" s="28" t="str">
        <f>HYPERLINK("http://api.nsgreg.nga.mil/geo-division/GENC/6/ed3/NO-17","as:GENC:6:ed3:NO-17")</f>
        <v>as:GENC:6:ed3:NO-17</v>
      </c>
    </row>
    <row r="3127" spans="1:7" x14ac:dyDescent="0.2">
      <c r="A3127" s="85"/>
      <c r="B3127" s="25" t="s">
        <v>7923</v>
      </c>
      <c r="C3127" s="25" t="s">
        <v>7924</v>
      </c>
      <c r="D3127" s="25" t="s">
        <v>1788</v>
      </c>
      <c r="E3127" s="26" t="b">
        <v>1</v>
      </c>
      <c r="F3127" s="27" t="str">
        <f>HYPERLINK("http://nsgreg.nga.mil/genc/view?v=212773&amp;end_month=12&amp;end_day=31&amp;end_year=2014","Oppland")</f>
        <v>Oppland</v>
      </c>
      <c r="G3127" s="28" t="str">
        <f>HYPERLINK("http://api.nsgreg.nga.mil/geo-division/GENC/6/ed3/NO-05","as:GENC:6:ed3:NO-05")</f>
        <v>as:GENC:6:ed3:NO-05</v>
      </c>
    </row>
    <row r="3128" spans="1:7" x14ac:dyDescent="0.2">
      <c r="A3128" s="85"/>
      <c r="B3128" s="25" t="s">
        <v>7925</v>
      </c>
      <c r="C3128" s="25" t="s">
        <v>7926</v>
      </c>
      <c r="D3128" s="25" t="s">
        <v>1788</v>
      </c>
      <c r="E3128" s="26" t="b">
        <v>1</v>
      </c>
      <c r="F3128" s="27" t="str">
        <f>HYPERLINK("http://nsgreg.nga.mil/genc/view?v=212771&amp;end_month=12&amp;end_day=31&amp;end_year=2014","Oslo")</f>
        <v>Oslo</v>
      </c>
      <c r="G3128" s="28" t="str">
        <f>HYPERLINK("http://api.nsgreg.nga.mil/geo-division/GENC/6/ed3/NO-03","as:GENC:6:ed3:NO-03")</f>
        <v>as:GENC:6:ed3:NO-03</v>
      </c>
    </row>
    <row r="3129" spans="1:7" x14ac:dyDescent="0.2">
      <c r="A3129" s="85"/>
      <c r="B3129" s="25" t="s">
        <v>7944</v>
      </c>
      <c r="C3129" s="25" t="s">
        <v>7945</v>
      </c>
      <c r="D3129" s="25" t="s">
        <v>1788</v>
      </c>
      <c r="E3129" s="26" t="b">
        <v>1</v>
      </c>
      <c r="F3129" s="27" t="str">
        <f>HYPERLINK("http://nsgreg.nga.mil/genc/view?v=212769&amp;end_month=12&amp;end_day=31&amp;end_year=2014","Østfold")</f>
        <v>Østfold</v>
      </c>
      <c r="G3129" s="28" t="str">
        <f>HYPERLINK("http://api.nsgreg.nga.mil/geo-division/GENC/6/ed3/NO-01","as:GENC:6:ed3:NO-01")</f>
        <v>as:GENC:6:ed3:NO-01</v>
      </c>
    </row>
    <row r="3130" spans="1:7" x14ac:dyDescent="0.2">
      <c r="A3130" s="85"/>
      <c r="B3130" s="25" t="s">
        <v>7927</v>
      </c>
      <c r="C3130" s="25" t="s">
        <v>7928</v>
      </c>
      <c r="D3130" s="25" t="s">
        <v>1788</v>
      </c>
      <c r="E3130" s="26" t="b">
        <v>1</v>
      </c>
      <c r="F3130" s="27" t="str">
        <f>HYPERLINK("http://nsgreg.nga.mil/genc/view?v=212779&amp;end_month=12&amp;end_day=31&amp;end_year=2014","Rogaland")</f>
        <v>Rogaland</v>
      </c>
      <c r="G3130" s="28" t="str">
        <f>HYPERLINK("http://api.nsgreg.nga.mil/geo-division/GENC/6/ed3/NO-11","as:GENC:6:ed3:NO-11")</f>
        <v>as:GENC:6:ed3:NO-11</v>
      </c>
    </row>
    <row r="3131" spans="1:7" x14ac:dyDescent="0.2">
      <c r="A3131" s="85"/>
      <c r="B3131" s="25" t="s">
        <v>7931</v>
      </c>
      <c r="C3131" s="25" t="s">
        <v>7932</v>
      </c>
      <c r="D3131" s="25" t="s">
        <v>1788</v>
      </c>
      <c r="E3131" s="26" t="b">
        <v>1</v>
      </c>
      <c r="F3131" s="27" t="str">
        <f>HYPERLINK("http://nsgreg.nga.mil/genc/view?v=212781&amp;end_month=12&amp;end_day=31&amp;end_year=2014","Sogn og Fjordane")</f>
        <v>Sogn og Fjordane</v>
      </c>
      <c r="G3131" s="28" t="str">
        <f>HYPERLINK("http://api.nsgreg.nga.mil/geo-division/GENC/6/ed3/NO-14","as:GENC:6:ed3:NO-14")</f>
        <v>as:GENC:6:ed3:NO-14</v>
      </c>
    </row>
    <row r="3132" spans="1:7" x14ac:dyDescent="0.2">
      <c r="A3132" s="85"/>
      <c r="B3132" s="25" t="s">
        <v>7935</v>
      </c>
      <c r="C3132" s="25" t="s">
        <v>7936</v>
      </c>
      <c r="D3132" s="25" t="s">
        <v>1788</v>
      </c>
      <c r="E3132" s="26" t="b">
        <v>1</v>
      </c>
      <c r="F3132" s="27" t="str">
        <f>HYPERLINK("http://nsgreg.nga.mil/genc/view?v=212783&amp;end_month=12&amp;end_day=31&amp;end_year=2014","Sør-Trøndelag")</f>
        <v>Sør-Trøndelag</v>
      </c>
      <c r="G3132" s="28" t="str">
        <f>HYPERLINK("http://api.nsgreg.nga.mil/geo-division/GENC/6/ed3/NO-16","as:GENC:6:ed3:NO-16")</f>
        <v>as:GENC:6:ed3:NO-16</v>
      </c>
    </row>
    <row r="3133" spans="1:7" x14ac:dyDescent="0.2">
      <c r="A3133" s="85"/>
      <c r="B3133" s="25" t="s">
        <v>7937</v>
      </c>
      <c r="C3133" s="25" t="s">
        <v>7938</v>
      </c>
      <c r="D3133" s="25" t="s">
        <v>1788</v>
      </c>
      <c r="E3133" s="26" t="b">
        <v>1</v>
      </c>
      <c r="F3133" s="27" t="str">
        <f>HYPERLINK("http://nsgreg.nga.mil/genc/view?v=212776&amp;end_month=12&amp;end_day=31&amp;end_year=2014","Telemark")</f>
        <v>Telemark</v>
      </c>
      <c r="G3133" s="28" t="str">
        <f>HYPERLINK("http://api.nsgreg.nga.mil/geo-division/GENC/6/ed3/NO-08","as:GENC:6:ed3:NO-08")</f>
        <v>as:GENC:6:ed3:NO-08</v>
      </c>
    </row>
    <row r="3134" spans="1:7" x14ac:dyDescent="0.2">
      <c r="A3134" s="85"/>
      <c r="B3134" s="25" t="s">
        <v>7929</v>
      </c>
      <c r="C3134" s="25" t="s">
        <v>7939</v>
      </c>
      <c r="D3134" s="25" t="s">
        <v>1788</v>
      </c>
      <c r="E3134" s="26" t="b">
        <v>1</v>
      </c>
      <c r="F3134" s="27" t="str">
        <f>HYPERLINK("http://nsgreg.nga.mil/genc/view?v=212786&amp;end_month=12&amp;end_day=31&amp;end_year=2014","Troms")</f>
        <v>Troms</v>
      </c>
      <c r="G3134" s="28" t="str">
        <f>HYPERLINK("http://api.nsgreg.nga.mil/geo-division/GENC/6/ed3/NO-19","as:GENC:6:ed3:NO-19")</f>
        <v>as:GENC:6:ed3:NO-19</v>
      </c>
    </row>
    <row r="3135" spans="1:7" x14ac:dyDescent="0.2">
      <c r="A3135" s="85"/>
      <c r="B3135" s="25" t="s">
        <v>7940</v>
      </c>
      <c r="C3135" s="25" t="s">
        <v>7941</v>
      </c>
      <c r="D3135" s="25" t="s">
        <v>1788</v>
      </c>
      <c r="E3135" s="26" t="b">
        <v>1</v>
      </c>
      <c r="F3135" s="27" t="str">
        <f>HYPERLINK("http://nsgreg.nga.mil/genc/view?v=212778&amp;end_month=12&amp;end_day=31&amp;end_year=2014","Vest-Agder")</f>
        <v>Vest-Agder</v>
      </c>
      <c r="G3135" s="28" t="str">
        <f>HYPERLINK("http://api.nsgreg.nga.mil/geo-division/GENC/6/ed3/NO-10","as:GENC:6:ed3:NO-10")</f>
        <v>as:GENC:6:ed3:NO-10</v>
      </c>
    </row>
    <row r="3136" spans="1:7" x14ac:dyDescent="0.2">
      <c r="A3136" s="86"/>
      <c r="B3136" s="29" t="s">
        <v>7942</v>
      </c>
      <c r="C3136" s="29" t="s">
        <v>7943</v>
      </c>
      <c r="D3136" s="29" t="s">
        <v>1788</v>
      </c>
      <c r="E3136" s="30" t="b">
        <v>1</v>
      </c>
      <c r="F3136" s="31" t="str">
        <f>HYPERLINK("http://nsgreg.nga.mil/genc/view?v=212775&amp;end_month=12&amp;end_day=31&amp;end_year=2014","Vestfold")</f>
        <v>Vestfold</v>
      </c>
      <c r="G3136" s="32" t="str">
        <f>HYPERLINK("http://api.nsgreg.nga.mil/geo-division/GENC/6/ed3/NO-07","as:GENC:6:ed3:NO-07")</f>
        <v>as:GENC:6:ed3:NO-07</v>
      </c>
    </row>
    <row r="3137" spans="1:7" x14ac:dyDescent="0.2">
      <c r="A3137" s="84" t="str">
        <f>HYPERLINK("[#]Codes_for_GE_Names!A195:I195","OMAN")</f>
        <v>OMAN</v>
      </c>
      <c r="B3137" s="33" t="s">
        <v>7946</v>
      </c>
      <c r="C3137" s="33" t="s">
        <v>7947</v>
      </c>
      <c r="D3137" s="33" t="s">
        <v>2365</v>
      </c>
      <c r="E3137" s="34" t="b">
        <v>1</v>
      </c>
      <c r="F3137" s="35" t="str">
        <f>HYPERLINK("http://nsgreg.nga.mil/genc/view?v=212842&amp;end_month=12&amp;end_day=31&amp;end_year=2014","Ad Dākhilīyah")</f>
        <v>Ad Dākhilīyah</v>
      </c>
      <c r="G3137" s="36" t="str">
        <f>HYPERLINK("http://api.nsgreg.nga.mil/geo-division/GENC/6/ed3/OM-DA","as:GENC:6:ed3:OM-DA")</f>
        <v>as:GENC:6:ed3:OM-DA</v>
      </c>
    </row>
    <row r="3138" spans="1:7" x14ac:dyDescent="0.2">
      <c r="A3138" s="85"/>
      <c r="B3138" s="25" t="s">
        <v>7948</v>
      </c>
      <c r="C3138" s="25" t="s">
        <v>7949</v>
      </c>
      <c r="D3138" s="25" t="s">
        <v>2365</v>
      </c>
      <c r="E3138" s="26" t="b">
        <v>1</v>
      </c>
      <c r="F3138" s="27" t="str">
        <f>HYPERLINK("http://nsgreg.nga.mil/genc/view?v=212841&amp;end_month=12&amp;end_day=31&amp;end_year=2014","Al Buraymī")</f>
        <v>Al Buraymī</v>
      </c>
      <c r="G3138" s="28" t="str">
        <f>HYPERLINK("http://api.nsgreg.nga.mil/geo-division/GENC/6/ed3/OM-BU","as:GENC:6:ed3:OM-BU")</f>
        <v>as:GENC:6:ed3:OM-BU</v>
      </c>
    </row>
    <row r="3139" spans="1:7" x14ac:dyDescent="0.2">
      <c r="A3139" s="85"/>
      <c r="B3139" s="25" t="s">
        <v>7952</v>
      </c>
      <c r="C3139" s="25" t="s">
        <v>2371</v>
      </c>
      <c r="D3139" s="25" t="s">
        <v>2365</v>
      </c>
      <c r="E3139" s="26" t="b">
        <v>1</v>
      </c>
      <c r="F3139" s="27" t="str">
        <f>HYPERLINK("http://nsgreg.nga.mil/genc/view?v=212850&amp;end_month=12&amp;end_day=31&amp;end_year=2014","Al Wusţá")</f>
        <v>Al Wusţá</v>
      </c>
      <c r="G3139" s="28" t="str">
        <f>HYPERLINK("http://api.nsgreg.nga.mil/geo-division/GENC/6/ed3/OM-WU","as:GENC:6:ed3:OM-WU")</f>
        <v>as:GENC:6:ed3:OM-WU</v>
      </c>
    </row>
    <row r="3140" spans="1:7" x14ac:dyDescent="0.2">
      <c r="A3140" s="85"/>
      <c r="B3140" s="25" t="s">
        <v>7954</v>
      </c>
      <c r="C3140" s="25" t="s">
        <v>7955</v>
      </c>
      <c r="D3140" s="25" t="s">
        <v>2365</v>
      </c>
      <c r="E3140" s="26" t="b">
        <v>1</v>
      </c>
      <c r="F3140" s="27" t="str">
        <f>HYPERLINK("http://nsgreg.nga.mil/genc/view?v=212851&amp;end_month=12&amp;end_day=31&amp;end_year=2014","Az̧ Z̧āhirah")</f>
        <v>Az̧ Z̧āhirah</v>
      </c>
      <c r="G3140" s="28" t="str">
        <f>HYPERLINK("http://api.nsgreg.nga.mil/geo-division/GENC/6/ed3/OM-ZA","as:GENC:6:ed3:OM-ZA")</f>
        <v>as:GENC:6:ed3:OM-ZA</v>
      </c>
    </row>
    <row r="3141" spans="1:7" x14ac:dyDescent="0.2">
      <c r="A3141" s="85"/>
      <c r="B3141" s="25" t="s">
        <v>13100</v>
      </c>
      <c r="C3141" s="25" t="s">
        <v>13101</v>
      </c>
      <c r="D3141" s="25" t="s">
        <v>2365</v>
      </c>
      <c r="E3141" s="26" t="b">
        <v>1</v>
      </c>
      <c r="F3141" s="27" t="str">
        <f>HYPERLINK("http://nsgreg.nga.mil/genc/view?v=212843&amp;end_month=12&amp;end_day=31&amp;end_year=2014","Janūb al Bāţinah")</f>
        <v>Janūb al Bāţinah</v>
      </c>
      <c r="G3141" s="28" t="str">
        <f>HYPERLINK("http://api.nsgreg.nga.mil/geo-division/GENC/6/ed3/OM-JB","as:GENC:6:ed3:OM-JB")</f>
        <v>as:GENC:6:ed3:OM-JB</v>
      </c>
    </row>
    <row r="3142" spans="1:7" x14ac:dyDescent="0.2">
      <c r="A3142" s="85"/>
      <c r="B3142" s="25" t="s">
        <v>13102</v>
      </c>
      <c r="C3142" s="25" t="s">
        <v>13103</v>
      </c>
      <c r="D3142" s="25" t="s">
        <v>2365</v>
      </c>
      <c r="E3142" s="26" t="b">
        <v>1</v>
      </c>
      <c r="F3142" s="27" t="str">
        <f>HYPERLINK("http://nsgreg.nga.mil/genc/view?v=212844&amp;end_month=12&amp;end_day=31&amp;end_year=2014","Janūb ash Sharqīyah")</f>
        <v>Janūb ash Sharqīyah</v>
      </c>
      <c r="G3142" s="28" t="str">
        <f>HYPERLINK("http://api.nsgreg.nga.mil/geo-division/GENC/6/ed3/OM-JS","as:GENC:6:ed3:OM-JS")</f>
        <v>as:GENC:6:ed3:OM-JS</v>
      </c>
    </row>
    <row r="3143" spans="1:7" x14ac:dyDescent="0.2">
      <c r="A3143" s="85"/>
      <c r="B3143" s="25" t="s">
        <v>7956</v>
      </c>
      <c r="C3143" s="25" t="s">
        <v>7957</v>
      </c>
      <c r="D3143" s="25" t="s">
        <v>2365</v>
      </c>
      <c r="E3143" s="26" t="b">
        <v>1</v>
      </c>
      <c r="F3143" s="27" t="str">
        <f>HYPERLINK("http://nsgreg.nga.mil/genc/view?v=212845&amp;end_month=12&amp;end_day=31&amp;end_year=2014","Masqaţ")</f>
        <v>Masqaţ</v>
      </c>
      <c r="G3143" s="28" t="str">
        <f>HYPERLINK("http://api.nsgreg.nga.mil/geo-division/GENC/6/ed3/OM-MA","as:GENC:6:ed3:OM-MA")</f>
        <v>as:GENC:6:ed3:OM-MA</v>
      </c>
    </row>
    <row r="3144" spans="1:7" x14ac:dyDescent="0.2">
      <c r="A3144" s="85"/>
      <c r="B3144" s="25" t="s">
        <v>7958</v>
      </c>
      <c r="C3144" s="25" t="s">
        <v>7959</v>
      </c>
      <c r="D3144" s="25" t="s">
        <v>2365</v>
      </c>
      <c r="E3144" s="26" t="b">
        <v>1</v>
      </c>
      <c r="F3144" s="27" t="str">
        <f>HYPERLINK("http://nsgreg.nga.mil/genc/view?v=212846&amp;end_month=12&amp;end_day=31&amp;end_year=2014","Musandam")</f>
        <v>Musandam</v>
      </c>
      <c r="G3144" s="28" t="str">
        <f>HYPERLINK("http://api.nsgreg.nga.mil/geo-division/GENC/6/ed3/OM-MU","as:GENC:6:ed3:OM-MU")</f>
        <v>as:GENC:6:ed3:OM-MU</v>
      </c>
    </row>
    <row r="3145" spans="1:7" x14ac:dyDescent="0.2">
      <c r="A3145" s="85"/>
      <c r="B3145" s="25" t="s">
        <v>13104</v>
      </c>
      <c r="C3145" s="25" t="s">
        <v>13105</v>
      </c>
      <c r="D3145" s="25" t="s">
        <v>2365</v>
      </c>
      <c r="E3145" s="26" t="b">
        <v>1</v>
      </c>
      <c r="F3145" s="27" t="str">
        <f>HYPERLINK("http://nsgreg.nga.mil/genc/view?v=212847&amp;end_month=12&amp;end_day=31&amp;end_year=2014","Shamāl al Bāţinah")</f>
        <v>Shamāl al Bāţinah</v>
      </c>
      <c r="G3145" s="28" t="str">
        <f>HYPERLINK("http://api.nsgreg.nga.mil/geo-division/GENC/6/ed3/OM-SB","as:GENC:6:ed3:OM-SB")</f>
        <v>as:GENC:6:ed3:OM-SB</v>
      </c>
    </row>
    <row r="3146" spans="1:7" x14ac:dyDescent="0.2">
      <c r="A3146" s="85"/>
      <c r="B3146" s="25" t="s">
        <v>13106</v>
      </c>
      <c r="C3146" s="25" t="s">
        <v>13107</v>
      </c>
      <c r="D3146" s="25" t="s">
        <v>2365</v>
      </c>
      <c r="E3146" s="26" t="b">
        <v>1</v>
      </c>
      <c r="F3146" s="27" t="str">
        <f>HYPERLINK("http://nsgreg.nga.mil/genc/view?v=212849&amp;end_month=12&amp;end_day=31&amp;end_year=2014","Shamāl ash Sharqīyah")</f>
        <v>Shamāl ash Sharqīyah</v>
      </c>
      <c r="G3146" s="28" t="str">
        <f>HYPERLINK("http://api.nsgreg.nga.mil/geo-division/GENC/6/ed3/OM-SS","as:GENC:6:ed3:OM-SS")</f>
        <v>as:GENC:6:ed3:OM-SS</v>
      </c>
    </row>
    <row r="3147" spans="1:7" x14ac:dyDescent="0.2">
      <c r="A3147" s="86"/>
      <c r="B3147" s="29" t="s">
        <v>7960</v>
      </c>
      <c r="C3147" s="29" t="s">
        <v>7961</v>
      </c>
      <c r="D3147" s="29" t="s">
        <v>2365</v>
      </c>
      <c r="E3147" s="30" t="b">
        <v>1</v>
      </c>
      <c r="F3147" s="31" t="str">
        <f>HYPERLINK("http://nsgreg.nga.mil/genc/view?v=212852&amp;end_month=12&amp;end_day=31&amp;end_year=2014","Z̧ufār")</f>
        <v>Z̧ufār</v>
      </c>
      <c r="G3147" s="32" t="str">
        <f>HYPERLINK("http://api.nsgreg.nga.mil/geo-division/GENC/6/ed3/OM-ZU","as:GENC:6:ed3:OM-ZU")</f>
        <v>as:GENC:6:ed3:OM-ZU</v>
      </c>
    </row>
    <row r="3148" spans="1:7" x14ac:dyDescent="0.2">
      <c r="A3148" s="84" t="str">
        <f>HYPERLINK("[#]Codes_for_GE_Names!A196:I196","PAKISTAN")</f>
        <v>PAKISTAN</v>
      </c>
      <c r="B3148" s="33" t="s">
        <v>7962</v>
      </c>
      <c r="C3148" s="33" t="s">
        <v>7963</v>
      </c>
      <c r="D3148" s="33" t="s">
        <v>7964</v>
      </c>
      <c r="E3148" s="34" t="b">
        <v>1</v>
      </c>
      <c r="F3148" s="35" t="str">
        <f>HYPERLINK("http://nsgreg.nga.mil/genc/view?v=213040&amp;end_month=12&amp;end_day=31&amp;end_year=2014","Azad Kashmir")</f>
        <v>Azad Kashmir</v>
      </c>
      <c r="G3148" s="36" t="str">
        <f>HYPERLINK("http://api.nsgreg.nga.mil/geo-division/GENC/6/ed3/PK-JK","as:GENC:6:ed3:PK-JK")</f>
        <v>as:GENC:6:ed3:PK-JK</v>
      </c>
    </row>
    <row r="3149" spans="1:7" x14ac:dyDescent="0.2">
      <c r="A3149" s="85"/>
      <c r="B3149" s="25" t="s">
        <v>7965</v>
      </c>
      <c r="C3149" s="25" t="s">
        <v>13108</v>
      </c>
      <c r="D3149" s="25" t="s">
        <v>1719</v>
      </c>
      <c r="E3149" s="26" t="b">
        <v>1</v>
      </c>
      <c r="F3149" s="27" t="str">
        <f>HYPERLINK("http://nsgreg.nga.mil/genc/view?v=213037&amp;end_month=12&amp;end_day=31&amp;end_year=2014","Balochistān")</f>
        <v>Balochistān</v>
      </c>
      <c r="G3149" s="28" t="str">
        <f>HYPERLINK("http://api.nsgreg.nga.mil/geo-division/GENC/6/ed3/PK-BA","as:GENC:6:ed3:PK-BA")</f>
        <v>as:GENC:6:ed3:PK-BA</v>
      </c>
    </row>
    <row r="3150" spans="1:7" x14ac:dyDescent="0.2">
      <c r="A3150" s="85"/>
      <c r="B3150" s="25" t="s">
        <v>7968</v>
      </c>
      <c r="C3150" s="25" t="s">
        <v>7969</v>
      </c>
      <c r="D3150" s="25" t="s">
        <v>2110</v>
      </c>
      <c r="E3150" s="26" t="b">
        <v>1</v>
      </c>
      <c r="F3150" s="27" t="str">
        <f>HYPERLINK("http://nsgreg.nga.mil/genc/view?v=213044&amp;end_month=12&amp;end_day=31&amp;end_year=2014","Federally Administered Tribal Areas")</f>
        <v>Federally Administered Tribal Areas</v>
      </c>
      <c r="G3150" s="28" t="str">
        <f>HYPERLINK("http://api.nsgreg.nga.mil/geo-division/GENC/6/ed3/PK-TA","as:GENC:6:ed3:PK-TA")</f>
        <v>as:GENC:6:ed3:PK-TA</v>
      </c>
    </row>
    <row r="3151" spans="1:7" x14ac:dyDescent="0.2">
      <c r="A3151" s="85"/>
      <c r="B3151" s="25" t="s">
        <v>7970</v>
      </c>
      <c r="C3151" s="25" t="s">
        <v>7971</v>
      </c>
      <c r="D3151" s="25" t="s">
        <v>7964</v>
      </c>
      <c r="E3151" s="26" t="b">
        <v>1</v>
      </c>
      <c r="F3151" s="27" t="str">
        <f>HYPERLINK("http://nsgreg.nga.mil/genc/view?v=213038&amp;end_month=12&amp;end_day=31&amp;end_year=2014","Gilgit-Baltistan")</f>
        <v>Gilgit-Baltistan</v>
      </c>
      <c r="G3151" s="28" t="str">
        <f>HYPERLINK("http://api.nsgreg.nga.mil/geo-division/GENC/6/ed3/PK-GB","as:GENC:6:ed3:PK-GB")</f>
        <v>as:GENC:6:ed3:PK-GB</v>
      </c>
    </row>
    <row r="3152" spans="1:7" x14ac:dyDescent="0.2">
      <c r="A3152" s="85"/>
      <c r="B3152" s="25" t="s">
        <v>7973</v>
      </c>
      <c r="C3152" s="25" t="s">
        <v>7976</v>
      </c>
      <c r="D3152" s="25" t="s">
        <v>7831</v>
      </c>
      <c r="E3152" s="26" t="b">
        <v>1</v>
      </c>
      <c r="F3152" s="27" t="str">
        <f>HYPERLINK("http://nsgreg.nga.mil/genc/view?v=213039&amp;end_month=12&amp;end_day=31&amp;end_year=2014","Islāmābād")</f>
        <v>Islāmābād</v>
      </c>
      <c r="G3152" s="28" t="str">
        <f>HYPERLINK("http://api.nsgreg.nga.mil/geo-division/GENC/6/ed3/PK-IS","as:GENC:6:ed3:PK-IS")</f>
        <v>as:GENC:6:ed3:PK-IS</v>
      </c>
    </row>
    <row r="3153" spans="1:7" x14ac:dyDescent="0.2">
      <c r="A3153" s="85"/>
      <c r="B3153" s="25" t="s">
        <v>7977</v>
      </c>
      <c r="C3153" s="25" t="s">
        <v>7979</v>
      </c>
      <c r="D3153" s="25" t="s">
        <v>1719</v>
      </c>
      <c r="E3153" s="26" t="b">
        <v>1</v>
      </c>
      <c r="F3153" s="27" t="str">
        <f>HYPERLINK("http://nsgreg.nga.mil/genc/view?v=213041&amp;end_month=12&amp;end_day=31&amp;end_year=2014","Khyber Pakhtunkhwa")</f>
        <v>Khyber Pakhtunkhwa</v>
      </c>
      <c r="G3153" s="28" t="str">
        <f>HYPERLINK("http://api.nsgreg.nga.mil/geo-division/GENC/6/ed3/PK-KP","as:GENC:6:ed3:PK-KP")</f>
        <v>as:GENC:6:ed3:PK-KP</v>
      </c>
    </row>
    <row r="3154" spans="1:7" x14ac:dyDescent="0.2">
      <c r="A3154" s="85"/>
      <c r="B3154" s="25" t="s">
        <v>7980</v>
      </c>
      <c r="C3154" s="25" t="s">
        <v>5150</v>
      </c>
      <c r="D3154" s="25" t="s">
        <v>1719</v>
      </c>
      <c r="E3154" s="26" t="b">
        <v>1</v>
      </c>
      <c r="F3154" s="27" t="str">
        <f>HYPERLINK("http://nsgreg.nga.mil/genc/view?v=213042&amp;end_month=12&amp;end_day=31&amp;end_year=2014","Punjab")</f>
        <v>Punjab</v>
      </c>
      <c r="G3154" s="28" t="str">
        <f>HYPERLINK("http://api.nsgreg.nga.mil/geo-division/GENC/6/ed3/PK-PB","as:GENC:6:ed3:PK-PB")</f>
        <v>as:GENC:6:ed3:PK-PB</v>
      </c>
    </row>
    <row r="3155" spans="1:7" x14ac:dyDescent="0.2">
      <c r="A3155" s="86"/>
      <c r="B3155" s="29" t="s">
        <v>7982</v>
      </c>
      <c r="C3155" s="29" t="s">
        <v>7983</v>
      </c>
      <c r="D3155" s="29" t="s">
        <v>1719</v>
      </c>
      <c r="E3155" s="30" t="b">
        <v>1</v>
      </c>
      <c r="F3155" s="31" t="str">
        <f>HYPERLINK("http://nsgreg.nga.mil/genc/view?v=213043&amp;end_month=12&amp;end_day=31&amp;end_year=2014","Sindh")</f>
        <v>Sindh</v>
      </c>
      <c r="G3155" s="32" t="str">
        <f>HYPERLINK("http://api.nsgreg.nga.mil/geo-division/GENC/6/ed3/PK-SD","as:GENC:6:ed3:PK-SD")</f>
        <v>as:GENC:6:ed3:PK-SD</v>
      </c>
    </row>
    <row r="3156" spans="1:7" x14ac:dyDescent="0.2">
      <c r="A3156" s="84" t="str">
        <f>HYPERLINK("[#]Codes_for_GE_Names!A197:I197","PALAU")</f>
        <v>PALAU</v>
      </c>
      <c r="B3156" s="33" t="s">
        <v>7985</v>
      </c>
      <c r="C3156" s="33" t="s">
        <v>7986</v>
      </c>
      <c r="D3156" s="33" t="s">
        <v>2113</v>
      </c>
      <c r="E3156" s="34" t="b">
        <v>1</v>
      </c>
      <c r="F3156" s="35" t="str">
        <f>HYPERLINK("http://nsgreg.nga.mil/genc/view?v=213065&amp;end_month=12&amp;end_day=31&amp;end_year=2014","Aimeliik")</f>
        <v>Aimeliik</v>
      </c>
      <c r="G3156" s="36" t="str">
        <f>HYPERLINK("http://api.nsgreg.nga.mil/geo-division/GENC/6/ed3/PW-002","as:GENC:6:ed3:PW-002")</f>
        <v>as:GENC:6:ed3:PW-002</v>
      </c>
    </row>
    <row r="3157" spans="1:7" x14ac:dyDescent="0.2">
      <c r="A3157" s="85"/>
      <c r="B3157" s="25" t="s">
        <v>7987</v>
      </c>
      <c r="C3157" s="25" t="s">
        <v>7988</v>
      </c>
      <c r="D3157" s="25" t="s">
        <v>2113</v>
      </c>
      <c r="E3157" s="26" t="b">
        <v>1</v>
      </c>
      <c r="F3157" s="27" t="str">
        <f>HYPERLINK("http://nsgreg.nga.mil/genc/view?v=213066&amp;end_month=12&amp;end_day=31&amp;end_year=2014","Airai")</f>
        <v>Airai</v>
      </c>
      <c r="G3157" s="28" t="str">
        <f>HYPERLINK("http://api.nsgreg.nga.mil/geo-division/GENC/6/ed3/PW-004","as:GENC:6:ed3:PW-004")</f>
        <v>as:GENC:6:ed3:PW-004</v>
      </c>
    </row>
    <row r="3158" spans="1:7" x14ac:dyDescent="0.2">
      <c r="A3158" s="85"/>
      <c r="B3158" s="25" t="s">
        <v>7989</v>
      </c>
      <c r="C3158" s="25" t="s">
        <v>7990</v>
      </c>
      <c r="D3158" s="25" t="s">
        <v>2113</v>
      </c>
      <c r="E3158" s="26" t="b">
        <v>1</v>
      </c>
      <c r="F3158" s="27" t="str">
        <f>HYPERLINK("http://nsgreg.nga.mil/genc/view?v=213067&amp;end_month=12&amp;end_day=31&amp;end_year=2014","Angaur")</f>
        <v>Angaur</v>
      </c>
      <c r="G3158" s="28" t="str">
        <f>HYPERLINK("http://api.nsgreg.nga.mil/geo-division/GENC/6/ed3/PW-010","as:GENC:6:ed3:PW-010")</f>
        <v>as:GENC:6:ed3:PW-010</v>
      </c>
    </row>
    <row r="3159" spans="1:7" x14ac:dyDescent="0.2">
      <c r="A3159" s="85"/>
      <c r="B3159" s="25" t="s">
        <v>7991</v>
      </c>
      <c r="C3159" s="25" t="s">
        <v>13109</v>
      </c>
      <c r="D3159" s="25" t="s">
        <v>2113</v>
      </c>
      <c r="E3159" s="26" t="b">
        <v>1</v>
      </c>
      <c r="F3159" s="27" t="str">
        <f>HYPERLINK("http://nsgreg.nga.mil/genc/view?v=213068&amp;end_month=12&amp;end_day=31&amp;end_year=2014","Hatohobei")</f>
        <v>Hatohobei</v>
      </c>
      <c r="G3159" s="28" t="str">
        <f>HYPERLINK("http://api.nsgreg.nga.mil/geo-division/GENC/6/ed3/PW-050","as:GENC:6:ed3:PW-050")</f>
        <v>as:GENC:6:ed3:PW-050</v>
      </c>
    </row>
    <row r="3160" spans="1:7" x14ac:dyDescent="0.2">
      <c r="A3160" s="85"/>
      <c r="B3160" s="25" t="s">
        <v>7993</v>
      </c>
      <c r="C3160" s="25" t="s">
        <v>7994</v>
      </c>
      <c r="D3160" s="25" t="s">
        <v>2113</v>
      </c>
      <c r="E3160" s="26" t="b">
        <v>1</v>
      </c>
      <c r="F3160" s="27" t="str">
        <f>HYPERLINK("http://nsgreg.nga.mil/genc/view?v=213069&amp;end_month=12&amp;end_day=31&amp;end_year=2014","Kayangel")</f>
        <v>Kayangel</v>
      </c>
      <c r="G3160" s="28" t="str">
        <f>HYPERLINK("http://api.nsgreg.nga.mil/geo-division/GENC/6/ed3/PW-100","as:GENC:6:ed3:PW-100")</f>
        <v>as:GENC:6:ed3:PW-100</v>
      </c>
    </row>
    <row r="3161" spans="1:7" x14ac:dyDescent="0.2">
      <c r="A3161" s="85"/>
      <c r="B3161" s="25" t="s">
        <v>7995</v>
      </c>
      <c r="C3161" s="25" t="s">
        <v>7996</v>
      </c>
      <c r="D3161" s="25" t="s">
        <v>2113</v>
      </c>
      <c r="E3161" s="26" t="b">
        <v>1</v>
      </c>
      <c r="F3161" s="27" t="str">
        <f>HYPERLINK("http://nsgreg.nga.mil/genc/view?v=213070&amp;end_month=12&amp;end_day=31&amp;end_year=2014","Koror")</f>
        <v>Koror</v>
      </c>
      <c r="G3161" s="28" t="str">
        <f>HYPERLINK("http://api.nsgreg.nga.mil/geo-division/GENC/6/ed3/PW-150","as:GENC:6:ed3:PW-150")</f>
        <v>as:GENC:6:ed3:PW-150</v>
      </c>
    </row>
    <row r="3162" spans="1:7" x14ac:dyDescent="0.2">
      <c r="A3162" s="85"/>
      <c r="B3162" s="25" t="s">
        <v>7997</v>
      </c>
      <c r="C3162" s="25" t="s">
        <v>7998</v>
      </c>
      <c r="D3162" s="25" t="s">
        <v>2113</v>
      </c>
      <c r="E3162" s="26" t="b">
        <v>1</v>
      </c>
      <c r="F3162" s="27" t="str">
        <f>HYPERLINK("http://nsgreg.nga.mil/genc/view?v=213071&amp;end_month=12&amp;end_day=31&amp;end_year=2014","Melekeok")</f>
        <v>Melekeok</v>
      </c>
      <c r="G3162" s="28" t="str">
        <f>HYPERLINK("http://api.nsgreg.nga.mil/geo-division/GENC/6/ed3/PW-212","as:GENC:6:ed3:PW-212")</f>
        <v>as:GENC:6:ed3:PW-212</v>
      </c>
    </row>
    <row r="3163" spans="1:7" x14ac:dyDescent="0.2">
      <c r="A3163" s="85"/>
      <c r="B3163" s="25" t="s">
        <v>7999</v>
      </c>
      <c r="C3163" s="25" t="s">
        <v>8000</v>
      </c>
      <c r="D3163" s="25" t="s">
        <v>2113</v>
      </c>
      <c r="E3163" s="26" t="b">
        <v>1</v>
      </c>
      <c r="F3163" s="27" t="str">
        <f>HYPERLINK("http://nsgreg.nga.mil/genc/view?v=213072&amp;end_month=12&amp;end_day=31&amp;end_year=2014","Ngaraard")</f>
        <v>Ngaraard</v>
      </c>
      <c r="G3163" s="28" t="str">
        <f>HYPERLINK("http://api.nsgreg.nga.mil/geo-division/GENC/6/ed3/PW-214","as:GENC:6:ed3:PW-214")</f>
        <v>as:GENC:6:ed3:PW-214</v>
      </c>
    </row>
    <row r="3164" spans="1:7" x14ac:dyDescent="0.2">
      <c r="A3164" s="85"/>
      <c r="B3164" s="25" t="s">
        <v>8001</v>
      </c>
      <c r="C3164" s="25" t="s">
        <v>8002</v>
      </c>
      <c r="D3164" s="25" t="s">
        <v>2113</v>
      </c>
      <c r="E3164" s="26" t="b">
        <v>1</v>
      </c>
      <c r="F3164" s="27" t="str">
        <f>HYPERLINK("http://nsgreg.nga.mil/genc/view?v=213073&amp;end_month=12&amp;end_day=31&amp;end_year=2014","Ngarchelong")</f>
        <v>Ngarchelong</v>
      </c>
      <c r="G3164" s="28" t="str">
        <f>HYPERLINK("http://api.nsgreg.nga.mil/geo-division/GENC/6/ed3/PW-218","as:GENC:6:ed3:PW-218")</f>
        <v>as:GENC:6:ed3:PW-218</v>
      </c>
    </row>
    <row r="3165" spans="1:7" x14ac:dyDescent="0.2">
      <c r="A3165" s="85"/>
      <c r="B3165" s="25" t="s">
        <v>8003</v>
      </c>
      <c r="C3165" s="25" t="s">
        <v>8004</v>
      </c>
      <c r="D3165" s="25" t="s">
        <v>2113</v>
      </c>
      <c r="E3165" s="26" t="b">
        <v>1</v>
      </c>
      <c r="F3165" s="27" t="str">
        <f>HYPERLINK("http://nsgreg.nga.mil/genc/view?v=213074&amp;end_month=12&amp;end_day=31&amp;end_year=2014","Ngardmau")</f>
        <v>Ngardmau</v>
      </c>
      <c r="G3165" s="28" t="str">
        <f>HYPERLINK("http://api.nsgreg.nga.mil/geo-division/GENC/6/ed3/PW-222","as:GENC:6:ed3:PW-222")</f>
        <v>as:GENC:6:ed3:PW-222</v>
      </c>
    </row>
    <row r="3166" spans="1:7" x14ac:dyDescent="0.2">
      <c r="A3166" s="85"/>
      <c r="B3166" s="25" t="s">
        <v>8005</v>
      </c>
      <c r="C3166" s="25" t="s">
        <v>8006</v>
      </c>
      <c r="D3166" s="25" t="s">
        <v>2113</v>
      </c>
      <c r="E3166" s="26" t="b">
        <v>1</v>
      </c>
      <c r="F3166" s="27" t="str">
        <f>HYPERLINK("http://nsgreg.nga.mil/genc/view?v=213075&amp;end_month=12&amp;end_day=31&amp;end_year=2014","Ngatpang")</f>
        <v>Ngatpang</v>
      </c>
      <c r="G3166" s="28" t="str">
        <f>HYPERLINK("http://api.nsgreg.nga.mil/geo-division/GENC/6/ed3/PW-224","as:GENC:6:ed3:PW-224")</f>
        <v>as:GENC:6:ed3:PW-224</v>
      </c>
    </row>
    <row r="3167" spans="1:7" x14ac:dyDescent="0.2">
      <c r="A3167" s="85"/>
      <c r="B3167" s="25" t="s">
        <v>8007</v>
      </c>
      <c r="C3167" s="25" t="s">
        <v>8008</v>
      </c>
      <c r="D3167" s="25" t="s">
        <v>2113</v>
      </c>
      <c r="E3167" s="26" t="b">
        <v>1</v>
      </c>
      <c r="F3167" s="27" t="str">
        <f>HYPERLINK("http://nsgreg.nga.mil/genc/view?v=213076&amp;end_month=12&amp;end_day=31&amp;end_year=2014","Ngchesar")</f>
        <v>Ngchesar</v>
      </c>
      <c r="G3167" s="28" t="str">
        <f>HYPERLINK("http://api.nsgreg.nga.mil/geo-division/GENC/6/ed3/PW-226","as:GENC:6:ed3:PW-226")</f>
        <v>as:GENC:6:ed3:PW-226</v>
      </c>
    </row>
    <row r="3168" spans="1:7" x14ac:dyDescent="0.2">
      <c r="A3168" s="85"/>
      <c r="B3168" s="25" t="s">
        <v>8009</v>
      </c>
      <c r="C3168" s="25" t="s">
        <v>8010</v>
      </c>
      <c r="D3168" s="25" t="s">
        <v>2113</v>
      </c>
      <c r="E3168" s="26" t="b">
        <v>1</v>
      </c>
      <c r="F3168" s="27" t="str">
        <f>HYPERLINK("http://nsgreg.nga.mil/genc/view?v=213077&amp;end_month=12&amp;end_day=31&amp;end_year=2014","Ngeremlengui")</f>
        <v>Ngeremlengui</v>
      </c>
      <c r="G3168" s="28" t="str">
        <f>HYPERLINK("http://api.nsgreg.nga.mil/geo-division/GENC/6/ed3/PW-227","as:GENC:6:ed3:PW-227")</f>
        <v>as:GENC:6:ed3:PW-227</v>
      </c>
    </row>
    <row r="3169" spans="1:7" x14ac:dyDescent="0.2">
      <c r="A3169" s="85"/>
      <c r="B3169" s="25" t="s">
        <v>8011</v>
      </c>
      <c r="C3169" s="25" t="s">
        <v>8012</v>
      </c>
      <c r="D3169" s="25" t="s">
        <v>2113</v>
      </c>
      <c r="E3169" s="26" t="b">
        <v>1</v>
      </c>
      <c r="F3169" s="27" t="str">
        <f>HYPERLINK("http://nsgreg.nga.mil/genc/view?v=213078&amp;end_month=12&amp;end_day=31&amp;end_year=2014","Ngiwal")</f>
        <v>Ngiwal</v>
      </c>
      <c r="G3169" s="28" t="str">
        <f>HYPERLINK("http://api.nsgreg.nga.mil/geo-division/GENC/6/ed3/PW-228","as:GENC:6:ed3:PW-228")</f>
        <v>as:GENC:6:ed3:PW-228</v>
      </c>
    </row>
    <row r="3170" spans="1:7" x14ac:dyDescent="0.2">
      <c r="A3170" s="85"/>
      <c r="B3170" s="25" t="s">
        <v>8013</v>
      </c>
      <c r="C3170" s="25" t="s">
        <v>8014</v>
      </c>
      <c r="D3170" s="25" t="s">
        <v>2113</v>
      </c>
      <c r="E3170" s="26" t="b">
        <v>1</v>
      </c>
      <c r="F3170" s="27" t="str">
        <f>HYPERLINK("http://nsgreg.nga.mil/genc/view?v=213079&amp;end_month=12&amp;end_day=31&amp;end_year=2014","Peleliu")</f>
        <v>Peleliu</v>
      </c>
      <c r="G3170" s="28" t="str">
        <f>HYPERLINK("http://api.nsgreg.nga.mil/geo-division/GENC/6/ed3/PW-350","as:GENC:6:ed3:PW-350")</f>
        <v>as:GENC:6:ed3:PW-350</v>
      </c>
    </row>
    <row r="3171" spans="1:7" x14ac:dyDescent="0.2">
      <c r="A3171" s="86"/>
      <c r="B3171" s="29" t="s">
        <v>8015</v>
      </c>
      <c r="C3171" s="29" t="s">
        <v>8016</v>
      </c>
      <c r="D3171" s="29" t="s">
        <v>2113</v>
      </c>
      <c r="E3171" s="30" t="b">
        <v>1</v>
      </c>
      <c r="F3171" s="31" t="str">
        <f>HYPERLINK("http://nsgreg.nga.mil/genc/view?v=213080&amp;end_month=12&amp;end_day=31&amp;end_year=2014","Sonsorol")</f>
        <v>Sonsorol</v>
      </c>
      <c r="G3171" s="32" t="str">
        <f>HYPERLINK("http://api.nsgreg.nga.mil/geo-division/GENC/6/ed3/PW-370","as:GENC:6:ed3:PW-370")</f>
        <v>as:GENC:6:ed3:PW-370</v>
      </c>
    </row>
    <row r="3172" spans="1:7" x14ac:dyDescent="0.2">
      <c r="A3172" s="84" t="str">
        <f>HYPERLINK("[#]Codes_for_GE_Names!A199:I199","PANAMA")</f>
        <v>PANAMA</v>
      </c>
      <c r="B3172" s="33" t="s">
        <v>8064</v>
      </c>
      <c r="C3172" s="33" t="s">
        <v>8065</v>
      </c>
      <c r="D3172" s="33" t="s">
        <v>1719</v>
      </c>
      <c r="E3172" s="34" t="b">
        <v>1</v>
      </c>
      <c r="F3172" s="35" t="str">
        <f>HYPERLINK("http://nsgreg.nga.mil/genc/view?v=121313&amp;gencs=T&amp;end_month=12&amp;end_day=31&amp;end_year=2014","Bocas del Toro")</f>
        <v>Bocas del Toro</v>
      </c>
      <c r="G3172" s="36" t="str">
        <f>HYPERLINK("http://api.nsgreg.nga.mil/geo-division/GENC/6/ed3/PA-1","as:GENC:6:ed3:PA-1")</f>
        <v>as:GENC:6:ed3:PA-1</v>
      </c>
    </row>
    <row r="3173" spans="1:7" x14ac:dyDescent="0.2">
      <c r="A3173" s="85"/>
      <c r="B3173" s="25" t="s">
        <v>8066</v>
      </c>
      <c r="C3173" s="25" t="s">
        <v>8067</v>
      </c>
      <c r="D3173" s="25" t="s">
        <v>1719</v>
      </c>
      <c r="E3173" s="26" t="b">
        <v>1</v>
      </c>
      <c r="F3173" s="27" t="str">
        <f>HYPERLINK("http://nsgreg.nga.mil/genc/view?v=121316&amp;gencs=T&amp;end_month=12&amp;end_day=31&amp;end_year=2014","Chiriquí")</f>
        <v>Chiriquí</v>
      </c>
      <c r="G3173" s="28" t="str">
        <f>HYPERLINK("http://api.nsgreg.nga.mil/geo-division/GENC/6/ed3/PA-4","as:GENC:6:ed3:PA-4")</f>
        <v>as:GENC:6:ed3:PA-4</v>
      </c>
    </row>
    <row r="3174" spans="1:7" x14ac:dyDescent="0.2">
      <c r="A3174" s="85"/>
      <c r="B3174" s="25" t="s">
        <v>8068</v>
      </c>
      <c r="C3174" s="25" t="s">
        <v>8069</v>
      </c>
      <c r="D3174" s="25" t="s">
        <v>1719</v>
      </c>
      <c r="E3174" s="26" t="b">
        <v>1</v>
      </c>
      <c r="F3174" s="27" t="str">
        <f>HYPERLINK("http://nsgreg.nga.mil/genc/view?v=121314&amp;gencs=T&amp;end_month=12&amp;end_day=31&amp;end_year=2014","Coclé")</f>
        <v>Coclé</v>
      </c>
      <c r="G3174" s="28" t="str">
        <f>HYPERLINK("http://api.nsgreg.nga.mil/geo-division/GENC/6/ed3/PA-2","as:GENC:6:ed3:PA-2")</f>
        <v>as:GENC:6:ed3:PA-2</v>
      </c>
    </row>
    <row r="3175" spans="1:7" x14ac:dyDescent="0.2">
      <c r="A3175" s="85"/>
      <c r="B3175" s="25" t="s">
        <v>8070</v>
      </c>
      <c r="C3175" s="25" t="s">
        <v>4960</v>
      </c>
      <c r="D3175" s="25" t="s">
        <v>1719</v>
      </c>
      <c r="E3175" s="26" t="b">
        <v>1</v>
      </c>
      <c r="F3175" s="27" t="str">
        <f>HYPERLINK("http://nsgreg.nga.mil/genc/view?v=121315&amp;gencs=T&amp;end_month=12&amp;end_day=31&amp;end_year=2014","Colón")</f>
        <v>Colón</v>
      </c>
      <c r="G3175" s="28" t="str">
        <f>HYPERLINK("http://api.nsgreg.nga.mil/geo-division/GENC/6/ed3/PA-3","as:GENC:6:ed3:PA-3")</f>
        <v>as:GENC:6:ed3:PA-3</v>
      </c>
    </row>
    <row r="3176" spans="1:7" x14ac:dyDescent="0.2">
      <c r="A3176" s="85"/>
      <c r="B3176" s="25" t="s">
        <v>8071</v>
      </c>
      <c r="C3176" s="25" t="s">
        <v>8072</v>
      </c>
      <c r="D3176" s="25" t="s">
        <v>1719</v>
      </c>
      <c r="E3176" s="26" t="b">
        <v>1</v>
      </c>
      <c r="F3176" s="27" t="str">
        <f>HYPERLINK("http://nsgreg.nga.mil/genc/view?v=121317&amp;gencs=T&amp;end_month=12&amp;end_day=31&amp;end_year=2014","Darién")</f>
        <v>Darién</v>
      </c>
      <c r="G3176" s="28" t="str">
        <f>HYPERLINK("http://api.nsgreg.nga.mil/geo-division/GENC/6/ed3/PA-5","as:GENC:6:ed3:PA-5")</f>
        <v>as:GENC:6:ed3:PA-5</v>
      </c>
    </row>
    <row r="3177" spans="1:7" x14ac:dyDescent="0.2">
      <c r="A3177" s="85"/>
      <c r="B3177" s="25" t="s">
        <v>8073</v>
      </c>
      <c r="C3177" s="25" t="s">
        <v>13110</v>
      </c>
      <c r="D3177" s="25" t="s">
        <v>8075</v>
      </c>
      <c r="E3177" s="26" t="b">
        <v>1</v>
      </c>
      <c r="F3177" s="27" t="str">
        <f>HYPERLINK("http://nsgreg.nga.mil/genc/view?v=212853&amp;end_month=12&amp;end_day=31&amp;end_year=2014","Emberá-Wounaan")</f>
        <v>Emberá-Wounaan</v>
      </c>
      <c r="G3177" s="28" t="str">
        <f>HYPERLINK("http://api.nsgreg.nga.mil/geo-division/GENC/6/ed3/PA-EM","as:GENC:6:ed3:PA-EM")</f>
        <v>as:GENC:6:ed3:PA-EM</v>
      </c>
    </row>
    <row r="3178" spans="1:7" x14ac:dyDescent="0.2">
      <c r="A3178" s="85"/>
      <c r="B3178" s="25" t="s">
        <v>8076</v>
      </c>
      <c r="C3178" s="25" t="s">
        <v>8077</v>
      </c>
      <c r="D3178" s="25" t="s">
        <v>1719</v>
      </c>
      <c r="E3178" s="26" t="b">
        <v>1</v>
      </c>
      <c r="F3178" s="27" t="str">
        <f>HYPERLINK("http://nsgreg.nga.mil/genc/view?v=121318&amp;gencs=T&amp;end_month=12&amp;end_day=31&amp;end_year=2014","Herrera")</f>
        <v>Herrera</v>
      </c>
      <c r="G3178" s="28" t="str">
        <f>HYPERLINK("http://api.nsgreg.nga.mil/geo-division/GENC/6/ed3/PA-6","as:GENC:6:ed3:PA-6")</f>
        <v>as:GENC:6:ed3:PA-6</v>
      </c>
    </row>
    <row r="3179" spans="1:7" x14ac:dyDescent="0.2">
      <c r="A3179" s="85"/>
      <c r="B3179" s="25" t="s">
        <v>8078</v>
      </c>
      <c r="C3179" s="25" t="s">
        <v>8079</v>
      </c>
      <c r="D3179" s="25" t="s">
        <v>8075</v>
      </c>
      <c r="E3179" s="26" t="b">
        <v>1</v>
      </c>
      <c r="F3179" s="27" t="str">
        <f>HYPERLINK("http://nsgreg.nga.mil/genc/view?v=212854&amp;end_month=12&amp;end_day=31&amp;end_year=2014","Kuna Yala")</f>
        <v>Kuna Yala</v>
      </c>
      <c r="G3179" s="28" t="str">
        <f>HYPERLINK("http://api.nsgreg.nga.mil/geo-division/GENC/6/ed3/PA-KY","as:GENC:6:ed3:PA-KY")</f>
        <v>as:GENC:6:ed3:PA-KY</v>
      </c>
    </row>
    <row r="3180" spans="1:7" x14ac:dyDescent="0.2">
      <c r="A3180" s="85"/>
      <c r="B3180" s="25" t="s">
        <v>8080</v>
      </c>
      <c r="C3180" s="25" t="s">
        <v>8081</v>
      </c>
      <c r="D3180" s="25" t="s">
        <v>1719</v>
      </c>
      <c r="E3180" s="26" t="b">
        <v>1</v>
      </c>
      <c r="F3180" s="27" t="str">
        <f>HYPERLINK("http://nsgreg.nga.mil/genc/view?v=121319&amp;gencs=T&amp;end_month=12&amp;end_day=31&amp;end_year=2014","Los Santos")</f>
        <v>Los Santos</v>
      </c>
      <c r="G3180" s="28" t="str">
        <f>HYPERLINK("http://api.nsgreg.nga.mil/geo-division/GENC/6/ed3/PA-7","as:GENC:6:ed3:PA-7")</f>
        <v>as:GENC:6:ed3:PA-7</v>
      </c>
    </row>
    <row r="3181" spans="1:7" x14ac:dyDescent="0.2">
      <c r="A3181" s="85"/>
      <c r="B3181" s="25" t="s">
        <v>8082</v>
      </c>
      <c r="C3181" s="25" t="s">
        <v>8083</v>
      </c>
      <c r="D3181" s="25" t="s">
        <v>8075</v>
      </c>
      <c r="E3181" s="26" t="b">
        <v>1</v>
      </c>
      <c r="F3181" s="27" t="str">
        <f>HYPERLINK("http://nsgreg.nga.mil/genc/view?v=212855&amp;end_month=12&amp;end_day=31&amp;end_year=2014","Ngöbe-Buglé")</f>
        <v>Ngöbe-Buglé</v>
      </c>
      <c r="G3181" s="28" t="str">
        <f>HYPERLINK("http://api.nsgreg.nga.mil/geo-division/GENC/6/ed3/PA-NB","as:GENC:6:ed3:PA-NB")</f>
        <v>as:GENC:6:ed3:PA-NB</v>
      </c>
    </row>
    <row r="3182" spans="1:7" x14ac:dyDescent="0.2">
      <c r="A3182" s="85"/>
      <c r="B3182" s="25" t="s">
        <v>8084</v>
      </c>
      <c r="C3182" s="25" t="s">
        <v>8085</v>
      </c>
      <c r="D3182" s="25" t="s">
        <v>1719</v>
      </c>
      <c r="E3182" s="26" t="b">
        <v>1</v>
      </c>
      <c r="F3182" s="27" t="str">
        <f>HYPERLINK("http://nsgreg.nga.mil/genc/view?v=121320&amp;gencs=T&amp;end_month=12&amp;end_day=31&amp;end_year=2014","Panamá")</f>
        <v>Panamá</v>
      </c>
      <c r="G3182" s="28" t="str">
        <f>HYPERLINK("http://api.nsgreg.nga.mil/geo-division/GENC/6/ed3/PA-8","as:GENC:6:ed3:PA-8")</f>
        <v>as:GENC:6:ed3:PA-8</v>
      </c>
    </row>
    <row r="3183" spans="1:7" x14ac:dyDescent="0.2">
      <c r="A3183" s="85"/>
      <c r="B3183" s="25" t="s">
        <v>13111</v>
      </c>
      <c r="C3183" s="25" t="s">
        <v>13112</v>
      </c>
      <c r="D3183" s="25" t="s">
        <v>1719</v>
      </c>
      <c r="E3183" s="26" t="b">
        <v>1</v>
      </c>
      <c r="F3183" s="27" t="str">
        <f>HYPERLINK("http://nsgreg.nga.mil/genc/view?v=121322&amp;gencs=T&amp;end_month=12&amp;end_day=31&amp;end_year=2014","Panamá Oeste")</f>
        <v>Panamá Oeste</v>
      </c>
      <c r="G3183" s="28" t="str">
        <f>HYPERLINK("http://api.nsgreg.nga.mil/geo-division/GENC/6/ed3/PA-10","as:GENC:6:ed3:PA-10")</f>
        <v>as:GENC:6:ed3:PA-10</v>
      </c>
    </row>
    <row r="3184" spans="1:7" x14ac:dyDescent="0.2">
      <c r="A3184" s="86"/>
      <c r="B3184" s="29" t="s">
        <v>8086</v>
      </c>
      <c r="C3184" s="29" t="s">
        <v>8087</v>
      </c>
      <c r="D3184" s="29" t="s">
        <v>1719</v>
      </c>
      <c r="E3184" s="30" t="b">
        <v>1</v>
      </c>
      <c r="F3184" s="31" t="str">
        <f>HYPERLINK("http://nsgreg.nga.mil/genc/view?v=121321&amp;gencs=T&amp;end_month=12&amp;end_day=31&amp;end_year=2014","Veraguas")</f>
        <v>Veraguas</v>
      </c>
      <c r="G3184" s="32" t="str">
        <f>HYPERLINK("http://api.nsgreg.nga.mil/geo-division/GENC/6/ed3/PA-9","as:GENC:6:ed3:PA-9")</f>
        <v>as:GENC:6:ed3:PA-9</v>
      </c>
    </row>
    <row r="3185" spans="1:7" x14ac:dyDescent="0.2">
      <c r="A3185" s="84" t="str">
        <f>HYPERLINK("[#]Codes_for_GE_Names!A200:I200","PAPUA NEW GUINEA")</f>
        <v>PAPUA NEW GUINEA</v>
      </c>
      <c r="B3185" s="33" t="s">
        <v>8088</v>
      </c>
      <c r="C3185" s="33" t="s">
        <v>8089</v>
      </c>
      <c r="D3185" s="33" t="s">
        <v>3322</v>
      </c>
      <c r="E3185" s="34" t="b">
        <v>1</v>
      </c>
      <c r="F3185" s="35" t="str">
        <f>HYPERLINK("http://nsgreg.nga.mil/genc/view?v=121368&amp;gencs=T&amp;end_month=12&amp;end_day=31&amp;end_year=2014","Bougainville")</f>
        <v>Bougainville</v>
      </c>
      <c r="G3185" s="36" t="str">
        <f>HYPERLINK("http://api.nsgreg.nga.mil/geo-division/GENC/6/ed3/PG-NSB","as:GENC:6:ed3:PG-NSB")</f>
        <v>as:GENC:6:ed3:PG-NSB</v>
      </c>
    </row>
    <row r="3186" spans="1:7" x14ac:dyDescent="0.2">
      <c r="A3186" s="85"/>
      <c r="B3186" s="25" t="s">
        <v>8090</v>
      </c>
      <c r="C3186" s="25" t="s">
        <v>2720</v>
      </c>
      <c r="D3186" s="25" t="s">
        <v>1719</v>
      </c>
      <c r="E3186" s="26" t="b">
        <v>1</v>
      </c>
      <c r="F3186" s="27" t="str">
        <f>HYPERLINK("http://nsgreg.nga.mil/genc/view?v=212883&amp;end_month=12&amp;end_day=31&amp;end_year=2014","Central")</f>
        <v>Central</v>
      </c>
      <c r="G3186" s="28" t="str">
        <f>HYPERLINK("http://api.nsgreg.nga.mil/geo-division/GENC/6/ed3/PG-CPM","as:GENC:6:ed3:PG-CPM")</f>
        <v>as:GENC:6:ed3:PG-CPM</v>
      </c>
    </row>
    <row r="3187" spans="1:7" x14ac:dyDescent="0.2">
      <c r="A3187" s="85"/>
      <c r="B3187" s="25" t="s">
        <v>8091</v>
      </c>
      <c r="C3187" s="25" t="s">
        <v>8092</v>
      </c>
      <c r="D3187" s="25" t="s">
        <v>1719</v>
      </c>
      <c r="E3187" s="26" t="b">
        <v>1</v>
      </c>
      <c r="F3187" s="27" t="str">
        <f>HYPERLINK("http://nsgreg.nga.mil/genc/view?v=212882&amp;end_month=12&amp;end_day=31&amp;end_year=2014","Chimbu")</f>
        <v>Chimbu</v>
      </c>
      <c r="G3187" s="28" t="str">
        <f>HYPERLINK("http://api.nsgreg.nga.mil/geo-division/GENC/6/ed3/PG-CPK","as:GENC:6:ed3:PG-CPK")</f>
        <v>as:GENC:6:ed3:PG-CPK</v>
      </c>
    </row>
    <row r="3188" spans="1:7" x14ac:dyDescent="0.2">
      <c r="A3188" s="85"/>
      <c r="B3188" s="25" t="s">
        <v>8097</v>
      </c>
      <c r="C3188" s="25" t="s">
        <v>8098</v>
      </c>
      <c r="D3188" s="25" t="s">
        <v>1719</v>
      </c>
      <c r="E3188" s="26" t="b">
        <v>1</v>
      </c>
      <c r="F3188" s="27" t="str">
        <f>HYPERLINK("http://nsgreg.nga.mil/genc/view?v=212885&amp;end_month=12&amp;end_day=31&amp;end_year=2014","Eastern Highlands")</f>
        <v>Eastern Highlands</v>
      </c>
      <c r="G3188" s="28" t="str">
        <f>HYPERLINK("http://api.nsgreg.nga.mil/geo-division/GENC/6/ed3/PG-EHG","as:GENC:6:ed3:PG-EHG")</f>
        <v>as:GENC:6:ed3:PG-EHG</v>
      </c>
    </row>
    <row r="3189" spans="1:7" x14ac:dyDescent="0.2">
      <c r="A3189" s="85"/>
      <c r="B3189" s="25" t="s">
        <v>8093</v>
      </c>
      <c r="C3189" s="25" t="s">
        <v>8094</v>
      </c>
      <c r="D3189" s="25" t="s">
        <v>1719</v>
      </c>
      <c r="E3189" s="26" t="b">
        <v>1</v>
      </c>
      <c r="F3189" s="27" t="str">
        <f>HYPERLINK("http://nsgreg.nga.mil/genc/view?v=212884&amp;end_month=12&amp;end_day=31&amp;end_year=2014","East New Britain")</f>
        <v>East New Britain</v>
      </c>
      <c r="G3189" s="28" t="str">
        <f>HYPERLINK("http://api.nsgreg.nga.mil/geo-division/GENC/6/ed3/PG-EBR","as:GENC:6:ed3:PG-EBR")</f>
        <v>as:GENC:6:ed3:PG-EBR</v>
      </c>
    </row>
    <row r="3190" spans="1:7" x14ac:dyDescent="0.2">
      <c r="A3190" s="85"/>
      <c r="B3190" s="25" t="s">
        <v>8095</v>
      </c>
      <c r="C3190" s="25" t="s">
        <v>8096</v>
      </c>
      <c r="D3190" s="25" t="s">
        <v>1719</v>
      </c>
      <c r="E3190" s="26" t="b">
        <v>1</v>
      </c>
      <c r="F3190" s="27" t="str">
        <f>HYPERLINK("http://nsgreg.nga.mil/genc/view?v=212887&amp;end_month=12&amp;end_day=31&amp;end_year=2014","East Sepik")</f>
        <v>East Sepik</v>
      </c>
      <c r="G3190" s="28" t="str">
        <f>HYPERLINK("http://api.nsgreg.nga.mil/geo-division/GENC/6/ed3/PG-ESW","as:GENC:6:ed3:PG-ESW")</f>
        <v>as:GENC:6:ed3:PG-ESW</v>
      </c>
    </row>
    <row r="3191" spans="1:7" x14ac:dyDescent="0.2">
      <c r="A3191" s="85"/>
      <c r="B3191" s="25" t="s">
        <v>8099</v>
      </c>
      <c r="C3191" s="25" t="s">
        <v>8100</v>
      </c>
      <c r="D3191" s="25" t="s">
        <v>1719</v>
      </c>
      <c r="E3191" s="26" t="b">
        <v>1</v>
      </c>
      <c r="F3191" s="27" t="str">
        <f>HYPERLINK("http://nsgreg.nga.mil/genc/view?v=212886&amp;end_month=12&amp;end_day=31&amp;end_year=2014","Enga")</f>
        <v>Enga</v>
      </c>
      <c r="G3191" s="28" t="str">
        <f>HYPERLINK("http://api.nsgreg.nga.mil/geo-division/GENC/6/ed3/PG-EPW","as:GENC:6:ed3:PG-EPW")</f>
        <v>as:GENC:6:ed3:PG-EPW</v>
      </c>
    </row>
    <row r="3192" spans="1:7" x14ac:dyDescent="0.2">
      <c r="A3192" s="85"/>
      <c r="B3192" s="25" t="s">
        <v>8101</v>
      </c>
      <c r="C3192" s="25" t="s">
        <v>8102</v>
      </c>
      <c r="D3192" s="25" t="s">
        <v>1719</v>
      </c>
      <c r="E3192" s="26" t="b">
        <v>1</v>
      </c>
      <c r="F3192" s="27" t="str">
        <f>HYPERLINK("http://nsgreg.nga.mil/genc/view?v=212888&amp;end_month=12&amp;end_day=31&amp;end_year=2014","Gulf")</f>
        <v>Gulf</v>
      </c>
      <c r="G3192" s="28" t="str">
        <f>HYPERLINK("http://api.nsgreg.nga.mil/geo-division/GENC/6/ed3/PG-GPK","as:GENC:6:ed3:PG-GPK")</f>
        <v>as:GENC:6:ed3:PG-GPK</v>
      </c>
    </row>
    <row r="3193" spans="1:7" x14ac:dyDescent="0.2">
      <c r="A3193" s="85"/>
      <c r="B3193" s="25" t="s">
        <v>13113</v>
      </c>
      <c r="C3193" s="25" t="s">
        <v>13114</v>
      </c>
      <c r="D3193" s="25" t="s">
        <v>1719</v>
      </c>
      <c r="E3193" s="26" t="b">
        <v>1</v>
      </c>
      <c r="F3193" s="27" t="str">
        <f>HYPERLINK("http://nsgreg.nga.mil/genc/view?v=121359&amp;gencs=T&amp;end_month=12&amp;end_day=31&amp;end_year=2014","Hela")</f>
        <v>Hela</v>
      </c>
      <c r="G3193" s="28" t="str">
        <f>HYPERLINK("http://api.nsgreg.nga.mil/geo-division/GENC/6/ed3/PG-HLA","as:GENC:6:ed3:PG-HLA")</f>
        <v>as:GENC:6:ed3:PG-HLA</v>
      </c>
    </row>
    <row r="3194" spans="1:7" x14ac:dyDescent="0.2">
      <c r="A3194" s="85"/>
      <c r="B3194" s="25" t="s">
        <v>13115</v>
      </c>
      <c r="C3194" s="25" t="s">
        <v>13116</v>
      </c>
      <c r="D3194" s="25" t="s">
        <v>1719</v>
      </c>
      <c r="E3194" s="26" t="b">
        <v>1</v>
      </c>
      <c r="F3194" s="27" t="str">
        <f>HYPERLINK("http://nsgreg.nga.mil/genc/view?v=121360&amp;gencs=T&amp;end_month=12&amp;end_day=31&amp;end_year=2014","Jiwaka")</f>
        <v>Jiwaka</v>
      </c>
      <c r="G3194" s="28" t="str">
        <f>HYPERLINK("http://api.nsgreg.nga.mil/geo-division/GENC/6/ed3/PG-JWK","as:GENC:6:ed3:PG-JWK")</f>
        <v>as:GENC:6:ed3:PG-JWK</v>
      </c>
    </row>
    <row r="3195" spans="1:7" x14ac:dyDescent="0.2">
      <c r="A3195" s="85"/>
      <c r="B3195" s="25" t="s">
        <v>8103</v>
      </c>
      <c r="C3195" s="25" t="s">
        <v>8104</v>
      </c>
      <c r="D3195" s="25" t="s">
        <v>1719</v>
      </c>
      <c r="E3195" s="26" t="b">
        <v>1</v>
      </c>
      <c r="F3195" s="27" t="str">
        <f>HYPERLINK("http://nsgreg.nga.mil/genc/view?v=212891&amp;end_month=12&amp;end_day=31&amp;end_year=2014","Madang")</f>
        <v>Madang</v>
      </c>
      <c r="G3195" s="28" t="str">
        <f>HYPERLINK("http://api.nsgreg.nga.mil/geo-division/GENC/6/ed3/PG-MPM","as:GENC:6:ed3:PG-MPM")</f>
        <v>as:GENC:6:ed3:PG-MPM</v>
      </c>
    </row>
    <row r="3196" spans="1:7" x14ac:dyDescent="0.2">
      <c r="A3196" s="85"/>
      <c r="B3196" s="25" t="s">
        <v>8105</v>
      </c>
      <c r="C3196" s="25" t="s">
        <v>8106</v>
      </c>
      <c r="D3196" s="25" t="s">
        <v>1719</v>
      </c>
      <c r="E3196" s="26" t="b">
        <v>1</v>
      </c>
      <c r="F3196" s="27" t="str">
        <f>HYPERLINK("http://nsgreg.nga.mil/genc/view?v=212892&amp;end_month=12&amp;end_day=31&amp;end_year=2014","Manus")</f>
        <v>Manus</v>
      </c>
      <c r="G3196" s="28" t="str">
        <f>HYPERLINK("http://api.nsgreg.nga.mil/geo-division/GENC/6/ed3/PG-MRL","as:GENC:6:ed3:PG-MRL")</f>
        <v>as:GENC:6:ed3:PG-MRL</v>
      </c>
    </row>
    <row r="3197" spans="1:7" x14ac:dyDescent="0.2">
      <c r="A3197" s="85"/>
      <c r="B3197" s="25" t="s">
        <v>8107</v>
      </c>
      <c r="C3197" s="25" t="s">
        <v>8108</v>
      </c>
      <c r="D3197" s="25" t="s">
        <v>1719</v>
      </c>
      <c r="E3197" s="26" t="b">
        <v>1</v>
      </c>
      <c r="F3197" s="27" t="str">
        <f>HYPERLINK("http://nsgreg.nga.mil/genc/view?v=212889&amp;end_month=12&amp;end_day=31&amp;end_year=2014","Milne Bay")</f>
        <v>Milne Bay</v>
      </c>
      <c r="G3197" s="28" t="str">
        <f>HYPERLINK("http://api.nsgreg.nga.mil/geo-division/GENC/6/ed3/PG-MBA","as:GENC:6:ed3:PG-MBA")</f>
        <v>as:GENC:6:ed3:PG-MBA</v>
      </c>
    </row>
    <row r="3198" spans="1:7" x14ac:dyDescent="0.2">
      <c r="A3198" s="85"/>
      <c r="B3198" s="25" t="s">
        <v>8109</v>
      </c>
      <c r="C3198" s="25" t="s">
        <v>8110</v>
      </c>
      <c r="D3198" s="25" t="s">
        <v>1719</v>
      </c>
      <c r="E3198" s="26" t="b">
        <v>1</v>
      </c>
      <c r="F3198" s="27" t="str">
        <f>HYPERLINK("http://nsgreg.nga.mil/genc/view?v=212890&amp;end_month=12&amp;end_day=31&amp;end_year=2014","Morobe")</f>
        <v>Morobe</v>
      </c>
      <c r="G3198" s="28" t="str">
        <f>HYPERLINK("http://api.nsgreg.nga.mil/geo-division/GENC/6/ed3/PG-MPL","as:GENC:6:ed3:PG-MPL")</f>
        <v>as:GENC:6:ed3:PG-MPL</v>
      </c>
    </row>
    <row r="3199" spans="1:7" x14ac:dyDescent="0.2">
      <c r="A3199" s="85"/>
      <c r="B3199" s="25" t="s">
        <v>8111</v>
      </c>
      <c r="C3199" s="25" t="s">
        <v>13117</v>
      </c>
      <c r="D3199" s="25" t="s">
        <v>1790</v>
      </c>
      <c r="E3199" s="26" t="b">
        <v>1</v>
      </c>
      <c r="F3199" s="27" t="str">
        <f>HYPERLINK("http://nsgreg.nga.mil/genc/view?v=212893&amp;end_month=12&amp;end_day=31&amp;end_year=2014","National Capital")</f>
        <v>National Capital</v>
      </c>
      <c r="G3199" s="28" t="str">
        <f>HYPERLINK("http://api.nsgreg.nga.mil/geo-division/GENC/6/ed3/PG-NCD","as:GENC:6:ed3:PG-NCD")</f>
        <v>as:GENC:6:ed3:PG-NCD</v>
      </c>
    </row>
    <row r="3200" spans="1:7" x14ac:dyDescent="0.2">
      <c r="A3200" s="85"/>
      <c r="B3200" s="25" t="s">
        <v>8113</v>
      </c>
      <c r="C3200" s="25" t="s">
        <v>8114</v>
      </c>
      <c r="D3200" s="25" t="s">
        <v>1719</v>
      </c>
      <c r="E3200" s="26" t="b">
        <v>1</v>
      </c>
      <c r="F3200" s="27" t="str">
        <f>HYPERLINK("http://nsgreg.nga.mil/genc/view?v=212894&amp;end_month=12&amp;end_day=31&amp;end_year=2014","New Ireland")</f>
        <v>New Ireland</v>
      </c>
      <c r="G3200" s="28" t="str">
        <f>HYPERLINK("http://api.nsgreg.nga.mil/geo-division/GENC/6/ed3/PG-NIK","as:GENC:6:ed3:PG-NIK")</f>
        <v>as:GENC:6:ed3:PG-NIK</v>
      </c>
    </row>
    <row r="3201" spans="1:7" x14ac:dyDescent="0.2">
      <c r="A3201" s="85"/>
      <c r="B3201" s="25" t="s">
        <v>8115</v>
      </c>
      <c r="C3201" s="25" t="s">
        <v>4193</v>
      </c>
      <c r="D3201" s="25" t="s">
        <v>1719</v>
      </c>
      <c r="E3201" s="26" t="b">
        <v>1</v>
      </c>
      <c r="F3201" s="27" t="str">
        <f>HYPERLINK("http://nsgreg.nga.mil/genc/view?v=212895&amp;end_month=12&amp;end_day=31&amp;end_year=2014","Northern")</f>
        <v>Northern</v>
      </c>
      <c r="G3201" s="28" t="str">
        <f>HYPERLINK("http://api.nsgreg.nga.mil/geo-division/GENC/6/ed3/PG-NPP","as:GENC:6:ed3:PG-NPP")</f>
        <v>as:GENC:6:ed3:PG-NPP</v>
      </c>
    </row>
    <row r="3202" spans="1:7" x14ac:dyDescent="0.2">
      <c r="A3202" s="85"/>
      <c r="B3202" s="25" t="s">
        <v>8118</v>
      </c>
      <c r="C3202" s="25" t="s">
        <v>8119</v>
      </c>
      <c r="D3202" s="25" t="s">
        <v>1719</v>
      </c>
      <c r="E3202" s="26" t="b">
        <v>1</v>
      </c>
      <c r="F3202" s="27" t="str">
        <f>HYPERLINK("http://nsgreg.nga.mil/genc/view?v=212897&amp;end_month=12&amp;end_day=31&amp;end_year=2014","Southern Highlands")</f>
        <v>Southern Highlands</v>
      </c>
      <c r="G3202" s="28" t="str">
        <f>HYPERLINK("http://api.nsgreg.nga.mil/geo-division/GENC/6/ed3/PG-SHM","as:GENC:6:ed3:PG-SHM")</f>
        <v>as:GENC:6:ed3:PG-SHM</v>
      </c>
    </row>
    <row r="3203" spans="1:7" x14ac:dyDescent="0.2">
      <c r="A3203" s="85"/>
      <c r="B3203" s="25" t="s">
        <v>8122</v>
      </c>
      <c r="C3203" s="25" t="s">
        <v>4197</v>
      </c>
      <c r="D3203" s="25" t="s">
        <v>1719</v>
      </c>
      <c r="E3203" s="26" t="b">
        <v>1</v>
      </c>
      <c r="F3203" s="27" t="str">
        <f>HYPERLINK("http://nsgreg.nga.mil/genc/view?v=212900&amp;end_month=12&amp;end_day=31&amp;end_year=2014","Western")</f>
        <v>Western</v>
      </c>
      <c r="G3203" s="28" t="str">
        <f>HYPERLINK("http://api.nsgreg.nga.mil/geo-division/GENC/6/ed3/PG-WPD","as:GENC:6:ed3:PG-WPD")</f>
        <v>as:GENC:6:ed3:PG-WPD</v>
      </c>
    </row>
    <row r="3204" spans="1:7" x14ac:dyDescent="0.2">
      <c r="A3204" s="85"/>
      <c r="B3204" s="25" t="s">
        <v>8123</v>
      </c>
      <c r="C3204" s="25" t="s">
        <v>8124</v>
      </c>
      <c r="D3204" s="25" t="s">
        <v>1719</v>
      </c>
      <c r="E3204" s="26" t="b">
        <v>1</v>
      </c>
      <c r="F3204" s="27" t="str">
        <f>HYPERLINK("http://nsgreg.nga.mil/genc/view?v=212899&amp;end_month=12&amp;end_day=31&amp;end_year=2014","Western Highlands")</f>
        <v>Western Highlands</v>
      </c>
      <c r="G3204" s="28" t="str">
        <f>HYPERLINK("http://api.nsgreg.nga.mil/geo-division/GENC/6/ed3/PG-WHM","as:GENC:6:ed3:PG-WHM")</f>
        <v>as:GENC:6:ed3:PG-WHM</v>
      </c>
    </row>
    <row r="3205" spans="1:7" x14ac:dyDescent="0.2">
      <c r="A3205" s="85"/>
      <c r="B3205" s="25" t="s">
        <v>8120</v>
      </c>
      <c r="C3205" s="25" t="s">
        <v>8121</v>
      </c>
      <c r="D3205" s="25" t="s">
        <v>1719</v>
      </c>
      <c r="E3205" s="26" t="b">
        <v>1</v>
      </c>
      <c r="F3205" s="27" t="str">
        <f>HYPERLINK("http://nsgreg.nga.mil/genc/view?v=212898&amp;end_month=12&amp;end_day=31&amp;end_year=2014","West New Britain")</f>
        <v>West New Britain</v>
      </c>
      <c r="G3205" s="28" t="str">
        <f>HYPERLINK("http://api.nsgreg.nga.mil/geo-division/GENC/6/ed3/PG-WBK","as:GENC:6:ed3:PG-WBK")</f>
        <v>as:GENC:6:ed3:PG-WBK</v>
      </c>
    </row>
    <row r="3206" spans="1:7" x14ac:dyDescent="0.2">
      <c r="A3206" s="86"/>
      <c r="B3206" s="29" t="s">
        <v>8116</v>
      </c>
      <c r="C3206" s="29" t="s">
        <v>13118</v>
      </c>
      <c r="D3206" s="29" t="s">
        <v>1719</v>
      </c>
      <c r="E3206" s="30" t="b">
        <v>1</v>
      </c>
      <c r="F3206" s="31" t="str">
        <f>HYPERLINK("http://nsgreg.nga.mil/genc/view?v=212896&amp;end_month=12&amp;end_day=31&amp;end_year=2014","West Sepik")</f>
        <v>West Sepik</v>
      </c>
      <c r="G3206" s="32" t="str">
        <f>HYPERLINK("http://api.nsgreg.nga.mil/geo-division/GENC/6/ed3/PG-SAN","as:GENC:6:ed3:PG-SAN")</f>
        <v>as:GENC:6:ed3:PG-SAN</v>
      </c>
    </row>
    <row r="3207" spans="1:7" x14ac:dyDescent="0.2">
      <c r="A3207" s="84" t="str">
        <f>HYPERLINK("[#]Codes_for_GE_Names!A202:I202","PARAGUAY")</f>
        <v>PARAGUAY</v>
      </c>
      <c r="B3207" s="33" t="s">
        <v>8125</v>
      </c>
      <c r="C3207" s="33" t="s">
        <v>8126</v>
      </c>
      <c r="D3207" s="33" t="s">
        <v>2590</v>
      </c>
      <c r="E3207" s="34" t="b">
        <v>1</v>
      </c>
      <c r="F3207" s="35" t="str">
        <f>HYPERLINK("http://nsgreg.nga.mil/genc/view?v=121554&amp;gencs=T&amp;end_month=12&amp;end_day=31&amp;end_year=2014","Alto Paraguay")</f>
        <v>Alto Paraguay</v>
      </c>
      <c r="G3207" s="36" t="str">
        <f>HYPERLINK("http://api.nsgreg.nga.mil/geo-division/GENC/6/ed3/PY-16","as:GENC:6:ed3:PY-16")</f>
        <v>as:GENC:6:ed3:PY-16</v>
      </c>
    </row>
    <row r="3208" spans="1:7" x14ac:dyDescent="0.2">
      <c r="A3208" s="85"/>
      <c r="B3208" s="25" t="s">
        <v>8127</v>
      </c>
      <c r="C3208" s="25" t="s">
        <v>8128</v>
      </c>
      <c r="D3208" s="25" t="s">
        <v>2590</v>
      </c>
      <c r="E3208" s="26" t="b">
        <v>1</v>
      </c>
      <c r="F3208" s="27" t="str">
        <f>HYPERLINK("http://nsgreg.nga.mil/genc/view?v=121548&amp;gencs=T&amp;end_month=12&amp;end_day=31&amp;end_year=2014","Alto Paraná")</f>
        <v>Alto Paraná</v>
      </c>
      <c r="G3208" s="28" t="str">
        <f>HYPERLINK("http://api.nsgreg.nga.mil/geo-division/GENC/6/ed3/PY-10","as:GENC:6:ed3:PY-10")</f>
        <v>as:GENC:6:ed3:PY-10</v>
      </c>
    </row>
    <row r="3209" spans="1:7" x14ac:dyDescent="0.2">
      <c r="A3209" s="85"/>
      <c r="B3209" s="25" t="s">
        <v>8129</v>
      </c>
      <c r="C3209" s="25" t="s">
        <v>8130</v>
      </c>
      <c r="D3209" s="25" t="s">
        <v>2590</v>
      </c>
      <c r="E3209" s="26" t="b">
        <v>1</v>
      </c>
      <c r="F3209" s="27" t="str">
        <f>HYPERLINK("http://nsgreg.nga.mil/genc/view?v=121551&amp;gencs=T&amp;end_month=12&amp;end_day=31&amp;end_year=2014","Amambay")</f>
        <v>Amambay</v>
      </c>
      <c r="G3209" s="28" t="str">
        <f>HYPERLINK("http://api.nsgreg.nga.mil/geo-division/GENC/6/ed3/PY-13","as:GENC:6:ed3:PY-13")</f>
        <v>as:GENC:6:ed3:PY-13</v>
      </c>
    </row>
    <row r="3210" spans="1:7" x14ac:dyDescent="0.2">
      <c r="A3210" s="85"/>
      <c r="B3210" s="25" t="s">
        <v>8131</v>
      </c>
      <c r="C3210" s="25" t="s">
        <v>8132</v>
      </c>
      <c r="D3210" s="25" t="s">
        <v>3404</v>
      </c>
      <c r="E3210" s="26" t="b">
        <v>1</v>
      </c>
      <c r="F3210" s="27" t="str">
        <f>HYPERLINK("http://nsgreg.nga.mil/genc/view?v=213081&amp;end_month=12&amp;end_day=31&amp;end_year=2014","Asunción")</f>
        <v>Asunción</v>
      </c>
      <c r="G3210" s="28" t="str">
        <f>HYPERLINK("http://api.nsgreg.nga.mil/geo-division/GENC/6/ed3/PY-ASU","as:GENC:6:ed3:PY-ASU")</f>
        <v>as:GENC:6:ed3:PY-ASU</v>
      </c>
    </row>
    <row r="3211" spans="1:7" x14ac:dyDescent="0.2">
      <c r="A3211" s="85"/>
      <c r="B3211" s="25" t="s">
        <v>8133</v>
      </c>
      <c r="C3211" s="25" t="s">
        <v>8134</v>
      </c>
      <c r="D3211" s="25" t="s">
        <v>2590</v>
      </c>
      <c r="E3211" s="26" t="b">
        <v>1</v>
      </c>
      <c r="F3211" s="27" t="str">
        <f>HYPERLINK("http://nsgreg.nga.mil/genc/view?v=121555&amp;gencs=T&amp;end_month=12&amp;end_day=31&amp;end_year=2014","Boquerón")</f>
        <v>Boquerón</v>
      </c>
      <c r="G3211" s="28" t="str">
        <f>HYPERLINK("http://api.nsgreg.nga.mil/geo-division/GENC/6/ed3/PY-19","as:GENC:6:ed3:PY-19")</f>
        <v>as:GENC:6:ed3:PY-19</v>
      </c>
    </row>
    <row r="3212" spans="1:7" x14ac:dyDescent="0.2">
      <c r="A3212" s="85"/>
      <c r="B3212" s="25" t="s">
        <v>8135</v>
      </c>
      <c r="C3212" s="25" t="s">
        <v>8136</v>
      </c>
      <c r="D3212" s="25" t="s">
        <v>2590</v>
      </c>
      <c r="E3212" s="26" t="b">
        <v>1</v>
      </c>
      <c r="F3212" s="27" t="str">
        <f>HYPERLINK("http://nsgreg.nga.mil/genc/view?v=121559&amp;gencs=T&amp;end_month=12&amp;end_day=31&amp;end_year=2014","Caaguazú")</f>
        <v>Caaguazú</v>
      </c>
      <c r="G3212" s="28" t="str">
        <f>HYPERLINK("http://api.nsgreg.nga.mil/geo-division/GENC/6/ed3/PY-5","as:GENC:6:ed3:PY-5")</f>
        <v>as:GENC:6:ed3:PY-5</v>
      </c>
    </row>
    <row r="3213" spans="1:7" x14ac:dyDescent="0.2">
      <c r="A3213" s="85"/>
      <c r="B3213" s="25" t="s">
        <v>8137</v>
      </c>
      <c r="C3213" s="25" t="s">
        <v>8138</v>
      </c>
      <c r="D3213" s="25" t="s">
        <v>2590</v>
      </c>
      <c r="E3213" s="26" t="b">
        <v>1</v>
      </c>
      <c r="F3213" s="27" t="str">
        <f>HYPERLINK("http://nsgreg.nga.mil/genc/view?v=121560&amp;gencs=T&amp;end_month=12&amp;end_day=31&amp;end_year=2014","Caazapá")</f>
        <v>Caazapá</v>
      </c>
      <c r="G3213" s="28" t="str">
        <f>HYPERLINK("http://api.nsgreg.nga.mil/geo-division/GENC/6/ed3/PY-6","as:GENC:6:ed3:PY-6")</f>
        <v>as:GENC:6:ed3:PY-6</v>
      </c>
    </row>
    <row r="3214" spans="1:7" x14ac:dyDescent="0.2">
      <c r="A3214" s="85"/>
      <c r="B3214" s="25" t="s">
        <v>8139</v>
      </c>
      <c r="C3214" s="25" t="s">
        <v>8140</v>
      </c>
      <c r="D3214" s="25" t="s">
        <v>2590</v>
      </c>
      <c r="E3214" s="26" t="b">
        <v>1</v>
      </c>
      <c r="F3214" s="27" t="str">
        <f>HYPERLINK("http://nsgreg.nga.mil/genc/view?v=121552&amp;gencs=T&amp;end_month=12&amp;end_day=31&amp;end_year=2014","Canindeyú")</f>
        <v>Canindeyú</v>
      </c>
      <c r="G3214" s="28" t="str">
        <f>HYPERLINK("http://api.nsgreg.nga.mil/geo-division/GENC/6/ed3/PY-14","as:GENC:6:ed3:PY-14")</f>
        <v>as:GENC:6:ed3:PY-14</v>
      </c>
    </row>
    <row r="3215" spans="1:7" x14ac:dyDescent="0.2">
      <c r="A3215" s="85"/>
      <c r="B3215" s="25" t="s">
        <v>8141</v>
      </c>
      <c r="C3215" s="25" t="s">
        <v>2720</v>
      </c>
      <c r="D3215" s="25" t="s">
        <v>2590</v>
      </c>
      <c r="E3215" s="26" t="b">
        <v>1</v>
      </c>
      <c r="F3215" s="27" t="str">
        <f>HYPERLINK("http://nsgreg.nga.mil/genc/view?v=121549&amp;gencs=T&amp;end_month=12&amp;end_day=31&amp;end_year=2014","Central")</f>
        <v>Central</v>
      </c>
      <c r="G3215" s="28" t="str">
        <f>HYPERLINK("http://api.nsgreg.nga.mil/geo-division/GENC/6/ed3/PY-11","as:GENC:6:ed3:PY-11")</f>
        <v>as:GENC:6:ed3:PY-11</v>
      </c>
    </row>
    <row r="3216" spans="1:7" x14ac:dyDescent="0.2">
      <c r="A3216" s="85"/>
      <c r="B3216" s="25" t="s">
        <v>8142</v>
      </c>
      <c r="C3216" s="25" t="s">
        <v>8143</v>
      </c>
      <c r="D3216" s="25" t="s">
        <v>2590</v>
      </c>
      <c r="E3216" s="26" t="b">
        <v>1</v>
      </c>
      <c r="F3216" s="27" t="str">
        <f>HYPERLINK("http://nsgreg.nga.mil/genc/view?v=121547&amp;gencs=T&amp;end_month=12&amp;end_day=31&amp;end_year=2014","Concepción")</f>
        <v>Concepción</v>
      </c>
      <c r="G3216" s="28" t="str">
        <f>HYPERLINK("http://api.nsgreg.nga.mil/geo-division/GENC/6/ed3/PY-1","as:GENC:6:ed3:PY-1")</f>
        <v>as:GENC:6:ed3:PY-1</v>
      </c>
    </row>
    <row r="3217" spans="1:7" x14ac:dyDescent="0.2">
      <c r="A3217" s="85"/>
      <c r="B3217" s="25" t="s">
        <v>8144</v>
      </c>
      <c r="C3217" s="25" t="s">
        <v>8145</v>
      </c>
      <c r="D3217" s="25" t="s">
        <v>2590</v>
      </c>
      <c r="E3217" s="26" t="b">
        <v>1</v>
      </c>
      <c r="F3217" s="27" t="str">
        <f>HYPERLINK("http://nsgreg.nga.mil/genc/view?v=121557&amp;gencs=T&amp;end_month=12&amp;end_day=31&amp;end_year=2014","Cordillera")</f>
        <v>Cordillera</v>
      </c>
      <c r="G3217" s="28" t="str">
        <f>HYPERLINK("http://api.nsgreg.nga.mil/geo-division/GENC/6/ed3/PY-3","as:GENC:6:ed3:PY-3")</f>
        <v>as:GENC:6:ed3:PY-3</v>
      </c>
    </row>
    <row r="3218" spans="1:7" x14ac:dyDescent="0.2">
      <c r="A3218" s="85"/>
      <c r="B3218" s="25" t="s">
        <v>8146</v>
      </c>
      <c r="C3218" s="25" t="s">
        <v>8147</v>
      </c>
      <c r="D3218" s="25" t="s">
        <v>2590</v>
      </c>
      <c r="E3218" s="26" t="b">
        <v>1</v>
      </c>
      <c r="F3218" s="27" t="str">
        <f>HYPERLINK("http://nsgreg.nga.mil/genc/view?v=121558&amp;gencs=T&amp;end_month=12&amp;end_day=31&amp;end_year=2014","Guairá")</f>
        <v>Guairá</v>
      </c>
      <c r="G3218" s="28" t="str">
        <f>HYPERLINK("http://api.nsgreg.nga.mil/geo-division/GENC/6/ed3/PY-4","as:GENC:6:ed3:PY-4")</f>
        <v>as:GENC:6:ed3:PY-4</v>
      </c>
    </row>
    <row r="3219" spans="1:7" x14ac:dyDescent="0.2">
      <c r="A3219" s="85"/>
      <c r="B3219" s="25" t="s">
        <v>8148</v>
      </c>
      <c r="C3219" s="25" t="s">
        <v>8149</v>
      </c>
      <c r="D3219" s="25" t="s">
        <v>2590</v>
      </c>
      <c r="E3219" s="26" t="b">
        <v>1</v>
      </c>
      <c r="F3219" s="27" t="str">
        <f>HYPERLINK("http://nsgreg.nga.mil/genc/view?v=121561&amp;gencs=T&amp;end_month=12&amp;end_day=31&amp;end_year=2014","Itapúa")</f>
        <v>Itapúa</v>
      </c>
      <c r="G3219" s="28" t="str">
        <f>HYPERLINK("http://api.nsgreg.nga.mil/geo-division/GENC/6/ed3/PY-7","as:GENC:6:ed3:PY-7")</f>
        <v>as:GENC:6:ed3:PY-7</v>
      </c>
    </row>
    <row r="3220" spans="1:7" x14ac:dyDescent="0.2">
      <c r="A3220" s="85"/>
      <c r="B3220" s="25" t="s">
        <v>8150</v>
      </c>
      <c r="C3220" s="25" t="s">
        <v>2064</v>
      </c>
      <c r="D3220" s="25" t="s">
        <v>2590</v>
      </c>
      <c r="E3220" s="26" t="b">
        <v>1</v>
      </c>
      <c r="F3220" s="27" t="str">
        <f>HYPERLINK("http://nsgreg.nga.mil/genc/view?v=121562&amp;gencs=T&amp;end_month=12&amp;end_day=31&amp;end_year=2014","Misiones")</f>
        <v>Misiones</v>
      </c>
      <c r="G3220" s="28" t="str">
        <f>HYPERLINK("http://api.nsgreg.nga.mil/geo-division/GENC/6/ed3/PY-8","as:GENC:6:ed3:PY-8")</f>
        <v>as:GENC:6:ed3:PY-8</v>
      </c>
    </row>
    <row r="3221" spans="1:7" x14ac:dyDescent="0.2">
      <c r="A3221" s="85"/>
      <c r="B3221" s="25" t="s">
        <v>8157</v>
      </c>
      <c r="C3221" s="25" t="s">
        <v>8158</v>
      </c>
      <c r="D3221" s="25" t="s">
        <v>2590</v>
      </c>
      <c r="E3221" s="26" t="b">
        <v>1</v>
      </c>
      <c r="F3221" s="27" t="str">
        <f>HYPERLINK("http://nsgreg.nga.mil/genc/view?v=121550&amp;gencs=T&amp;end_month=12&amp;end_day=31&amp;end_year=2014","Ñeembucú")</f>
        <v>Ñeembucú</v>
      </c>
      <c r="G3221" s="28" t="str">
        <f>HYPERLINK("http://api.nsgreg.nga.mil/geo-division/GENC/6/ed3/PY-12","as:GENC:6:ed3:PY-12")</f>
        <v>as:GENC:6:ed3:PY-12</v>
      </c>
    </row>
    <row r="3222" spans="1:7" x14ac:dyDescent="0.2">
      <c r="A3222" s="85"/>
      <c r="B3222" s="25" t="s">
        <v>8151</v>
      </c>
      <c r="C3222" s="25" t="s">
        <v>8152</v>
      </c>
      <c r="D3222" s="25" t="s">
        <v>2590</v>
      </c>
      <c r="E3222" s="26" t="b">
        <v>1</v>
      </c>
      <c r="F3222" s="27" t="str">
        <f>HYPERLINK("http://nsgreg.nga.mil/genc/view?v=121563&amp;gencs=T&amp;end_month=12&amp;end_day=31&amp;end_year=2014","Paraguarí")</f>
        <v>Paraguarí</v>
      </c>
      <c r="G3222" s="28" t="str">
        <f>HYPERLINK("http://api.nsgreg.nga.mil/geo-division/GENC/6/ed3/PY-9","as:GENC:6:ed3:PY-9")</f>
        <v>as:GENC:6:ed3:PY-9</v>
      </c>
    </row>
    <row r="3223" spans="1:7" x14ac:dyDescent="0.2">
      <c r="A3223" s="85"/>
      <c r="B3223" s="25" t="s">
        <v>8153</v>
      </c>
      <c r="C3223" s="25" t="s">
        <v>8154</v>
      </c>
      <c r="D3223" s="25" t="s">
        <v>2590</v>
      </c>
      <c r="E3223" s="26" t="b">
        <v>1</v>
      </c>
      <c r="F3223" s="27" t="str">
        <f>HYPERLINK("http://nsgreg.nga.mil/genc/view?v=121553&amp;gencs=T&amp;end_month=12&amp;end_day=31&amp;end_year=2014","Presidente Hayes")</f>
        <v>Presidente Hayes</v>
      </c>
      <c r="G3223" s="28" t="str">
        <f>HYPERLINK("http://api.nsgreg.nga.mil/geo-division/GENC/6/ed3/PY-15","as:GENC:6:ed3:PY-15")</f>
        <v>as:GENC:6:ed3:PY-15</v>
      </c>
    </row>
    <row r="3224" spans="1:7" x14ac:dyDescent="0.2">
      <c r="A3224" s="86"/>
      <c r="B3224" s="29" t="s">
        <v>8155</v>
      </c>
      <c r="C3224" s="29" t="s">
        <v>8156</v>
      </c>
      <c r="D3224" s="29" t="s">
        <v>2590</v>
      </c>
      <c r="E3224" s="30" t="b">
        <v>1</v>
      </c>
      <c r="F3224" s="31" t="str">
        <f>HYPERLINK("http://nsgreg.nga.mil/genc/view?v=121556&amp;gencs=T&amp;end_month=12&amp;end_day=31&amp;end_year=2014","San Pedro")</f>
        <v>San Pedro</v>
      </c>
      <c r="G3224" s="32" t="str">
        <f>HYPERLINK("http://api.nsgreg.nga.mil/geo-division/GENC/6/ed3/PY-2","as:GENC:6:ed3:PY-2")</f>
        <v>as:GENC:6:ed3:PY-2</v>
      </c>
    </row>
    <row r="3225" spans="1:7" x14ac:dyDescent="0.2">
      <c r="A3225" s="84" t="str">
        <f>HYPERLINK("[#]Codes_for_GE_Names!A203:I203","PERU")</f>
        <v>PERU</v>
      </c>
      <c r="B3225" s="33" t="s">
        <v>8159</v>
      </c>
      <c r="C3225" s="33" t="s">
        <v>2744</v>
      </c>
      <c r="D3225" s="33" t="s">
        <v>2087</v>
      </c>
      <c r="E3225" s="34" t="b">
        <v>1</v>
      </c>
      <c r="F3225" s="35" t="str">
        <f>HYPERLINK("http://nsgreg.nga.mil/genc/view?v=212856&amp;end_month=12&amp;end_day=31&amp;end_year=2014","Amazonas")</f>
        <v>Amazonas</v>
      </c>
      <c r="G3225" s="36" t="str">
        <f>HYPERLINK("http://api.nsgreg.nga.mil/geo-division/GENC/6/ed3/PE-AMA","as:GENC:6:ed3:PE-AMA")</f>
        <v>as:GENC:6:ed3:PE-AMA</v>
      </c>
    </row>
    <row r="3226" spans="1:7" x14ac:dyDescent="0.2">
      <c r="A3226" s="85"/>
      <c r="B3226" s="25" t="s">
        <v>8162</v>
      </c>
      <c r="C3226" s="25" t="s">
        <v>8163</v>
      </c>
      <c r="D3226" s="25" t="s">
        <v>2087</v>
      </c>
      <c r="E3226" s="26" t="b">
        <v>1</v>
      </c>
      <c r="F3226" s="27" t="str">
        <f>HYPERLINK("http://nsgreg.nga.mil/genc/view?v=212857&amp;end_month=12&amp;end_day=31&amp;end_year=2014","Ancash")</f>
        <v>Ancash</v>
      </c>
      <c r="G3226" s="28" t="str">
        <f>HYPERLINK("http://api.nsgreg.nga.mil/geo-division/GENC/6/ed3/PE-ANC","as:GENC:6:ed3:PE-ANC")</f>
        <v>as:GENC:6:ed3:PE-ANC</v>
      </c>
    </row>
    <row r="3227" spans="1:7" x14ac:dyDescent="0.2">
      <c r="A3227" s="85"/>
      <c r="B3227" s="25" t="s">
        <v>8166</v>
      </c>
      <c r="C3227" s="25" t="s">
        <v>8168</v>
      </c>
      <c r="D3227" s="25" t="s">
        <v>2087</v>
      </c>
      <c r="E3227" s="26" t="b">
        <v>1</v>
      </c>
      <c r="F3227" s="27" t="str">
        <f>HYPERLINK("http://nsgreg.nga.mil/genc/view?v=212858&amp;end_month=12&amp;end_day=31&amp;end_year=2014","Apurímac")</f>
        <v>Apurímac</v>
      </c>
      <c r="G3227" s="28" t="str">
        <f>HYPERLINK("http://api.nsgreg.nga.mil/geo-division/GENC/6/ed3/PE-APU","as:GENC:6:ed3:PE-APU")</f>
        <v>as:GENC:6:ed3:PE-APU</v>
      </c>
    </row>
    <row r="3228" spans="1:7" x14ac:dyDescent="0.2">
      <c r="A3228" s="85"/>
      <c r="B3228" s="25" t="s">
        <v>8169</v>
      </c>
      <c r="C3228" s="25" t="s">
        <v>8170</v>
      </c>
      <c r="D3228" s="25" t="s">
        <v>2087</v>
      </c>
      <c r="E3228" s="26" t="b">
        <v>1</v>
      </c>
      <c r="F3228" s="27" t="str">
        <f>HYPERLINK("http://nsgreg.nga.mil/genc/view?v=212859&amp;end_month=12&amp;end_day=31&amp;end_year=2014","Arequipa")</f>
        <v>Arequipa</v>
      </c>
      <c r="G3228" s="28" t="str">
        <f>HYPERLINK("http://api.nsgreg.nga.mil/geo-division/GENC/6/ed3/PE-ARE","as:GENC:6:ed3:PE-ARE")</f>
        <v>as:GENC:6:ed3:PE-ARE</v>
      </c>
    </row>
    <row r="3229" spans="1:7" x14ac:dyDescent="0.2">
      <c r="A3229" s="85"/>
      <c r="B3229" s="25" t="s">
        <v>8173</v>
      </c>
      <c r="C3229" s="25" t="s">
        <v>8174</v>
      </c>
      <c r="D3229" s="25" t="s">
        <v>2087</v>
      </c>
      <c r="E3229" s="26" t="b">
        <v>1</v>
      </c>
      <c r="F3229" s="27" t="str">
        <f>HYPERLINK("http://nsgreg.nga.mil/genc/view?v=212860&amp;end_month=12&amp;end_day=31&amp;end_year=2014","Ayacucho")</f>
        <v>Ayacucho</v>
      </c>
      <c r="G3229" s="28" t="str">
        <f>HYPERLINK("http://api.nsgreg.nga.mil/geo-division/GENC/6/ed3/PE-AYA","as:GENC:6:ed3:PE-AYA")</f>
        <v>as:GENC:6:ed3:PE-AYA</v>
      </c>
    </row>
    <row r="3230" spans="1:7" x14ac:dyDescent="0.2">
      <c r="A3230" s="85"/>
      <c r="B3230" s="25" t="s">
        <v>8177</v>
      </c>
      <c r="C3230" s="25" t="s">
        <v>8178</v>
      </c>
      <c r="D3230" s="25" t="s">
        <v>2087</v>
      </c>
      <c r="E3230" s="26" t="b">
        <v>1</v>
      </c>
      <c r="F3230" s="27" t="str">
        <f>HYPERLINK("http://nsgreg.nga.mil/genc/view?v=212861&amp;end_month=12&amp;end_day=31&amp;end_year=2014","Cajamarca")</f>
        <v>Cajamarca</v>
      </c>
      <c r="G3230" s="28" t="str">
        <f>HYPERLINK("http://api.nsgreg.nga.mil/geo-division/GENC/6/ed3/PE-CAJ","as:GENC:6:ed3:PE-CAJ")</f>
        <v>as:GENC:6:ed3:PE-CAJ</v>
      </c>
    </row>
    <row r="3231" spans="1:7" x14ac:dyDescent="0.2">
      <c r="A3231" s="85"/>
      <c r="B3231" s="25" t="s">
        <v>8181</v>
      </c>
      <c r="C3231" s="25" t="s">
        <v>13119</v>
      </c>
      <c r="D3231" s="25" t="s">
        <v>2087</v>
      </c>
      <c r="E3231" s="26" t="b">
        <v>1</v>
      </c>
      <c r="F3231" s="27" t="str">
        <f>HYPERLINK("http://nsgreg.nga.mil/genc/view?v=212862&amp;end_month=12&amp;end_day=31&amp;end_year=2014","Callao")</f>
        <v>Callao</v>
      </c>
      <c r="G3231" s="28" t="str">
        <f>HYPERLINK("http://api.nsgreg.nga.mil/geo-division/GENC/6/ed3/PE-CAL","as:GENC:6:ed3:PE-CAL")</f>
        <v>as:GENC:6:ed3:PE-CAL</v>
      </c>
    </row>
    <row r="3232" spans="1:7" x14ac:dyDescent="0.2">
      <c r="A3232" s="85"/>
      <c r="B3232" s="25" t="s">
        <v>8179</v>
      </c>
      <c r="C3232" s="25" t="s">
        <v>13120</v>
      </c>
      <c r="D3232" s="25" t="s">
        <v>2087</v>
      </c>
      <c r="E3232" s="26" t="b">
        <v>1</v>
      </c>
      <c r="F3232" s="27" t="str">
        <f>HYPERLINK("http://nsgreg.nga.mil/genc/view?v=212863&amp;end_month=12&amp;end_day=31&amp;end_year=2014","Cusco")</f>
        <v>Cusco</v>
      </c>
      <c r="G3232" s="28" t="str">
        <f>HYPERLINK("http://api.nsgreg.nga.mil/geo-division/GENC/6/ed3/PE-CUS","as:GENC:6:ed3:PE-CUS")</f>
        <v>as:GENC:6:ed3:PE-CUS</v>
      </c>
    </row>
    <row r="3233" spans="1:7" x14ac:dyDescent="0.2">
      <c r="A3233" s="85"/>
      <c r="B3233" s="25" t="s">
        <v>8184</v>
      </c>
      <c r="C3233" s="25" t="s">
        <v>8185</v>
      </c>
      <c r="D3233" s="25" t="s">
        <v>2087</v>
      </c>
      <c r="E3233" s="26" t="b">
        <v>1</v>
      </c>
      <c r="F3233" s="27" t="str">
        <f>HYPERLINK("http://nsgreg.nga.mil/genc/view?v=212865&amp;end_month=12&amp;end_day=31&amp;end_year=2014","Huancavelica")</f>
        <v>Huancavelica</v>
      </c>
      <c r="G3233" s="28" t="str">
        <f>HYPERLINK("http://api.nsgreg.nga.mil/geo-division/GENC/6/ed3/PE-HUV","as:GENC:6:ed3:PE-HUV")</f>
        <v>as:GENC:6:ed3:PE-HUV</v>
      </c>
    </row>
    <row r="3234" spans="1:7" x14ac:dyDescent="0.2">
      <c r="A3234" s="85"/>
      <c r="B3234" s="25" t="s">
        <v>8188</v>
      </c>
      <c r="C3234" s="25" t="s">
        <v>8189</v>
      </c>
      <c r="D3234" s="25" t="s">
        <v>2087</v>
      </c>
      <c r="E3234" s="26" t="b">
        <v>1</v>
      </c>
      <c r="F3234" s="27" t="str">
        <f>HYPERLINK("http://nsgreg.nga.mil/genc/view?v=212864&amp;end_month=12&amp;end_day=31&amp;end_year=2014","Huánuco")</f>
        <v>Huánuco</v>
      </c>
      <c r="G3234" s="28" t="str">
        <f>HYPERLINK("http://api.nsgreg.nga.mil/geo-division/GENC/6/ed3/PE-HUC","as:GENC:6:ed3:PE-HUC")</f>
        <v>as:GENC:6:ed3:PE-HUC</v>
      </c>
    </row>
    <row r="3235" spans="1:7" x14ac:dyDescent="0.2">
      <c r="A3235" s="85"/>
      <c r="B3235" s="25" t="s">
        <v>8190</v>
      </c>
      <c r="C3235" s="25" t="s">
        <v>8191</v>
      </c>
      <c r="D3235" s="25" t="s">
        <v>2087</v>
      </c>
      <c r="E3235" s="26" t="b">
        <v>1</v>
      </c>
      <c r="F3235" s="27" t="str">
        <f>HYPERLINK("http://nsgreg.nga.mil/genc/view?v=212866&amp;end_month=12&amp;end_day=31&amp;end_year=2014","Ica")</f>
        <v>Ica</v>
      </c>
      <c r="G3235" s="28" t="str">
        <f>HYPERLINK("http://api.nsgreg.nga.mil/geo-division/GENC/6/ed3/PE-ICA","as:GENC:6:ed3:PE-ICA")</f>
        <v>as:GENC:6:ed3:PE-ICA</v>
      </c>
    </row>
    <row r="3236" spans="1:7" x14ac:dyDescent="0.2">
      <c r="A3236" s="85"/>
      <c r="B3236" s="25" t="s">
        <v>8186</v>
      </c>
      <c r="C3236" s="25" t="s">
        <v>8194</v>
      </c>
      <c r="D3236" s="25" t="s">
        <v>2087</v>
      </c>
      <c r="E3236" s="26" t="b">
        <v>1</v>
      </c>
      <c r="F3236" s="27" t="str">
        <f>HYPERLINK("http://nsgreg.nga.mil/genc/view?v=212867&amp;end_month=12&amp;end_day=31&amp;end_year=2014","Junín")</f>
        <v>Junín</v>
      </c>
      <c r="G3236" s="28" t="str">
        <f>HYPERLINK("http://api.nsgreg.nga.mil/geo-division/GENC/6/ed3/PE-JUN","as:GENC:6:ed3:PE-JUN")</f>
        <v>as:GENC:6:ed3:PE-JUN</v>
      </c>
    </row>
    <row r="3237" spans="1:7" x14ac:dyDescent="0.2">
      <c r="A3237" s="85"/>
      <c r="B3237" s="25" t="s">
        <v>8198</v>
      </c>
      <c r="C3237" s="25" t="s">
        <v>4066</v>
      </c>
      <c r="D3237" s="25" t="s">
        <v>2087</v>
      </c>
      <c r="E3237" s="26" t="b">
        <v>1</v>
      </c>
      <c r="F3237" s="27" t="str">
        <f>HYPERLINK("http://nsgreg.nga.mil/genc/view?v=212868&amp;end_month=12&amp;end_day=31&amp;end_year=2014","La Libertad")</f>
        <v>La Libertad</v>
      </c>
      <c r="G3237" s="28" t="str">
        <f>HYPERLINK("http://api.nsgreg.nga.mil/geo-division/GENC/6/ed3/PE-LAL","as:GENC:6:ed3:PE-LAL")</f>
        <v>as:GENC:6:ed3:PE-LAL</v>
      </c>
    </row>
    <row r="3238" spans="1:7" x14ac:dyDescent="0.2">
      <c r="A3238" s="85"/>
      <c r="B3238" s="25" t="s">
        <v>8199</v>
      </c>
      <c r="C3238" s="25" t="s">
        <v>8200</v>
      </c>
      <c r="D3238" s="25" t="s">
        <v>2087</v>
      </c>
      <c r="E3238" s="26" t="b">
        <v>1</v>
      </c>
      <c r="F3238" s="27" t="str">
        <f>HYPERLINK("http://nsgreg.nga.mil/genc/view?v=212869&amp;end_month=12&amp;end_day=31&amp;end_year=2014","Lambayeque")</f>
        <v>Lambayeque</v>
      </c>
      <c r="G3238" s="28" t="str">
        <f>HYPERLINK("http://api.nsgreg.nga.mil/geo-division/GENC/6/ed3/PE-LAM","as:GENC:6:ed3:PE-LAM")</f>
        <v>as:GENC:6:ed3:PE-LAM</v>
      </c>
    </row>
    <row r="3239" spans="1:7" x14ac:dyDescent="0.2">
      <c r="A3239" s="85"/>
      <c r="B3239" s="25" t="s">
        <v>8204</v>
      </c>
      <c r="C3239" s="25" t="s">
        <v>8203</v>
      </c>
      <c r="D3239" s="25" t="s">
        <v>1719</v>
      </c>
      <c r="E3239" s="26" t="b">
        <v>1</v>
      </c>
      <c r="F3239" s="27" t="str">
        <f>HYPERLINK("http://nsgreg.nga.mil/genc/view?v=212871&amp;end_month=12&amp;end_day=31&amp;end_year=2014","Lima")</f>
        <v>Lima</v>
      </c>
      <c r="G3239" s="28" t="str">
        <f>HYPERLINK("http://api.nsgreg.nga.mil/geo-division/GENC/6/ed3/PE-LMA","as:GENC:6:ed3:PE-LMA")</f>
        <v>as:GENC:6:ed3:PE-LMA</v>
      </c>
    </row>
    <row r="3240" spans="1:7" x14ac:dyDescent="0.2">
      <c r="A3240" s="85"/>
      <c r="B3240" s="25" t="s">
        <v>8202</v>
      </c>
      <c r="C3240" s="25" t="s">
        <v>8203</v>
      </c>
      <c r="D3240" s="25" t="s">
        <v>2087</v>
      </c>
      <c r="E3240" s="26" t="b">
        <v>1</v>
      </c>
      <c r="F3240" s="27" t="str">
        <f>HYPERLINK("http://nsgreg.nga.mil/genc/view?v=212870&amp;end_month=12&amp;end_day=31&amp;end_year=2014","Lima")</f>
        <v>Lima</v>
      </c>
      <c r="G3240" s="28" t="str">
        <f>HYPERLINK("http://api.nsgreg.nga.mil/geo-division/GENC/6/ed3/PE-LIM","as:GENC:6:ed3:PE-LIM")</f>
        <v>as:GENC:6:ed3:PE-LIM</v>
      </c>
    </row>
    <row r="3241" spans="1:7" x14ac:dyDescent="0.2">
      <c r="A3241" s="85"/>
      <c r="B3241" s="25" t="s">
        <v>8207</v>
      </c>
      <c r="C3241" s="25" t="s">
        <v>8208</v>
      </c>
      <c r="D3241" s="25" t="s">
        <v>2087</v>
      </c>
      <c r="E3241" s="26" t="b">
        <v>1</v>
      </c>
      <c r="F3241" s="27" t="str">
        <f>HYPERLINK("http://nsgreg.nga.mil/genc/view?v=212872&amp;end_month=12&amp;end_day=31&amp;end_year=2014","Loreto")</f>
        <v>Loreto</v>
      </c>
      <c r="G3241" s="28" t="str">
        <f>HYPERLINK("http://api.nsgreg.nga.mil/geo-division/GENC/6/ed3/PE-LOR","as:GENC:6:ed3:PE-LOR")</f>
        <v>as:GENC:6:ed3:PE-LOR</v>
      </c>
    </row>
    <row r="3242" spans="1:7" x14ac:dyDescent="0.2">
      <c r="A3242" s="85"/>
      <c r="B3242" s="25" t="s">
        <v>8210</v>
      </c>
      <c r="C3242" s="25" t="s">
        <v>8211</v>
      </c>
      <c r="D3242" s="25" t="s">
        <v>2087</v>
      </c>
      <c r="E3242" s="26" t="b">
        <v>1</v>
      </c>
      <c r="F3242" s="27" t="str">
        <f>HYPERLINK("http://nsgreg.nga.mil/genc/view?v=212873&amp;end_month=12&amp;end_day=31&amp;end_year=2014","Madre de Dios")</f>
        <v>Madre de Dios</v>
      </c>
      <c r="G3242" s="28" t="str">
        <f>HYPERLINK("http://api.nsgreg.nga.mil/geo-division/GENC/6/ed3/PE-MDD","as:GENC:6:ed3:PE-MDD")</f>
        <v>as:GENC:6:ed3:PE-MDD</v>
      </c>
    </row>
    <row r="3243" spans="1:7" x14ac:dyDescent="0.2">
      <c r="A3243" s="85"/>
      <c r="B3243" s="25" t="s">
        <v>8213</v>
      </c>
      <c r="C3243" s="25" t="s">
        <v>8214</v>
      </c>
      <c r="D3243" s="25" t="s">
        <v>2087</v>
      </c>
      <c r="E3243" s="26" t="b">
        <v>1</v>
      </c>
      <c r="F3243" s="27" t="str">
        <f>HYPERLINK("http://nsgreg.nga.mil/genc/view?v=212874&amp;end_month=12&amp;end_day=31&amp;end_year=2014","Moquegua")</f>
        <v>Moquegua</v>
      </c>
      <c r="G3243" s="28" t="str">
        <f>HYPERLINK("http://api.nsgreg.nga.mil/geo-division/GENC/6/ed3/PE-MOQ","as:GENC:6:ed3:PE-MOQ")</f>
        <v>as:GENC:6:ed3:PE-MOQ</v>
      </c>
    </row>
    <row r="3244" spans="1:7" x14ac:dyDescent="0.2">
      <c r="A3244" s="85"/>
      <c r="B3244" s="25" t="s">
        <v>8218</v>
      </c>
      <c r="C3244" s="25" t="s">
        <v>8219</v>
      </c>
      <c r="D3244" s="25" t="s">
        <v>2087</v>
      </c>
      <c r="E3244" s="26" t="b">
        <v>1</v>
      </c>
      <c r="F3244" s="27" t="str">
        <f>HYPERLINK("http://nsgreg.nga.mil/genc/view?v=212875&amp;end_month=12&amp;end_day=31&amp;end_year=2014","Pasco")</f>
        <v>Pasco</v>
      </c>
      <c r="G3244" s="28" t="str">
        <f>HYPERLINK("http://api.nsgreg.nga.mil/geo-division/GENC/6/ed3/PE-PAS","as:GENC:6:ed3:PE-PAS")</f>
        <v>as:GENC:6:ed3:PE-PAS</v>
      </c>
    </row>
    <row r="3245" spans="1:7" x14ac:dyDescent="0.2">
      <c r="A3245" s="85"/>
      <c r="B3245" s="25" t="s">
        <v>8221</v>
      </c>
      <c r="C3245" s="25" t="s">
        <v>8222</v>
      </c>
      <c r="D3245" s="25" t="s">
        <v>2087</v>
      </c>
      <c r="E3245" s="26" t="b">
        <v>1</v>
      </c>
      <c r="F3245" s="27" t="str">
        <f>HYPERLINK("http://nsgreg.nga.mil/genc/view?v=212876&amp;end_month=12&amp;end_day=31&amp;end_year=2014","Piura")</f>
        <v>Piura</v>
      </c>
      <c r="G3245" s="28" t="str">
        <f>HYPERLINK("http://api.nsgreg.nga.mil/geo-division/GENC/6/ed3/PE-PIU","as:GENC:6:ed3:PE-PIU")</f>
        <v>as:GENC:6:ed3:PE-PIU</v>
      </c>
    </row>
    <row r="3246" spans="1:7" x14ac:dyDescent="0.2">
      <c r="A3246" s="85"/>
      <c r="B3246" s="25" t="s">
        <v>8224</v>
      </c>
      <c r="C3246" s="25" t="s">
        <v>8225</v>
      </c>
      <c r="D3246" s="25" t="s">
        <v>2087</v>
      </c>
      <c r="E3246" s="26" t="b">
        <v>1</v>
      </c>
      <c r="F3246" s="27" t="str">
        <f>HYPERLINK("http://nsgreg.nga.mil/genc/view?v=212877&amp;end_month=12&amp;end_day=31&amp;end_year=2014","Puno")</f>
        <v>Puno</v>
      </c>
      <c r="G3246" s="28" t="str">
        <f>HYPERLINK("http://api.nsgreg.nga.mil/geo-division/GENC/6/ed3/PE-PUN","as:GENC:6:ed3:PE-PUN")</f>
        <v>as:GENC:6:ed3:PE-PUN</v>
      </c>
    </row>
    <row r="3247" spans="1:7" x14ac:dyDescent="0.2">
      <c r="A3247" s="85"/>
      <c r="B3247" s="25" t="s">
        <v>8231</v>
      </c>
      <c r="C3247" s="25" t="s">
        <v>8233</v>
      </c>
      <c r="D3247" s="25" t="s">
        <v>2087</v>
      </c>
      <c r="E3247" s="26" t="b">
        <v>1</v>
      </c>
      <c r="F3247" s="27" t="str">
        <f>HYPERLINK("http://nsgreg.nga.mil/genc/view?v=212878&amp;end_month=12&amp;end_day=31&amp;end_year=2014","San Martín")</f>
        <v>San Martín</v>
      </c>
      <c r="G3247" s="28" t="str">
        <f>HYPERLINK("http://api.nsgreg.nga.mil/geo-division/GENC/6/ed3/PE-SAM","as:GENC:6:ed3:PE-SAM")</f>
        <v>as:GENC:6:ed3:PE-SAM</v>
      </c>
    </row>
    <row r="3248" spans="1:7" x14ac:dyDescent="0.2">
      <c r="A3248" s="85"/>
      <c r="B3248" s="25" t="s">
        <v>8234</v>
      </c>
      <c r="C3248" s="25" t="s">
        <v>8235</v>
      </c>
      <c r="D3248" s="25" t="s">
        <v>2087</v>
      </c>
      <c r="E3248" s="26" t="b">
        <v>1</v>
      </c>
      <c r="F3248" s="27" t="str">
        <f>HYPERLINK("http://nsgreg.nga.mil/genc/view?v=212879&amp;end_month=12&amp;end_day=31&amp;end_year=2014","Tacna")</f>
        <v>Tacna</v>
      </c>
      <c r="G3248" s="28" t="str">
        <f>HYPERLINK("http://api.nsgreg.nga.mil/geo-division/GENC/6/ed3/PE-TAC","as:GENC:6:ed3:PE-TAC")</f>
        <v>as:GENC:6:ed3:PE-TAC</v>
      </c>
    </row>
    <row r="3249" spans="1:7" x14ac:dyDescent="0.2">
      <c r="A3249" s="85"/>
      <c r="B3249" s="25" t="s">
        <v>8238</v>
      </c>
      <c r="C3249" s="25" t="s">
        <v>8239</v>
      </c>
      <c r="D3249" s="25" t="s">
        <v>2087</v>
      </c>
      <c r="E3249" s="26" t="b">
        <v>1</v>
      </c>
      <c r="F3249" s="27" t="str">
        <f>HYPERLINK("http://nsgreg.nga.mil/genc/view?v=212880&amp;end_month=12&amp;end_day=31&amp;end_year=2014","Tumbes")</f>
        <v>Tumbes</v>
      </c>
      <c r="G3249" s="28" t="str">
        <f>HYPERLINK("http://api.nsgreg.nga.mil/geo-division/GENC/6/ed3/PE-TUM","as:GENC:6:ed3:PE-TUM")</f>
        <v>as:GENC:6:ed3:PE-TUM</v>
      </c>
    </row>
    <row r="3250" spans="1:7" x14ac:dyDescent="0.2">
      <c r="A3250" s="86"/>
      <c r="B3250" s="29" t="s">
        <v>8241</v>
      </c>
      <c r="C3250" s="29" t="s">
        <v>8242</v>
      </c>
      <c r="D3250" s="29" t="s">
        <v>2087</v>
      </c>
      <c r="E3250" s="30" t="b">
        <v>1</v>
      </c>
      <c r="F3250" s="31" t="str">
        <f>HYPERLINK("http://nsgreg.nga.mil/genc/view?v=212881&amp;end_month=12&amp;end_day=31&amp;end_year=2014","Ucayali")</f>
        <v>Ucayali</v>
      </c>
      <c r="G3250" s="32" t="str">
        <f>HYPERLINK("http://api.nsgreg.nga.mil/geo-division/GENC/6/ed3/PE-UCA","as:GENC:6:ed3:PE-UCA")</f>
        <v>as:GENC:6:ed3:PE-UCA</v>
      </c>
    </row>
    <row r="3251" spans="1:7" x14ac:dyDescent="0.2">
      <c r="A3251" s="84" t="str">
        <f>HYPERLINK("[#]Codes_for_GE_Names!A204:I204","PHILIPPINES")</f>
        <v>PHILIPPINES</v>
      </c>
      <c r="B3251" s="33" t="s">
        <v>8247</v>
      </c>
      <c r="C3251" s="33" t="s">
        <v>8248</v>
      </c>
      <c r="D3251" s="33" t="s">
        <v>1719</v>
      </c>
      <c r="E3251" s="34" t="b">
        <v>1</v>
      </c>
      <c r="F3251" s="35" t="str">
        <f>HYPERLINK("http://nsgreg.nga.mil/genc/view?v=212918&amp;end_month=12&amp;end_day=31&amp;end_year=2014","Abra")</f>
        <v>Abra</v>
      </c>
      <c r="G3251" s="36" t="str">
        <f>HYPERLINK("http://api.nsgreg.nga.mil/geo-division/GENC/6/ed3/PH-ABR","as:GENC:6:ed3:PH-ABR")</f>
        <v>as:GENC:6:ed3:PH-ABR</v>
      </c>
    </row>
    <row r="3252" spans="1:7" x14ac:dyDescent="0.2">
      <c r="A3252" s="85"/>
      <c r="B3252" s="25" t="s">
        <v>8249</v>
      </c>
      <c r="C3252" s="25" t="s">
        <v>8250</v>
      </c>
      <c r="D3252" s="25" t="s">
        <v>1719</v>
      </c>
      <c r="E3252" s="26" t="b">
        <v>1</v>
      </c>
      <c r="F3252" s="27" t="str">
        <f>HYPERLINK("http://nsgreg.nga.mil/genc/view?v=212919&amp;end_month=12&amp;end_day=31&amp;end_year=2014","Agusan del Norte")</f>
        <v>Agusan del Norte</v>
      </c>
      <c r="G3252" s="28" t="str">
        <f>HYPERLINK("http://api.nsgreg.nga.mil/geo-division/GENC/6/ed3/PH-AGN","as:GENC:6:ed3:PH-AGN")</f>
        <v>as:GENC:6:ed3:PH-AGN</v>
      </c>
    </row>
    <row r="3253" spans="1:7" x14ac:dyDescent="0.2">
      <c r="A3253" s="85"/>
      <c r="B3253" s="25" t="s">
        <v>8251</v>
      </c>
      <c r="C3253" s="25" t="s">
        <v>8252</v>
      </c>
      <c r="D3253" s="25" t="s">
        <v>1719</v>
      </c>
      <c r="E3253" s="26" t="b">
        <v>1</v>
      </c>
      <c r="F3253" s="27" t="str">
        <f>HYPERLINK("http://nsgreg.nga.mil/genc/view?v=212920&amp;end_month=12&amp;end_day=31&amp;end_year=2014","Agusan del Sur")</f>
        <v>Agusan del Sur</v>
      </c>
      <c r="G3253" s="28" t="str">
        <f>HYPERLINK("http://api.nsgreg.nga.mil/geo-division/GENC/6/ed3/PH-AGS","as:GENC:6:ed3:PH-AGS")</f>
        <v>as:GENC:6:ed3:PH-AGS</v>
      </c>
    </row>
    <row r="3254" spans="1:7" x14ac:dyDescent="0.2">
      <c r="A3254" s="85"/>
      <c r="B3254" s="25" t="s">
        <v>8253</v>
      </c>
      <c r="C3254" s="25" t="s">
        <v>8254</v>
      </c>
      <c r="D3254" s="25" t="s">
        <v>1719</v>
      </c>
      <c r="E3254" s="26" t="b">
        <v>1</v>
      </c>
      <c r="F3254" s="27" t="str">
        <f>HYPERLINK("http://nsgreg.nga.mil/genc/view?v=212921&amp;end_month=12&amp;end_day=31&amp;end_year=2014","Aklan")</f>
        <v>Aklan</v>
      </c>
      <c r="G3254" s="28" t="str">
        <f>HYPERLINK("http://api.nsgreg.nga.mil/geo-division/GENC/6/ed3/PH-AKL","as:GENC:6:ed3:PH-AKL")</f>
        <v>as:GENC:6:ed3:PH-AKL</v>
      </c>
    </row>
    <row r="3255" spans="1:7" x14ac:dyDescent="0.2">
      <c r="A3255" s="85"/>
      <c r="B3255" s="25" t="s">
        <v>8255</v>
      </c>
      <c r="C3255" s="25" t="s">
        <v>8256</v>
      </c>
      <c r="D3255" s="25" t="s">
        <v>1719</v>
      </c>
      <c r="E3255" s="26" t="b">
        <v>1</v>
      </c>
      <c r="F3255" s="27" t="str">
        <f>HYPERLINK("http://nsgreg.nga.mil/genc/view?v=212922&amp;end_month=12&amp;end_day=31&amp;end_year=2014","Albay")</f>
        <v>Albay</v>
      </c>
      <c r="G3255" s="28" t="str">
        <f>HYPERLINK("http://api.nsgreg.nga.mil/geo-division/GENC/6/ed3/PH-ALB","as:GENC:6:ed3:PH-ALB")</f>
        <v>as:GENC:6:ed3:PH-ALB</v>
      </c>
    </row>
    <row r="3256" spans="1:7" x14ac:dyDescent="0.2">
      <c r="A3256" s="85"/>
      <c r="B3256" s="25" t="s">
        <v>13121</v>
      </c>
      <c r="C3256" s="25" t="s">
        <v>13122</v>
      </c>
      <c r="D3256" s="25" t="s">
        <v>13123</v>
      </c>
      <c r="E3256" s="26" t="b">
        <v>1</v>
      </c>
      <c r="F3256" s="27" t="str">
        <f>HYPERLINK("http://nsgreg.nga.mil/genc/view?v=212923&amp;end_month=12&amp;end_day=31&amp;end_year=2014","Angeles")</f>
        <v>Angeles</v>
      </c>
      <c r="G3256" s="28" t="str">
        <f>HYPERLINK("http://api.nsgreg.nga.mil/geo-division/GENC/6/ed3/PH-ANG","as:GENC:6:ed3:PH-ANG")</f>
        <v>as:GENC:6:ed3:PH-ANG</v>
      </c>
    </row>
    <row r="3257" spans="1:7" x14ac:dyDescent="0.2">
      <c r="A3257" s="85"/>
      <c r="B3257" s="25" t="s">
        <v>13124</v>
      </c>
      <c r="C3257" s="25" t="s">
        <v>13125</v>
      </c>
      <c r="D3257" s="25" t="s">
        <v>13126</v>
      </c>
      <c r="E3257" s="26" t="b">
        <v>1</v>
      </c>
      <c r="F3257" s="27" t="str">
        <f>HYPERLINK("http://nsgreg.nga.mil/genc/view?v=212926&amp;end_month=12&amp;end_day=31&amp;end_year=2014","Antipolo")</f>
        <v>Antipolo</v>
      </c>
      <c r="G3257" s="28" t="str">
        <f>HYPERLINK("http://api.nsgreg.nga.mil/geo-division/GENC/6/ed3/PH-ATP","as:GENC:6:ed3:PH-ATP")</f>
        <v>as:GENC:6:ed3:PH-ATP</v>
      </c>
    </row>
    <row r="3258" spans="1:7" x14ac:dyDescent="0.2">
      <c r="A3258" s="85"/>
      <c r="B3258" s="25" t="s">
        <v>8257</v>
      </c>
      <c r="C3258" s="25" t="s">
        <v>8259</v>
      </c>
      <c r="D3258" s="25" t="s">
        <v>1719</v>
      </c>
      <c r="E3258" s="26" t="b">
        <v>1</v>
      </c>
      <c r="F3258" s="27" t="str">
        <f>HYPERLINK("http://nsgreg.nga.mil/genc/view?v=212924&amp;end_month=12&amp;end_day=31&amp;end_year=2014","Antique")</f>
        <v>Antique</v>
      </c>
      <c r="G3258" s="28" t="str">
        <f>HYPERLINK("http://api.nsgreg.nga.mil/geo-division/GENC/6/ed3/PH-ANT","as:GENC:6:ed3:PH-ANT")</f>
        <v>as:GENC:6:ed3:PH-ANT</v>
      </c>
    </row>
    <row r="3259" spans="1:7" x14ac:dyDescent="0.2">
      <c r="A3259" s="85"/>
      <c r="B3259" s="25" t="s">
        <v>8260</v>
      </c>
      <c r="C3259" s="25" t="s">
        <v>8261</v>
      </c>
      <c r="D3259" s="25" t="s">
        <v>1719</v>
      </c>
      <c r="E3259" s="26" t="b">
        <v>1</v>
      </c>
      <c r="F3259" s="27" t="str">
        <f>HYPERLINK("http://nsgreg.nga.mil/genc/view?v=212925&amp;end_month=12&amp;end_day=31&amp;end_year=2014","Apayao")</f>
        <v>Apayao</v>
      </c>
      <c r="G3259" s="28" t="str">
        <f>HYPERLINK("http://api.nsgreg.nga.mil/geo-division/GENC/6/ed3/PH-APA","as:GENC:6:ed3:PH-APA")</f>
        <v>as:GENC:6:ed3:PH-APA</v>
      </c>
    </row>
    <row r="3260" spans="1:7" x14ac:dyDescent="0.2">
      <c r="A3260" s="85"/>
      <c r="B3260" s="25" t="s">
        <v>8263</v>
      </c>
      <c r="C3260" s="25" t="s">
        <v>8264</v>
      </c>
      <c r="D3260" s="25" t="s">
        <v>1719</v>
      </c>
      <c r="E3260" s="26" t="b">
        <v>1</v>
      </c>
      <c r="F3260" s="27" t="str">
        <f>HYPERLINK("http://nsgreg.nga.mil/genc/view?v=212927&amp;end_month=12&amp;end_day=31&amp;end_year=2014","Aurora")</f>
        <v>Aurora</v>
      </c>
      <c r="G3260" s="28" t="str">
        <f>HYPERLINK("http://api.nsgreg.nga.mil/geo-division/GENC/6/ed3/PH-AUR","as:GENC:6:ed3:PH-AUR")</f>
        <v>as:GENC:6:ed3:PH-AUR</v>
      </c>
    </row>
    <row r="3261" spans="1:7" x14ac:dyDescent="0.2">
      <c r="A3261" s="85"/>
      <c r="B3261" s="25" t="s">
        <v>8265</v>
      </c>
      <c r="C3261" s="25" t="s">
        <v>8266</v>
      </c>
      <c r="D3261" s="37" t="s">
        <v>2087</v>
      </c>
      <c r="E3261" s="38" t="b">
        <v>0</v>
      </c>
      <c r="F3261" s="27" t="str">
        <f>HYPERLINK("http://nsgreg.nga.mil/genc/view?v=212914&amp;end_month=12&amp;end_day=31&amp;end_year=2014","Autonomous Region in Muslim Mindanao (ARMM)")</f>
        <v>Autonomous Region in Muslim Mindanao (ARMM)</v>
      </c>
      <c r="G3261" s="28" t="str">
        <f>HYPERLINK("http://api.nsgreg.nga.mil/geo-division/GENC/6/ed3/PH-14","as:GENC:6:ed3:PH-14")</f>
        <v>as:GENC:6:ed3:PH-14</v>
      </c>
    </row>
    <row r="3262" spans="1:7" x14ac:dyDescent="0.2">
      <c r="A3262" s="85"/>
      <c r="B3262" s="25" t="s">
        <v>13127</v>
      </c>
      <c r="C3262" s="25" t="s">
        <v>13128</v>
      </c>
      <c r="D3262" s="25" t="s">
        <v>13123</v>
      </c>
      <c r="E3262" s="26" t="b">
        <v>1</v>
      </c>
      <c r="F3262" s="27" t="str">
        <f>HYPERLINK("http://nsgreg.nga.mil/genc/view?v=212928&amp;end_month=12&amp;end_day=31&amp;end_year=2014","Bacolod")</f>
        <v>Bacolod</v>
      </c>
      <c r="G3262" s="28" t="str">
        <f>HYPERLINK("http://api.nsgreg.nga.mil/geo-division/GENC/6/ed3/PH-BAC","as:GENC:6:ed3:PH-BAC")</f>
        <v>as:GENC:6:ed3:PH-BAC</v>
      </c>
    </row>
    <row r="3263" spans="1:7" x14ac:dyDescent="0.2">
      <c r="A3263" s="85"/>
      <c r="B3263" s="25" t="s">
        <v>13129</v>
      </c>
      <c r="C3263" s="25" t="s">
        <v>13130</v>
      </c>
      <c r="D3263" s="25" t="s">
        <v>13123</v>
      </c>
      <c r="E3263" s="26" t="b">
        <v>1</v>
      </c>
      <c r="F3263" s="27" t="str">
        <f>HYPERLINK("http://nsgreg.nga.mil/genc/view?v=212929&amp;end_month=12&amp;end_day=31&amp;end_year=2014","Baguio")</f>
        <v>Baguio</v>
      </c>
      <c r="G3263" s="28" t="str">
        <f>HYPERLINK("http://api.nsgreg.nga.mil/geo-division/GENC/6/ed3/PH-BAG","as:GENC:6:ed3:PH-BAG")</f>
        <v>as:GENC:6:ed3:PH-BAG</v>
      </c>
    </row>
    <row r="3264" spans="1:7" x14ac:dyDescent="0.2">
      <c r="A3264" s="85"/>
      <c r="B3264" s="25" t="s">
        <v>8267</v>
      </c>
      <c r="C3264" s="25" t="s">
        <v>8268</v>
      </c>
      <c r="D3264" s="25" t="s">
        <v>1719</v>
      </c>
      <c r="E3264" s="26" t="b">
        <v>1</v>
      </c>
      <c r="F3264" s="27" t="str">
        <f>HYPERLINK("http://nsgreg.nga.mil/genc/view?v=212931&amp;end_month=12&amp;end_day=31&amp;end_year=2014","Basilan")</f>
        <v>Basilan</v>
      </c>
      <c r="G3264" s="28" t="str">
        <f>HYPERLINK("http://api.nsgreg.nga.mil/geo-division/GENC/6/ed3/PH-BAS","as:GENC:6:ed3:PH-BAS")</f>
        <v>as:GENC:6:ed3:PH-BAS</v>
      </c>
    </row>
    <row r="3265" spans="1:7" x14ac:dyDescent="0.2">
      <c r="A3265" s="85"/>
      <c r="B3265" s="25" t="s">
        <v>8269</v>
      </c>
      <c r="C3265" s="25" t="s">
        <v>8270</v>
      </c>
      <c r="D3265" s="25" t="s">
        <v>1719</v>
      </c>
      <c r="E3265" s="26" t="b">
        <v>1</v>
      </c>
      <c r="F3265" s="27" t="str">
        <f>HYPERLINK("http://nsgreg.nga.mil/genc/view?v=212930&amp;end_month=12&amp;end_day=31&amp;end_year=2014","Bataan")</f>
        <v>Bataan</v>
      </c>
      <c r="G3265" s="28" t="str">
        <f>HYPERLINK("http://api.nsgreg.nga.mil/geo-division/GENC/6/ed3/PH-BAN","as:GENC:6:ed3:PH-BAN")</f>
        <v>as:GENC:6:ed3:PH-BAN</v>
      </c>
    </row>
    <row r="3266" spans="1:7" x14ac:dyDescent="0.2">
      <c r="A3266" s="85"/>
      <c r="B3266" s="25" t="s">
        <v>8271</v>
      </c>
      <c r="C3266" s="25" t="s">
        <v>8272</v>
      </c>
      <c r="D3266" s="25" t="s">
        <v>1719</v>
      </c>
      <c r="E3266" s="26" t="b">
        <v>1</v>
      </c>
      <c r="F3266" s="27" t="str">
        <f>HYPERLINK("http://nsgreg.nga.mil/genc/view?v=212936&amp;end_month=12&amp;end_day=31&amp;end_year=2014","Batanes")</f>
        <v>Batanes</v>
      </c>
      <c r="G3266" s="28" t="str">
        <f>HYPERLINK("http://api.nsgreg.nga.mil/geo-division/GENC/6/ed3/PH-BTN","as:GENC:6:ed3:PH-BTN")</f>
        <v>as:GENC:6:ed3:PH-BTN</v>
      </c>
    </row>
    <row r="3267" spans="1:7" x14ac:dyDescent="0.2">
      <c r="A3267" s="85"/>
      <c r="B3267" s="25" t="s">
        <v>8273</v>
      </c>
      <c r="C3267" s="25" t="s">
        <v>8274</v>
      </c>
      <c r="D3267" s="25" t="s">
        <v>1719</v>
      </c>
      <c r="E3267" s="26" t="b">
        <v>1</v>
      </c>
      <c r="F3267" s="27" t="str">
        <f>HYPERLINK("http://nsgreg.nga.mil/genc/view?v=212935&amp;end_month=12&amp;end_day=31&amp;end_year=2014","Batangas")</f>
        <v>Batangas</v>
      </c>
      <c r="G3267" s="28" t="str">
        <f>HYPERLINK("http://api.nsgreg.nga.mil/geo-division/GENC/6/ed3/PH-BTG","as:GENC:6:ed3:PH-BTG")</f>
        <v>as:GENC:6:ed3:PH-BTG</v>
      </c>
    </row>
    <row r="3268" spans="1:7" x14ac:dyDescent="0.2">
      <c r="A3268" s="85"/>
      <c r="B3268" s="25" t="s">
        <v>8275</v>
      </c>
      <c r="C3268" s="25" t="s">
        <v>8277</v>
      </c>
      <c r="D3268" s="25" t="s">
        <v>1719</v>
      </c>
      <c r="E3268" s="26" t="b">
        <v>1</v>
      </c>
      <c r="F3268" s="27" t="str">
        <f>HYPERLINK("http://nsgreg.nga.mil/genc/view?v=212932&amp;end_month=12&amp;end_day=31&amp;end_year=2014","Benguet")</f>
        <v>Benguet</v>
      </c>
      <c r="G3268" s="28" t="str">
        <f>HYPERLINK("http://api.nsgreg.nga.mil/geo-division/GENC/6/ed3/PH-BEN","as:GENC:6:ed3:PH-BEN")</f>
        <v>as:GENC:6:ed3:PH-BEN</v>
      </c>
    </row>
    <row r="3269" spans="1:7" x14ac:dyDescent="0.2">
      <c r="A3269" s="85"/>
      <c r="B3269" s="25" t="s">
        <v>8278</v>
      </c>
      <c r="C3269" s="25" t="s">
        <v>13131</v>
      </c>
      <c r="D3269" s="37" t="s">
        <v>2087</v>
      </c>
      <c r="E3269" s="38" t="b">
        <v>0</v>
      </c>
      <c r="F3269" s="27" t="str">
        <f>HYPERLINK("http://nsgreg.nga.mil/genc/view?v=212905&amp;end_month=12&amp;end_day=31&amp;end_year=2014","Bicol Region")</f>
        <v>Bicol Region</v>
      </c>
      <c r="G3269" s="28" t="str">
        <f>HYPERLINK("http://api.nsgreg.nga.mil/geo-division/GENC/6/ed3/PH-05","as:GENC:6:ed3:PH-05")</f>
        <v>as:GENC:6:ed3:PH-05</v>
      </c>
    </row>
    <row r="3270" spans="1:7" x14ac:dyDescent="0.2">
      <c r="A3270" s="85"/>
      <c r="B3270" s="25" t="s">
        <v>8280</v>
      </c>
      <c r="C3270" s="25" t="s">
        <v>8281</v>
      </c>
      <c r="D3270" s="25" t="s">
        <v>1719</v>
      </c>
      <c r="E3270" s="26" t="b">
        <v>1</v>
      </c>
      <c r="F3270" s="27" t="str">
        <f>HYPERLINK("http://nsgreg.nga.mil/genc/view?v=212933&amp;end_month=12&amp;end_day=31&amp;end_year=2014","Biliran")</f>
        <v>Biliran</v>
      </c>
      <c r="G3270" s="28" t="str">
        <f>HYPERLINK("http://api.nsgreg.nga.mil/geo-division/GENC/6/ed3/PH-BIL","as:GENC:6:ed3:PH-BIL")</f>
        <v>as:GENC:6:ed3:PH-BIL</v>
      </c>
    </row>
    <row r="3271" spans="1:7" x14ac:dyDescent="0.2">
      <c r="A3271" s="85"/>
      <c r="B3271" s="25" t="s">
        <v>8282</v>
      </c>
      <c r="C3271" s="25" t="s">
        <v>8283</v>
      </c>
      <c r="D3271" s="25" t="s">
        <v>1719</v>
      </c>
      <c r="E3271" s="26" t="b">
        <v>1</v>
      </c>
      <c r="F3271" s="27" t="str">
        <f>HYPERLINK("http://nsgreg.nga.mil/genc/view?v=212934&amp;end_month=12&amp;end_day=31&amp;end_year=2014","Bohol")</f>
        <v>Bohol</v>
      </c>
      <c r="G3271" s="28" t="str">
        <f>HYPERLINK("http://api.nsgreg.nga.mil/geo-division/GENC/6/ed3/PH-BOH","as:GENC:6:ed3:PH-BOH")</f>
        <v>as:GENC:6:ed3:PH-BOH</v>
      </c>
    </row>
    <row r="3272" spans="1:7" x14ac:dyDescent="0.2">
      <c r="A3272" s="85"/>
      <c r="B3272" s="25" t="s">
        <v>8284</v>
      </c>
      <c r="C3272" s="25" t="s">
        <v>8285</v>
      </c>
      <c r="D3272" s="25" t="s">
        <v>1719</v>
      </c>
      <c r="E3272" s="26" t="b">
        <v>1</v>
      </c>
      <c r="F3272" s="27" t="str">
        <f>HYPERLINK("http://nsgreg.nga.mil/genc/view?v=212937&amp;end_month=12&amp;end_day=31&amp;end_year=2014","Bukidnon")</f>
        <v>Bukidnon</v>
      </c>
      <c r="G3272" s="28" t="str">
        <f>HYPERLINK("http://api.nsgreg.nga.mil/geo-division/GENC/6/ed3/PH-BUK","as:GENC:6:ed3:PH-BUK")</f>
        <v>as:GENC:6:ed3:PH-BUK</v>
      </c>
    </row>
    <row r="3273" spans="1:7" x14ac:dyDescent="0.2">
      <c r="A3273" s="85"/>
      <c r="B3273" s="25" t="s">
        <v>8286</v>
      </c>
      <c r="C3273" s="25" t="s">
        <v>8287</v>
      </c>
      <c r="D3273" s="25" t="s">
        <v>1719</v>
      </c>
      <c r="E3273" s="26" t="b">
        <v>1</v>
      </c>
      <c r="F3273" s="27" t="str">
        <f>HYPERLINK("http://nsgreg.nga.mil/genc/view?v=212938&amp;end_month=12&amp;end_day=31&amp;end_year=2014","Bulacan")</f>
        <v>Bulacan</v>
      </c>
      <c r="G3273" s="28" t="str">
        <f>HYPERLINK("http://api.nsgreg.nga.mil/geo-division/GENC/6/ed3/PH-BUL","as:GENC:6:ed3:PH-BUL")</f>
        <v>as:GENC:6:ed3:PH-BUL</v>
      </c>
    </row>
    <row r="3274" spans="1:7" x14ac:dyDescent="0.2">
      <c r="A3274" s="85"/>
      <c r="B3274" s="25" t="s">
        <v>13132</v>
      </c>
      <c r="C3274" s="25" t="s">
        <v>13133</v>
      </c>
      <c r="D3274" s="25" t="s">
        <v>13123</v>
      </c>
      <c r="E3274" s="26" t="b">
        <v>1</v>
      </c>
      <c r="F3274" s="27" t="str">
        <f>HYPERLINK("http://nsgreg.nga.mil/genc/view?v=212939&amp;end_month=12&amp;end_day=31&amp;end_year=2014","Butuan")</f>
        <v>Butuan</v>
      </c>
      <c r="G3274" s="28" t="str">
        <f>HYPERLINK("http://api.nsgreg.nga.mil/geo-division/GENC/6/ed3/PH-BUT","as:GENC:6:ed3:PH-BUT")</f>
        <v>as:GENC:6:ed3:PH-BUT</v>
      </c>
    </row>
    <row r="3275" spans="1:7" x14ac:dyDescent="0.2">
      <c r="A3275" s="85"/>
      <c r="B3275" s="25" t="s">
        <v>8291</v>
      </c>
      <c r="C3275" s="25" t="s">
        <v>8292</v>
      </c>
      <c r="D3275" s="25" t="s">
        <v>1719</v>
      </c>
      <c r="E3275" s="26" t="b">
        <v>1</v>
      </c>
      <c r="F3275" s="27" t="str">
        <f>HYPERLINK("http://nsgreg.nga.mil/genc/view?v=212940&amp;end_month=12&amp;end_day=31&amp;end_year=2014","Cagayan")</f>
        <v>Cagayan</v>
      </c>
      <c r="G3275" s="28" t="str">
        <f>HYPERLINK("http://api.nsgreg.nga.mil/geo-division/GENC/6/ed3/PH-CAG","as:GENC:6:ed3:PH-CAG")</f>
        <v>as:GENC:6:ed3:PH-CAG</v>
      </c>
    </row>
    <row r="3276" spans="1:7" x14ac:dyDescent="0.2">
      <c r="A3276" s="85"/>
      <c r="B3276" s="25" t="s">
        <v>13134</v>
      </c>
      <c r="C3276" s="25" t="s">
        <v>13135</v>
      </c>
      <c r="D3276" s="25" t="s">
        <v>13123</v>
      </c>
      <c r="E3276" s="26" t="b">
        <v>1</v>
      </c>
      <c r="F3276" s="27" t="str">
        <f>HYPERLINK("http://nsgreg.nga.mil/genc/view?v=212950&amp;end_month=12&amp;end_day=31&amp;end_year=2014","Cagayan de Oro")</f>
        <v>Cagayan de Oro</v>
      </c>
      <c r="G3276" s="28" t="str">
        <f>HYPERLINK("http://api.nsgreg.nga.mil/geo-division/GENC/6/ed3/PH-CGO","as:GENC:6:ed3:PH-CGO")</f>
        <v>as:GENC:6:ed3:PH-CGO</v>
      </c>
    </row>
    <row r="3277" spans="1:7" x14ac:dyDescent="0.2">
      <c r="A3277" s="85"/>
      <c r="B3277" s="25" t="s">
        <v>8293</v>
      </c>
      <c r="C3277" s="25" t="s">
        <v>13136</v>
      </c>
      <c r="D3277" s="37" t="s">
        <v>2087</v>
      </c>
      <c r="E3277" s="38" t="b">
        <v>0</v>
      </c>
      <c r="F3277" s="27" t="str">
        <f>HYPERLINK("http://nsgreg.nga.mil/genc/view?v=212903&amp;end_month=12&amp;end_day=31&amp;end_year=2014","Cagayan Valley")</f>
        <v>Cagayan Valley</v>
      </c>
      <c r="G3277" s="28" t="str">
        <f>HYPERLINK("http://api.nsgreg.nga.mil/geo-division/GENC/6/ed3/PH-02","as:GENC:6:ed3:PH-02")</f>
        <v>as:GENC:6:ed3:PH-02</v>
      </c>
    </row>
    <row r="3278" spans="1:7" x14ac:dyDescent="0.2">
      <c r="A3278" s="85"/>
      <c r="B3278" s="25" t="s">
        <v>8289</v>
      </c>
      <c r="C3278" s="25" t="s">
        <v>13137</v>
      </c>
      <c r="D3278" s="37" t="s">
        <v>2087</v>
      </c>
      <c r="E3278" s="38" t="b">
        <v>0</v>
      </c>
      <c r="F3278" s="27" t="str">
        <f>HYPERLINK("http://nsgreg.nga.mil/genc/view?v=212916&amp;end_month=12&amp;end_day=31&amp;end_year=2014","CALABARZON")</f>
        <v>CALABARZON</v>
      </c>
      <c r="G3278" s="28" t="str">
        <f>HYPERLINK("http://api.nsgreg.nga.mil/geo-division/GENC/6/ed3/PH-40","as:GENC:6:ed3:PH-40")</f>
        <v>as:GENC:6:ed3:PH-40</v>
      </c>
    </row>
    <row r="3279" spans="1:7" x14ac:dyDescent="0.2">
      <c r="A3279" s="85"/>
      <c r="B3279" s="25" t="s">
        <v>13138</v>
      </c>
      <c r="C3279" s="25" t="s">
        <v>13139</v>
      </c>
      <c r="D3279" s="25" t="s">
        <v>13123</v>
      </c>
      <c r="E3279" s="26" t="b">
        <v>1</v>
      </c>
      <c r="F3279" s="27" t="str">
        <f>HYPERLINK("http://nsgreg.nga.mil/genc/view?v=212941&amp;end_month=12&amp;end_day=31&amp;end_year=2014","Caloocan")</f>
        <v>Caloocan</v>
      </c>
      <c r="G3279" s="28" t="str">
        <f>HYPERLINK("http://api.nsgreg.nga.mil/geo-division/GENC/6/ed3/PH-CAL","as:GENC:6:ed3:PH-CAL")</f>
        <v>as:GENC:6:ed3:PH-CAL</v>
      </c>
    </row>
    <row r="3280" spans="1:7" x14ac:dyDescent="0.2">
      <c r="A3280" s="85"/>
      <c r="B3280" s="25" t="s">
        <v>8295</v>
      </c>
      <c r="C3280" s="25" t="s">
        <v>8296</v>
      </c>
      <c r="D3280" s="25" t="s">
        <v>1719</v>
      </c>
      <c r="E3280" s="26" t="b">
        <v>1</v>
      </c>
      <c r="F3280" s="27" t="str">
        <f>HYPERLINK("http://nsgreg.nga.mil/genc/view?v=212943&amp;end_month=12&amp;end_day=31&amp;end_year=2014","Camarines Norte")</f>
        <v>Camarines Norte</v>
      </c>
      <c r="G3280" s="28" t="str">
        <f>HYPERLINK("http://api.nsgreg.nga.mil/geo-division/GENC/6/ed3/PH-CAN","as:GENC:6:ed3:PH-CAN")</f>
        <v>as:GENC:6:ed3:PH-CAN</v>
      </c>
    </row>
    <row r="3281" spans="1:7" x14ac:dyDescent="0.2">
      <c r="A3281" s="85"/>
      <c r="B3281" s="25" t="s">
        <v>8297</v>
      </c>
      <c r="C3281" s="25" t="s">
        <v>8298</v>
      </c>
      <c r="D3281" s="25" t="s">
        <v>1719</v>
      </c>
      <c r="E3281" s="26" t="b">
        <v>1</v>
      </c>
      <c r="F3281" s="27" t="str">
        <f>HYPERLINK("http://nsgreg.nga.mil/genc/view?v=212945&amp;end_month=12&amp;end_day=31&amp;end_year=2014","Camarines Sur")</f>
        <v>Camarines Sur</v>
      </c>
      <c r="G3281" s="28" t="str">
        <f>HYPERLINK("http://api.nsgreg.nga.mil/geo-division/GENC/6/ed3/PH-CAS","as:GENC:6:ed3:PH-CAS")</f>
        <v>as:GENC:6:ed3:PH-CAS</v>
      </c>
    </row>
    <row r="3282" spans="1:7" x14ac:dyDescent="0.2">
      <c r="A3282" s="85"/>
      <c r="B3282" s="25" t="s">
        <v>8299</v>
      </c>
      <c r="C3282" s="25" t="s">
        <v>8300</v>
      </c>
      <c r="D3282" s="25" t="s">
        <v>1719</v>
      </c>
      <c r="E3282" s="26" t="b">
        <v>1</v>
      </c>
      <c r="F3282" s="27" t="str">
        <f>HYPERLINK("http://nsgreg.nga.mil/genc/view?v=212942&amp;end_month=12&amp;end_day=31&amp;end_year=2014","Camiguin")</f>
        <v>Camiguin</v>
      </c>
      <c r="G3282" s="28" t="str">
        <f>HYPERLINK("http://api.nsgreg.nga.mil/geo-division/GENC/6/ed3/PH-CAM","as:GENC:6:ed3:PH-CAM")</f>
        <v>as:GENC:6:ed3:PH-CAM</v>
      </c>
    </row>
    <row r="3283" spans="1:7" x14ac:dyDescent="0.2">
      <c r="A3283" s="85"/>
      <c r="B3283" s="25" t="s">
        <v>8301</v>
      </c>
      <c r="C3283" s="25" t="s">
        <v>8302</v>
      </c>
      <c r="D3283" s="25" t="s">
        <v>1719</v>
      </c>
      <c r="E3283" s="26" t="b">
        <v>1</v>
      </c>
      <c r="F3283" s="27" t="str">
        <f>HYPERLINK("http://nsgreg.nga.mil/genc/view?v=212944&amp;end_month=12&amp;end_day=31&amp;end_year=2014","Capiz")</f>
        <v>Capiz</v>
      </c>
      <c r="G3283" s="28" t="str">
        <f>HYPERLINK("http://api.nsgreg.nga.mil/geo-division/GENC/6/ed3/PH-CAP","as:GENC:6:ed3:PH-CAP")</f>
        <v>as:GENC:6:ed3:PH-CAP</v>
      </c>
    </row>
    <row r="3284" spans="1:7" x14ac:dyDescent="0.2">
      <c r="A3284" s="85"/>
      <c r="B3284" s="25" t="s">
        <v>8303</v>
      </c>
      <c r="C3284" s="25" t="s">
        <v>13140</v>
      </c>
      <c r="D3284" s="37" t="s">
        <v>2087</v>
      </c>
      <c r="E3284" s="38" t="b">
        <v>0</v>
      </c>
      <c r="F3284" s="27" t="str">
        <f>HYPERLINK("http://nsgreg.nga.mil/genc/view?v=212913&amp;end_month=12&amp;end_day=31&amp;end_year=2014","CARAGA Region")</f>
        <v>CARAGA Region</v>
      </c>
      <c r="G3284" s="28" t="str">
        <f>HYPERLINK("http://api.nsgreg.nga.mil/geo-division/GENC/6/ed3/PH-13","as:GENC:6:ed3:PH-13")</f>
        <v>as:GENC:6:ed3:PH-13</v>
      </c>
    </row>
    <row r="3285" spans="1:7" x14ac:dyDescent="0.2">
      <c r="A3285" s="85"/>
      <c r="B3285" s="25" t="s">
        <v>8305</v>
      </c>
      <c r="C3285" s="25" t="s">
        <v>8306</v>
      </c>
      <c r="D3285" s="25" t="s">
        <v>1719</v>
      </c>
      <c r="E3285" s="26" t="b">
        <v>1</v>
      </c>
      <c r="F3285" s="27" t="str">
        <f>HYPERLINK("http://nsgreg.nga.mil/genc/view?v=212946&amp;end_month=12&amp;end_day=31&amp;end_year=2014","Catanduanes")</f>
        <v>Catanduanes</v>
      </c>
      <c r="G3285" s="28" t="str">
        <f>HYPERLINK("http://api.nsgreg.nga.mil/geo-division/GENC/6/ed3/PH-CAT","as:GENC:6:ed3:PH-CAT")</f>
        <v>as:GENC:6:ed3:PH-CAT</v>
      </c>
    </row>
    <row r="3286" spans="1:7" x14ac:dyDescent="0.2">
      <c r="A3286" s="85"/>
      <c r="B3286" s="25" t="s">
        <v>8307</v>
      </c>
      <c r="C3286" s="25" t="s">
        <v>8308</v>
      </c>
      <c r="D3286" s="25" t="s">
        <v>1719</v>
      </c>
      <c r="E3286" s="26" t="b">
        <v>1</v>
      </c>
      <c r="F3286" s="27" t="str">
        <f>HYPERLINK("http://nsgreg.nga.mil/genc/view?v=212947&amp;end_month=12&amp;end_day=31&amp;end_year=2014","Cavite")</f>
        <v>Cavite</v>
      </c>
      <c r="G3286" s="28" t="str">
        <f>HYPERLINK("http://api.nsgreg.nga.mil/geo-division/GENC/6/ed3/PH-CAV","as:GENC:6:ed3:PH-CAV")</f>
        <v>as:GENC:6:ed3:PH-CAV</v>
      </c>
    </row>
    <row r="3287" spans="1:7" x14ac:dyDescent="0.2">
      <c r="A3287" s="85"/>
      <c r="B3287" s="25" t="s">
        <v>13141</v>
      </c>
      <c r="C3287" s="25" t="s">
        <v>8310</v>
      </c>
      <c r="D3287" s="25" t="s">
        <v>13123</v>
      </c>
      <c r="E3287" s="26" t="b">
        <v>1</v>
      </c>
      <c r="F3287" s="27" t="str">
        <f>HYPERLINK("http://nsgreg.nga.mil/genc/view?v=212948&amp;end_month=12&amp;end_day=31&amp;end_year=2014","Cebu")</f>
        <v>Cebu</v>
      </c>
      <c r="G3287" s="28" t="str">
        <f>HYPERLINK("http://api.nsgreg.nga.mil/geo-division/GENC/6/ed3/PH-CBU","as:GENC:6:ed3:PH-CBU")</f>
        <v>as:GENC:6:ed3:PH-CBU</v>
      </c>
    </row>
    <row r="3288" spans="1:7" x14ac:dyDescent="0.2">
      <c r="A3288" s="85"/>
      <c r="B3288" s="25" t="s">
        <v>8309</v>
      </c>
      <c r="C3288" s="25" t="s">
        <v>8310</v>
      </c>
      <c r="D3288" s="25" t="s">
        <v>1719</v>
      </c>
      <c r="E3288" s="26" t="b">
        <v>1</v>
      </c>
      <c r="F3288" s="27" t="str">
        <f>HYPERLINK("http://nsgreg.nga.mil/genc/view?v=212949&amp;end_month=12&amp;end_day=31&amp;end_year=2014","Cebu")</f>
        <v>Cebu</v>
      </c>
      <c r="G3288" s="28" t="str">
        <f>HYPERLINK("http://api.nsgreg.nga.mil/geo-division/GENC/6/ed3/PH-CEB","as:GENC:6:ed3:PH-CEB")</f>
        <v>as:GENC:6:ed3:PH-CEB</v>
      </c>
    </row>
    <row r="3289" spans="1:7" x14ac:dyDescent="0.2">
      <c r="A3289" s="85"/>
      <c r="B3289" s="25" t="s">
        <v>8311</v>
      </c>
      <c r="C3289" s="25" t="s">
        <v>13142</v>
      </c>
      <c r="D3289" s="37" t="s">
        <v>2087</v>
      </c>
      <c r="E3289" s="38" t="b">
        <v>0</v>
      </c>
      <c r="F3289" s="27" t="str">
        <f>HYPERLINK("http://nsgreg.nga.mil/genc/view?v=212904&amp;end_month=12&amp;end_day=31&amp;end_year=2014","Central Luzon")</f>
        <v>Central Luzon</v>
      </c>
      <c r="G3289" s="28" t="str">
        <f>HYPERLINK("http://api.nsgreg.nga.mil/geo-division/GENC/6/ed3/PH-03","as:GENC:6:ed3:PH-03")</f>
        <v>as:GENC:6:ed3:PH-03</v>
      </c>
    </row>
    <row r="3290" spans="1:7" x14ac:dyDescent="0.2">
      <c r="A3290" s="85"/>
      <c r="B3290" s="25" t="s">
        <v>8313</v>
      </c>
      <c r="C3290" s="25" t="s">
        <v>13143</v>
      </c>
      <c r="D3290" s="37" t="s">
        <v>2087</v>
      </c>
      <c r="E3290" s="38" t="b">
        <v>0</v>
      </c>
      <c r="F3290" s="27" t="str">
        <f>HYPERLINK("http://nsgreg.nga.mil/genc/view?v=212907&amp;end_month=12&amp;end_day=31&amp;end_year=2014","Central Visayas")</f>
        <v>Central Visayas</v>
      </c>
      <c r="G3290" s="28" t="str">
        <f>HYPERLINK("http://api.nsgreg.nga.mil/geo-division/GENC/6/ed3/PH-07","as:GENC:6:ed3:PH-07")</f>
        <v>as:GENC:6:ed3:PH-07</v>
      </c>
    </row>
    <row r="3291" spans="1:7" x14ac:dyDescent="0.2">
      <c r="A3291" s="85"/>
      <c r="B3291" s="25" t="s">
        <v>8315</v>
      </c>
      <c r="C3291" s="25" t="s">
        <v>8316</v>
      </c>
      <c r="D3291" s="25" t="s">
        <v>1719</v>
      </c>
      <c r="E3291" s="26" t="b">
        <v>1</v>
      </c>
      <c r="F3291" s="27" t="str">
        <f>HYPERLINK("http://nsgreg.nga.mil/genc/view?v=212951&amp;end_month=12&amp;end_day=31&amp;end_year=2014","Compostela Valley")</f>
        <v>Compostela Valley</v>
      </c>
      <c r="G3291" s="28" t="str">
        <f>HYPERLINK("http://api.nsgreg.nga.mil/geo-division/GENC/6/ed3/PH-COM","as:GENC:6:ed3:PH-COM")</f>
        <v>as:GENC:6:ed3:PH-COM</v>
      </c>
    </row>
    <row r="3292" spans="1:7" x14ac:dyDescent="0.2">
      <c r="A3292" s="85"/>
      <c r="B3292" s="25" t="s">
        <v>8317</v>
      </c>
      <c r="C3292" s="25" t="s">
        <v>13144</v>
      </c>
      <c r="D3292" s="37" t="s">
        <v>2087</v>
      </c>
      <c r="E3292" s="38" t="b">
        <v>0</v>
      </c>
      <c r="F3292" s="27" t="str">
        <f>HYPERLINK("http://nsgreg.nga.mil/genc/view?v=212915&amp;end_month=12&amp;end_day=31&amp;end_year=2014","Cordillera Administrative Region")</f>
        <v>Cordillera Administrative Region</v>
      </c>
      <c r="G3292" s="28" t="str">
        <f>HYPERLINK("http://api.nsgreg.nga.mil/geo-division/GENC/6/ed3/PH-15","as:GENC:6:ed3:PH-15")</f>
        <v>as:GENC:6:ed3:PH-15</v>
      </c>
    </row>
    <row r="3293" spans="1:7" x14ac:dyDescent="0.2">
      <c r="A3293" s="85"/>
      <c r="B3293" s="25" t="s">
        <v>13145</v>
      </c>
      <c r="C3293" s="25" t="s">
        <v>8320</v>
      </c>
      <c r="D3293" s="25" t="s">
        <v>13126</v>
      </c>
      <c r="E3293" s="26" t="b">
        <v>1</v>
      </c>
      <c r="F3293" s="27" t="str">
        <f>HYPERLINK("http://nsgreg.nga.mil/genc/view?v=212952&amp;end_month=12&amp;end_day=31&amp;end_year=2014","Cotabato")</f>
        <v>Cotabato</v>
      </c>
      <c r="G3293" s="28" t="str">
        <f>HYPERLINK("http://api.nsgreg.nga.mil/geo-division/GENC/6/ed3/PH-COT","as:GENC:6:ed3:PH-COT")</f>
        <v>as:GENC:6:ed3:PH-COT</v>
      </c>
    </row>
    <row r="3294" spans="1:7" x14ac:dyDescent="0.2">
      <c r="A3294" s="85"/>
      <c r="B3294" s="25" t="s">
        <v>8319</v>
      </c>
      <c r="C3294" s="25" t="s">
        <v>8320</v>
      </c>
      <c r="D3294" s="25" t="s">
        <v>1719</v>
      </c>
      <c r="E3294" s="26" t="b">
        <v>1</v>
      </c>
      <c r="F3294" s="27" t="str">
        <f>HYPERLINK("http://nsgreg.nga.mil/genc/view?v=212995&amp;end_month=12&amp;end_day=31&amp;end_year=2014","Cotabato")</f>
        <v>Cotabato</v>
      </c>
      <c r="G3294" s="28" t="str">
        <f>HYPERLINK("http://api.nsgreg.nga.mil/geo-division/GENC/6/ed3/PH-NCO","as:GENC:6:ed3:PH-NCO")</f>
        <v>as:GENC:6:ed3:PH-NCO</v>
      </c>
    </row>
    <row r="3295" spans="1:7" x14ac:dyDescent="0.2">
      <c r="A3295" s="85"/>
      <c r="B3295" s="25" t="s">
        <v>13146</v>
      </c>
      <c r="C3295" s="25" t="s">
        <v>13147</v>
      </c>
      <c r="D3295" s="25" t="s">
        <v>13126</v>
      </c>
      <c r="E3295" s="26" t="b">
        <v>1</v>
      </c>
      <c r="F3295" s="27" t="str">
        <f>HYPERLINK("http://nsgreg.nga.mil/genc/view?v=212953&amp;end_month=12&amp;end_day=31&amp;end_year=2014","Dagupan")</f>
        <v>Dagupan</v>
      </c>
      <c r="G3295" s="28" t="str">
        <f>HYPERLINK("http://api.nsgreg.nga.mil/geo-division/GENC/6/ed3/PH-DAG","as:GENC:6:ed3:PH-DAG")</f>
        <v>as:GENC:6:ed3:PH-DAG</v>
      </c>
    </row>
    <row r="3296" spans="1:7" x14ac:dyDescent="0.2">
      <c r="A3296" s="85"/>
      <c r="B3296" s="25" t="s">
        <v>13148</v>
      </c>
      <c r="C3296" s="25" t="s">
        <v>13149</v>
      </c>
      <c r="D3296" s="25" t="s">
        <v>13123</v>
      </c>
      <c r="E3296" s="26" t="b">
        <v>1</v>
      </c>
      <c r="F3296" s="27" t="str">
        <f>HYPERLINK("http://nsgreg.nga.mil/genc/view?v=212958&amp;end_month=12&amp;end_day=31&amp;end_year=2014","Davao")</f>
        <v>Davao</v>
      </c>
      <c r="G3296" s="28" t="str">
        <f>HYPERLINK("http://api.nsgreg.nga.mil/geo-division/GENC/6/ed3/PH-DVO","as:GENC:6:ed3:PH-DVO")</f>
        <v>as:GENC:6:ed3:PH-DVO</v>
      </c>
    </row>
    <row r="3297" spans="1:7" x14ac:dyDescent="0.2">
      <c r="A3297" s="85"/>
      <c r="B3297" s="25" t="s">
        <v>8321</v>
      </c>
      <c r="C3297" s="25" t="s">
        <v>13149</v>
      </c>
      <c r="D3297" s="37" t="s">
        <v>2087</v>
      </c>
      <c r="E3297" s="38" t="b">
        <v>0</v>
      </c>
      <c r="F3297" s="27" t="str">
        <f>HYPERLINK("http://nsgreg.nga.mil/genc/view?v=212911&amp;end_month=12&amp;end_day=31&amp;end_year=2014","Davao")</f>
        <v>Davao</v>
      </c>
      <c r="G3297" s="28" t="str">
        <f>HYPERLINK("http://api.nsgreg.nga.mil/geo-division/GENC/6/ed3/PH-11","as:GENC:6:ed3:PH-11")</f>
        <v>as:GENC:6:ed3:PH-11</v>
      </c>
    </row>
    <row r="3298" spans="1:7" x14ac:dyDescent="0.2">
      <c r="A3298" s="85"/>
      <c r="B3298" s="25" t="s">
        <v>8325</v>
      </c>
      <c r="C3298" s="25" t="s">
        <v>8326</v>
      </c>
      <c r="D3298" s="25" t="s">
        <v>1719</v>
      </c>
      <c r="E3298" s="26" t="b">
        <v>1</v>
      </c>
      <c r="F3298" s="27" t="str">
        <f>HYPERLINK("http://nsgreg.nga.mil/genc/view?v=212956&amp;end_month=12&amp;end_day=31&amp;end_year=2014","Davao del Norte")</f>
        <v>Davao del Norte</v>
      </c>
      <c r="G3298" s="28" t="str">
        <f>HYPERLINK("http://api.nsgreg.nga.mil/geo-division/GENC/6/ed3/PH-DAV","as:GENC:6:ed3:PH-DAV")</f>
        <v>as:GENC:6:ed3:PH-DAV</v>
      </c>
    </row>
    <row r="3299" spans="1:7" x14ac:dyDescent="0.2">
      <c r="A3299" s="85"/>
      <c r="B3299" s="25" t="s">
        <v>8327</v>
      </c>
      <c r="C3299" s="25" t="s">
        <v>8328</v>
      </c>
      <c r="D3299" s="25" t="s">
        <v>1719</v>
      </c>
      <c r="E3299" s="26" t="b">
        <v>1</v>
      </c>
      <c r="F3299" s="27" t="str">
        <f>HYPERLINK("http://nsgreg.nga.mil/genc/view?v=212955&amp;end_month=12&amp;end_day=31&amp;end_year=2014","Davao del Sur")</f>
        <v>Davao del Sur</v>
      </c>
      <c r="G3299" s="28" t="str">
        <f>HYPERLINK("http://api.nsgreg.nga.mil/geo-division/GENC/6/ed3/PH-DAS","as:GENC:6:ed3:PH-DAS")</f>
        <v>as:GENC:6:ed3:PH-DAS</v>
      </c>
    </row>
    <row r="3300" spans="1:7" x14ac:dyDescent="0.2">
      <c r="A3300" s="85"/>
      <c r="B3300" s="25" t="s">
        <v>8323</v>
      </c>
      <c r="C3300" s="25" t="s">
        <v>8324</v>
      </c>
      <c r="D3300" s="25" t="s">
        <v>1719</v>
      </c>
      <c r="E3300" s="26" t="b">
        <v>1</v>
      </c>
      <c r="F3300" s="27" t="str">
        <f>HYPERLINK("http://nsgreg.nga.mil/genc/view?v=212954&amp;end_month=12&amp;end_day=31&amp;end_year=2014","Davao Oriental")</f>
        <v>Davao Oriental</v>
      </c>
      <c r="G3300" s="28" t="str">
        <f>HYPERLINK("http://api.nsgreg.nga.mil/geo-division/GENC/6/ed3/PH-DAO","as:GENC:6:ed3:PH-DAO")</f>
        <v>as:GENC:6:ed3:PH-DAO</v>
      </c>
    </row>
    <row r="3301" spans="1:7" x14ac:dyDescent="0.2">
      <c r="A3301" s="85"/>
      <c r="B3301" s="25" t="s">
        <v>8329</v>
      </c>
      <c r="C3301" s="25" t="s">
        <v>8330</v>
      </c>
      <c r="D3301" s="25" t="s">
        <v>1719</v>
      </c>
      <c r="E3301" s="26" t="b">
        <v>1</v>
      </c>
      <c r="F3301" s="27" t="str">
        <f>HYPERLINK("http://nsgreg.nga.mil/genc/view?v=212957&amp;end_month=12&amp;end_day=31&amp;end_year=2014","Dinagat Islands")</f>
        <v>Dinagat Islands</v>
      </c>
      <c r="G3301" s="28" t="str">
        <f>HYPERLINK("http://api.nsgreg.nga.mil/geo-division/GENC/6/ed3/PH-DIN","as:GENC:6:ed3:PH-DIN")</f>
        <v>as:GENC:6:ed3:PH-DIN</v>
      </c>
    </row>
    <row r="3302" spans="1:7" x14ac:dyDescent="0.2">
      <c r="A3302" s="85"/>
      <c r="B3302" s="25" t="s">
        <v>8331</v>
      </c>
      <c r="C3302" s="25" t="s">
        <v>8332</v>
      </c>
      <c r="D3302" s="25" t="s">
        <v>1719</v>
      </c>
      <c r="E3302" s="26" t="b">
        <v>1</v>
      </c>
      <c r="F3302" s="27" t="str">
        <f>HYPERLINK("http://nsgreg.nga.mil/genc/view?v=212959&amp;end_month=12&amp;end_day=31&amp;end_year=2014","Eastern Samar")</f>
        <v>Eastern Samar</v>
      </c>
      <c r="G3302" s="28" t="str">
        <f>HYPERLINK("http://api.nsgreg.nga.mil/geo-division/GENC/6/ed3/PH-EAS","as:GENC:6:ed3:PH-EAS")</f>
        <v>as:GENC:6:ed3:PH-EAS</v>
      </c>
    </row>
    <row r="3303" spans="1:7" x14ac:dyDescent="0.2">
      <c r="A3303" s="85"/>
      <c r="B3303" s="25" t="s">
        <v>8333</v>
      </c>
      <c r="C3303" s="25" t="s">
        <v>13150</v>
      </c>
      <c r="D3303" s="37" t="s">
        <v>2087</v>
      </c>
      <c r="E3303" s="38" t="b">
        <v>0</v>
      </c>
      <c r="F3303" s="27" t="str">
        <f>HYPERLINK("http://nsgreg.nga.mil/genc/view?v=212908&amp;end_month=12&amp;end_day=31&amp;end_year=2014","Eastern Visayas")</f>
        <v>Eastern Visayas</v>
      </c>
      <c r="G3303" s="28" t="str">
        <f>HYPERLINK("http://api.nsgreg.nga.mil/geo-division/GENC/6/ed3/PH-08","as:GENC:6:ed3:PH-08")</f>
        <v>as:GENC:6:ed3:PH-08</v>
      </c>
    </row>
    <row r="3304" spans="1:7" x14ac:dyDescent="0.2">
      <c r="A3304" s="85"/>
      <c r="B3304" s="25" t="s">
        <v>13151</v>
      </c>
      <c r="C3304" s="25" t="s">
        <v>13152</v>
      </c>
      <c r="D3304" s="25" t="s">
        <v>13123</v>
      </c>
      <c r="E3304" s="26" t="b">
        <v>1</v>
      </c>
      <c r="F3304" s="27" t="str">
        <f>HYPERLINK("http://nsgreg.nga.mil/genc/view?v=212960&amp;end_month=12&amp;end_day=31&amp;end_year=2014","General Santos")</f>
        <v>General Santos</v>
      </c>
      <c r="G3304" s="28" t="str">
        <f>HYPERLINK("http://api.nsgreg.nga.mil/geo-division/GENC/6/ed3/PH-GNS","as:GENC:6:ed3:PH-GNS")</f>
        <v>as:GENC:6:ed3:PH-GNS</v>
      </c>
    </row>
    <row r="3305" spans="1:7" x14ac:dyDescent="0.2">
      <c r="A3305" s="85"/>
      <c r="B3305" s="25" t="s">
        <v>8335</v>
      </c>
      <c r="C3305" s="25" t="s">
        <v>8337</v>
      </c>
      <c r="D3305" s="25" t="s">
        <v>1719</v>
      </c>
      <c r="E3305" s="26" t="b">
        <v>1</v>
      </c>
      <c r="F3305" s="27" t="str">
        <f>HYPERLINK("http://nsgreg.nga.mil/genc/view?v=212961&amp;end_month=12&amp;end_day=31&amp;end_year=2014","Guimaras")</f>
        <v>Guimaras</v>
      </c>
      <c r="G3305" s="28" t="str">
        <f>HYPERLINK("http://api.nsgreg.nga.mil/geo-division/GENC/6/ed3/PH-GUI","as:GENC:6:ed3:PH-GUI")</f>
        <v>as:GENC:6:ed3:PH-GUI</v>
      </c>
    </row>
    <row r="3306" spans="1:7" x14ac:dyDescent="0.2">
      <c r="A3306" s="85"/>
      <c r="B3306" s="25" t="s">
        <v>8351</v>
      </c>
      <c r="C3306" s="25" t="s">
        <v>8352</v>
      </c>
      <c r="D3306" s="25" t="s">
        <v>1719</v>
      </c>
      <c r="E3306" s="26" t="b">
        <v>1</v>
      </c>
      <c r="F3306" s="27" t="str">
        <f>HYPERLINK("http://nsgreg.nga.mil/genc/view?v=212962&amp;end_month=12&amp;end_day=31&amp;end_year=2014","Ifugao")</f>
        <v>Ifugao</v>
      </c>
      <c r="G3306" s="28" t="str">
        <f>HYPERLINK("http://api.nsgreg.nga.mil/geo-division/GENC/6/ed3/PH-IFU","as:GENC:6:ed3:PH-IFU")</f>
        <v>as:GENC:6:ed3:PH-IFU</v>
      </c>
    </row>
    <row r="3307" spans="1:7" x14ac:dyDescent="0.2">
      <c r="A3307" s="85"/>
      <c r="B3307" s="25" t="s">
        <v>13153</v>
      </c>
      <c r="C3307" s="25" t="s">
        <v>13154</v>
      </c>
      <c r="D3307" s="25" t="s">
        <v>13123</v>
      </c>
      <c r="E3307" s="26" t="b">
        <v>1</v>
      </c>
      <c r="F3307" s="27" t="str">
        <f>HYPERLINK("http://nsgreg.nga.mil/genc/view?v=212963&amp;end_month=12&amp;end_day=31&amp;end_year=2014","Iligan")</f>
        <v>Iligan</v>
      </c>
      <c r="G3307" s="28" t="str">
        <f>HYPERLINK("http://api.nsgreg.nga.mil/geo-division/GENC/6/ed3/PH-ILG","as:GENC:6:ed3:PH-ILG")</f>
        <v>as:GENC:6:ed3:PH-ILG</v>
      </c>
    </row>
    <row r="3308" spans="1:7" x14ac:dyDescent="0.2">
      <c r="A3308" s="85"/>
      <c r="B3308" s="25" t="s">
        <v>8353</v>
      </c>
      <c r="C3308" s="25" t="s">
        <v>13155</v>
      </c>
      <c r="D3308" s="37" t="s">
        <v>2087</v>
      </c>
      <c r="E3308" s="38" t="b">
        <v>0</v>
      </c>
      <c r="F3308" s="27" t="str">
        <f>HYPERLINK("http://nsgreg.nga.mil/genc/view?v=212902&amp;end_month=12&amp;end_day=31&amp;end_year=2014","Ilocos")</f>
        <v>Ilocos</v>
      </c>
      <c r="G3308" s="28" t="str">
        <f>HYPERLINK("http://api.nsgreg.nga.mil/geo-division/GENC/6/ed3/PH-01","as:GENC:6:ed3:PH-01")</f>
        <v>as:GENC:6:ed3:PH-01</v>
      </c>
    </row>
    <row r="3309" spans="1:7" x14ac:dyDescent="0.2">
      <c r="A3309" s="85"/>
      <c r="B3309" s="25" t="s">
        <v>8340</v>
      </c>
      <c r="C3309" s="25" t="s">
        <v>8355</v>
      </c>
      <c r="D3309" s="25" t="s">
        <v>1719</v>
      </c>
      <c r="E3309" s="26" t="b">
        <v>1</v>
      </c>
      <c r="F3309" s="27" t="str">
        <f>HYPERLINK("http://nsgreg.nga.mil/genc/view?v=212965&amp;end_month=12&amp;end_day=31&amp;end_year=2014","Ilocos Norte")</f>
        <v>Ilocos Norte</v>
      </c>
      <c r="G3309" s="28" t="str">
        <f>HYPERLINK("http://api.nsgreg.nga.mil/geo-division/GENC/6/ed3/PH-ILN","as:GENC:6:ed3:PH-ILN")</f>
        <v>as:GENC:6:ed3:PH-ILN</v>
      </c>
    </row>
    <row r="3310" spans="1:7" x14ac:dyDescent="0.2">
      <c r="A3310" s="85"/>
      <c r="B3310" s="25" t="s">
        <v>8356</v>
      </c>
      <c r="C3310" s="25" t="s">
        <v>8357</v>
      </c>
      <c r="D3310" s="25" t="s">
        <v>1719</v>
      </c>
      <c r="E3310" s="26" t="b">
        <v>1</v>
      </c>
      <c r="F3310" s="27" t="str">
        <f>HYPERLINK("http://nsgreg.nga.mil/genc/view?v=212968&amp;end_month=12&amp;end_day=31&amp;end_year=2014","Ilocos Sur")</f>
        <v>Ilocos Sur</v>
      </c>
      <c r="G3310" s="28" t="str">
        <f>HYPERLINK("http://api.nsgreg.nga.mil/geo-division/GENC/6/ed3/PH-ILS","as:GENC:6:ed3:PH-ILS")</f>
        <v>as:GENC:6:ed3:PH-ILS</v>
      </c>
    </row>
    <row r="3311" spans="1:7" x14ac:dyDescent="0.2">
      <c r="A3311" s="85"/>
      <c r="B3311" s="25" t="s">
        <v>13156</v>
      </c>
      <c r="C3311" s="25" t="s">
        <v>8359</v>
      </c>
      <c r="D3311" s="25" t="s">
        <v>13123</v>
      </c>
      <c r="E3311" s="26" t="b">
        <v>1</v>
      </c>
      <c r="F3311" s="27" t="str">
        <f>HYPERLINK("http://nsgreg.nga.mil/genc/view?v=212966&amp;end_month=12&amp;end_day=31&amp;end_year=2014","Iloilo")</f>
        <v>Iloilo</v>
      </c>
      <c r="G3311" s="28" t="str">
        <f>HYPERLINK("http://api.nsgreg.nga.mil/geo-division/GENC/6/ed3/PH-ILO","as:GENC:6:ed3:PH-ILO")</f>
        <v>as:GENC:6:ed3:PH-ILO</v>
      </c>
    </row>
    <row r="3312" spans="1:7" x14ac:dyDescent="0.2">
      <c r="A3312" s="85"/>
      <c r="B3312" s="25" t="s">
        <v>8358</v>
      </c>
      <c r="C3312" s="25" t="s">
        <v>8359</v>
      </c>
      <c r="D3312" s="25" t="s">
        <v>1719</v>
      </c>
      <c r="E3312" s="26" t="b">
        <v>1</v>
      </c>
      <c r="F3312" s="27" t="str">
        <f>HYPERLINK("http://nsgreg.nga.mil/genc/view?v=212964&amp;end_month=12&amp;end_day=31&amp;end_year=2014","Iloilo")</f>
        <v>Iloilo</v>
      </c>
      <c r="G3312" s="28" t="str">
        <f>HYPERLINK("http://api.nsgreg.nga.mil/geo-division/GENC/6/ed3/PH-ILI","as:GENC:6:ed3:PH-ILI")</f>
        <v>as:GENC:6:ed3:PH-ILI</v>
      </c>
    </row>
    <row r="3313" spans="1:7" x14ac:dyDescent="0.2">
      <c r="A3313" s="85"/>
      <c r="B3313" s="25" t="s">
        <v>8361</v>
      </c>
      <c r="C3313" s="25" t="s">
        <v>8362</v>
      </c>
      <c r="D3313" s="25" t="s">
        <v>1719</v>
      </c>
      <c r="E3313" s="26" t="b">
        <v>1</v>
      </c>
      <c r="F3313" s="27" t="str">
        <f>HYPERLINK("http://nsgreg.nga.mil/genc/view?v=212969&amp;end_month=12&amp;end_day=31&amp;end_year=2014","Isabela")</f>
        <v>Isabela</v>
      </c>
      <c r="G3313" s="28" t="str">
        <f>HYPERLINK("http://api.nsgreg.nga.mil/geo-division/GENC/6/ed3/PH-ISA","as:GENC:6:ed3:PH-ISA")</f>
        <v>as:GENC:6:ed3:PH-ISA</v>
      </c>
    </row>
    <row r="3314" spans="1:7" x14ac:dyDescent="0.2">
      <c r="A3314" s="85"/>
      <c r="B3314" s="25" t="s">
        <v>8365</v>
      </c>
      <c r="C3314" s="25" t="s">
        <v>8366</v>
      </c>
      <c r="D3314" s="25" t="s">
        <v>1719</v>
      </c>
      <c r="E3314" s="26" t="b">
        <v>1</v>
      </c>
      <c r="F3314" s="27" t="str">
        <f>HYPERLINK("http://nsgreg.nga.mil/genc/view?v=212970&amp;end_month=12&amp;end_day=31&amp;end_year=2014","Kalinga")</f>
        <v>Kalinga</v>
      </c>
      <c r="G3314" s="28" t="str">
        <f>HYPERLINK("http://api.nsgreg.nga.mil/geo-division/GENC/6/ed3/PH-KAL","as:GENC:6:ed3:PH-KAL")</f>
        <v>as:GENC:6:ed3:PH-KAL</v>
      </c>
    </row>
    <row r="3315" spans="1:7" x14ac:dyDescent="0.2">
      <c r="A3315" s="85"/>
      <c r="B3315" s="25" t="s">
        <v>8386</v>
      </c>
      <c r="C3315" s="25" t="s">
        <v>8387</v>
      </c>
      <c r="D3315" s="25" t="s">
        <v>1719</v>
      </c>
      <c r="E3315" s="26" t="b">
        <v>1</v>
      </c>
      <c r="F3315" s="27" t="str">
        <f>HYPERLINK("http://nsgreg.nga.mil/genc/view?v=212971&amp;end_month=12&amp;end_day=31&amp;end_year=2014","Laguna")</f>
        <v>Laguna</v>
      </c>
      <c r="G3315" s="28" t="str">
        <f>HYPERLINK("http://api.nsgreg.nga.mil/geo-division/GENC/6/ed3/PH-LAG","as:GENC:6:ed3:PH-LAG")</f>
        <v>as:GENC:6:ed3:PH-LAG</v>
      </c>
    </row>
    <row r="3316" spans="1:7" x14ac:dyDescent="0.2">
      <c r="A3316" s="85"/>
      <c r="B3316" s="25" t="s">
        <v>8343</v>
      </c>
      <c r="C3316" s="25" t="s">
        <v>8391</v>
      </c>
      <c r="D3316" s="25" t="s">
        <v>1719</v>
      </c>
      <c r="E3316" s="26" t="b">
        <v>1</v>
      </c>
      <c r="F3316" s="27" t="str">
        <f>HYPERLINK("http://nsgreg.nga.mil/genc/view?v=212972&amp;end_month=12&amp;end_day=31&amp;end_year=2014","Lanao del Norte")</f>
        <v>Lanao del Norte</v>
      </c>
      <c r="G3316" s="28" t="str">
        <f>HYPERLINK("http://api.nsgreg.nga.mil/geo-division/GENC/6/ed3/PH-LAN","as:GENC:6:ed3:PH-LAN")</f>
        <v>as:GENC:6:ed3:PH-LAN</v>
      </c>
    </row>
    <row r="3317" spans="1:7" x14ac:dyDescent="0.2">
      <c r="A3317" s="85"/>
      <c r="B3317" s="25" t="s">
        <v>8392</v>
      </c>
      <c r="C3317" s="25" t="s">
        <v>8393</v>
      </c>
      <c r="D3317" s="25" t="s">
        <v>1719</v>
      </c>
      <c r="E3317" s="26" t="b">
        <v>1</v>
      </c>
      <c r="F3317" s="27" t="str">
        <f>HYPERLINK("http://nsgreg.nga.mil/genc/view?v=212974&amp;end_month=12&amp;end_day=31&amp;end_year=2014","Lanao del Sur")</f>
        <v>Lanao del Sur</v>
      </c>
      <c r="G3317" s="28" t="str">
        <f>HYPERLINK("http://api.nsgreg.nga.mil/geo-division/GENC/6/ed3/PH-LAS","as:GENC:6:ed3:PH-LAS")</f>
        <v>as:GENC:6:ed3:PH-LAS</v>
      </c>
    </row>
    <row r="3318" spans="1:7" x14ac:dyDescent="0.2">
      <c r="A3318" s="85"/>
      <c r="B3318" s="25" t="s">
        <v>13157</v>
      </c>
      <c r="C3318" s="25" t="s">
        <v>13158</v>
      </c>
      <c r="D3318" s="25" t="s">
        <v>13123</v>
      </c>
      <c r="E3318" s="26" t="b">
        <v>1</v>
      </c>
      <c r="F3318" s="27" t="str">
        <f>HYPERLINK("http://nsgreg.nga.mil/genc/view?v=212973&amp;end_month=12&amp;end_day=31&amp;end_year=2014","Lapu-Lapu")</f>
        <v>Lapu-Lapu</v>
      </c>
      <c r="G3318" s="28" t="str">
        <f>HYPERLINK("http://api.nsgreg.nga.mil/geo-division/GENC/6/ed3/PH-LAP","as:GENC:6:ed3:PH-LAP")</f>
        <v>as:GENC:6:ed3:PH-LAP</v>
      </c>
    </row>
    <row r="3319" spans="1:7" x14ac:dyDescent="0.2">
      <c r="A3319" s="85"/>
      <c r="B3319" s="25" t="s">
        <v>13159</v>
      </c>
      <c r="C3319" s="25" t="s">
        <v>13160</v>
      </c>
      <c r="D3319" s="25" t="s">
        <v>13123</v>
      </c>
      <c r="E3319" s="26" t="b">
        <v>1</v>
      </c>
      <c r="F3319" s="27" t="str">
        <f>HYPERLINK("http://nsgreg.nga.mil/genc/view?v=212967&amp;end_month=12&amp;end_day=31&amp;end_year=2014","Las Piñas")</f>
        <v>Las Piñas</v>
      </c>
      <c r="G3319" s="28" t="str">
        <f>HYPERLINK("http://api.nsgreg.nga.mil/geo-division/GENC/6/ed3/PH-ILP","as:GENC:6:ed3:PH-ILP")</f>
        <v>as:GENC:6:ed3:PH-ILP</v>
      </c>
    </row>
    <row r="3320" spans="1:7" x14ac:dyDescent="0.2">
      <c r="A3320" s="85"/>
      <c r="B3320" s="25" t="s">
        <v>8383</v>
      </c>
      <c r="C3320" s="25" t="s">
        <v>8384</v>
      </c>
      <c r="D3320" s="25" t="s">
        <v>1719</v>
      </c>
      <c r="E3320" s="26" t="b">
        <v>1</v>
      </c>
      <c r="F3320" s="27" t="str">
        <f>HYPERLINK("http://nsgreg.nga.mil/genc/view?v=212977&amp;end_month=12&amp;end_day=31&amp;end_year=2014","La Union")</f>
        <v>La Union</v>
      </c>
      <c r="G3320" s="28" t="str">
        <f>HYPERLINK("http://api.nsgreg.nga.mil/geo-division/GENC/6/ed3/PH-LUN","as:GENC:6:ed3:PH-LUN")</f>
        <v>as:GENC:6:ed3:PH-LUN</v>
      </c>
    </row>
    <row r="3321" spans="1:7" x14ac:dyDescent="0.2">
      <c r="A3321" s="85"/>
      <c r="B3321" s="25" t="s">
        <v>8394</v>
      </c>
      <c r="C3321" s="25" t="s">
        <v>8395</v>
      </c>
      <c r="D3321" s="25" t="s">
        <v>1719</v>
      </c>
      <c r="E3321" s="26" t="b">
        <v>1</v>
      </c>
      <c r="F3321" s="27" t="str">
        <f>HYPERLINK("http://nsgreg.nga.mil/genc/view?v=212975&amp;end_month=12&amp;end_day=31&amp;end_year=2014","Leyte")</f>
        <v>Leyte</v>
      </c>
      <c r="G3321" s="28" t="str">
        <f>HYPERLINK("http://api.nsgreg.nga.mil/geo-division/GENC/6/ed3/PH-LEY","as:GENC:6:ed3:PH-LEY")</f>
        <v>as:GENC:6:ed3:PH-LEY</v>
      </c>
    </row>
    <row r="3322" spans="1:7" x14ac:dyDescent="0.2">
      <c r="A3322" s="85"/>
      <c r="B3322" s="25" t="s">
        <v>13161</v>
      </c>
      <c r="C3322" s="25" t="s">
        <v>13162</v>
      </c>
      <c r="D3322" s="25" t="s">
        <v>13123</v>
      </c>
      <c r="E3322" s="26" t="b">
        <v>1</v>
      </c>
      <c r="F3322" s="27" t="str">
        <f>HYPERLINK("http://nsgreg.nga.mil/genc/view?v=212976&amp;end_month=12&amp;end_day=31&amp;end_year=2014","Lucena")</f>
        <v>Lucena</v>
      </c>
      <c r="G3322" s="28" t="str">
        <f>HYPERLINK("http://api.nsgreg.nga.mil/geo-division/GENC/6/ed3/PH-LUC","as:GENC:6:ed3:PH-LUC")</f>
        <v>as:GENC:6:ed3:PH-LUC</v>
      </c>
    </row>
    <row r="3323" spans="1:7" x14ac:dyDescent="0.2">
      <c r="A3323" s="85"/>
      <c r="B3323" s="25" t="s">
        <v>8398</v>
      </c>
      <c r="C3323" s="25" t="s">
        <v>8400</v>
      </c>
      <c r="D3323" s="25" t="s">
        <v>1719</v>
      </c>
      <c r="E3323" s="26" t="b">
        <v>1</v>
      </c>
      <c r="F3323" s="27" t="str">
        <f>HYPERLINK("http://nsgreg.nga.mil/genc/view?v=212979&amp;end_month=12&amp;end_day=31&amp;end_year=2014","Maguindanao")</f>
        <v>Maguindanao</v>
      </c>
      <c r="G3323" s="28" t="str">
        <f>HYPERLINK("http://api.nsgreg.nga.mil/geo-division/GENC/6/ed3/PH-MAG","as:GENC:6:ed3:PH-MAG")</f>
        <v>as:GENC:6:ed3:PH-MAG</v>
      </c>
    </row>
    <row r="3324" spans="1:7" x14ac:dyDescent="0.2">
      <c r="A3324" s="85"/>
      <c r="B3324" s="25" t="s">
        <v>13163</v>
      </c>
      <c r="C3324" s="25" t="s">
        <v>13164</v>
      </c>
      <c r="D3324" s="25" t="s">
        <v>13123</v>
      </c>
      <c r="E3324" s="26" t="b">
        <v>1</v>
      </c>
      <c r="F3324" s="27" t="str">
        <f>HYPERLINK("http://nsgreg.nga.mil/genc/view?v=212980&amp;end_month=12&amp;end_day=31&amp;end_year=2014","Makati")</f>
        <v>Makati</v>
      </c>
      <c r="G3324" s="28" t="str">
        <f>HYPERLINK("http://api.nsgreg.nga.mil/geo-division/GENC/6/ed3/PH-MAK","as:GENC:6:ed3:PH-MAK")</f>
        <v>as:GENC:6:ed3:PH-MAK</v>
      </c>
    </row>
    <row r="3325" spans="1:7" x14ac:dyDescent="0.2">
      <c r="A3325" s="85"/>
      <c r="B3325" s="25" t="s">
        <v>13165</v>
      </c>
      <c r="C3325" s="25" t="s">
        <v>13166</v>
      </c>
      <c r="D3325" s="25" t="s">
        <v>13123</v>
      </c>
      <c r="E3325" s="26" t="b">
        <v>1</v>
      </c>
      <c r="F3325" s="27" t="str">
        <f>HYPERLINK("http://nsgreg.nga.mil/genc/view?v=212981&amp;end_month=12&amp;end_day=31&amp;end_year=2014","Malabon")</f>
        <v>Malabon</v>
      </c>
      <c r="G3325" s="28" t="str">
        <f>HYPERLINK("http://api.nsgreg.nga.mil/geo-division/GENC/6/ed3/PH-MAL","as:GENC:6:ed3:PH-MAL")</f>
        <v>as:GENC:6:ed3:PH-MAL</v>
      </c>
    </row>
    <row r="3326" spans="1:7" x14ac:dyDescent="0.2">
      <c r="A3326" s="85"/>
      <c r="B3326" s="25" t="s">
        <v>13167</v>
      </c>
      <c r="C3326" s="25" t="s">
        <v>13168</v>
      </c>
      <c r="D3326" s="25" t="s">
        <v>13123</v>
      </c>
      <c r="E3326" s="26" t="b">
        <v>1</v>
      </c>
      <c r="F3326" s="27" t="str">
        <f>HYPERLINK("http://nsgreg.nga.mil/genc/view?v=212988&amp;end_month=12&amp;end_day=31&amp;end_year=2014","Mandaluyong")</f>
        <v>Mandaluyong</v>
      </c>
      <c r="G3326" s="28" t="str">
        <f>HYPERLINK("http://api.nsgreg.nga.mil/geo-division/GENC/6/ed3/PH-MDY","as:GENC:6:ed3:PH-MDY")</f>
        <v>as:GENC:6:ed3:PH-MDY</v>
      </c>
    </row>
    <row r="3327" spans="1:7" x14ac:dyDescent="0.2">
      <c r="A3327" s="85"/>
      <c r="B3327" s="25" t="s">
        <v>13169</v>
      </c>
      <c r="C3327" s="25" t="s">
        <v>13170</v>
      </c>
      <c r="D3327" s="25" t="s">
        <v>13123</v>
      </c>
      <c r="E3327" s="26" t="b">
        <v>1</v>
      </c>
      <c r="F3327" s="27" t="str">
        <f>HYPERLINK("http://nsgreg.nga.mil/genc/view?v=212987&amp;end_month=12&amp;end_day=31&amp;end_year=2014","Mandaue")</f>
        <v>Mandaue</v>
      </c>
      <c r="G3327" s="28" t="str">
        <f>HYPERLINK("http://api.nsgreg.nga.mil/geo-division/GENC/6/ed3/PH-MDU","as:GENC:6:ed3:PH-MDU")</f>
        <v>as:GENC:6:ed3:PH-MDU</v>
      </c>
    </row>
    <row r="3328" spans="1:7" x14ac:dyDescent="0.2">
      <c r="A3328" s="85"/>
      <c r="B3328" s="25" t="s">
        <v>13171</v>
      </c>
      <c r="C3328" s="25" t="s">
        <v>13172</v>
      </c>
      <c r="D3328" s="25" t="s">
        <v>13123</v>
      </c>
      <c r="E3328" s="26" t="b">
        <v>1</v>
      </c>
      <c r="F3328" s="27" t="str">
        <f>HYPERLINK("http://nsgreg.nga.mil/genc/view?v=212982&amp;end_month=12&amp;end_day=31&amp;end_year=2014","Manila")</f>
        <v>Manila</v>
      </c>
      <c r="G3328" s="28" t="str">
        <f>HYPERLINK("http://api.nsgreg.nga.mil/geo-division/GENC/6/ed3/PH-MAN","as:GENC:6:ed3:PH-MAN")</f>
        <v>as:GENC:6:ed3:PH-MAN</v>
      </c>
    </row>
    <row r="3329" spans="1:7" x14ac:dyDescent="0.2">
      <c r="A3329" s="85"/>
      <c r="B3329" s="25" t="s">
        <v>13173</v>
      </c>
      <c r="C3329" s="25" t="s">
        <v>13174</v>
      </c>
      <c r="D3329" s="25" t="s">
        <v>13123</v>
      </c>
      <c r="E3329" s="26" t="b">
        <v>1</v>
      </c>
      <c r="F3329" s="27" t="str">
        <f>HYPERLINK("http://nsgreg.nga.mil/genc/view?v=212983&amp;end_month=12&amp;end_day=31&amp;end_year=2014","Marikina")</f>
        <v>Marikina</v>
      </c>
      <c r="G3329" s="28" t="str">
        <f>HYPERLINK("http://api.nsgreg.nga.mil/geo-division/GENC/6/ed3/PH-MAR","as:GENC:6:ed3:PH-MAR")</f>
        <v>as:GENC:6:ed3:PH-MAR</v>
      </c>
    </row>
    <row r="3330" spans="1:7" x14ac:dyDescent="0.2">
      <c r="A3330" s="85"/>
      <c r="B3330" s="25" t="s">
        <v>8401</v>
      </c>
      <c r="C3330" s="25" t="s">
        <v>8403</v>
      </c>
      <c r="D3330" s="25" t="s">
        <v>1719</v>
      </c>
      <c r="E3330" s="26" t="b">
        <v>1</v>
      </c>
      <c r="F3330" s="27" t="str">
        <f>HYPERLINK("http://nsgreg.nga.mil/genc/view?v=212978&amp;end_month=12&amp;end_day=31&amp;end_year=2014","Marinduque")</f>
        <v>Marinduque</v>
      </c>
      <c r="G3330" s="28" t="str">
        <f>HYPERLINK("http://api.nsgreg.nga.mil/geo-division/GENC/6/ed3/PH-MAD","as:GENC:6:ed3:PH-MAD")</f>
        <v>as:GENC:6:ed3:PH-MAD</v>
      </c>
    </row>
    <row r="3331" spans="1:7" x14ac:dyDescent="0.2">
      <c r="A3331" s="85"/>
      <c r="B3331" s="25" t="s">
        <v>8404</v>
      </c>
      <c r="C3331" s="25" t="s">
        <v>8405</v>
      </c>
      <c r="D3331" s="25" t="s">
        <v>1719</v>
      </c>
      <c r="E3331" s="26" t="b">
        <v>1</v>
      </c>
      <c r="F3331" s="27" t="str">
        <f>HYPERLINK("http://nsgreg.nga.mil/genc/view?v=212984&amp;end_month=12&amp;end_day=31&amp;end_year=2014","Masbate")</f>
        <v>Masbate</v>
      </c>
      <c r="G3331" s="28" t="str">
        <f>HYPERLINK("http://api.nsgreg.nga.mil/geo-division/GENC/6/ed3/PH-MAS","as:GENC:6:ed3:PH-MAS")</f>
        <v>as:GENC:6:ed3:PH-MAS</v>
      </c>
    </row>
    <row r="3332" spans="1:7" x14ac:dyDescent="0.2">
      <c r="A3332" s="85"/>
      <c r="B3332" s="25" t="s">
        <v>8396</v>
      </c>
      <c r="C3332" s="25" t="s">
        <v>13175</v>
      </c>
      <c r="D3332" s="37" t="s">
        <v>2087</v>
      </c>
      <c r="E3332" s="38" t="b">
        <v>0</v>
      </c>
      <c r="F3332" s="27" t="str">
        <f>HYPERLINK("http://nsgreg.nga.mil/genc/view?v=212917&amp;end_month=12&amp;end_day=31&amp;end_year=2014","MIMAROPA")</f>
        <v>MIMAROPA</v>
      </c>
      <c r="G3332" s="28" t="str">
        <f>HYPERLINK("http://api.nsgreg.nga.mil/geo-division/GENC/6/ed3/PH-41","as:GENC:6:ed3:PH-41")</f>
        <v>as:GENC:6:ed3:PH-41</v>
      </c>
    </row>
    <row r="3333" spans="1:7" x14ac:dyDescent="0.2">
      <c r="A3333" s="85"/>
      <c r="B3333" s="25" t="s">
        <v>8370</v>
      </c>
      <c r="C3333" s="25" t="s">
        <v>8409</v>
      </c>
      <c r="D3333" s="25" t="s">
        <v>1719</v>
      </c>
      <c r="E3333" s="26" t="b">
        <v>1</v>
      </c>
      <c r="F3333" s="27" t="str">
        <f>HYPERLINK("http://nsgreg.nga.mil/genc/view?v=212990&amp;end_month=12&amp;end_day=31&amp;end_year=2014","Misamis Occidental")</f>
        <v>Misamis Occidental</v>
      </c>
      <c r="G3333" s="28" t="str">
        <f>HYPERLINK("http://api.nsgreg.nga.mil/geo-division/GENC/6/ed3/PH-MSC","as:GENC:6:ed3:PH-MSC")</f>
        <v>as:GENC:6:ed3:PH-MSC</v>
      </c>
    </row>
    <row r="3334" spans="1:7" x14ac:dyDescent="0.2">
      <c r="A3334" s="85"/>
      <c r="B3334" s="25" t="s">
        <v>8410</v>
      </c>
      <c r="C3334" s="25" t="s">
        <v>8411</v>
      </c>
      <c r="D3334" s="25" t="s">
        <v>1719</v>
      </c>
      <c r="E3334" s="26" t="b">
        <v>1</v>
      </c>
      <c r="F3334" s="27" t="str">
        <f>HYPERLINK("http://nsgreg.nga.mil/genc/view?v=212991&amp;end_month=12&amp;end_day=31&amp;end_year=2014","Misamis Oriental")</f>
        <v>Misamis Oriental</v>
      </c>
      <c r="G3334" s="28" t="str">
        <f>HYPERLINK("http://api.nsgreg.nga.mil/geo-division/GENC/6/ed3/PH-MSR","as:GENC:6:ed3:PH-MSR")</f>
        <v>as:GENC:6:ed3:PH-MSR</v>
      </c>
    </row>
    <row r="3335" spans="1:7" x14ac:dyDescent="0.2">
      <c r="A3335" s="85"/>
      <c r="B3335" s="25" t="s">
        <v>8388</v>
      </c>
      <c r="C3335" s="25" t="s">
        <v>13176</v>
      </c>
      <c r="D3335" s="25" t="s">
        <v>1719</v>
      </c>
      <c r="E3335" s="26" t="b">
        <v>1</v>
      </c>
      <c r="F3335" s="27" t="str">
        <f>HYPERLINK("http://nsgreg.nga.mil/genc/view?v=212989&amp;end_month=12&amp;end_day=31&amp;end_year=2014","Mountain")</f>
        <v>Mountain</v>
      </c>
      <c r="G3335" s="28" t="str">
        <f>HYPERLINK("http://api.nsgreg.nga.mil/geo-division/GENC/6/ed3/PH-MOU","as:GENC:6:ed3:PH-MOU")</f>
        <v>as:GENC:6:ed3:PH-MOU</v>
      </c>
    </row>
    <row r="3336" spans="1:7" x14ac:dyDescent="0.2">
      <c r="A3336" s="85"/>
      <c r="B3336" s="25" t="s">
        <v>13177</v>
      </c>
      <c r="C3336" s="25" t="s">
        <v>13178</v>
      </c>
      <c r="D3336" s="25" t="s">
        <v>13123</v>
      </c>
      <c r="E3336" s="26" t="b">
        <v>1</v>
      </c>
      <c r="F3336" s="27" t="str">
        <f>HYPERLINK("http://nsgreg.nga.mil/genc/view?v=212992&amp;end_month=12&amp;end_day=31&amp;end_year=2014","Muntinlupa")</f>
        <v>Muntinlupa</v>
      </c>
      <c r="G3336" s="28" t="str">
        <f>HYPERLINK("http://api.nsgreg.nga.mil/geo-division/GENC/6/ed3/PH-MUN","as:GENC:6:ed3:PH-MUN")</f>
        <v>as:GENC:6:ed3:PH-MUN</v>
      </c>
    </row>
    <row r="3337" spans="1:7" x14ac:dyDescent="0.2">
      <c r="A3337" s="85"/>
      <c r="B3337" s="25" t="s">
        <v>13179</v>
      </c>
      <c r="C3337" s="25" t="s">
        <v>13180</v>
      </c>
      <c r="D3337" s="25" t="s">
        <v>13126</v>
      </c>
      <c r="E3337" s="26" t="b">
        <v>1</v>
      </c>
      <c r="F3337" s="27" t="str">
        <f>HYPERLINK("http://nsgreg.nga.mil/genc/view?v=212993&amp;end_month=12&amp;end_day=31&amp;end_year=2014","Naga")</f>
        <v>Naga</v>
      </c>
      <c r="G3337" s="28" t="str">
        <f>HYPERLINK("http://api.nsgreg.nga.mil/geo-division/GENC/6/ed3/PH-NAG","as:GENC:6:ed3:PH-NAG")</f>
        <v>as:GENC:6:ed3:PH-NAG</v>
      </c>
    </row>
    <row r="3338" spans="1:7" x14ac:dyDescent="0.2">
      <c r="A3338" s="85"/>
      <c r="B3338" s="25" t="s">
        <v>8414</v>
      </c>
      <c r="C3338" s="25" t="s">
        <v>8415</v>
      </c>
      <c r="D3338" s="37" t="s">
        <v>2087</v>
      </c>
      <c r="E3338" s="38" t="b">
        <v>0</v>
      </c>
      <c r="F3338" s="27" t="str">
        <f>HYPERLINK("http://nsgreg.nga.mil/genc/view?v=212901&amp;end_month=12&amp;end_day=31&amp;end_year=2014","National Capital Region")</f>
        <v>National Capital Region</v>
      </c>
      <c r="G3338" s="28" t="str">
        <f>HYPERLINK("http://api.nsgreg.nga.mil/geo-division/GENC/6/ed3/PH-00","as:GENC:6:ed3:PH-00")</f>
        <v>as:GENC:6:ed3:PH-00</v>
      </c>
    </row>
    <row r="3339" spans="1:7" x14ac:dyDescent="0.2">
      <c r="A3339" s="85"/>
      <c r="B3339" s="25" t="s">
        <v>13181</v>
      </c>
      <c r="C3339" s="25" t="s">
        <v>13182</v>
      </c>
      <c r="D3339" s="25" t="s">
        <v>13123</v>
      </c>
      <c r="E3339" s="26" t="b">
        <v>1</v>
      </c>
      <c r="F3339" s="27" t="str">
        <f>HYPERLINK("http://nsgreg.nga.mil/genc/view?v=212994&amp;end_month=12&amp;end_day=31&amp;end_year=2014","Navotas")</f>
        <v>Navotas</v>
      </c>
      <c r="G3339" s="28" t="str">
        <f>HYPERLINK("http://api.nsgreg.nga.mil/geo-division/GENC/6/ed3/PH-NAV","as:GENC:6:ed3:PH-NAV")</f>
        <v>as:GENC:6:ed3:PH-NAV</v>
      </c>
    </row>
    <row r="3340" spans="1:7" x14ac:dyDescent="0.2">
      <c r="A3340" s="85"/>
      <c r="B3340" s="25" t="s">
        <v>8372</v>
      </c>
      <c r="C3340" s="25" t="s">
        <v>8416</v>
      </c>
      <c r="D3340" s="25" t="s">
        <v>1719</v>
      </c>
      <c r="E3340" s="26" t="b">
        <v>1</v>
      </c>
      <c r="F3340" s="27" t="str">
        <f>HYPERLINK("http://nsgreg.nga.mil/genc/view?v=212996&amp;end_month=12&amp;end_day=31&amp;end_year=2014","Negros Occidental")</f>
        <v>Negros Occidental</v>
      </c>
      <c r="G3340" s="28" t="str">
        <f>HYPERLINK("http://api.nsgreg.nga.mil/geo-division/GENC/6/ed3/PH-NEC","as:GENC:6:ed3:PH-NEC")</f>
        <v>as:GENC:6:ed3:PH-NEC</v>
      </c>
    </row>
    <row r="3341" spans="1:7" x14ac:dyDescent="0.2">
      <c r="A3341" s="85"/>
      <c r="B3341" s="25" t="s">
        <v>8417</v>
      </c>
      <c r="C3341" s="25" t="s">
        <v>8418</v>
      </c>
      <c r="D3341" s="25" t="s">
        <v>1719</v>
      </c>
      <c r="E3341" s="26" t="b">
        <v>1</v>
      </c>
      <c r="F3341" s="27" t="str">
        <f>HYPERLINK("http://nsgreg.nga.mil/genc/view?v=212997&amp;end_month=12&amp;end_day=31&amp;end_year=2014","Negros Oriental")</f>
        <v>Negros Oriental</v>
      </c>
      <c r="G3341" s="28" t="str">
        <f>HYPERLINK("http://api.nsgreg.nga.mil/geo-division/GENC/6/ed3/PH-NER","as:GENC:6:ed3:PH-NER")</f>
        <v>as:GENC:6:ed3:PH-NER</v>
      </c>
    </row>
    <row r="3342" spans="1:7" x14ac:dyDescent="0.2">
      <c r="A3342" s="85"/>
      <c r="B3342" s="25" t="s">
        <v>8419</v>
      </c>
      <c r="C3342" s="25" t="s">
        <v>13183</v>
      </c>
      <c r="D3342" s="37" t="s">
        <v>2087</v>
      </c>
      <c r="E3342" s="38" t="b">
        <v>0</v>
      </c>
      <c r="F3342" s="27" t="str">
        <f>HYPERLINK("http://nsgreg.nga.mil/genc/view?v=212910&amp;end_month=12&amp;end_day=31&amp;end_year=2014","Northern Mindanao")</f>
        <v>Northern Mindanao</v>
      </c>
      <c r="G3342" s="28" t="str">
        <f>HYPERLINK("http://api.nsgreg.nga.mil/geo-division/GENC/6/ed3/PH-10","as:GENC:6:ed3:PH-10")</f>
        <v>as:GENC:6:ed3:PH-10</v>
      </c>
    </row>
    <row r="3343" spans="1:7" x14ac:dyDescent="0.2">
      <c r="A3343" s="85"/>
      <c r="B3343" s="25" t="s">
        <v>8345</v>
      </c>
      <c r="C3343" s="25" t="s">
        <v>8421</v>
      </c>
      <c r="D3343" s="25" t="s">
        <v>1719</v>
      </c>
      <c r="E3343" s="26" t="b">
        <v>1</v>
      </c>
      <c r="F3343" s="27" t="str">
        <f>HYPERLINK("http://nsgreg.nga.mil/genc/view?v=212998&amp;end_month=12&amp;end_day=31&amp;end_year=2014","Northern Samar")</f>
        <v>Northern Samar</v>
      </c>
      <c r="G3343" s="28" t="str">
        <f>HYPERLINK("http://api.nsgreg.nga.mil/geo-division/GENC/6/ed3/PH-NSA","as:GENC:6:ed3:PH-NSA")</f>
        <v>as:GENC:6:ed3:PH-NSA</v>
      </c>
    </row>
    <row r="3344" spans="1:7" x14ac:dyDescent="0.2">
      <c r="A3344" s="85"/>
      <c r="B3344" s="25" t="s">
        <v>8422</v>
      </c>
      <c r="C3344" s="25" t="s">
        <v>8423</v>
      </c>
      <c r="D3344" s="25" t="s">
        <v>1719</v>
      </c>
      <c r="E3344" s="26" t="b">
        <v>1</v>
      </c>
      <c r="F3344" s="27" t="str">
        <f>HYPERLINK("http://nsgreg.nga.mil/genc/view?v=212999&amp;end_month=12&amp;end_day=31&amp;end_year=2014","Nueva Ecija")</f>
        <v>Nueva Ecija</v>
      </c>
      <c r="G3344" s="28" t="str">
        <f>HYPERLINK("http://api.nsgreg.nga.mil/geo-division/GENC/6/ed3/PH-NUE","as:GENC:6:ed3:PH-NUE")</f>
        <v>as:GENC:6:ed3:PH-NUE</v>
      </c>
    </row>
    <row r="3345" spans="1:7" x14ac:dyDescent="0.2">
      <c r="A3345" s="85"/>
      <c r="B3345" s="25" t="s">
        <v>8424</v>
      </c>
      <c r="C3345" s="25" t="s">
        <v>8425</v>
      </c>
      <c r="D3345" s="25" t="s">
        <v>1719</v>
      </c>
      <c r="E3345" s="26" t="b">
        <v>1</v>
      </c>
      <c r="F3345" s="27" t="str">
        <f>HYPERLINK("http://nsgreg.nga.mil/genc/view?v=213000&amp;end_month=12&amp;end_day=31&amp;end_year=2014","Nueva Vizcaya")</f>
        <v>Nueva Vizcaya</v>
      </c>
      <c r="G3345" s="28" t="str">
        <f>HYPERLINK("http://api.nsgreg.nga.mil/geo-division/GENC/6/ed3/PH-NUV","as:GENC:6:ed3:PH-NUV")</f>
        <v>as:GENC:6:ed3:PH-NUV</v>
      </c>
    </row>
    <row r="3346" spans="1:7" x14ac:dyDescent="0.2">
      <c r="A3346" s="85"/>
      <c r="B3346" s="25" t="s">
        <v>8368</v>
      </c>
      <c r="C3346" s="25" t="s">
        <v>13184</v>
      </c>
      <c r="D3346" s="25" t="s">
        <v>1719</v>
      </c>
      <c r="E3346" s="26" t="b">
        <v>1</v>
      </c>
      <c r="F3346" s="27" t="str">
        <f>HYPERLINK("http://nsgreg.nga.mil/genc/view?v=212985&amp;end_month=12&amp;end_day=31&amp;end_year=2014","Occidental Mindoro")</f>
        <v>Occidental Mindoro</v>
      </c>
      <c r="G3346" s="28" t="str">
        <f>HYPERLINK("http://api.nsgreg.nga.mil/geo-division/GENC/6/ed3/PH-MDC","as:GENC:6:ed3:PH-MDC")</f>
        <v>as:GENC:6:ed3:PH-MDC</v>
      </c>
    </row>
    <row r="3347" spans="1:7" x14ac:dyDescent="0.2">
      <c r="A3347" s="85"/>
      <c r="B3347" s="25" t="s">
        <v>13185</v>
      </c>
      <c r="C3347" s="25" t="s">
        <v>13186</v>
      </c>
      <c r="D3347" s="25" t="s">
        <v>13123</v>
      </c>
      <c r="E3347" s="26" t="b">
        <v>1</v>
      </c>
      <c r="F3347" s="27" t="str">
        <f>HYPERLINK("http://nsgreg.nga.mil/genc/view?v=213001&amp;end_month=12&amp;end_day=31&amp;end_year=2014","Olongapo")</f>
        <v>Olongapo</v>
      </c>
      <c r="G3347" s="28" t="str">
        <f>HYPERLINK("http://api.nsgreg.nga.mil/geo-division/GENC/6/ed3/PH-OLG","as:GENC:6:ed3:PH-OLG")</f>
        <v>as:GENC:6:ed3:PH-OLG</v>
      </c>
    </row>
    <row r="3348" spans="1:7" x14ac:dyDescent="0.2">
      <c r="A3348" s="85"/>
      <c r="B3348" s="25" t="s">
        <v>8407</v>
      </c>
      <c r="C3348" s="25" t="s">
        <v>13187</v>
      </c>
      <c r="D3348" s="25" t="s">
        <v>1719</v>
      </c>
      <c r="E3348" s="26" t="b">
        <v>1</v>
      </c>
      <c r="F3348" s="27" t="str">
        <f>HYPERLINK("http://nsgreg.nga.mil/genc/view?v=212986&amp;end_month=12&amp;end_day=31&amp;end_year=2014","Oriental Mindoro")</f>
        <v>Oriental Mindoro</v>
      </c>
      <c r="G3348" s="28" t="str">
        <f>HYPERLINK("http://api.nsgreg.nga.mil/geo-division/GENC/6/ed3/PH-MDR","as:GENC:6:ed3:PH-MDR")</f>
        <v>as:GENC:6:ed3:PH-MDR</v>
      </c>
    </row>
    <row r="3349" spans="1:7" x14ac:dyDescent="0.2">
      <c r="A3349" s="85"/>
      <c r="B3349" s="25" t="s">
        <v>13188</v>
      </c>
      <c r="C3349" s="25" t="s">
        <v>13189</v>
      </c>
      <c r="D3349" s="25" t="s">
        <v>13126</v>
      </c>
      <c r="E3349" s="26" t="b">
        <v>1</v>
      </c>
      <c r="F3349" s="27" t="str">
        <f>HYPERLINK("http://nsgreg.nga.mil/genc/view?v=213002&amp;end_month=12&amp;end_day=31&amp;end_year=2014","Ormoc")</f>
        <v>Ormoc</v>
      </c>
      <c r="G3349" s="28" t="str">
        <f>HYPERLINK("http://api.nsgreg.nga.mil/geo-division/GENC/6/ed3/PH-ORM","as:GENC:6:ed3:PH-ORM")</f>
        <v>as:GENC:6:ed3:PH-ORM</v>
      </c>
    </row>
    <row r="3350" spans="1:7" x14ac:dyDescent="0.2">
      <c r="A3350" s="85"/>
      <c r="B3350" s="25" t="s">
        <v>8428</v>
      </c>
      <c r="C3350" s="25" t="s">
        <v>8429</v>
      </c>
      <c r="D3350" s="25" t="s">
        <v>1719</v>
      </c>
      <c r="E3350" s="26" t="b">
        <v>1</v>
      </c>
      <c r="F3350" s="27" t="str">
        <f>HYPERLINK("http://nsgreg.nga.mil/genc/view?v=213007&amp;end_month=12&amp;end_day=31&amp;end_year=2014","Palawan")</f>
        <v>Palawan</v>
      </c>
      <c r="G3350" s="28" t="str">
        <f>HYPERLINK("http://api.nsgreg.nga.mil/geo-division/GENC/6/ed3/PH-PLW","as:GENC:6:ed3:PH-PLW")</f>
        <v>as:GENC:6:ed3:PH-PLW</v>
      </c>
    </row>
    <row r="3351" spans="1:7" x14ac:dyDescent="0.2">
      <c r="A3351" s="85"/>
      <c r="B3351" s="25" t="s">
        <v>8431</v>
      </c>
      <c r="C3351" s="25" t="s">
        <v>8432</v>
      </c>
      <c r="D3351" s="25" t="s">
        <v>1719</v>
      </c>
      <c r="E3351" s="26" t="b">
        <v>1</v>
      </c>
      <c r="F3351" s="27" t="str">
        <f>HYPERLINK("http://nsgreg.nga.mil/genc/view?v=213003&amp;end_month=12&amp;end_day=31&amp;end_year=2014","Pampanga")</f>
        <v>Pampanga</v>
      </c>
      <c r="G3351" s="28" t="str">
        <f>HYPERLINK("http://api.nsgreg.nga.mil/geo-division/GENC/6/ed3/PH-PAM","as:GENC:6:ed3:PH-PAM")</f>
        <v>as:GENC:6:ed3:PH-PAM</v>
      </c>
    </row>
    <row r="3352" spans="1:7" x14ac:dyDescent="0.2">
      <c r="A3352" s="85"/>
      <c r="B3352" s="25" t="s">
        <v>8433</v>
      </c>
      <c r="C3352" s="25" t="s">
        <v>8434</v>
      </c>
      <c r="D3352" s="25" t="s">
        <v>1719</v>
      </c>
      <c r="E3352" s="26" t="b">
        <v>1</v>
      </c>
      <c r="F3352" s="27" t="str">
        <f>HYPERLINK("http://nsgreg.nga.mil/genc/view?v=213004&amp;end_month=12&amp;end_day=31&amp;end_year=2014","Pangasinan")</f>
        <v>Pangasinan</v>
      </c>
      <c r="G3352" s="28" t="str">
        <f>HYPERLINK("http://api.nsgreg.nga.mil/geo-division/GENC/6/ed3/PH-PAN","as:GENC:6:ed3:PH-PAN")</f>
        <v>as:GENC:6:ed3:PH-PAN</v>
      </c>
    </row>
    <row r="3353" spans="1:7" x14ac:dyDescent="0.2">
      <c r="A3353" s="85"/>
      <c r="B3353" s="25" t="s">
        <v>13190</v>
      </c>
      <c r="C3353" s="25" t="s">
        <v>13191</v>
      </c>
      <c r="D3353" s="25" t="s">
        <v>13123</v>
      </c>
      <c r="E3353" s="26" t="b">
        <v>1</v>
      </c>
      <c r="F3353" s="27" t="str">
        <f>HYPERLINK("http://nsgreg.nga.mil/genc/view?v=213005&amp;end_month=12&amp;end_day=31&amp;end_year=2014","Parañaque")</f>
        <v>Parañaque</v>
      </c>
      <c r="G3353" s="28" t="str">
        <f>HYPERLINK("http://api.nsgreg.nga.mil/geo-division/GENC/6/ed3/PH-PAR","as:GENC:6:ed3:PH-PAR")</f>
        <v>as:GENC:6:ed3:PH-PAR</v>
      </c>
    </row>
    <row r="3354" spans="1:7" x14ac:dyDescent="0.2">
      <c r="A3354" s="85"/>
      <c r="B3354" s="25" t="s">
        <v>13192</v>
      </c>
      <c r="C3354" s="25" t="s">
        <v>13193</v>
      </c>
      <c r="D3354" s="25" t="s">
        <v>13123</v>
      </c>
      <c r="E3354" s="26" t="b">
        <v>1</v>
      </c>
      <c r="F3354" s="27" t="str">
        <f>HYPERLINK("http://nsgreg.nga.mil/genc/view?v=213006&amp;end_month=12&amp;end_day=31&amp;end_year=2014","Pasay")</f>
        <v>Pasay</v>
      </c>
      <c r="G3354" s="28" t="str">
        <f>HYPERLINK("http://api.nsgreg.nga.mil/geo-division/GENC/6/ed3/PH-PAS","as:GENC:6:ed3:PH-PAS")</f>
        <v>as:GENC:6:ed3:PH-PAS</v>
      </c>
    </row>
    <row r="3355" spans="1:7" x14ac:dyDescent="0.2">
      <c r="A3355" s="85"/>
      <c r="B3355" s="25" t="s">
        <v>13194</v>
      </c>
      <c r="C3355" s="25" t="s">
        <v>13195</v>
      </c>
      <c r="D3355" s="25" t="s">
        <v>13123</v>
      </c>
      <c r="E3355" s="26" t="b">
        <v>1</v>
      </c>
      <c r="F3355" s="27" t="str">
        <f>HYPERLINK("http://nsgreg.nga.mil/genc/view?v=213009&amp;end_month=12&amp;end_day=31&amp;end_year=2014","Pasig")</f>
        <v>Pasig</v>
      </c>
      <c r="G3355" s="28" t="str">
        <f>HYPERLINK("http://api.nsgreg.nga.mil/geo-division/GENC/6/ed3/PH-PSG","as:GENC:6:ed3:PH-PSG")</f>
        <v>as:GENC:6:ed3:PH-PSG</v>
      </c>
    </row>
    <row r="3356" spans="1:7" x14ac:dyDescent="0.2">
      <c r="A3356" s="85"/>
      <c r="B3356" s="25" t="s">
        <v>13196</v>
      </c>
      <c r="C3356" s="25" t="s">
        <v>13197</v>
      </c>
      <c r="D3356" s="25" t="s">
        <v>13123</v>
      </c>
      <c r="E3356" s="26" t="b">
        <v>1</v>
      </c>
      <c r="F3356" s="27" t="str">
        <f>HYPERLINK("http://nsgreg.nga.mil/genc/view?v=213008&amp;end_month=12&amp;end_day=31&amp;end_year=2014","Puerto Princesa")</f>
        <v>Puerto Princesa</v>
      </c>
      <c r="G3356" s="28" t="str">
        <f>HYPERLINK("http://api.nsgreg.nga.mil/geo-division/GENC/6/ed3/PH-PPR","as:GENC:6:ed3:PH-PPR")</f>
        <v>as:GENC:6:ed3:PH-PPR</v>
      </c>
    </row>
    <row r="3357" spans="1:7" x14ac:dyDescent="0.2">
      <c r="A3357" s="85"/>
      <c r="B3357" s="25" t="s">
        <v>13198</v>
      </c>
      <c r="C3357" s="25" t="s">
        <v>8436</v>
      </c>
      <c r="D3357" s="25" t="s">
        <v>13123</v>
      </c>
      <c r="E3357" s="26" t="b">
        <v>1</v>
      </c>
      <c r="F3357" s="27" t="str">
        <f>HYPERLINK("http://nsgreg.nga.mil/genc/view?v=213012&amp;end_month=12&amp;end_day=31&amp;end_year=2014","Quezon")</f>
        <v>Quezon</v>
      </c>
      <c r="G3357" s="28" t="str">
        <f>HYPERLINK("http://api.nsgreg.nga.mil/geo-division/GENC/6/ed3/PH-QZN","as:GENC:6:ed3:PH-QZN")</f>
        <v>as:GENC:6:ed3:PH-QZN</v>
      </c>
    </row>
    <row r="3358" spans="1:7" x14ac:dyDescent="0.2">
      <c r="A3358" s="85"/>
      <c r="B3358" s="25" t="s">
        <v>8378</v>
      </c>
      <c r="C3358" s="25" t="s">
        <v>8436</v>
      </c>
      <c r="D3358" s="25" t="s">
        <v>1719</v>
      </c>
      <c r="E3358" s="26" t="b">
        <v>1</v>
      </c>
      <c r="F3358" s="27" t="str">
        <f>HYPERLINK("http://nsgreg.nga.mil/genc/view?v=213010&amp;end_month=12&amp;end_day=31&amp;end_year=2014","Quezon")</f>
        <v>Quezon</v>
      </c>
      <c r="G3358" s="28" t="str">
        <f>HYPERLINK("http://api.nsgreg.nga.mil/geo-division/GENC/6/ed3/PH-QUE","as:GENC:6:ed3:PH-QUE")</f>
        <v>as:GENC:6:ed3:PH-QUE</v>
      </c>
    </row>
    <row r="3359" spans="1:7" x14ac:dyDescent="0.2">
      <c r="A3359" s="85"/>
      <c r="B3359" s="25" t="s">
        <v>8380</v>
      </c>
      <c r="C3359" s="25" t="s">
        <v>8437</v>
      </c>
      <c r="D3359" s="25" t="s">
        <v>1719</v>
      </c>
      <c r="E3359" s="26" t="b">
        <v>1</v>
      </c>
      <c r="F3359" s="27" t="str">
        <f>HYPERLINK("http://nsgreg.nga.mil/genc/view?v=213011&amp;end_month=12&amp;end_day=31&amp;end_year=2014","Quirino")</f>
        <v>Quirino</v>
      </c>
      <c r="G3359" s="28" t="str">
        <f>HYPERLINK("http://api.nsgreg.nga.mil/geo-division/GENC/6/ed3/PH-QUI","as:GENC:6:ed3:PH-QUI")</f>
        <v>as:GENC:6:ed3:PH-QUI</v>
      </c>
    </row>
    <row r="3360" spans="1:7" x14ac:dyDescent="0.2">
      <c r="A3360" s="85"/>
      <c r="B3360" s="25" t="s">
        <v>8456</v>
      </c>
      <c r="C3360" s="25" t="s">
        <v>8458</v>
      </c>
      <c r="D3360" s="25" t="s">
        <v>1719</v>
      </c>
      <c r="E3360" s="26" t="b">
        <v>1</v>
      </c>
      <c r="F3360" s="27" t="str">
        <f>HYPERLINK("http://nsgreg.nga.mil/genc/view?v=213013&amp;end_month=12&amp;end_day=31&amp;end_year=2014","Rizal")</f>
        <v>Rizal</v>
      </c>
      <c r="G3360" s="28" t="str">
        <f>HYPERLINK("http://api.nsgreg.nga.mil/geo-division/GENC/6/ed3/PH-RIZ","as:GENC:6:ed3:PH-RIZ")</f>
        <v>as:GENC:6:ed3:PH-RIZ</v>
      </c>
    </row>
    <row r="3361" spans="1:7" x14ac:dyDescent="0.2">
      <c r="A3361" s="85"/>
      <c r="B3361" s="25" t="s">
        <v>8459</v>
      </c>
      <c r="C3361" s="25" t="s">
        <v>8460</v>
      </c>
      <c r="D3361" s="25" t="s">
        <v>1719</v>
      </c>
      <c r="E3361" s="26" t="b">
        <v>1</v>
      </c>
      <c r="F3361" s="27" t="str">
        <f>HYPERLINK("http://nsgreg.nga.mil/genc/view?v=213014&amp;end_month=12&amp;end_day=31&amp;end_year=2014","Romblon")</f>
        <v>Romblon</v>
      </c>
      <c r="G3361" s="28" t="str">
        <f>HYPERLINK("http://api.nsgreg.nga.mil/geo-division/GENC/6/ed3/PH-ROM","as:GENC:6:ed3:PH-ROM")</f>
        <v>as:GENC:6:ed3:PH-ROM</v>
      </c>
    </row>
    <row r="3362" spans="1:7" x14ac:dyDescent="0.2">
      <c r="A3362" s="85"/>
      <c r="B3362" s="25" t="s">
        <v>8461</v>
      </c>
      <c r="C3362" s="25" t="s">
        <v>8462</v>
      </c>
      <c r="D3362" s="25" t="s">
        <v>1719</v>
      </c>
      <c r="E3362" s="26" t="b">
        <v>1</v>
      </c>
      <c r="F3362" s="27" t="str">
        <f>HYPERLINK("http://nsgreg.nga.mil/genc/view?v=213031&amp;end_month=12&amp;end_day=31&amp;end_year=2014","Samar")</f>
        <v>Samar</v>
      </c>
      <c r="G3362" s="28" t="str">
        <f>HYPERLINK("http://api.nsgreg.nga.mil/geo-division/GENC/6/ed3/PH-WSA","as:GENC:6:ed3:PH-WSA")</f>
        <v>as:GENC:6:ed3:PH-WSA</v>
      </c>
    </row>
    <row r="3363" spans="1:7" x14ac:dyDescent="0.2">
      <c r="A3363" s="85"/>
      <c r="B3363" s="25" t="s">
        <v>13199</v>
      </c>
      <c r="C3363" s="25" t="s">
        <v>2072</v>
      </c>
      <c r="D3363" s="25" t="s">
        <v>13123</v>
      </c>
      <c r="E3363" s="26" t="b">
        <v>1</v>
      </c>
      <c r="F3363" s="27" t="str">
        <f>HYPERLINK("http://nsgreg.nga.mil/genc/view?v=213021&amp;end_month=12&amp;end_day=31&amp;end_year=2014","San Juan")</f>
        <v>San Juan</v>
      </c>
      <c r="G3363" s="28" t="str">
        <f>HYPERLINK("http://api.nsgreg.nga.mil/geo-division/GENC/6/ed3/PH-SNJ","as:GENC:6:ed3:PH-SNJ")</f>
        <v>as:GENC:6:ed3:PH-SNJ</v>
      </c>
    </row>
    <row r="3364" spans="1:7" x14ac:dyDescent="0.2">
      <c r="A3364" s="85"/>
      <c r="B3364" s="25" t="s">
        <v>13200</v>
      </c>
      <c r="C3364" s="25" t="s">
        <v>3944</v>
      </c>
      <c r="D3364" s="25" t="s">
        <v>13126</v>
      </c>
      <c r="E3364" s="26" t="b">
        <v>1</v>
      </c>
      <c r="F3364" s="27" t="str">
        <f>HYPERLINK("http://nsgreg.nga.mil/genc/view?v=213015&amp;end_month=12&amp;end_day=31&amp;end_year=2014","Santiago")</f>
        <v>Santiago</v>
      </c>
      <c r="G3364" s="28" t="str">
        <f>HYPERLINK("http://api.nsgreg.nga.mil/geo-division/GENC/6/ed3/PH-SAN","as:GENC:6:ed3:PH-SAN")</f>
        <v>as:GENC:6:ed3:PH-SAN</v>
      </c>
    </row>
    <row r="3365" spans="1:7" x14ac:dyDescent="0.2">
      <c r="A3365" s="85"/>
      <c r="B3365" s="25" t="s">
        <v>8468</v>
      </c>
      <c r="C3365" s="25" t="s">
        <v>8469</v>
      </c>
      <c r="D3365" s="25" t="s">
        <v>1719</v>
      </c>
      <c r="E3365" s="26" t="b">
        <v>1</v>
      </c>
      <c r="F3365" s="27" t="str">
        <f>HYPERLINK("http://nsgreg.nga.mil/genc/view?v=213016&amp;end_month=12&amp;end_day=31&amp;end_year=2014","Sarangani")</f>
        <v>Sarangani</v>
      </c>
      <c r="G3365" s="28" t="str">
        <f>HYPERLINK("http://api.nsgreg.nga.mil/geo-division/GENC/6/ed3/PH-SAR","as:GENC:6:ed3:PH-SAR")</f>
        <v>as:GENC:6:ed3:PH-SAR</v>
      </c>
    </row>
    <row r="3366" spans="1:7" x14ac:dyDescent="0.2">
      <c r="A3366" s="85"/>
      <c r="B3366" s="25" t="s">
        <v>8471</v>
      </c>
      <c r="C3366" s="25" t="s">
        <v>8478</v>
      </c>
      <c r="D3366" s="25" t="s">
        <v>1719</v>
      </c>
      <c r="E3366" s="26" t="b">
        <v>1</v>
      </c>
      <c r="F3366" s="27" t="str">
        <f>HYPERLINK("http://nsgreg.nga.mil/genc/view?v=213018&amp;end_month=12&amp;end_day=31&amp;end_year=2014","Siquijor")</f>
        <v>Siquijor</v>
      </c>
      <c r="G3366" s="28" t="str">
        <f>HYPERLINK("http://api.nsgreg.nga.mil/geo-division/GENC/6/ed3/PH-SIG","as:GENC:6:ed3:PH-SIG")</f>
        <v>as:GENC:6:ed3:PH-SIG</v>
      </c>
    </row>
    <row r="3367" spans="1:7" x14ac:dyDescent="0.2">
      <c r="A3367" s="85"/>
      <c r="B3367" s="25" t="s">
        <v>8452</v>
      </c>
      <c r="C3367" s="25" t="s">
        <v>13201</v>
      </c>
      <c r="D3367" s="37" t="s">
        <v>2087</v>
      </c>
      <c r="E3367" s="38" t="b">
        <v>0</v>
      </c>
      <c r="F3367" s="27" t="str">
        <f>HYPERLINK("http://nsgreg.nga.mil/genc/view?v=212912&amp;end_month=12&amp;end_day=31&amp;end_year=2014","SOCCSKSARGEN Region")</f>
        <v>SOCCSKSARGEN Region</v>
      </c>
      <c r="G3367" s="28" t="str">
        <f>HYPERLINK("http://api.nsgreg.nga.mil/geo-division/GENC/6/ed3/PH-12","as:GENC:6:ed3:PH-12")</f>
        <v>as:GENC:6:ed3:PH-12</v>
      </c>
    </row>
    <row r="3368" spans="1:7" x14ac:dyDescent="0.2">
      <c r="A3368" s="85"/>
      <c r="B3368" s="25" t="s">
        <v>8480</v>
      </c>
      <c r="C3368" s="25" t="s">
        <v>8481</v>
      </c>
      <c r="D3368" s="25" t="s">
        <v>1719</v>
      </c>
      <c r="E3368" s="26" t="b">
        <v>1</v>
      </c>
      <c r="F3368" s="27" t="str">
        <f>HYPERLINK("http://nsgreg.nga.mil/genc/view?v=213022&amp;end_month=12&amp;end_day=31&amp;end_year=2014","Sorsogon")</f>
        <v>Sorsogon</v>
      </c>
      <c r="G3368" s="28" t="str">
        <f>HYPERLINK("http://api.nsgreg.nga.mil/geo-division/GENC/6/ed3/PH-SOR","as:GENC:6:ed3:PH-SOR")</f>
        <v>as:GENC:6:ed3:PH-SOR</v>
      </c>
    </row>
    <row r="3369" spans="1:7" x14ac:dyDescent="0.2">
      <c r="A3369" s="85"/>
      <c r="B3369" s="25" t="s">
        <v>8482</v>
      </c>
      <c r="C3369" s="25" t="s">
        <v>8483</v>
      </c>
      <c r="D3369" s="25" t="s">
        <v>1719</v>
      </c>
      <c r="E3369" s="26" t="b">
        <v>1</v>
      </c>
      <c r="F3369" s="27" t="str">
        <f>HYPERLINK("http://nsgreg.nga.mil/genc/view?v=213017&amp;end_month=12&amp;end_day=31&amp;end_year=2014","South Cotabato")</f>
        <v>South Cotabato</v>
      </c>
      <c r="G3369" s="28" t="str">
        <f>HYPERLINK("http://api.nsgreg.nga.mil/geo-division/GENC/6/ed3/PH-SCO","as:GENC:6:ed3:PH-SCO")</f>
        <v>as:GENC:6:ed3:PH-SCO</v>
      </c>
    </row>
    <row r="3370" spans="1:7" x14ac:dyDescent="0.2">
      <c r="A3370" s="85"/>
      <c r="B3370" s="25" t="s">
        <v>8376</v>
      </c>
      <c r="C3370" s="25" t="s">
        <v>8484</v>
      </c>
      <c r="D3370" s="25" t="s">
        <v>1719</v>
      </c>
      <c r="E3370" s="26" t="b">
        <v>1</v>
      </c>
      <c r="F3370" s="27" t="str">
        <f>HYPERLINK("http://nsgreg.nga.mil/genc/view?v=213019&amp;end_month=12&amp;end_day=31&amp;end_year=2014","Southern Leyte")</f>
        <v>Southern Leyte</v>
      </c>
      <c r="G3370" s="28" t="str">
        <f>HYPERLINK("http://api.nsgreg.nga.mil/geo-division/GENC/6/ed3/PH-SLE","as:GENC:6:ed3:PH-SLE")</f>
        <v>as:GENC:6:ed3:PH-SLE</v>
      </c>
    </row>
    <row r="3371" spans="1:7" x14ac:dyDescent="0.2">
      <c r="A3371" s="85"/>
      <c r="B3371" s="25" t="s">
        <v>8485</v>
      </c>
      <c r="C3371" s="25" t="s">
        <v>8486</v>
      </c>
      <c r="D3371" s="25" t="s">
        <v>1719</v>
      </c>
      <c r="E3371" s="26" t="b">
        <v>1</v>
      </c>
      <c r="F3371" s="27" t="str">
        <f>HYPERLINK("http://nsgreg.nga.mil/genc/view?v=213023&amp;end_month=12&amp;end_day=31&amp;end_year=2014","Sultan Kudarat")</f>
        <v>Sultan Kudarat</v>
      </c>
      <c r="G3371" s="28" t="str">
        <f>HYPERLINK("http://api.nsgreg.nga.mil/geo-division/GENC/6/ed3/PH-SUK","as:GENC:6:ed3:PH-SUK")</f>
        <v>as:GENC:6:ed3:PH-SUK</v>
      </c>
    </row>
    <row r="3372" spans="1:7" x14ac:dyDescent="0.2">
      <c r="A3372" s="85"/>
      <c r="B3372" s="25" t="s">
        <v>8487</v>
      </c>
      <c r="C3372" s="25" t="s">
        <v>8488</v>
      </c>
      <c r="D3372" s="25" t="s">
        <v>1719</v>
      </c>
      <c r="E3372" s="26" t="b">
        <v>1</v>
      </c>
      <c r="F3372" s="27" t="str">
        <f>HYPERLINK("http://nsgreg.nga.mil/genc/view?v=213020&amp;end_month=12&amp;end_day=31&amp;end_year=2014","Sulu")</f>
        <v>Sulu</v>
      </c>
      <c r="G3372" s="28" t="str">
        <f>HYPERLINK("http://api.nsgreg.nga.mil/geo-division/GENC/6/ed3/PH-SLU","as:GENC:6:ed3:PH-SLU")</f>
        <v>as:GENC:6:ed3:PH-SLU</v>
      </c>
    </row>
    <row r="3373" spans="1:7" x14ac:dyDescent="0.2">
      <c r="A3373" s="85"/>
      <c r="B3373" s="25" t="s">
        <v>8349</v>
      </c>
      <c r="C3373" s="25" t="s">
        <v>8489</v>
      </c>
      <c r="D3373" s="25" t="s">
        <v>1719</v>
      </c>
      <c r="E3373" s="26" t="b">
        <v>1</v>
      </c>
      <c r="F3373" s="27" t="str">
        <f>HYPERLINK("http://nsgreg.nga.mil/genc/view?v=213024&amp;end_month=12&amp;end_day=31&amp;end_year=2014","Surigao del Norte")</f>
        <v>Surigao del Norte</v>
      </c>
      <c r="G3373" s="28" t="str">
        <f>HYPERLINK("http://api.nsgreg.nga.mil/geo-division/GENC/6/ed3/PH-SUN","as:GENC:6:ed3:PH-SUN")</f>
        <v>as:GENC:6:ed3:PH-SUN</v>
      </c>
    </row>
    <row r="3374" spans="1:7" x14ac:dyDescent="0.2">
      <c r="A3374" s="85"/>
      <c r="B3374" s="25" t="s">
        <v>8490</v>
      </c>
      <c r="C3374" s="25" t="s">
        <v>8491</v>
      </c>
      <c r="D3374" s="25" t="s">
        <v>1719</v>
      </c>
      <c r="E3374" s="26" t="b">
        <v>1</v>
      </c>
      <c r="F3374" s="27" t="str">
        <f>HYPERLINK("http://nsgreg.nga.mil/genc/view?v=213025&amp;end_month=12&amp;end_day=31&amp;end_year=2014","Surigao del Sur")</f>
        <v>Surigao del Sur</v>
      </c>
      <c r="G3374" s="28" t="str">
        <f>HYPERLINK("http://api.nsgreg.nga.mil/geo-division/GENC/6/ed3/PH-SUR","as:GENC:6:ed3:PH-SUR")</f>
        <v>as:GENC:6:ed3:PH-SUR</v>
      </c>
    </row>
    <row r="3375" spans="1:7" x14ac:dyDescent="0.2">
      <c r="A3375" s="85"/>
      <c r="B3375" s="25" t="s">
        <v>13202</v>
      </c>
      <c r="C3375" s="25" t="s">
        <v>13203</v>
      </c>
      <c r="D3375" s="25" t="s">
        <v>13123</v>
      </c>
      <c r="E3375" s="26" t="b">
        <v>1</v>
      </c>
      <c r="F3375" s="27" t="str">
        <f>HYPERLINK("http://nsgreg.nga.mil/genc/view?v=213026&amp;end_month=12&amp;end_day=31&amp;end_year=2014","Tacloban")</f>
        <v>Tacloban</v>
      </c>
      <c r="G3375" s="28" t="str">
        <f>HYPERLINK("http://api.nsgreg.nga.mil/geo-division/GENC/6/ed3/PH-TAC","as:GENC:6:ed3:PH-TAC")</f>
        <v>as:GENC:6:ed3:PH-TAC</v>
      </c>
    </row>
    <row r="3376" spans="1:7" x14ac:dyDescent="0.2">
      <c r="A3376" s="85"/>
      <c r="B3376" s="25" t="s">
        <v>13204</v>
      </c>
      <c r="C3376" s="25" t="s">
        <v>13205</v>
      </c>
      <c r="D3376" s="25" t="s">
        <v>13123</v>
      </c>
      <c r="E3376" s="26" t="b">
        <v>1</v>
      </c>
      <c r="F3376" s="27" t="str">
        <f>HYPERLINK("http://nsgreg.nga.mil/genc/view?v=213027&amp;end_month=12&amp;end_day=31&amp;end_year=2014","Taguig")</f>
        <v>Taguig</v>
      </c>
      <c r="G3376" s="28" t="str">
        <f>HYPERLINK("http://api.nsgreg.nga.mil/geo-division/GENC/6/ed3/PH-TAG","as:GENC:6:ed3:PH-TAG")</f>
        <v>as:GENC:6:ed3:PH-TAG</v>
      </c>
    </row>
    <row r="3377" spans="1:7" x14ac:dyDescent="0.2">
      <c r="A3377" s="85"/>
      <c r="B3377" s="25" t="s">
        <v>8492</v>
      </c>
      <c r="C3377" s="25" t="s">
        <v>8493</v>
      </c>
      <c r="D3377" s="25" t="s">
        <v>1719</v>
      </c>
      <c r="E3377" s="26" t="b">
        <v>1</v>
      </c>
      <c r="F3377" s="27" t="str">
        <f>HYPERLINK("http://nsgreg.nga.mil/genc/view?v=213028&amp;end_month=12&amp;end_day=31&amp;end_year=2014","Tarlac")</f>
        <v>Tarlac</v>
      </c>
      <c r="G3377" s="28" t="str">
        <f>HYPERLINK("http://api.nsgreg.nga.mil/geo-division/GENC/6/ed3/PH-TAR","as:GENC:6:ed3:PH-TAR")</f>
        <v>as:GENC:6:ed3:PH-TAR</v>
      </c>
    </row>
    <row r="3378" spans="1:7" x14ac:dyDescent="0.2">
      <c r="A3378" s="85"/>
      <c r="B3378" s="25" t="s">
        <v>8495</v>
      </c>
      <c r="C3378" s="25" t="s">
        <v>8496</v>
      </c>
      <c r="D3378" s="25" t="s">
        <v>1719</v>
      </c>
      <c r="E3378" s="26" t="b">
        <v>1</v>
      </c>
      <c r="F3378" s="27" t="str">
        <f>HYPERLINK("http://nsgreg.nga.mil/genc/view?v=213029&amp;end_month=12&amp;end_day=31&amp;end_year=2014","Tawi-Tawi")</f>
        <v>Tawi-Tawi</v>
      </c>
      <c r="G3378" s="28" t="str">
        <f>HYPERLINK("http://api.nsgreg.nga.mil/geo-division/GENC/6/ed3/PH-TAW","as:GENC:6:ed3:PH-TAW")</f>
        <v>as:GENC:6:ed3:PH-TAW</v>
      </c>
    </row>
    <row r="3379" spans="1:7" x14ac:dyDescent="0.2">
      <c r="A3379" s="85"/>
      <c r="B3379" s="25" t="s">
        <v>13206</v>
      </c>
      <c r="C3379" s="25" t="s">
        <v>13207</v>
      </c>
      <c r="D3379" s="25" t="s">
        <v>13123</v>
      </c>
      <c r="E3379" s="26" t="b">
        <v>1</v>
      </c>
      <c r="F3379" s="27" t="str">
        <f>HYPERLINK("http://nsgreg.nga.mil/genc/view?v=213030&amp;end_month=12&amp;end_day=31&amp;end_year=2014","Valenzuela")</f>
        <v>Valenzuela</v>
      </c>
      <c r="G3379" s="28" t="str">
        <f>HYPERLINK("http://api.nsgreg.nga.mil/geo-division/GENC/6/ed3/PH-VAL","as:GENC:6:ed3:PH-VAL")</f>
        <v>as:GENC:6:ed3:PH-VAL</v>
      </c>
    </row>
    <row r="3380" spans="1:7" x14ac:dyDescent="0.2">
      <c r="A3380" s="85"/>
      <c r="B3380" s="25" t="s">
        <v>8446</v>
      </c>
      <c r="C3380" s="25" t="s">
        <v>13208</v>
      </c>
      <c r="D3380" s="37" t="s">
        <v>2087</v>
      </c>
      <c r="E3380" s="38" t="b">
        <v>0</v>
      </c>
      <c r="F3380" s="27" t="str">
        <f>HYPERLINK("http://nsgreg.nga.mil/genc/view?v=212906&amp;end_month=12&amp;end_day=31&amp;end_year=2014","Western Visayas")</f>
        <v>Western Visayas</v>
      </c>
      <c r="G3380" s="28" t="str">
        <f>HYPERLINK("http://api.nsgreg.nga.mil/geo-division/GENC/6/ed3/PH-06","as:GENC:6:ed3:PH-06")</f>
        <v>as:GENC:6:ed3:PH-06</v>
      </c>
    </row>
    <row r="3381" spans="1:7" x14ac:dyDescent="0.2">
      <c r="A3381" s="85"/>
      <c r="B3381" s="25" t="s">
        <v>8464</v>
      </c>
      <c r="C3381" s="25" t="s">
        <v>8507</v>
      </c>
      <c r="D3381" s="25" t="s">
        <v>1719</v>
      </c>
      <c r="E3381" s="26" t="b">
        <v>1</v>
      </c>
      <c r="F3381" s="27" t="str">
        <f>HYPERLINK("http://nsgreg.nga.mil/genc/view?v=213035&amp;end_month=12&amp;end_day=31&amp;end_year=2014","Zambales")</f>
        <v>Zambales</v>
      </c>
      <c r="G3381" s="28" t="str">
        <f>HYPERLINK("http://api.nsgreg.nga.mil/geo-division/GENC/6/ed3/PH-ZMB","as:GENC:6:ed3:PH-ZMB")</f>
        <v>as:GENC:6:ed3:PH-ZMB</v>
      </c>
    </row>
    <row r="3382" spans="1:7" x14ac:dyDescent="0.2">
      <c r="A3382" s="85"/>
      <c r="B3382" s="25" t="s">
        <v>13209</v>
      </c>
      <c r="C3382" s="25" t="s">
        <v>13210</v>
      </c>
      <c r="D3382" s="25" t="s">
        <v>13123</v>
      </c>
      <c r="E3382" s="26" t="b">
        <v>1</v>
      </c>
      <c r="F3382" s="27" t="str">
        <f>HYPERLINK("http://nsgreg.nga.mil/genc/view?v=213032&amp;end_month=12&amp;end_day=31&amp;end_year=2014","Zamboanga")</f>
        <v>Zamboanga</v>
      </c>
      <c r="G3382" s="28" t="str">
        <f>HYPERLINK("http://api.nsgreg.nga.mil/geo-division/GENC/6/ed3/PH-ZAM","as:GENC:6:ed3:PH-ZAM")</f>
        <v>as:GENC:6:ed3:PH-ZAM</v>
      </c>
    </row>
    <row r="3383" spans="1:7" x14ac:dyDescent="0.2">
      <c r="A3383" s="85"/>
      <c r="B3383" s="25" t="s">
        <v>8347</v>
      </c>
      <c r="C3383" s="25" t="s">
        <v>8510</v>
      </c>
      <c r="D3383" s="25" t="s">
        <v>1719</v>
      </c>
      <c r="E3383" s="26" t="b">
        <v>1</v>
      </c>
      <c r="F3383" s="27" t="str">
        <f>HYPERLINK("http://nsgreg.nga.mil/genc/view?v=213033&amp;end_month=12&amp;end_day=31&amp;end_year=2014","Zamboanga del Norte")</f>
        <v>Zamboanga del Norte</v>
      </c>
      <c r="G3383" s="28" t="str">
        <f>HYPERLINK("http://api.nsgreg.nga.mil/geo-division/GENC/6/ed3/PH-ZAN","as:GENC:6:ed3:PH-ZAN")</f>
        <v>as:GENC:6:ed3:PH-ZAN</v>
      </c>
    </row>
    <row r="3384" spans="1:7" x14ac:dyDescent="0.2">
      <c r="A3384" s="85"/>
      <c r="B3384" s="25" t="s">
        <v>8503</v>
      </c>
      <c r="C3384" s="25" t="s">
        <v>8511</v>
      </c>
      <c r="D3384" s="25" t="s">
        <v>1719</v>
      </c>
      <c r="E3384" s="26" t="b">
        <v>1</v>
      </c>
      <c r="F3384" s="27" t="str">
        <f>HYPERLINK("http://nsgreg.nga.mil/genc/view?v=213034&amp;end_month=12&amp;end_day=31&amp;end_year=2014","Zamboanga del Sur")</f>
        <v>Zamboanga del Sur</v>
      </c>
      <c r="G3384" s="28" t="str">
        <f>HYPERLINK("http://api.nsgreg.nga.mil/geo-division/GENC/6/ed3/PH-ZAS","as:GENC:6:ed3:PH-ZAS")</f>
        <v>as:GENC:6:ed3:PH-ZAS</v>
      </c>
    </row>
    <row r="3385" spans="1:7" x14ac:dyDescent="0.2">
      <c r="A3385" s="85"/>
      <c r="B3385" s="25" t="s">
        <v>8454</v>
      </c>
      <c r="C3385" s="25" t="s">
        <v>13211</v>
      </c>
      <c r="D3385" s="37" t="s">
        <v>2087</v>
      </c>
      <c r="E3385" s="38" t="b">
        <v>0</v>
      </c>
      <c r="F3385" s="27" t="str">
        <f>HYPERLINK("http://nsgreg.nga.mil/genc/view?v=212909&amp;end_month=12&amp;end_day=31&amp;end_year=2014","Zamboanga Peninsula")</f>
        <v>Zamboanga Peninsula</v>
      </c>
      <c r="G3385" s="28" t="str">
        <f>HYPERLINK("http://api.nsgreg.nga.mil/geo-division/GENC/6/ed3/PH-09","as:GENC:6:ed3:PH-09")</f>
        <v>as:GENC:6:ed3:PH-09</v>
      </c>
    </row>
    <row r="3386" spans="1:7" x14ac:dyDescent="0.2">
      <c r="A3386" s="86"/>
      <c r="B3386" s="29" t="s">
        <v>8466</v>
      </c>
      <c r="C3386" s="29" t="s">
        <v>8509</v>
      </c>
      <c r="D3386" s="29" t="s">
        <v>1719</v>
      </c>
      <c r="E3386" s="30" t="b">
        <v>1</v>
      </c>
      <c r="F3386" s="31" t="str">
        <f>HYPERLINK("http://nsgreg.nga.mil/genc/view?v=213036&amp;end_month=12&amp;end_day=31&amp;end_year=2014","Zamboanga Sibugay")</f>
        <v>Zamboanga Sibugay</v>
      </c>
      <c r="G3386" s="32" t="str">
        <f>HYPERLINK("http://api.nsgreg.nga.mil/geo-division/GENC/6/ed3/PH-ZSI","as:GENC:6:ed3:PH-ZSI")</f>
        <v>as:GENC:6:ed3:PH-ZSI</v>
      </c>
    </row>
    <row r="3387" spans="1:7" x14ac:dyDescent="0.2">
      <c r="A3387" s="84" t="str">
        <f>HYPERLINK("[#]Codes_for_GE_Names!A206:I206","POLAND")</f>
        <v>POLAND</v>
      </c>
      <c r="B3387" s="33" t="s">
        <v>8512</v>
      </c>
      <c r="C3387" s="33" t="s">
        <v>8513</v>
      </c>
      <c r="D3387" s="33" t="s">
        <v>1719</v>
      </c>
      <c r="E3387" s="34" t="b">
        <v>1</v>
      </c>
      <c r="F3387" s="35" t="str">
        <f>HYPERLINK("http://nsgreg.nga.mil/genc/view?v=121479&amp;gencs=T&amp;end_month=12&amp;end_day=31&amp;end_year=2014","Dolnośląskie")</f>
        <v>Dolnośląskie</v>
      </c>
      <c r="G3387" s="36" t="str">
        <f>HYPERLINK("http://api.nsgreg.nga.mil/geo-division/GENC/6/ed3/PL-DS","as:GENC:6:ed3:PL-DS")</f>
        <v>as:GENC:6:ed3:PL-DS</v>
      </c>
    </row>
    <row r="3388" spans="1:7" x14ac:dyDescent="0.2">
      <c r="A3388" s="85"/>
      <c r="B3388" s="25" t="s">
        <v>8514</v>
      </c>
      <c r="C3388" s="25" t="s">
        <v>13212</v>
      </c>
      <c r="D3388" s="25" t="s">
        <v>1719</v>
      </c>
      <c r="E3388" s="26" t="b">
        <v>1</v>
      </c>
      <c r="F3388" s="27" t="str">
        <f>HYPERLINK("http://nsgreg.nga.mil/genc/view?v=213045&amp;end_month=12&amp;end_day=31&amp;end_year=2014","Kujawsko-Pomorskie")</f>
        <v>Kujawsko-Pomorskie</v>
      </c>
      <c r="G3388" s="28" t="str">
        <f>HYPERLINK("http://api.nsgreg.nga.mil/geo-division/GENC/6/ed3/PL-KP","as:GENC:6:ed3:PL-KP")</f>
        <v>as:GENC:6:ed3:PL-KP</v>
      </c>
    </row>
    <row r="3389" spans="1:7" x14ac:dyDescent="0.2">
      <c r="A3389" s="85"/>
      <c r="B3389" s="25" t="s">
        <v>8538</v>
      </c>
      <c r="C3389" s="25" t="s">
        <v>8539</v>
      </c>
      <c r="D3389" s="25" t="s">
        <v>1719</v>
      </c>
      <c r="E3389" s="26" t="b">
        <v>1</v>
      </c>
      <c r="F3389" s="27" t="str">
        <f>HYPERLINK("http://nsgreg.nga.mil/genc/view?v=121482&amp;gencs=T&amp;end_month=12&amp;end_day=31&amp;end_year=2014","Łódzkie")</f>
        <v>Łódzkie</v>
      </c>
      <c r="G3389" s="28" t="str">
        <f>HYPERLINK("http://api.nsgreg.nga.mil/geo-division/GENC/6/ed3/PL-LD","as:GENC:6:ed3:PL-LD")</f>
        <v>as:GENC:6:ed3:PL-LD</v>
      </c>
    </row>
    <row r="3390" spans="1:7" x14ac:dyDescent="0.2">
      <c r="A3390" s="85"/>
      <c r="B3390" s="25" t="s">
        <v>8516</v>
      </c>
      <c r="C3390" s="25" t="s">
        <v>8517</v>
      </c>
      <c r="D3390" s="25" t="s">
        <v>1719</v>
      </c>
      <c r="E3390" s="26" t="b">
        <v>1</v>
      </c>
      <c r="F3390" s="27" t="str">
        <f>HYPERLINK("http://nsgreg.nga.mil/genc/view?v=121483&amp;gencs=T&amp;end_month=12&amp;end_day=31&amp;end_year=2014","Lubelskie")</f>
        <v>Lubelskie</v>
      </c>
      <c r="G3390" s="28" t="str">
        <f>HYPERLINK("http://api.nsgreg.nga.mil/geo-division/GENC/6/ed3/PL-LU","as:GENC:6:ed3:PL-LU")</f>
        <v>as:GENC:6:ed3:PL-LU</v>
      </c>
    </row>
    <row r="3391" spans="1:7" x14ac:dyDescent="0.2">
      <c r="A3391" s="85"/>
      <c r="B3391" s="25" t="s">
        <v>8518</v>
      </c>
      <c r="C3391" s="25" t="s">
        <v>8519</v>
      </c>
      <c r="D3391" s="25" t="s">
        <v>1719</v>
      </c>
      <c r="E3391" s="26" t="b">
        <v>1</v>
      </c>
      <c r="F3391" s="27" t="str">
        <f>HYPERLINK("http://nsgreg.nga.mil/genc/view?v=121481&amp;gencs=T&amp;end_month=12&amp;end_day=31&amp;end_year=2014","Lubuskie")</f>
        <v>Lubuskie</v>
      </c>
      <c r="G3391" s="28" t="str">
        <f>HYPERLINK("http://api.nsgreg.nga.mil/geo-division/GENC/6/ed3/PL-LB","as:GENC:6:ed3:PL-LB")</f>
        <v>as:GENC:6:ed3:PL-LB</v>
      </c>
    </row>
    <row r="3392" spans="1:7" x14ac:dyDescent="0.2">
      <c r="A3392" s="85"/>
      <c r="B3392" s="25" t="s">
        <v>8522</v>
      </c>
      <c r="C3392" s="25" t="s">
        <v>8523</v>
      </c>
      <c r="D3392" s="25" t="s">
        <v>1719</v>
      </c>
      <c r="E3392" s="26" t="b">
        <v>1</v>
      </c>
      <c r="F3392" s="27" t="str">
        <f>HYPERLINK("http://nsgreg.nga.mil/genc/view?v=121484&amp;gencs=T&amp;end_month=12&amp;end_day=31&amp;end_year=2014","Małopolskie")</f>
        <v>Małopolskie</v>
      </c>
      <c r="G3392" s="28" t="str">
        <f>HYPERLINK("http://api.nsgreg.nga.mil/geo-division/GENC/6/ed3/PL-MA","as:GENC:6:ed3:PL-MA")</f>
        <v>as:GENC:6:ed3:PL-MA</v>
      </c>
    </row>
    <row r="3393" spans="1:7" x14ac:dyDescent="0.2">
      <c r="A3393" s="85"/>
      <c r="B3393" s="25" t="s">
        <v>8520</v>
      </c>
      <c r="C3393" s="25" t="s">
        <v>8521</v>
      </c>
      <c r="D3393" s="25" t="s">
        <v>1719</v>
      </c>
      <c r="E3393" s="26" t="b">
        <v>1</v>
      </c>
      <c r="F3393" s="27" t="str">
        <f>HYPERLINK("http://nsgreg.nga.mil/genc/view?v=121485&amp;gencs=T&amp;end_month=12&amp;end_day=31&amp;end_year=2014","Mazowieckie")</f>
        <v>Mazowieckie</v>
      </c>
      <c r="G3393" s="28" t="str">
        <f>HYPERLINK("http://api.nsgreg.nga.mil/geo-division/GENC/6/ed3/PL-MZ","as:GENC:6:ed3:PL-MZ")</f>
        <v>as:GENC:6:ed3:PL-MZ</v>
      </c>
    </row>
    <row r="3394" spans="1:7" x14ac:dyDescent="0.2">
      <c r="A3394" s="85"/>
      <c r="B3394" s="25" t="s">
        <v>8524</v>
      </c>
      <c r="C3394" s="25" t="s">
        <v>8525</v>
      </c>
      <c r="D3394" s="25" t="s">
        <v>1719</v>
      </c>
      <c r="E3394" s="26" t="b">
        <v>1</v>
      </c>
      <c r="F3394" s="27" t="str">
        <f>HYPERLINK("http://nsgreg.nga.mil/genc/view?v=121486&amp;gencs=T&amp;end_month=12&amp;end_day=31&amp;end_year=2014","Opolskie")</f>
        <v>Opolskie</v>
      </c>
      <c r="G3394" s="28" t="str">
        <f>HYPERLINK("http://api.nsgreg.nga.mil/geo-division/GENC/6/ed3/PL-OP","as:GENC:6:ed3:PL-OP")</f>
        <v>as:GENC:6:ed3:PL-OP</v>
      </c>
    </row>
    <row r="3395" spans="1:7" x14ac:dyDescent="0.2">
      <c r="A3395" s="85"/>
      <c r="B3395" s="25" t="s">
        <v>8526</v>
      </c>
      <c r="C3395" s="25" t="s">
        <v>8527</v>
      </c>
      <c r="D3395" s="25" t="s">
        <v>1719</v>
      </c>
      <c r="E3395" s="26" t="b">
        <v>1</v>
      </c>
      <c r="F3395" s="27" t="str">
        <f>HYPERLINK("http://nsgreg.nga.mil/genc/view?v=121488&amp;gencs=T&amp;end_month=12&amp;end_day=31&amp;end_year=2014","Podkarpackie")</f>
        <v>Podkarpackie</v>
      </c>
      <c r="G3395" s="28" t="str">
        <f>HYPERLINK("http://api.nsgreg.nga.mil/geo-division/GENC/6/ed3/PL-PK","as:GENC:6:ed3:PL-PK")</f>
        <v>as:GENC:6:ed3:PL-PK</v>
      </c>
    </row>
    <row r="3396" spans="1:7" x14ac:dyDescent="0.2">
      <c r="A3396" s="85"/>
      <c r="B3396" s="25" t="s">
        <v>8528</v>
      </c>
      <c r="C3396" s="25" t="s">
        <v>8529</v>
      </c>
      <c r="D3396" s="25" t="s">
        <v>1719</v>
      </c>
      <c r="E3396" s="26" t="b">
        <v>1</v>
      </c>
      <c r="F3396" s="27" t="str">
        <f>HYPERLINK("http://nsgreg.nga.mil/genc/view?v=121487&amp;gencs=T&amp;end_month=12&amp;end_day=31&amp;end_year=2014","Podlaskie")</f>
        <v>Podlaskie</v>
      </c>
      <c r="G3396" s="28" t="str">
        <f>HYPERLINK("http://api.nsgreg.nga.mil/geo-division/GENC/6/ed3/PL-PD","as:GENC:6:ed3:PL-PD")</f>
        <v>as:GENC:6:ed3:PL-PD</v>
      </c>
    </row>
    <row r="3397" spans="1:7" x14ac:dyDescent="0.2">
      <c r="A3397" s="85"/>
      <c r="B3397" s="25" t="s">
        <v>8530</v>
      </c>
      <c r="C3397" s="25" t="s">
        <v>8531</v>
      </c>
      <c r="D3397" s="25" t="s">
        <v>1719</v>
      </c>
      <c r="E3397" s="26" t="b">
        <v>1</v>
      </c>
      <c r="F3397" s="27" t="str">
        <f>HYPERLINK("http://nsgreg.nga.mil/genc/view?v=121489&amp;gencs=T&amp;end_month=12&amp;end_day=31&amp;end_year=2014","Pomorskie")</f>
        <v>Pomorskie</v>
      </c>
      <c r="G3397" s="28" t="str">
        <f>HYPERLINK("http://api.nsgreg.nga.mil/geo-division/GENC/6/ed3/PL-PM","as:GENC:6:ed3:PL-PM")</f>
        <v>as:GENC:6:ed3:PL-PM</v>
      </c>
    </row>
    <row r="3398" spans="1:7" x14ac:dyDescent="0.2">
      <c r="A3398" s="85"/>
      <c r="B3398" s="25" t="s">
        <v>8540</v>
      </c>
      <c r="C3398" s="25" t="s">
        <v>8541</v>
      </c>
      <c r="D3398" s="25" t="s">
        <v>1719</v>
      </c>
      <c r="E3398" s="26" t="b">
        <v>1</v>
      </c>
      <c r="F3398" s="27" t="str">
        <f>HYPERLINK("http://nsgreg.nga.mil/genc/view?v=121491&amp;gencs=T&amp;end_month=12&amp;end_day=31&amp;end_year=2014","Śląskie")</f>
        <v>Śląskie</v>
      </c>
      <c r="G3398" s="28" t="str">
        <f>HYPERLINK("http://api.nsgreg.nga.mil/geo-division/GENC/6/ed3/PL-SL","as:GENC:6:ed3:PL-SL")</f>
        <v>as:GENC:6:ed3:PL-SL</v>
      </c>
    </row>
    <row r="3399" spans="1:7" x14ac:dyDescent="0.2">
      <c r="A3399" s="85"/>
      <c r="B3399" s="25" t="s">
        <v>8542</v>
      </c>
      <c r="C3399" s="25" t="s">
        <v>8543</v>
      </c>
      <c r="D3399" s="25" t="s">
        <v>1719</v>
      </c>
      <c r="E3399" s="26" t="b">
        <v>1</v>
      </c>
      <c r="F3399" s="27" t="str">
        <f>HYPERLINK("http://nsgreg.nga.mil/genc/view?v=121490&amp;gencs=T&amp;end_month=12&amp;end_day=31&amp;end_year=2014","Świętokrzyskie")</f>
        <v>Świętokrzyskie</v>
      </c>
      <c r="G3399" s="28" t="str">
        <f>HYPERLINK("http://api.nsgreg.nga.mil/geo-division/GENC/6/ed3/PL-SK","as:GENC:6:ed3:PL-SK")</f>
        <v>as:GENC:6:ed3:PL-SK</v>
      </c>
    </row>
    <row r="3400" spans="1:7" x14ac:dyDescent="0.2">
      <c r="A3400" s="85"/>
      <c r="B3400" s="25" t="s">
        <v>8532</v>
      </c>
      <c r="C3400" s="25" t="s">
        <v>13213</v>
      </c>
      <c r="D3400" s="25" t="s">
        <v>1719</v>
      </c>
      <c r="E3400" s="26" t="b">
        <v>1</v>
      </c>
      <c r="F3400" s="27" t="str">
        <f>HYPERLINK("http://nsgreg.nga.mil/genc/view?v=213046&amp;end_month=12&amp;end_day=31&amp;end_year=2014","Warmińsko-Mazurskie")</f>
        <v>Warmińsko-Mazurskie</v>
      </c>
      <c r="G3400" s="28" t="str">
        <f>HYPERLINK("http://api.nsgreg.nga.mil/geo-division/GENC/6/ed3/PL-WN","as:GENC:6:ed3:PL-WN")</f>
        <v>as:GENC:6:ed3:PL-WN</v>
      </c>
    </row>
    <row r="3401" spans="1:7" x14ac:dyDescent="0.2">
      <c r="A3401" s="85"/>
      <c r="B3401" s="25" t="s">
        <v>8534</v>
      </c>
      <c r="C3401" s="25" t="s">
        <v>8535</v>
      </c>
      <c r="D3401" s="25" t="s">
        <v>1719</v>
      </c>
      <c r="E3401" s="26" t="b">
        <v>1</v>
      </c>
      <c r="F3401" s="27" t="str">
        <f>HYPERLINK("http://nsgreg.nga.mil/genc/view?v=121493&amp;gencs=T&amp;end_month=12&amp;end_day=31&amp;end_year=2014","Wielkopolskie")</f>
        <v>Wielkopolskie</v>
      </c>
      <c r="G3401" s="28" t="str">
        <f>HYPERLINK("http://api.nsgreg.nga.mil/geo-division/GENC/6/ed3/PL-WP","as:GENC:6:ed3:PL-WP")</f>
        <v>as:GENC:6:ed3:PL-WP</v>
      </c>
    </row>
    <row r="3402" spans="1:7" x14ac:dyDescent="0.2">
      <c r="A3402" s="86"/>
      <c r="B3402" s="29" t="s">
        <v>8536</v>
      </c>
      <c r="C3402" s="29" t="s">
        <v>8537</v>
      </c>
      <c r="D3402" s="29" t="s">
        <v>1719</v>
      </c>
      <c r="E3402" s="30" t="b">
        <v>1</v>
      </c>
      <c r="F3402" s="31" t="str">
        <f>HYPERLINK("http://nsgreg.nga.mil/genc/view?v=121494&amp;gencs=T&amp;end_month=12&amp;end_day=31&amp;end_year=2014","Zachodniopomorskie")</f>
        <v>Zachodniopomorskie</v>
      </c>
      <c r="G3402" s="32" t="str">
        <f>HYPERLINK("http://api.nsgreg.nga.mil/geo-division/GENC/6/ed3/PL-ZP","as:GENC:6:ed3:PL-ZP")</f>
        <v>as:GENC:6:ed3:PL-ZP</v>
      </c>
    </row>
    <row r="3403" spans="1:7" x14ac:dyDescent="0.2">
      <c r="A3403" s="84" t="str">
        <f>HYPERLINK("[#]Codes_for_GE_Names!A207:I207","PORTUGAL")</f>
        <v>PORTUGAL</v>
      </c>
      <c r="B3403" s="33" t="s">
        <v>8544</v>
      </c>
      <c r="C3403" s="33" t="s">
        <v>8545</v>
      </c>
      <c r="D3403" s="33" t="s">
        <v>1790</v>
      </c>
      <c r="E3403" s="34" t="b">
        <v>1</v>
      </c>
      <c r="F3403" s="35" t="str">
        <f>HYPERLINK("http://nsgreg.nga.mil/genc/view?v=121511&amp;gencs=T&amp;end_month=12&amp;end_day=31&amp;end_year=2014","Aveiro")</f>
        <v>Aveiro</v>
      </c>
      <c r="G3403" s="36" t="str">
        <f>HYPERLINK("http://api.nsgreg.nga.mil/geo-division/GENC/6/ed3/PT-01","as:GENC:6:ed3:PT-01")</f>
        <v>as:GENC:6:ed3:PT-01</v>
      </c>
    </row>
    <row r="3404" spans="1:7" x14ac:dyDescent="0.2">
      <c r="A3404" s="85"/>
      <c r="B3404" s="25" t="s">
        <v>8570</v>
      </c>
      <c r="C3404" s="25" t="s">
        <v>13214</v>
      </c>
      <c r="D3404" s="25" t="s">
        <v>3322</v>
      </c>
      <c r="E3404" s="26" t="b">
        <v>1</v>
      </c>
      <c r="F3404" s="27" t="str">
        <f>HYPERLINK("http://nsgreg.nga.mil/genc/view?v=213063&amp;end_month=12&amp;end_day=31&amp;end_year=2014","Azores")</f>
        <v>Azores</v>
      </c>
      <c r="G3404" s="28" t="str">
        <f>HYPERLINK("http://api.nsgreg.nga.mil/geo-division/GENC/6/ed3/PT-20","as:GENC:6:ed3:PT-20")</f>
        <v>as:GENC:6:ed3:PT-20</v>
      </c>
    </row>
    <row r="3405" spans="1:7" x14ac:dyDescent="0.2">
      <c r="A3405" s="85"/>
      <c r="B3405" s="25" t="s">
        <v>8546</v>
      </c>
      <c r="C3405" s="25" t="s">
        <v>8547</v>
      </c>
      <c r="D3405" s="25" t="s">
        <v>1790</v>
      </c>
      <c r="E3405" s="26" t="b">
        <v>1</v>
      </c>
      <c r="F3405" s="27" t="str">
        <f>HYPERLINK("http://nsgreg.nga.mil/genc/view?v=121512&amp;gencs=T&amp;end_month=12&amp;end_day=31&amp;end_year=2014","Beja")</f>
        <v>Beja</v>
      </c>
      <c r="G3405" s="28" t="str">
        <f>HYPERLINK("http://api.nsgreg.nga.mil/geo-division/GENC/6/ed3/PT-02","as:GENC:6:ed3:PT-02")</f>
        <v>as:GENC:6:ed3:PT-02</v>
      </c>
    </row>
    <row r="3406" spans="1:7" x14ac:dyDescent="0.2">
      <c r="A3406" s="85"/>
      <c r="B3406" s="25" t="s">
        <v>8548</v>
      </c>
      <c r="C3406" s="25" t="s">
        <v>8549</v>
      </c>
      <c r="D3406" s="25" t="s">
        <v>1790</v>
      </c>
      <c r="E3406" s="26" t="b">
        <v>1</v>
      </c>
      <c r="F3406" s="27" t="str">
        <f>HYPERLINK("http://nsgreg.nga.mil/genc/view?v=121513&amp;gencs=T&amp;end_month=12&amp;end_day=31&amp;end_year=2014","Braga")</f>
        <v>Braga</v>
      </c>
      <c r="G3406" s="28" t="str">
        <f>HYPERLINK("http://api.nsgreg.nga.mil/geo-division/GENC/6/ed3/PT-03","as:GENC:6:ed3:PT-03")</f>
        <v>as:GENC:6:ed3:PT-03</v>
      </c>
    </row>
    <row r="3407" spans="1:7" x14ac:dyDescent="0.2">
      <c r="A3407" s="85"/>
      <c r="B3407" s="25" t="s">
        <v>8550</v>
      </c>
      <c r="C3407" s="25" t="s">
        <v>8551</v>
      </c>
      <c r="D3407" s="25" t="s">
        <v>1790</v>
      </c>
      <c r="E3407" s="26" t="b">
        <v>1</v>
      </c>
      <c r="F3407" s="27" t="str">
        <f>HYPERLINK("http://nsgreg.nga.mil/genc/view?v=121514&amp;gencs=T&amp;end_month=12&amp;end_day=31&amp;end_year=2014","Bragança")</f>
        <v>Bragança</v>
      </c>
      <c r="G3407" s="28" t="str">
        <f>HYPERLINK("http://api.nsgreg.nga.mil/geo-division/GENC/6/ed3/PT-04","as:GENC:6:ed3:PT-04")</f>
        <v>as:GENC:6:ed3:PT-04</v>
      </c>
    </row>
    <row r="3408" spans="1:7" x14ac:dyDescent="0.2">
      <c r="A3408" s="85"/>
      <c r="B3408" s="25" t="s">
        <v>8552</v>
      </c>
      <c r="C3408" s="25" t="s">
        <v>8553</v>
      </c>
      <c r="D3408" s="25" t="s">
        <v>1790</v>
      </c>
      <c r="E3408" s="26" t="b">
        <v>1</v>
      </c>
      <c r="F3408" s="27" t="str">
        <f>HYPERLINK("http://nsgreg.nga.mil/genc/view?v=121515&amp;gencs=T&amp;end_month=12&amp;end_day=31&amp;end_year=2014","Castelo Branco")</f>
        <v>Castelo Branco</v>
      </c>
      <c r="G3408" s="28" t="str">
        <f>HYPERLINK("http://api.nsgreg.nga.mil/geo-division/GENC/6/ed3/PT-05","as:GENC:6:ed3:PT-05")</f>
        <v>as:GENC:6:ed3:PT-05</v>
      </c>
    </row>
    <row r="3409" spans="1:7" x14ac:dyDescent="0.2">
      <c r="A3409" s="85"/>
      <c r="B3409" s="25" t="s">
        <v>8554</v>
      </c>
      <c r="C3409" s="25" t="s">
        <v>8555</v>
      </c>
      <c r="D3409" s="25" t="s">
        <v>1790</v>
      </c>
      <c r="E3409" s="26" t="b">
        <v>1</v>
      </c>
      <c r="F3409" s="27" t="str">
        <f>HYPERLINK("http://nsgreg.nga.mil/genc/view?v=121516&amp;gencs=T&amp;end_month=12&amp;end_day=31&amp;end_year=2014","Coimbra")</f>
        <v>Coimbra</v>
      </c>
      <c r="G3409" s="28" t="str">
        <f>HYPERLINK("http://api.nsgreg.nga.mil/geo-division/GENC/6/ed3/PT-06","as:GENC:6:ed3:PT-06")</f>
        <v>as:GENC:6:ed3:PT-06</v>
      </c>
    </row>
    <row r="3410" spans="1:7" x14ac:dyDescent="0.2">
      <c r="A3410" s="85"/>
      <c r="B3410" s="25" t="s">
        <v>8582</v>
      </c>
      <c r="C3410" s="25" t="s">
        <v>8583</v>
      </c>
      <c r="D3410" s="25" t="s">
        <v>1790</v>
      </c>
      <c r="E3410" s="26" t="b">
        <v>1</v>
      </c>
      <c r="F3410" s="27" t="str">
        <f>HYPERLINK("http://nsgreg.nga.mil/genc/view?v=121517&amp;gencs=T&amp;end_month=12&amp;end_day=31&amp;end_year=2014","Évora")</f>
        <v>Évora</v>
      </c>
      <c r="G3410" s="28" t="str">
        <f>HYPERLINK("http://api.nsgreg.nga.mil/geo-division/GENC/6/ed3/PT-07","as:GENC:6:ed3:PT-07")</f>
        <v>as:GENC:6:ed3:PT-07</v>
      </c>
    </row>
    <row r="3411" spans="1:7" x14ac:dyDescent="0.2">
      <c r="A3411" s="85"/>
      <c r="B3411" s="25" t="s">
        <v>8556</v>
      </c>
      <c r="C3411" s="25" t="s">
        <v>8557</v>
      </c>
      <c r="D3411" s="25" t="s">
        <v>1790</v>
      </c>
      <c r="E3411" s="26" t="b">
        <v>1</v>
      </c>
      <c r="F3411" s="27" t="str">
        <f>HYPERLINK("http://nsgreg.nga.mil/genc/view?v=121518&amp;gencs=T&amp;end_month=12&amp;end_day=31&amp;end_year=2014","Faro")</f>
        <v>Faro</v>
      </c>
      <c r="G3411" s="28" t="str">
        <f>HYPERLINK("http://api.nsgreg.nga.mil/geo-division/GENC/6/ed3/PT-08","as:GENC:6:ed3:PT-08")</f>
        <v>as:GENC:6:ed3:PT-08</v>
      </c>
    </row>
    <row r="3412" spans="1:7" x14ac:dyDescent="0.2">
      <c r="A3412" s="85"/>
      <c r="B3412" s="25" t="s">
        <v>8558</v>
      </c>
      <c r="C3412" s="25" t="s">
        <v>8559</v>
      </c>
      <c r="D3412" s="25" t="s">
        <v>1790</v>
      </c>
      <c r="E3412" s="26" t="b">
        <v>1</v>
      </c>
      <c r="F3412" s="27" t="str">
        <f>HYPERLINK("http://nsgreg.nga.mil/genc/view?v=121519&amp;gencs=T&amp;end_month=12&amp;end_day=31&amp;end_year=2014","Guarda")</f>
        <v>Guarda</v>
      </c>
      <c r="G3412" s="28" t="str">
        <f>HYPERLINK("http://api.nsgreg.nga.mil/geo-division/GENC/6/ed3/PT-09","as:GENC:6:ed3:PT-09")</f>
        <v>as:GENC:6:ed3:PT-09</v>
      </c>
    </row>
    <row r="3413" spans="1:7" x14ac:dyDescent="0.2">
      <c r="A3413" s="85"/>
      <c r="B3413" s="25" t="s">
        <v>8560</v>
      </c>
      <c r="C3413" s="25" t="s">
        <v>8561</v>
      </c>
      <c r="D3413" s="25" t="s">
        <v>1790</v>
      </c>
      <c r="E3413" s="26" t="b">
        <v>1</v>
      </c>
      <c r="F3413" s="27" t="str">
        <f>HYPERLINK("http://nsgreg.nga.mil/genc/view?v=121520&amp;gencs=T&amp;end_month=12&amp;end_day=31&amp;end_year=2014","Leiria")</f>
        <v>Leiria</v>
      </c>
      <c r="G3413" s="28" t="str">
        <f>HYPERLINK("http://api.nsgreg.nga.mil/geo-division/GENC/6/ed3/PT-10","as:GENC:6:ed3:PT-10")</f>
        <v>as:GENC:6:ed3:PT-10</v>
      </c>
    </row>
    <row r="3414" spans="1:7" x14ac:dyDescent="0.2">
      <c r="A3414" s="85"/>
      <c r="B3414" s="25" t="s">
        <v>8562</v>
      </c>
      <c r="C3414" s="25" t="s">
        <v>8563</v>
      </c>
      <c r="D3414" s="25" t="s">
        <v>1790</v>
      </c>
      <c r="E3414" s="26" t="b">
        <v>1</v>
      </c>
      <c r="F3414" s="27" t="str">
        <f>HYPERLINK("http://nsgreg.nga.mil/genc/view?v=121521&amp;gencs=T&amp;end_month=12&amp;end_day=31&amp;end_year=2014","Lisboa")</f>
        <v>Lisboa</v>
      </c>
      <c r="G3414" s="28" t="str">
        <f>HYPERLINK("http://api.nsgreg.nga.mil/geo-division/GENC/6/ed3/PT-11","as:GENC:6:ed3:PT-11")</f>
        <v>as:GENC:6:ed3:PT-11</v>
      </c>
    </row>
    <row r="3415" spans="1:7" x14ac:dyDescent="0.2">
      <c r="A3415" s="85"/>
      <c r="B3415" s="25" t="s">
        <v>8568</v>
      </c>
      <c r="C3415" s="25" t="s">
        <v>13215</v>
      </c>
      <c r="D3415" s="25" t="s">
        <v>3322</v>
      </c>
      <c r="E3415" s="26" t="b">
        <v>1</v>
      </c>
      <c r="F3415" s="27" t="str">
        <f>HYPERLINK("http://nsgreg.nga.mil/genc/view?v=213064&amp;end_month=12&amp;end_day=31&amp;end_year=2014","Madeira")</f>
        <v>Madeira</v>
      </c>
      <c r="G3415" s="28" t="str">
        <f>HYPERLINK("http://api.nsgreg.nga.mil/geo-division/GENC/6/ed3/PT-30","as:GENC:6:ed3:PT-30")</f>
        <v>as:GENC:6:ed3:PT-30</v>
      </c>
    </row>
    <row r="3416" spans="1:7" x14ac:dyDescent="0.2">
      <c r="A3416" s="85"/>
      <c r="B3416" s="25" t="s">
        <v>8564</v>
      </c>
      <c r="C3416" s="25" t="s">
        <v>8565</v>
      </c>
      <c r="D3416" s="25" t="s">
        <v>1790</v>
      </c>
      <c r="E3416" s="26" t="b">
        <v>1</v>
      </c>
      <c r="F3416" s="27" t="str">
        <f>HYPERLINK("http://nsgreg.nga.mil/genc/view?v=121522&amp;gencs=T&amp;end_month=12&amp;end_day=31&amp;end_year=2014","Portalegre")</f>
        <v>Portalegre</v>
      </c>
      <c r="G3416" s="28" t="str">
        <f>HYPERLINK("http://api.nsgreg.nga.mil/geo-division/GENC/6/ed3/PT-12","as:GENC:6:ed3:PT-12")</f>
        <v>as:GENC:6:ed3:PT-12</v>
      </c>
    </row>
    <row r="3417" spans="1:7" x14ac:dyDescent="0.2">
      <c r="A3417" s="85"/>
      <c r="B3417" s="25" t="s">
        <v>8566</v>
      </c>
      <c r="C3417" s="25" t="s">
        <v>8567</v>
      </c>
      <c r="D3417" s="25" t="s">
        <v>1790</v>
      </c>
      <c r="E3417" s="26" t="b">
        <v>1</v>
      </c>
      <c r="F3417" s="27" t="str">
        <f>HYPERLINK("http://nsgreg.nga.mil/genc/view?v=121523&amp;gencs=T&amp;end_month=12&amp;end_day=31&amp;end_year=2014","Porto")</f>
        <v>Porto</v>
      </c>
      <c r="G3417" s="28" t="str">
        <f>HYPERLINK("http://api.nsgreg.nga.mil/geo-division/GENC/6/ed3/PT-13","as:GENC:6:ed3:PT-13")</f>
        <v>as:GENC:6:ed3:PT-13</v>
      </c>
    </row>
    <row r="3418" spans="1:7" x14ac:dyDescent="0.2">
      <c r="A3418" s="85"/>
      <c r="B3418" s="25" t="s">
        <v>8572</v>
      </c>
      <c r="C3418" s="25" t="s">
        <v>8573</v>
      </c>
      <c r="D3418" s="25" t="s">
        <v>1790</v>
      </c>
      <c r="E3418" s="26" t="b">
        <v>1</v>
      </c>
      <c r="F3418" s="27" t="str">
        <f>HYPERLINK("http://nsgreg.nga.mil/genc/view?v=121524&amp;gencs=T&amp;end_month=12&amp;end_day=31&amp;end_year=2014","Santarém")</f>
        <v>Santarém</v>
      </c>
      <c r="G3418" s="28" t="str">
        <f>HYPERLINK("http://api.nsgreg.nga.mil/geo-division/GENC/6/ed3/PT-14","as:GENC:6:ed3:PT-14")</f>
        <v>as:GENC:6:ed3:PT-14</v>
      </c>
    </row>
    <row r="3419" spans="1:7" x14ac:dyDescent="0.2">
      <c r="A3419" s="85"/>
      <c r="B3419" s="25" t="s">
        <v>8574</v>
      </c>
      <c r="C3419" s="25" t="s">
        <v>8575</v>
      </c>
      <c r="D3419" s="25" t="s">
        <v>1790</v>
      </c>
      <c r="E3419" s="26" t="b">
        <v>1</v>
      </c>
      <c r="F3419" s="27" t="str">
        <f>HYPERLINK("http://nsgreg.nga.mil/genc/view?v=121525&amp;gencs=T&amp;end_month=12&amp;end_day=31&amp;end_year=2014","Setúbal")</f>
        <v>Setúbal</v>
      </c>
      <c r="G3419" s="28" t="str">
        <f>HYPERLINK("http://api.nsgreg.nga.mil/geo-division/GENC/6/ed3/PT-15","as:GENC:6:ed3:PT-15")</f>
        <v>as:GENC:6:ed3:PT-15</v>
      </c>
    </row>
    <row r="3420" spans="1:7" x14ac:dyDescent="0.2">
      <c r="A3420" s="85"/>
      <c r="B3420" s="25" t="s">
        <v>8576</v>
      </c>
      <c r="C3420" s="25" t="s">
        <v>8577</v>
      </c>
      <c r="D3420" s="25" t="s">
        <v>1790</v>
      </c>
      <c r="E3420" s="26" t="b">
        <v>1</v>
      </c>
      <c r="F3420" s="27" t="str">
        <f>HYPERLINK("http://nsgreg.nga.mil/genc/view?v=121526&amp;gencs=T&amp;end_month=12&amp;end_day=31&amp;end_year=2014","Viana do Castelo")</f>
        <v>Viana do Castelo</v>
      </c>
      <c r="G3420" s="28" t="str">
        <f>HYPERLINK("http://api.nsgreg.nga.mil/geo-division/GENC/6/ed3/PT-16","as:GENC:6:ed3:PT-16")</f>
        <v>as:GENC:6:ed3:PT-16</v>
      </c>
    </row>
    <row r="3421" spans="1:7" x14ac:dyDescent="0.2">
      <c r="A3421" s="85"/>
      <c r="B3421" s="25" t="s">
        <v>8578</v>
      </c>
      <c r="C3421" s="25" t="s">
        <v>8579</v>
      </c>
      <c r="D3421" s="25" t="s">
        <v>1790</v>
      </c>
      <c r="E3421" s="26" t="b">
        <v>1</v>
      </c>
      <c r="F3421" s="27" t="str">
        <f>HYPERLINK("http://nsgreg.nga.mil/genc/view?v=121527&amp;gencs=T&amp;end_month=12&amp;end_day=31&amp;end_year=2014","Vila Real")</f>
        <v>Vila Real</v>
      </c>
      <c r="G3421" s="28" t="str">
        <f>HYPERLINK("http://api.nsgreg.nga.mil/geo-division/GENC/6/ed3/PT-17","as:GENC:6:ed3:PT-17")</f>
        <v>as:GENC:6:ed3:PT-17</v>
      </c>
    </row>
    <row r="3422" spans="1:7" x14ac:dyDescent="0.2">
      <c r="A3422" s="86"/>
      <c r="B3422" s="29" t="s">
        <v>8580</v>
      </c>
      <c r="C3422" s="29" t="s">
        <v>8581</v>
      </c>
      <c r="D3422" s="29" t="s">
        <v>1790</v>
      </c>
      <c r="E3422" s="30" t="b">
        <v>1</v>
      </c>
      <c r="F3422" s="31" t="str">
        <f>HYPERLINK("http://nsgreg.nga.mil/genc/view?v=121528&amp;gencs=T&amp;end_month=12&amp;end_day=31&amp;end_year=2014","Viseu")</f>
        <v>Viseu</v>
      </c>
      <c r="G3422" s="32" t="str">
        <f>HYPERLINK("http://api.nsgreg.nga.mil/geo-division/GENC/6/ed3/PT-18","as:GENC:6:ed3:PT-18")</f>
        <v>as:GENC:6:ed3:PT-18</v>
      </c>
    </row>
    <row r="3423" spans="1:7" x14ac:dyDescent="0.2">
      <c r="A3423" s="84" t="str">
        <f>HYPERLINK("[#]Codes_for_GE_Names!A209:I209","QATAR")</f>
        <v>QATAR</v>
      </c>
      <c r="B3423" s="33" t="s">
        <v>8584</v>
      </c>
      <c r="C3423" s="33" t="s">
        <v>8585</v>
      </c>
      <c r="D3423" s="33" t="s">
        <v>2164</v>
      </c>
      <c r="E3423" s="34" t="b">
        <v>1</v>
      </c>
      <c r="F3423" s="35" t="str">
        <f>HYPERLINK("http://nsgreg.nga.mil/genc/view?v=121565&amp;gencs=T&amp;end_month=12&amp;end_day=31&amp;end_year=2014","Ad Dawḩah")</f>
        <v>Ad Dawḩah</v>
      </c>
      <c r="G3423" s="36" t="str">
        <f>HYPERLINK("http://api.nsgreg.nga.mil/geo-division/GENC/6/ed3/QA-DA","as:GENC:6:ed3:QA-DA")</f>
        <v>as:GENC:6:ed3:QA-DA</v>
      </c>
    </row>
    <row r="3424" spans="1:7" x14ac:dyDescent="0.2">
      <c r="A3424" s="85"/>
      <c r="B3424" s="25" t="s">
        <v>8586</v>
      </c>
      <c r="C3424" s="25" t="s">
        <v>8587</v>
      </c>
      <c r="D3424" s="25" t="s">
        <v>2164</v>
      </c>
      <c r="E3424" s="26" t="b">
        <v>1</v>
      </c>
      <c r="F3424" s="27" t="str">
        <f>HYPERLINK("http://nsgreg.nga.mil/genc/view?v=121566&amp;gencs=T&amp;end_month=12&amp;end_day=31&amp;end_year=2014","Al Khawr wa adh Dhakhīrah")</f>
        <v>Al Khawr wa adh Dhakhīrah</v>
      </c>
      <c r="G3424" s="28" t="str">
        <f>HYPERLINK("http://api.nsgreg.nga.mil/geo-division/GENC/6/ed3/QA-KH","as:GENC:6:ed3:QA-KH")</f>
        <v>as:GENC:6:ed3:QA-KH</v>
      </c>
    </row>
    <row r="3425" spans="1:7" x14ac:dyDescent="0.2">
      <c r="A3425" s="85"/>
      <c r="B3425" s="25" t="s">
        <v>8588</v>
      </c>
      <c r="C3425" s="25" t="s">
        <v>8589</v>
      </c>
      <c r="D3425" s="25" t="s">
        <v>2164</v>
      </c>
      <c r="E3425" s="26" t="b">
        <v>1</v>
      </c>
      <c r="F3425" s="27" t="str">
        <f>HYPERLINK("http://nsgreg.nga.mil/genc/view?v=121570&amp;gencs=T&amp;end_month=12&amp;end_day=31&amp;end_year=2014","Al Wakrah")</f>
        <v>Al Wakrah</v>
      </c>
      <c r="G3425" s="28" t="str">
        <f>HYPERLINK("http://api.nsgreg.nga.mil/geo-division/GENC/6/ed3/QA-WA","as:GENC:6:ed3:QA-WA")</f>
        <v>as:GENC:6:ed3:QA-WA</v>
      </c>
    </row>
    <row r="3426" spans="1:7" x14ac:dyDescent="0.2">
      <c r="A3426" s="85"/>
      <c r="B3426" s="25" t="s">
        <v>8590</v>
      </c>
      <c r="C3426" s="25" t="s">
        <v>8591</v>
      </c>
      <c r="D3426" s="25" t="s">
        <v>2164</v>
      </c>
      <c r="E3426" s="26" t="b">
        <v>1</v>
      </c>
      <c r="F3426" s="27" t="str">
        <f>HYPERLINK("http://nsgreg.nga.mil/genc/view?v=121568&amp;gencs=T&amp;end_month=12&amp;end_day=31&amp;end_year=2014","Ar Rayyān")</f>
        <v>Ar Rayyān</v>
      </c>
      <c r="G3426" s="28" t="str">
        <f>HYPERLINK("http://api.nsgreg.nga.mil/geo-division/GENC/6/ed3/QA-RA","as:GENC:6:ed3:QA-RA")</f>
        <v>as:GENC:6:ed3:QA-RA</v>
      </c>
    </row>
    <row r="3427" spans="1:7" x14ac:dyDescent="0.2">
      <c r="A3427" s="85"/>
      <c r="B3427" s="25" t="s">
        <v>8592</v>
      </c>
      <c r="C3427" s="25" t="s">
        <v>8593</v>
      </c>
      <c r="D3427" s="25" t="s">
        <v>2164</v>
      </c>
      <c r="E3427" s="26" t="b">
        <v>1</v>
      </c>
      <c r="F3427" s="27" t="str">
        <f>HYPERLINK("http://nsgreg.nga.mil/genc/view?v=121567&amp;gencs=T&amp;end_month=12&amp;end_day=31&amp;end_year=2014","Ash Shamāl")</f>
        <v>Ash Shamāl</v>
      </c>
      <c r="G3427" s="28" t="str">
        <f>HYPERLINK("http://api.nsgreg.nga.mil/geo-division/GENC/6/ed3/QA-MS","as:GENC:6:ed3:QA-MS")</f>
        <v>as:GENC:6:ed3:QA-MS</v>
      </c>
    </row>
    <row r="3428" spans="1:7" x14ac:dyDescent="0.2">
      <c r="A3428" s="85"/>
      <c r="B3428" s="25" t="s">
        <v>8594</v>
      </c>
      <c r="C3428" s="25" t="s">
        <v>13216</v>
      </c>
      <c r="D3428" s="25" t="s">
        <v>2164</v>
      </c>
      <c r="E3428" s="26" t="b">
        <v>1</v>
      </c>
      <c r="F3428" s="27" t="str">
        <f>HYPERLINK("http://nsgreg.nga.mil/genc/view?v=121571&amp;gencs=T&amp;end_month=12&amp;end_day=31&amp;end_year=2014","Az̧ Z̧a‘āyin")</f>
        <v>Az̧ Z̧a‘āyin</v>
      </c>
      <c r="G3428" s="28" t="str">
        <f>HYPERLINK("http://api.nsgreg.nga.mil/geo-division/GENC/6/ed3/QA-ZA","as:GENC:6:ed3:QA-ZA")</f>
        <v>as:GENC:6:ed3:QA-ZA</v>
      </c>
    </row>
    <row r="3429" spans="1:7" x14ac:dyDescent="0.2">
      <c r="A3429" s="86"/>
      <c r="B3429" s="29" t="s">
        <v>8596</v>
      </c>
      <c r="C3429" s="29" t="s">
        <v>8597</v>
      </c>
      <c r="D3429" s="29" t="s">
        <v>2164</v>
      </c>
      <c r="E3429" s="30" t="b">
        <v>1</v>
      </c>
      <c r="F3429" s="31" t="str">
        <f>HYPERLINK("http://nsgreg.nga.mil/genc/view?v=121569&amp;gencs=T&amp;end_month=12&amp;end_day=31&amp;end_year=2014","Umm Şalāl")</f>
        <v>Umm Şalāl</v>
      </c>
      <c r="G3429" s="32" t="str">
        <f>HYPERLINK("http://api.nsgreg.nga.mil/geo-division/GENC/6/ed3/QA-US","as:GENC:6:ed3:QA-US")</f>
        <v>as:GENC:6:ed3:QA-US</v>
      </c>
    </row>
    <row r="3430" spans="1:7" x14ac:dyDescent="0.2">
      <c r="A3430" s="84" t="str">
        <f>HYPERLINK("[#]Codes_for_GE_Names!A211:I211","ROMANIA")</f>
        <v>ROMANIA</v>
      </c>
      <c r="B3430" s="33" t="s">
        <v>8598</v>
      </c>
      <c r="C3430" s="33" t="s">
        <v>8599</v>
      </c>
      <c r="D3430" s="33" t="s">
        <v>1788</v>
      </c>
      <c r="E3430" s="34" t="b">
        <v>1</v>
      </c>
      <c r="F3430" s="35" t="str">
        <f>HYPERLINK("http://nsgreg.nga.mil/genc/view?v=213082&amp;end_month=12&amp;end_day=31&amp;end_year=2014","Alba")</f>
        <v>Alba</v>
      </c>
      <c r="G3430" s="36" t="str">
        <f>HYPERLINK("http://api.nsgreg.nga.mil/geo-division/GENC/6/ed3/RO-AB","as:GENC:6:ed3:RO-AB")</f>
        <v>as:GENC:6:ed3:RO-AB</v>
      </c>
    </row>
    <row r="3431" spans="1:7" x14ac:dyDescent="0.2">
      <c r="A3431" s="85"/>
      <c r="B3431" s="25" t="s">
        <v>8600</v>
      </c>
      <c r="C3431" s="25" t="s">
        <v>8601</v>
      </c>
      <c r="D3431" s="25" t="s">
        <v>1788</v>
      </c>
      <c r="E3431" s="26" t="b">
        <v>1</v>
      </c>
      <c r="F3431" s="27" t="str">
        <f>HYPERLINK("http://nsgreg.nga.mil/genc/view?v=213084&amp;end_month=12&amp;end_day=31&amp;end_year=2014","Arad")</f>
        <v>Arad</v>
      </c>
      <c r="G3431" s="28" t="str">
        <f>HYPERLINK("http://api.nsgreg.nga.mil/geo-division/GENC/6/ed3/RO-AR","as:GENC:6:ed3:RO-AR")</f>
        <v>as:GENC:6:ed3:RO-AR</v>
      </c>
    </row>
    <row r="3432" spans="1:7" x14ac:dyDescent="0.2">
      <c r="A3432" s="85"/>
      <c r="B3432" s="25" t="s">
        <v>8602</v>
      </c>
      <c r="C3432" s="25" t="s">
        <v>8603</v>
      </c>
      <c r="D3432" s="25" t="s">
        <v>1788</v>
      </c>
      <c r="E3432" s="26" t="b">
        <v>1</v>
      </c>
      <c r="F3432" s="27" t="str">
        <f>HYPERLINK("http://nsgreg.nga.mil/genc/view?v=213083&amp;end_month=12&amp;end_day=31&amp;end_year=2014","Argeş")</f>
        <v>Argeş</v>
      </c>
      <c r="G3432" s="28" t="str">
        <f>HYPERLINK("http://api.nsgreg.nga.mil/geo-division/GENC/6/ed3/RO-AG","as:GENC:6:ed3:RO-AG")</f>
        <v>as:GENC:6:ed3:RO-AG</v>
      </c>
    </row>
    <row r="3433" spans="1:7" x14ac:dyDescent="0.2">
      <c r="A3433" s="85"/>
      <c r="B3433" s="25" t="s">
        <v>8604</v>
      </c>
      <c r="C3433" s="25" t="s">
        <v>8605</v>
      </c>
      <c r="D3433" s="25" t="s">
        <v>1788</v>
      </c>
      <c r="E3433" s="26" t="b">
        <v>1</v>
      </c>
      <c r="F3433" s="27" t="str">
        <f>HYPERLINK("http://nsgreg.nga.mil/genc/view?v=213086&amp;end_month=12&amp;end_day=31&amp;end_year=2014","Bacău")</f>
        <v>Bacău</v>
      </c>
      <c r="G3433" s="28" t="str">
        <f>HYPERLINK("http://api.nsgreg.nga.mil/geo-division/GENC/6/ed3/RO-BC","as:GENC:6:ed3:RO-BC")</f>
        <v>as:GENC:6:ed3:RO-BC</v>
      </c>
    </row>
    <row r="3434" spans="1:7" x14ac:dyDescent="0.2">
      <c r="A3434" s="85"/>
      <c r="B3434" s="25" t="s">
        <v>8606</v>
      </c>
      <c r="C3434" s="25" t="s">
        <v>8607</v>
      </c>
      <c r="D3434" s="25" t="s">
        <v>1788</v>
      </c>
      <c r="E3434" s="26" t="b">
        <v>1</v>
      </c>
      <c r="F3434" s="27" t="str">
        <f>HYPERLINK("http://nsgreg.nga.mil/genc/view?v=213087&amp;end_month=12&amp;end_day=31&amp;end_year=2014","Bihor")</f>
        <v>Bihor</v>
      </c>
      <c r="G3434" s="28" t="str">
        <f>HYPERLINK("http://api.nsgreg.nga.mil/geo-division/GENC/6/ed3/RO-BH","as:GENC:6:ed3:RO-BH")</f>
        <v>as:GENC:6:ed3:RO-BH</v>
      </c>
    </row>
    <row r="3435" spans="1:7" x14ac:dyDescent="0.2">
      <c r="A3435" s="85"/>
      <c r="B3435" s="25" t="s">
        <v>8608</v>
      </c>
      <c r="C3435" s="25" t="s">
        <v>8609</v>
      </c>
      <c r="D3435" s="25" t="s">
        <v>1788</v>
      </c>
      <c r="E3435" s="26" t="b">
        <v>1</v>
      </c>
      <c r="F3435" s="27" t="str">
        <f>HYPERLINK("http://nsgreg.nga.mil/genc/view?v=213088&amp;end_month=12&amp;end_day=31&amp;end_year=2014","Bistriţa-Năsăud")</f>
        <v>Bistriţa-Năsăud</v>
      </c>
      <c r="G3435" s="28" t="str">
        <f>HYPERLINK("http://api.nsgreg.nga.mil/geo-division/GENC/6/ed3/RO-BN","as:GENC:6:ed3:RO-BN")</f>
        <v>as:GENC:6:ed3:RO-BN</v>
      </c>
    </row>
    <row r="3436" spans="1:7" x14ac:dyDescent="0.2">
      <c r="A3436" s="85"/>
      <c r="B3436" s="25" t="s">
        <v>8610</v>
      </c>
      <c r="C3436" s="25" t="s">
        <v>8611</v>
      </c>
      <c r="D3436" s="25" t="s">
        <v>1788</v>
      </c>
      <c r="E3436" s="26" t="b">
        <v>1</v>
      </c>
      <c r="F3436" s="27" t="str">
        <f>HYPERLINK("http://nsgreg.nga.mil/genc/view?v=213090&amp;end_month=12&amp;end_day=31&amp;end_year=2014","Botoşani")</f>
        <v>Botoşani</v>
      </c>
      <c r="G3436" s="28" t="str">
        <f>HYPERLINK("http://api.nsgreg.nga.mil/geo-division/GENC/6/ed3/RO-BT","as:GENC:6:ed3:RO-BT")</f>
        <v>as:GENC:6:ed3:RO-BT</v>
      </c>
    </row>
    <row r="3437" spans="1:7" x14ac:dyDescent="0.2">
      <c r="A3437" s="85"/>
      <c r="B3437" s="25" t="s">
        <v>8614</v>
      </c>
      <c r="C3437" s="25" t="s">
        <v>8615</v>
      </c>
      <c r="D3437" s="25" t="s">
        <v>1788</v>
      </c>
      <c r="E3437" s="26" t="b">
        <v>1</v>
      </c>
      <c r="F3437" s="27" t="str">
        <f>HYPERLINK("http://nsgreg.nga.mil/genc/view?v=213089&amp;end_month=12&amp;end_day=31&amp;end_year=2014","Brăila")</f>
        <v>Brăila</v>
      </c>
      <c r="G3437" s="28" t="str">
        <f>HYPERLINK("http://api.nsgreg.nga.mil/geo-division/GENC/6/ed3/RO-BR","as:GENC:6:ed3:RO-BR")</f>
        <v>as:GENC:6:ed3:RO-BR</v>
      </c>
    </row>
    <row r="3438" spans="1:7" x14ac:dyDescent="0.2">
      <c r="A3438" s="85"/>
      <c r="B3438" s="25" t="s">
        <v>8612</v>
      </c>
      <c r="C3438" s="25" t="s">
        <v>8613</v>
      </c>
      <c r="D3438" s="25" t="s">
        <v>1788</v>
      </c>
      <c r="E3438" s="26" t="b">
        <v>1</v>
      </c>
      <c r="F3438" s="27" t="str">
        <f>HYPERLINK("http://nsgreg.nga.mil/genc/view?v=213091&amp;end_month=12&amp;end_day=31&amp;end_year=2014","Braşov")</f>
        <v>Braşov</v>
      </c>
      <c r="G3438" s="28" t="str">
        <f>HYPERLINK("http://api.nsgreg.nga.mil/geo-division/GENC/6/ed3/RO-BV","as:GENC:6:ed3:RO-BV")</f>
        <v>as:GENC:6:ed3:RO-BV</v>
      </c>
    </row>
    <row r="3439" spans="1:7" x14ac:dyDescent="0.2">
      <c r="A3439" s="85"/>
      <c r="B3439" s="25" t="s">
        <v>8616</v>
      </c>
      <c r="C3439" s="25" t="s">
        <v>8617</v>
      </c>
      <c r="D3439" s="25" t="s">
        <v>2164</v>
      </c>
      <c r="E3439" s="26" t="b">
        <v>1</v>
      </c>
      <c r="F3439" s="27" t="str">
        <f>HYPERLINK("http://nsgreg.nga.mil/genc/view?v=213085&amp;end_month=12&amp;end_day=31&amp;end_year=2014","Bucureşti")</f>
        <v>Bucureşti</v>
      </c>
      <c r="G3439" s="28" t="str">
        <f>HYPERLINK("http://api.nsgreg.nga.mil/geo-division/GENC/6/ed3/RO-B","as:GENC:6:ed3:RO-B")</f>
        <v>as:GENC:6:ed3:RO-B</v>
      </c>
    </row>
    <row r="3440" spans="1:7" x14ac:dyDescent="0.2">
      <c r="A3440" s="85"/>
      <c r="B3440" s="25" t="s">
        <v>8618</v>
      </c>
      <c r="C3440" s="25" t="s">
        <v>8619</v>
      </c>
      <c r="D3440" s="25" t="s">
        <v>1788</v>
      </c>
      <c r="E3440" s="26" t="b">
        <v>1</v>
      </c>
      <c r="F3440" s="27" t="str">
        <f>HYPERLINK("http://nsgreg.nga.mil/genc/view?v=213092&amp;end_month=12&amp;end_day=31&amp;end_year=2014","Buzău")</f>
        <v>Buzău</v>
      </c>
      <c r="G3440" s="28" t="str">
        <f>HYPERLINK("http://api.nsgreg.nga.mil/geo-division/GENC/6/ed3/RO-BZ","as:GENC:6:ed3:RO-BZ")</f>
        <v>as:GENC:6:ed3:RO-BZ</v>
      </c>
    </row>
    <row r="3441" spans="1:7" x14ac:dyDescent="0.2">
      <c r="A3441" s="85"/>
      <c r="B3441" s="25" t="s">
        <v>8628</v>
      </c>
      <c r="C3441" s="25" t="s">
        <v>7205</v>
      </c>
      <c r="D3441" s="25" t="s">
        <v>1788</v>
      </c>
      <c r="E3441" s="26" t="b">
        <v>1</v>
      </c>
      <c r="F3441" s="27" t="str">
        <f>HYPERLINK("http://nsgreg.nga.mil/genc/view?v=213094&amp;end_month=12&amp;end_day=31&amp;end_year=2014","Călăraşi")</f>
        <v>Călăraşi</v>
      </c>
      <c r="G3441" s="28" t="str">
        <f>HYPERLINK("http://api.nsgreg.nga.mil/geo-division/GENC/6/ed3/RO-CL","as:GENC:6:ed3:RO-CL")</f>
        <v>as:GENC:6:ed3:RO-CL</v>
      </c>
    </row>
    <row r="3442" spans="1:7" x14ac:dyDescent="0.2">
      <c r="A3442" s="85"/>
      <c r="B3442" s="25" t="s">
        <v>8620</v>
      </c>
      <c r="C3442" s="25" t="s">
        <v>8621</v>
      </c>
      <c r="D3442" s="25" t="s">
        <v>1788</v>
      </c>
      <c r="E3442" s="26" t="b">
        <v>1</v>
      </c>
      <c r="F3442" s="27" t="str">
        <f>HYPERLINK("http://nsgreg.nga.mil/genc/view?v=213095&amp;end_month=12&amp;end_day=31&amp;end_year=2014","Caraş-Severin")</f>
        <v>Caraş-Severin</v>
      </c>
      <c r="G3442" s="28" t="str">
        <f>HYPERLINK("http://api.nsgreg.nga.mil/geo-division/GENC/6/ed3/RO-CS","as:GENC:6:ed3:RO-CS")</f>
        <v>as:GENC:6:ed3:RO-CS</v>
      </c>
    </row>
    <row r="3443" spans="1:7" x14ac:dyDescent="0.2">
      <c r="A3443" s="85"/>
      <c r="B3443" s="25" t="s">
        <v>8622</v>
      </c>
      <c r="C3443" s="25" t="s">
        <v>8623</v>
      </c>
      <c r="D3443" s="25" t="s">
        <v>1788</v>
      </c>
      <c r="E3443" s="26" t="b">
        <v>1</v>
      </c>
      <c r="F3443" s="27" t="str">
        <f>HYPERLINK("http://nsgreg.nga.mil/genc/view?v=213093&amp;end_month=12&amp;end_day=31&amp;end_year=2014","Cluj")</f>
        <v>Cluj</v>
      </c>
      <c r="G3443" s="28" t="str">
        <f>HYPERLINK("http://api.nsgreg.nga.mil/geo-division/GENC/6/ed3/RO-CJ","as:GENC:6:ed3:RO-CJ")</f>
        <v>as:GENC:6:ed3:RO-CJ</v>
      </c>
    </row>
    <row r="3444" spans="1:7" x14ac:dyDescent="0.2">
      <c r="A3444" s="85"/>
      <c r="B3444" s="25" t="s">
        <v>8624</v>
      </c>
      <c r="C3444" s="25" t="s">
        <v>8625</v>
      </c>
      <c r="D3444" s="25" t="s">
        <v>1788</v>
      </c>
      <c r="E3444" s="26" t="b">
        <v>1</v>
      </c>
      <c r="F3444" s="27" t="str">
        <f>HYPERLINK("http://nsgreg.nga.mil/genc/view?v=213096&amp;end_month=12&amp;end_day=31&amp;end_year=2014","Constanţa")</f>
        <v>Constanţa</v>
      </c>
      <c r="G3444" s="28" t="str">
        <f>HYPERLINK("http://api.nsgreg.nga.mil/geo-division/GENC/6/ed3/RO-CT","as:GENC:6:ed3:RO-CT")</f>
        <v>as:GENC:6:ed3:RO-CT</v>
      </c>
    </row>
    <row r="3445" spans="1:7" x14ac:dyDescent="0.2">
      <c r="A3445" s="85"/>
      <c r="B3445" s="25" t="s">
        <v>8626</v>
      </c>
      <c r="C3445" s="25" t="s">
        <v>8627</v>
      </c>
      <c r="D3445" s="25" t="s">
        <v>1788</v>
      </c>
      <c r="E3445" s="26" t="b">
        <v>1</v>
      </c>
      <c r="F3445" s="27" t="str">
        <f>HYPERLINK("http://nsgreg.nga.mil/genc/view?v=213097&amp;end_month=12&amp;end_day=31&amp;end_year=2014","Covasna")</f>
        <v>Covasna</v>
      </c>
      <c r="G3445" s="28" t="str">
        <f>HYPERLINK("http://api.nsgreg.nga.mil/geo-division/GENC/6/ed3/RO-CV","as:GENC:6:ed3:RO-CV")</f>
        <v>as:GENC:6:ed3:RO-CV</v>
      </c>
    </row>
    <row r="3446" spans="1:7" x14ac:dyDescent="0.2">
      <c r="A3446" s="85"/>
      <c r="B3446" s="25" t="s">
        <v>8631</v>
      </c>
      <c r="C3446" s="25" t="s">
        <v>8632</v>
      </c>
      <c r="D3446" s="25" t="s">
        <v>1788</v>
      </c>
      <c r="E3446" s="26" t="b">
        <v>1</v>
      </c>
      <c r="F3446" s="27" t="str">
        <f>HYPERLINK("http://nsgreg.nga.mil/genc/view?v=213098&amp;end_month=12&amp;end_day=31&amp;end_year=2014","Dâmboviţa")</f>
        <v>Dâmboviţa</v>
      </c>
      <c r="G3446" s="28" t="str">
        <f>HYPERLINK("http://api.nsgreg.nga.mil/geo-division/GENC/6/ed3/RO-DB","as:GENC:6:ed3:RO-DB")</f>
        <v>as:GENC:6:ed3:RO-DB</v>
      </c>
    </row>
    <row r="3447" spans="1:7" x14ac:dyDescent="0.2">
      <c r="A3447" s="85"/>
      <c r="B3447" s="25" t="s">
        <v>8629</v>
      </c>
      <c r="C3447" s="25" t="s">
        <v>8630</v>
      </c>
      <c r="D3447" s="25" t="s">
        <v>1788</v>
      </c>
      <c r="E3447" s="26" t="b">
        <v>1</v>
      </c>
      <c r="F3447" s="27" t="str">
        <f>HYPERLINK("http://nsgreg.nga.mil/genc/view?v=213099&amp;end_month=12&amp;end_day=31&amp;end_year=2014","Dolj")</f>
        <v>Dolj</v>
      </c>
      <c r="G3447" s="28" t="str">
        <f>HYPERLINK("http://api.nsgreg.nga.mil/geo-division/GENC/6/ed3/RO-DJ","as:GENC:6:ed3:RO-DJ")</f>
        <v>as:GENC:6:ed3:RO-DJ</v>
      </c>
    </row>
    <row r="3448" spans="1:7" x14ac:dyDescent="0.2">
      <c r="A3448" s="85"/>
      <c r="B3448" s="25" t="s">
        <v>8633</v>
      </c>
      <c r="C3448" s="25" t="s">
        <v>8634</v>
      </c>
      <c r="D3448" s="25" t="s">
        <v>1788</v>
      </c>
      <c r="E3448" s="26" t="b">
        <v>1</v>
      </c>
      <c r="F3448" s="27" t="str">
        <f>HYPERLINK("http://nsgreg.nga.mil/genc/view?v=213101&amp;end_month=12&amp;end_day=31&amp;end_year=2014","Galaţi")</f>
        <v>Galaţi</v>
      </c>
      <c r="G3448" s="28" t="str">
        <f>HYPERLINK("http://api.nsgreg.nga.mil/geo-division/GENC/6/ed3/RO-GL","as:GENC:6:ed3:RO-GL")</f>
        <v>as:GENC:6:ed3:RO-GL</v>
      </c>
    </row>
    <row r="3449" spans="1:7" x14ac:dyDescent="0.2">
      <c r="A3449" s="85"/>
      <c r="B3449" s="25" t="s">
        <v>8635</v>
      </c>
      <c r="C3449" s="25" t="s">
        <v>8636</v>
      </c>
      <c r="D3449" s="25" t="s">
        <v>1788</v>
      </c>
      <c r="E3449" s="26" t="b">
        <v>1</v>
      </c>
      <c r="F3449" s="27" t="str">
        <f>HYPERLINK("http://nsgreg.nga.mil/genc/view?v=213102&amp;end_month=12&amp;end_day=31&amp;end_year=2014","Giurgiu")</f>
        <v>Giurgiu</v>
      </c>
      <c r="G3449" s="28" t="str">
        <f>HYPERLINK("http://api.nsgreg.nga.mil/geo-division/GENC/6/ed3/RO-GR","as:GENC:6:ed3:RO-GR")</f>
        <v>as:GENC:6:ed3:RO-GR</v>
      </c>
    </row>
    <row r="3450" spans="1:7" x14ac:dyDescent="0.2">
      <c r="A3450" s="85"/>
      <c r="B3450" s="25" t="s">
        <v>8637</v>
      </c>
      <c r="C3450" s="25" t="s">
        <v>8638</v>
      </c>
      <c r="D3450" s="25" t="s">
        <v>1788</v>
      </c>
      <c r="E3450" s="26" t="b">
        <v>1</v>
      </c>
      <c r="F3450" s="27" t="str">
        <f>HYPERLINK("http://nsgreg.nga.mil/genc/view?v=213100&amp;end_month=12&amp;end_day=31&amp;end_year=2014","Gorj")</f>
        <v>Gorj</v>
      </c>
      <c r="G3450" s="28" t="str">
        <f>HYPERLINK("http://api.nsgreg.nga.mil/geo-division/GENC/6/ed3/RO-GJ","as:GENC:6:ed3:RO-GJ")</f>
        <v>as:GENC:6:ed3:RO-GJ</v>
      </c>
    </row>
    <row r="3451" spans="1:7" x14ac:dyDescent="0.2">
      <c r="A3451" s="85"/>
      <c r="B3451" s="25" t="s">
        <v>8639</v>
      </c>
      <c r="C3451" s="25" t="s">
        <v>8640</v>
      </c>
      <c r="D3451" s="25" t="s">
        <v>1788</v>
      </c>
      <c r="E3451" s="26" t="b">
        <v>1</v>
      </c>
      <c r="F3451" s="27" t="str">
        <f>HYPERLINK("http://nsgreg.nga.mil/genc/view?v=213104&amp;end_month=12&amp;end_day=31&amp;end_year=2014","Harghita")</f>
        <v>Harghita</v>
      </c>
      <c r="G3451" s="28" t="str">
        <f>HYPERLINK("http://api.nsgreg.nga.mil/geo-division/GENC/6/ed3/RO-HR","as:GENC:6:ed3:RO-HR")</f>
        <v>as:GENC:6:ed3:RO-HR</v>
      </c>
    </row>
    <row r="3452" spans="1:7" x14ac:dyDescent="0.2">
      <c r="A3452" s="85"/>
      <c r="B3452" s="25" t="s">
        <v>8641</v>
      </c>
      <c r="C3452" s="25" t="s">
        <v>8642</v>
      </c>
      <c r="D3452" s="25" t="s">
        <v>1788</v>
      </c>
      <c r="E3452" s="26" t="b">
        <v>1</v>
      </c>
      <c r="F3452" s="27" t="str">
        <f>HYPERLINK("http://nsgreg.nga.mil/genc/view?v=213103&amp;end_month=12&amp;end_day=31&amp;end_year=2014","Hunedoara")</f>
        <v>Hunedoara</v>
      </c>
      <c r="G3452" s="28" t="str">
        <f>HYPERLINK("http://api.nsgreg.nga.mil/geo-division/GENC/6/ed3/RO-HD","as:GENC:6:ed3:RO-HD")</f>
        <v>as:GENC:6:ed3:RO-HD</v>
      </c>
    </row>
    <row r="3453" spans="1:7" x14ac:dyDescent="0.2">
      <c r="A3453" s="85"/>
      <c r="B3453" s="25" t="s">
        <v>8643</v>
      </c>
      <c r="C3453" s="25" t="s">
        <v>8644</v>
      </c>
      <c r="D3453" s="25" t="s">
        <v>1788</v>
      </c>
      <c r="E3453" s="26" t="b">
        <v>1</v>
      </c>
      <c r="F3453" s="27" t="str">
        <f>HYPERLINK("http://nsgreg.nga.mil/genc/view?v=213106&amp;end_month=12&amp;end_day=31&amp;end_year=2014","Ialomiţa")</f>
        <v>Ialomiţa</v>
      </c>
      <c r="G3453" s="28" t="str">
        <f>HYPERLINK("http://api.nsgreg.nga.mil/geo-division/GENC/6/ed3/RO-IL","as:GENC:6:ed3:RO-IL")</f>
        <v>as:GENC:6:ed3:RO-IL</v>
      </c>
    </row>
    <row r="3454" spans="1:7" x14ac:dyDescent="0.2">
      <c r="A3454" s="85"/>
      <c r="B3454" s="25" t="s">
        <v>8645</v>
      </c>
      <c r="C3454" s="25" t="s">
        <v>8646</v>
      </c>
      <c r="D3454" s="25" t="s">
        <v>1788</v>
      </c>
      <c r="E3454" s="26" t="b">
        <v>1</v>
      </c>
      <c r="F3454" s="27" t="str">
        <f>HYPERLINK("http://nsgreg.nga.mil/genc/view?v=213107&amp;end_month=12&amp;end_day=31&amp;end_year=2014","Iaşi")</f>
        <v>Iaşi</v>
      </c>
      <c r="G3454" s="28" t="str">
        <f>HYPERLINK("http://api.nsgreg.nga.mil/geo-division/GENC/6/ed3/RO-IS","as:GENC:6:ed3:RO-IS")</f>
        <v>as:GENC:6:ed3:RO-IS</v>
      </c>
    </row>
    <row r="3455" spans="1:7" x14ac:dyDescent="0.2">
      <c r="A3455" s="85"/>
      <c r="B3455" s="25" t="s">
        <v>8647</v>
      </c>
      <c r="C3455" s="25" t="s">
        <v>8648</v>
      </c>
      <c r="D3455" s="25" t="s">
        <v>1788</v>
      </c>
      <c r="E3455" s="26" t="b">
        <v>1</v>
      </c>
      <c r="F3455" s="27" t="str">
        <f>HYPERLINK("http://nsgreg.nga.mil/genc/view?v=213105&amp;end_month=12&amp;end_day=31&amp;end_year=2014","Ilfov")</f>
        <v>Ilfov</v>
      </c>
      <c r="G3455" s="28" t="str">
        <f>HYPERLINK("http://api.nsgreg.nga.mil/geo-division/GENC/6/ed3/RO-IF","as:GENC:6:ed3:RO-IF")</f>
        <v>as:GENC:6:ed3:RO-IF</v>
      </c>
    </row>
    <row r="3456" spans="1:7" x14ac:dyDescent="0.2">
      <c r="A3456" s="85"/>
      <c r="B3456" s="25" t="s">
        <v>8649</v>
      </c>
      <c r="C3456" s="25" t="s">
        <v>8650</v>
      </c>
      <c r="D3456" s="25" t="s">
        <v>1788</v>
      </c>
      <c r="E3456" s="26" t="b">
        <v>1</v>
      </c>
      <c r="F3456" s="27" t="str">
        <f>HYPERLINK("http://nsgreg.nga.mil/genc/view?v=213109&amp;end_month=12&amp;end_day=31&amp;end_year=2014","Maramureş")</f>
        <v>Maramureş</v>
      </c>
      <c r="G3456" s="28" t="str">
        <f>HYPERLINK("http://api.nsgreg.nga.mil/geo-division/GENC/6/ed3/RO-MM","as:GENC:6:ed3:RO-MM")</f>
        <v>as:GENC:6:ed3:RO-MM</v>
      </c>
    </row>
    <row r="3457" spans="1:7" x14ac:dyDescent="0.2">
      <c r="A3457" s="85"/>
      <c r="B3457" s="25" t="s">
        <v>8651</v>
      </c>
      <c r="C3457" s="25" t="s">
        <v>8652</v>
      </c>
      <c r="D3457" s="25" t="s">
        <v>1788</v>
      </c>
      <c r="E3457" s="26" t="b">
        <v>1</v>
      </c>
      <c r="F3457" s="27" t="str">
        <f>HYPERLINK("http://nsgreg.nga.mil/genc/view?v=213108&amp;end_month=12&amp;end_day=31&amp;end_year=2014","Mehedinţi")</f>
        <v>Mehedinţi</v>
      </c>
      <c r="G3457" s="28" t="str">
        <f>HYPERLINK("http://api.nsgreg.nga.mil/geo-division/GENC/6/ed3/RO-MH","as:GENC:6:ed3:RO-MH")</f>
        <v>as:GENC:6:ed3:RO-MH</v>
      </c>
    </row>
    <row r="3458" spans="1:7" x14ac:dyDescent="0.2">
      <c r="A3458" s="85"/>
      <c r="B3458" s="25" t="s">
        <v>8653</v>
      </c>
      <c r="C3458" s="25" t="s">
        <v>8654</v>
      </c>
      <c r="D3458" s="25" t="s">
        <v>1788</v>
      </c>
      <c r="E3458" s="26" t="b">
        <v>1</v>
      </c>
      <c r="F3458" s="27" t="str">
        <f>HYPERLINK("http://nsgreg.nga.mil/genc/view?v=213110&amp;end_month=12&amp;end_day=31&amp;end_year=2014","Mureş")</f>
        <v>Mureş</v>
      </c>
      <c r="G3458" s="28" t="str">
        <f>HYPERLINK("http://api.nsgreg.nga.mil/geo-division/GENC/6/ed3/RO-MS","as:GENC:6:ed3:RO-MS")</f>
        <v>as:GENC:6:ed3:RO-MS</v>
      </c>
    </row>
    <row r="3459" spans="1:7" x14ac:dyDescent="0.2">
      <c r="A3459" s="85"/>
      <c r="B3459" s="25" t="s">
        <v>8655</v>
      </c>
      <c r="C3459" s="25" t="s">
        <v>8656</v>
      </c>
      <c r="D3459" s="25" t="s">
        <v>1788</v>
      </c>
      <c r="E3459" s="26" t="b">
        <v>1</v>
      </c>
      <c r="F3459" s="27" t="str">
        <f>HYPERLINK("http://nsgreg.nga.mil/genc/view?v=213111&amp;end_month=12&amp;end_day=31&amp;end_year=2014","Neamţ")</f>
        <v>Neamţ</v>
      </c>
      <c r="G3459" s="28" t="str">
        <f>HYPERLINK("http://api.nsgreg.nga.mil/geo-division/GENC/6/ed3/RO-NT","as:GENC:6:ed3:RO-NT")</f>
        <v>as:GENC:6:ed3:RO-NT</v>
      </c>
    </row>
    <row r="3460" spans="1:7" x14ac:dyDescent="0.2">
      <c r="A3460" s="85"/>
      <c r="B3460" s="25" t="s">
        <v>8657</v>
      </c>
      <c r="C3460" s="25" t="s">
        <v>8658</v>
      </c>
      <c r="D3460" s="25" t="s">
        <v>1788</v>
      </c>
      <c r="E3460" s="26" t="b">
        <v>1</v>
      </c>
      <c r="F3460" s="27" t="str">
        <f>HYPERLINK("http://nsgreg.nga.mil/genc/view?v=213112&amp;end_month=12&amp;end_day=31&amp;end_year=2014","Olt")</f>
        <v>Olt</v>
      </c>
      <c r="G3460" s="28" t="str">
        <f>HYPERLINK("http://api.nsgreg.nga.mil/geo-division/GENC/6/ed3/RO-OT","as:GENC:6:ed3:RO-OT")</f>
        <v>as:GENC:6:ed3:RO-OT</v>
      </c>
    </row>
    <row r="3461" spans="1:7" x14ac:dyDescent="0.2">
      <c r="A3461" s="85"/>
      <c r="B3461" s="25" t="s">
        <v>8659</v>
      </c>
      <c r="C3461" s="25" t="s">
        <v>8660</v>
      </c>
      <c r="D3461" s="25" t="s">
        <v>1788</v>
      </c>
      <c r="E3461" s="26" t="b">
        <v>1</v>
      </c>
      <c r="F3461" s="27" t="str">
        <f>HYPERLINK("http://nsgreg.nga.mil/genc/view?v=213113&amp;end_month=12&amp;end_day=31&amp;end_year=2014","Prahova")</f>
        <v>Prahova</v>
      </c>
      <c r="G3461" s="28" t="str">
        <f>HYPERLINK("http://api.nsgreg.nga.mil/geo-division/GENC/6/ed3/RO-PH","as:GENC:6:ed3:RO-PH")</f>
        <v>as:GENC:6:ed3:RO-PH</v>
      </c>
    </row>
    <row r="3462" spans="1:7" x14ac:dyDescent="0.2">
      <c r="A3462" s="85"/>
      <c r="B3462" s="25" t="s">
        <v>8667</v>
      </c>
      <c r="C3462" s="25" t="s">
        <v>8668</v>
      </c>
      <c r="D3462" s="25" t="s">
        <v>1788</v>
      </c>
      <c r="E3462" s="26" t="b">
        <v>1</v>
      </c>
      <c r="F3462" s="27" t="str">
        <f>HYPERLINK("http://nsgreg.nga.mil/genc/view?v=213115&amp;end_month=12&amp;end_day=31&amp;end_year=2014","Sălaj")</f>
        <v>Sălaj</v>
      </c>
      <c r="G3462" s="28" t="str">
        <f>HYPERLINK("http://api.nsgreg.nga.mil/geo-division/GENC/6/ed3/RO-SJ","as:GENC:6:ed3:RO-SJ")</f>
        <v>as:GENC:6:ed3:RO-SJ</v>
      </c>
    </row>
    <row r="3463" spans="1:7" x14ac:dyDescent="0.2">
      <c r="A3463" s="85"/>
      <c r="B3463" s="25" t="s">
        <v>8661</v>
      </c>
      <c r="C3463" s="25" t="s">
        <v>8662</v>
      </c>
      <c r="D3463" s="25" t="s">
        <v>1788</v>
      </c>
      <c r="E3463" s="26" t="b">
        <v>1</v>
      </c>
      <c r="F3463" s="27" t="str">
        <f>HYPERLINK("http://nsgreg.nga.mil/genc/view?v=213116&amp;end_month=12&amp;end_day=31&amp;end_year=2014","Satu Mare")</f>
        <v>Satu Mare</v>
      </c>
      <c r="G3463" s="28" t="str">
        <f>HYPERLINK("http://api.nsgreg.nga.mil/geo-division/GENC/6/ed3/RO-SM","as:GENC:6:ed3:RO-SM")</f>
        <v>as:GENC:6:ed3:RO-SM</v>
      </c>
    </row>
    <row r="3464" spans="1:7" x14ac:dyDescent="0.2">
      <c r="A3464" s="85"/>
      <c r="B3464" s="25" t="s">
        <v>8663</v>
      </c>
      <c r="C3464" s="25" t="s">
        <v>8664</v>
      </c>
      <c r="D3464" s="25" t="s">
        <v>1788</v>
      </c>
      <c r="E3464" s="26" t="b">
        <v>1</v>
      </c>
      <c r="F3464" s="27" t="str">
        <f>HYPERLINK("http://nsgreg.nga.mil/genc/view?v=213114&amp;end_month=12&amp;end_day=31&amp;end_year=2014","Sibiu")</f>
        <v>Sibiu</v>
      </c>
      <c r="G3464" s="28" t="str">
        <f>HYPERLINK("http://api.nsgreg.nga.mil/geo-division/GENC/6/ed3/RO-SB","as:GENC:6:ed3:RO-SB")</f>
        <v>as:GENC:6:ed3:RO-SB</v>
      </c>
    </row>
    <row r="3465" spans="1:7" x14ac:dyDescent="0.2">
      <c r="A3465" s="85"/>
      <c r="B3465" s="25" t="s">
        <v>8665</v>
      </c>
      <c r="C3465" s="25" t="s">
        <v>8666</v>
      </c>
      <c r="D3465" s="25" t="s">
        <v>1788</v>
      </c>
      <c r="E3465" s="26" t="b">
        <v>1</v>
      </c>
      <c r="F3465" s="27" t="str">
        <f>HYPERLINK("http://nsgreg.nga.mil/genc/view?v=213117&amp;end_month=12&amp;end_day=31&amp;end_year=2014","Suceava")</f>
        <v>Suceava</v>
      </c>
      <c r="G3465" s="28" t="str">
        <f>HYPERLINK("http://api.nsgreg.nga.mil/geo-division/GENC/6/ed3/RO-SV","as:GENC:6:ed3:RO-SV")</f>
        <v>as:GENC:6:ed3:RO-SV</v>
      </c>
    </row>
    <row r="3466" spans="1:7" x14ac:dyDescent="0.2">
      <c r="A3466" s="85"/>
      <c r="B3466" s="25" t="s">
        <v>8669</v>
      </c>
      <c r="C3466" s="25" t="s">
        <v>8670</v>
      </c>
      <c r="D3466" s="25" t="s">
        <v>1788</v>
      </c>
      <c r="E3466" s="26" t="b">
        <v>1</v>
      </c>
      <c r="F3466" s="27" t="str">
        <f>HYPERLINK("http://nsgreg.nga.mil/genc/view?v=213120&amp;end_month=12&amp;end_day=31&amp;end_year=2014","Teleorman")</f>
        <v>Teleorman</v>
      </c>
      <c r="G3466" s="28" t="str">
        <f>HYPERLINK("http://api.nsgreg.nga.mil/geo-division/GENC/6/ed3/RO-TR","as:GENC:6:ed3:RO-TR")</f>
        <v>as:GENC:6:ed3:RO-TR</v>
      </c>
    </row>
    <row r="3467" spans="1:7" x14ac:dyDescent="0.2">
      <c r="A3467" s="85"/>
      <c r="B3467" s="25" t="s">
        <v>8671</v>
      </c>
      <c r="C3467" s="25" t="s">
        <v>8672</v>
      </c>
      <c r="D3467" s="25" t="s">
        <v>1788</v>
      </c>
      <c r="E3467" s="26" t="b">
        <v>1</v>
      </c>
      <c r="F3467" s="27" t="str">
        <f>HYPERLINK("http://nsgreg.nga.mil/genc/view?v=213119&amp;end_month=12&amp;end_day=31&amp;end_year=2014","Timiş")</f>
        <v>Timiş</v>
      </c>
      <c r="G3467" s="28" t="str">
        <f>HYPERLINK("http://api.nsgreg.nga.mil/geo-division/GENC/6/ed3/RO-TM","as:GENC:6:ed3:RO-TM")</f>
        <v>as:GENC:6:ed3:RO-TM</v>
      </c>
    </row>
    <row r="3468" spans="1:7" x14ac:dyDescent="0.2">
      <c r="A3468" s="85"/>
      <c r="B3468" s="25" t="s">
        <v>8673</v>
      </c>
      <c r="C3468" s="25" t="s">
        <v>8674</v>
      </c>
      <c r="D3468" s="25" t="s">
        <v>1788</v>
      </c>
      <c r="E3468" s="26" t="b">
        <v>1</v>
      </c>
      <c r="F3468" s="27" t="str">
        <f>HYPERLINK("http://nsgreg.nga.mil/genc/view?v=213118&amp;end_month=12&amp;end_day=31&amp;end_year=2014","Tulcea")</f>
        <v>Tulcea</v>
      </c>
      <c r="G3468" s="28" t="str">
        <f>HYPERLINK("http://api.nsgreg.nga.mil/geo-division/GENC/6/ed3/RO-TL","as:GENC:6:ed3:RO-TL")</f>
        <v>as:GENC:6:ed3:RO-TL</v>
      </c>
    </row>
    <row r="3469" spans="1:7" x14ac:dyDescent="0.2">
      <c r="A3469" s="85"/>
      <c r="B3469" s="25" t="s">
        <v>8679</v>
      </c>
      <c r="C3469" s="25" t="s">
        <v>8680</v>
      </c>
      <c r="D3469" s="25" t="s">
        <v>1788</v>
      </c>
      <c r="E3469" s="26" t="b">
        <v>1</v>
      </c>
      <c r="F3469" s="27" t="str">
        <f>HYPERLINK("http://nsgreg.nga.mil/genc/view?v=213121&amp;end_month=12&amp;end_day=31&amp;end_year=2014","Vâlcea")</f>
        <v>Vâlcea</v>
      </c>
      <c r="G3469" s="28" t="str">
        <f>HYPERLINK("http://api.nsgreg.nga.mil/geo-division/GENC/6/ed3/RO-VL","as:GENC:6:ed3:RO-VL")</f>
        <v>as:GENC:6:ed3:RO-VL</v>
      </c>
    </row>
    <row r="3470" spans="1:7" x14ac:dyDescent="0.2">
      <c r="A3470" s="85"/>
      <c r="B3470" s="25" t="s">
        <v>8675</v>
      </c>
      <c r="C3470" s="25" t="s">
        <v>8676</v>
      </c>
      <c r="D3470" s="25" t="s">
        <v>1788</v>
      </c>
      <c r="E3470" s="26" t="b">
        <v>1</v>
      </c>
      <c r="F3470" s="27" t="str">
        <f>HYPERLINK("http://nsgreg.nga.mil/genc/view?v=213123&amp;end_month=12&amp;end_day=31&amp;end_year=2014","Vaslui")</f>
        <v>Vaslui</v>
      </c>
      <c r="G3470" s="28" t="str">
        <f>HYPERLINK("http://api.nsgreg.nga.mil/geo-division/GENC/6/ed3/RO-VS","as:GENC:6:ed3:RO-VS")</f>
        <v>as:GENC:6:ed3:RO-VS</v>
      </c>
    </row>
    <row r="3471" spans="1:7" x14ac:dyDescent="0.2">
      <c r="A3471" s="86"/>
      <c r="B3471" s="29" t="s">
        <v>8677</v>
      </c>
      <c r="C3471" s="29" t="s">
        <v>8678</v>
      </c>
      <c r="D3471" s="29" t="s">
        <v>1788</v>
      </c>
      <c r="E3471" s="30" t="b">
        <v>1</v>
      </c>
      <c r="F3471" s="31" t="str">
        <f>HYPERLINK("http://nsgreg.nga.mil/genc/view?v=213122&amp;end_month=12&amp;end_day=31&amp;end_year=2014","Vrancea")</f>
        <v>Vrancea</v>
      </c>
      <c r="G3471" s="32" t="str">
        <f>HYPERLINK("http://api.nsgreg.nga.mil/geo-division/GENC/6/ed3/RO-VN","as:GENC:6:ed3:RO-VN")</f>
        <v>as:GENC:6:ed3:RO-VN</v>
      </c>
    </row>
    <row r="3472" spans="1:7" x14ac:dyDescent="0.2">
      <c r="A3472" s="84" t="str">
        <f>HYPERLINK("[#]Codes_for_GE_Names!A212:I212","RUSSIA")</f>
        <v>RUSSIA</v>
      </c>
      <c r="B3472" s="33" t="s">
        <v>8681</v>
      </c>
      <c r="C3472" s="33" t="s">
        <v>13217</v>
      </c>
      <c r="D3472" s="33" t="s">
        <v>8683</v>
      </c>
      <c r="E3472" s="34" t="b">
        <v>1</v>
      </c>
      <c r="F3472" s="35" t="str">
        <f>HYPERLINK("http://nsgreg.nga.mil/genc/view?v=213298&amp;end_month=12&amp;end_day=31&amp;end_year=2014","Adygeya")</f>
        <v>Adygeya</v>
      </c>
      <c r="G3472" s="36" t="str">
        <f>HYPERLINK("http://api.nsgreg.nga.mil/geo-division/GENC/6/ed3/RU-AD","as:GENC:6:ed3:RU-AD")</f>
        <v>as:GENC:6:ed3:RU-AD</v>
      </c>
    </row>
    <row r="3473" spans="1:7" x14ac:dyDescent="0.2">
      <c r="A3473" s="85"/>
      <c r="B3473" s="25" t="s">
        <v>8684</v>
      </c>
      <c r="C3473" s="25" t="s">
        <v>13218</v>
      </c>
      <c r="D3473" s="25" t="s">
        <v>8683</v>
      </c>
      <c r="E3473" s="26" t="b">
        <v>1</v>
      </c>
      <c r="F3473" s="27" t="str">
        <f>HYPERLINK("http://nsgreg.nga.mil/genc/view?v=213299&amp;end_month=12&amp;end_day=31&amp;end_year=2014","Altay")</f>
        <v>Altay</v>
      </c>
      <c r="G3473" s="28" t="str">
        <f>HYPERLINK("http://api.nsgreg.nga.mil/geo-division/GENC/6/ed3/RU-AL","as:GENC:6:ed3:RU-AL")</f>
        <v>as:GENC:6:ed3:RU-AL</v>
      </c>
    </row>
    <row r="3474" spans="1:7" x14ac:dyDescent="0.2">
      <c r="A3474" s="85"/>
      <c r="B3474" s="25" t="s">
        <v>8686</v>
      </c>
      <c r="C3474" s="25" t="s">
        <v>13219</v>
      </c>
      <c r="D3474" s="25" t="s">
        <v>1790</v>
      </c>
      <c r="E3474" s="26" t="b">
        <v>1</v>
      </c>
      <c r="F3474" s="27" t="str">
        <f>HYPERLINK("http://nsgreg.nga.mil/genc/view?v=213300&amp;end_month=12&amp;end_day=31&amp;end_year=2014","Altayskiy Kray")</f>
        <v>Altayskiy Kray</v>
      </c>
      <c r="G3474" s="28" t="str">
        <f>HYPERLINK("http://api.nsgreg.nga.mil/geo-division/GENC/6/ed3/RU-ALT","as:GENC:6:ed3:RU-ALT")</f>
        <v>as:GENC:6:ed3:RU-ALT</v>
      </c>
    </row>
    <row r="3475" spans="1:7" x14ac:dyDescent="0.2">
      <c r="A3475" s="85"/>
      <c r="B3475" s="25" t="s">
        <v>8689</v>
      </c>
      <c r="C3475" s="25" t="s">
        <v>13220</v>
      </c>
      <c r="D3475" s="25" t="s">
        <v>1719</v>
      </c>
      <c r="E3475" s="26" t="b">
        <v>1</v>
      </c>
      <c r="F3475" s="27" t="str">
        <f>HYPERLINK("http://nsgreg.nga.mil/genc/view?v=213301&amp;end_month=12&amp;end_day=31&amp;end_year=2014","Amurskaya Oblast’")</f>
        <v>Amurskaya Oblast’</v>
      </c>
      <c r="G3475" s="28" t="str">
        <f>HYPERLINK("http://api.nsgreg.nga.mil/geo-division/GENC/6/ed3/RU-AMU","as:GENC:6:ed3:RU-AMU")</f>
        <v>as:GENC:6:ed3:RU-AMU</v>
      </c>
    </row>
    <row r="3476" spans="1:7" x14ac:dyDescent="0.2">
      <c r="A3476" s="85"/>
      <c r="B3476" s="25" t="s">
        <v>8691</v>
      </c>
      <c r="C3476" s="25" t="s">
        <v>13221</v>
      </c>
      <c r="D3476" s="25" t="s">
        <v>1719</v>
      </c>
      <c r="E3476" s="26" t="b">
        <v>1</v>
      </c>
      <c r="F3476" s="27" t="str">
        <f>HYPERLINK("http://nsgreg.nga.mil/genc/view?v=213302&amp;end_month=12&amp;end_day=31&amp;end_year=2014","Arkhangel’skaya Oblast’")</f>
        <v>Arkhangel’skaya Oblast’</v>
      </c>
      <c r="G3476" s="28" t="str">
        <f>HYPERLINK("http://api.nsgreg.nga.mil/geo-division/GENC/6/ed3/RU-ARK","as:GENC:6:ed3:RU-ARK")</f>
        <v>as:GENC:6:ed3:RU-ARK</v>
      </c>
    </row>
    <row r="3477" spans="1:7" x14ac:dyDescent="0.2">
      <c r="A3477" s="85"/>
      <c r="B3477" s="25" t="s">
        <v>8693</v>
      </c>
      <c r="C3477" s="25" t="s">
        <v>13222</v>
      </c>
      <c r="D3477" s="25" t="s">
        <v>1719</v>
      </c>
      <c r="E3477" s="26" t="b">
        <v>1</v>
      </c>
      <c r="F3477" s="27" t="str">
        <f>HYPERLINK("http://nsgreg.nga.mil/genc/view?v=213303&amp;end_month=12&amp;end_day=31&amp;end_year=2014","Astrakhanskaya Oblast’")</f>
        <v>Astrakhanskaya Oblast’</v>
      </c>
      <c r="G3477" s="28" t="str">
        <f>HYPERLINK("http://api.nsgreg.nga.mil/geo-division/GENC/6/ed3/RU-AST","as:GENC:6:ed3:RU-AST")</f>
        <v>as:GENC:6:ed3:RU-AST</v>
      </c>
    </row>
    <row r="3478" spans="1:7" x14ac:dyDescent="0.2">
      <c r="A3478" s="85"/>
      <c r="B3478" s="25" t="s">
        <v>8695</v>
      </c>
      <c r="C3478" s="25" t="s">
        <v>13223</v>
      </c>
      <c r="D3478" s="25" t="s">
        <v>8683</v>
      </c>
      <c r="E3478" s="26" t="b">
        <v>1</v>
      </c>
      <c r="F3478" s="27" t="str">
        <f>HYPERLINK("http://nsgreg.nga.mil/genc/view?v=213304&amp;end_month=12&amp;end_day=31&amp;end_year=2014","Bashkortostan")</f>
        <v>Bashkortostan</v>
      </c>
      <c r="G3478" s="28" t="str">
        <f>HYPERLINK("http://api.nsgreg.nga.mil/geo-division/GENC/6/ed3/RU-BA","as:GENC:6:ed3:RU-BA")</f>
        <v>as:GENC:6:ed3:RU-BA</v>
      </c>
    </row>
    <row r="3479" spans="1:7" x14ac:dyDescent="0.2">
      <c r="A3479" s="85"/>
      <c r="B3479" s="25" t="s">
        <v>8697</v>
      </c>
      <c r="C3479" s="25" t="s">
        <v>13224</v>
      </c>
      <c r="D3479" s="25" t="s">
        <v>1719</v>
      </c>
      <c r="E3479" s="26" t="b">
        <v>1</v>
      </c>
      <c r="F3479" s="27" t="str">
        <f>HYPERLINK("http://nsgreg.nga.mil/genc/view?v=213305&amp;end_month=12&amp;end_day=31&amp;end_year=2014","Belgorodskaya Oblast’")</f>
        <v>Belgorodskaya Oblast’</v>
      </c>
      <c r="G3479" s="28" t="str">
        <f>HYPERLINK("http://api.nsgreg.nga.mil/geo-division/GENC/6/ed3/RU-BEL","as:GENC:6:ed3:RU-BEL")</f>
        <v>as:GENC:6:ed3:RU-BEL</v>
      </c>
    </row>
    <row r="3480" spans="1:7" x14ac:dyDescent="0.2">
      <c r="A3480" s="85"/>
      <c r="B3480" s="25" t="s">
        <v>8699</v>
      </c>
      <c r="C3480" s="25" t="s">
        <v>13225</v>
      </c>
      <c r="D3480" s="25" t="s">
        <v>1719</v>
      </c>
      <c r="E3480" s="26" t="b">
        <v>1</v>
      </c>
      <c r="F3480" s="27" t="str">
        <f>HYPERLINK("http://nsgreg.nga.mil/genc/view?v=213306&amp;end_month=12&amp;end_day=31&amp;end_year=2014","Bryanskaya Oblast’")</f>
        <v>Bryanskaya Oblast’</v>
      </c>
      <c r="G3480" s="28" t="str">
        <f>HYPERLINK("http://api.nsgreg.nga.mil/geo-division/GENC/6/ed3/RU-BRY","as:GENC:6:ed3:RU-BRY")</f>
        <v>as:GENC:6:ed3:RU-BRY</v>
      </c>
    </row>
    <row r="3481" spans="1:7" x14ac:dyDescent="0.2">
      <c r="A3481" s="85"/>
      <c r="B3481" s="25" t="s">
        <v>8701</v>
      </c>
      <c r="C3481" s="25" t="s">
        <v>13226</v>
      </c>
      <c r="D3481" s="25" t="s">
        <v>8683</v>
      </c>
      <c r="E3481" s="26" t="b">
        <v>1</v>
      </c>
      <c r="F3481" s="27" t="str">
        <f>HYPERLINK("http://nsgreg.nga.mil/genc/view?v=213307&amp;end_month=12&amp;end_day=31&amp;end_year=2014","Buryatiya")</f>
        <v>Buryatiya</v>
      </c>
      <c r="G3481" s="28" t="str">
        <f>HYPERLINK("http://api.nsgreg.nga.mil/geo-division/GENC/6/ed3/RU-BU","as:GENC:6:ed3:RU-BU")</f>
        <v>as:GENC:6:ed3:RU-BU</v>
      </c>
    </row>
    <row r="3482" spans="1:7" x14ac:dyDescent="0.2">
      <c r="A3482" s="85"/>
      <c r="B3482" s="25" t="s">
        <v>8703</v>
      </c>
      <c r="C3482" s="25" t="s">
        <v>13227</v>
      </c>
      <c r="D3482" s="25" t="s">
        <v>8683</v>
      </c>
      <c r="E3482" s="26" t="b">
        <v>1</v>
      </c>
      <c r="F3482" s="27" t="str">
        <f>HYPERLINK("http://nsgreg.nga.mil/genc/view?v=213308&amp;end_month=12&amp;end_day=31&amp;end_year=2014","Chechnya")</f>
        <v>Chechnya</v>
      </c>
      <c r="G3482" s="28" t="str">
        <f>HYPERLINK("http://api.nsgreg.nga.mil/geo-division/GENC/6/ed3/RU-CE","as:GENC:6:ed3:RU-CE")</f>
        <v>as:GENC:6:ed3:RU-CE</v>
      </c>
    </row>
    <row r="3483" spans="1:7" x14ac:dyDescent="0.2">
      <c r="A3483" s="85"/>
      <c r="B3483" s="25" t="s">
        <v>8705</v>
      </c>
      <c r="C3483" s="25" t="s">
        <v>13228</v>
      </c>
      <c r="D3483" s="25" t="s">
        <v>1719</v>
      </c>
      <c r="E3483" s="26" t="b">
        <v>1</v>
      </c>
      <c r="F3483" s="27" t="str">
        <f>HYPERLINK("http://nsgreg.nga.mil/genc/view?v=213309&amp;end_month=12&amp;end_day=31&amp;end_year=2014","Chelyabinskaya Oblast’")</f>
        <v>Chelyabinskaya Oblast’</v>
      </c>
      <c r="G3483" s="28" t="str">
        <f>HYPERLINK("http://api.nsgreg.nga.mil/geo-division/GENC/6/ed3/RU-CHE","as:GENC:6:ed3:RU-CHE")</f>
        <v>as:GENC:6:ed3:RU-CHE</v>
      </c>
    </row>
    <row r="3484" spans="1:7" x14ac:dyDescent="0.2">
      <c r="A3484" s="85"/>
      <c r="B3484" s="25" t="s">
        <v>8707</v>
      </c>
      <c r="C3484" s="25" t="s">
        <v>13229</v>
      </c>
      <c r="D3484" s="25" t="s">
        <v>3322</v>
      </c>
      <c r="E3484" s="26" t="b">
        <v>1</v>
      </c>
      <c r="F3484" s="27" t="str">
        <f>HYPERLINK("http://nsgreg.nga.mil/genc/view?v=213310&amp;end_month=12&amp;end_day=31&amp;end_year=2014","Chukotskiy Avtonomnyy Okrug")</f>
        <v>Chukotskiy Avtonomnyy Okrug</v>
      </c>
      <c r="G3484" s="28" t="str">
        <f>HYPERLINK("http://api.nsgreg.nga.mil/geo-division/GENC/6/ed3/RU-CHU","as:GENC:6:ed3:RU-CHU")</f>
        <v>as:GENC:6:ed3:RU-CHU</v>
      </c>
    </row>
    <row r="3485" spans="1:7" x14ac:dyDescent="0.2">
      <c r="A3485" s="85"/>
      <c r="B3485" s="25" t="s">
        <v>8710</v>
      </c>
      <c r="C3485" s="25" t="s">
        <v>13230</v>
      </c>
      <c r="D3485" s="25" t="s">
        <v>8683</v>
      </c>
      <c r="E3485" s="26" t="b">
        <v>1</v>
      </c>
      <c r="F3485" s="27" t="str">
        <f>HYPERLINK("http://nsgreg.nga.mil/genc/view?v=213311&amp;end_month=12&amp;end_day=31&amp;end_year=2014","Chuvashiya")</f>
        <v>Chuvashiya</v>
      </c>
      <c r="G3485" s="28" t="str">
        <f>HYPERLINK("http://api.nsgreg.nga.mil/geo-division/GENC/6/ed3/RU-CU","as:GENC:6:ed3:RU-CU")</f>
        <v>as:GENC:6:ed3:RU-CU</v>
      </c>
    </row>
    <row r="3486" spans="1:7" x14ac:dyDescent="0.2">
      <c r="A3486" s="85"/>
      <c r="B3486" s="25" t="s">
        <v>8712</v>
      </c>
      <c r="C3486" s="25" t="s">
        <v>13231</v>
      </c>
      <c r="D3486" s="25" t="s">
        <v>8683</v>
      </c>
      <c r="E3486" s="26" t="b">
        <v>1</v>
      </c>
      <c r="F3486" s="27" t="str">
        <f>HYPERLINK("http://nsgreg.nga.mil/genc/view?v=213312&amp;end_month=12&amp;end_day=31&amp;end_year=2014","Dagestan")</f>
        <v>Dagestan</v>
      </c>
      <c r="G3486" s="28" t="str">
        <f>HYPERLINK("http://api.nsgreg.nga.mil/geo-division/GENC/6/ed3/RU-DA","as:GENC:6:ed3:RU-DA")</f>
        <v>as:GENC:6:ed3:RU-DA</v>
      </c>
    </row>
    <row r="3487" spans="1:7" x14ac:dyDescent="0.2">
      <c r="A3487" s="85"/>
      <c r="B3487" s="25" t="s">
        <v>8714</v>
      </c>
      <c r="C3487" s="25" t="s">
        <v>13232</v>
      </c>
      <c r="D3487" s="25" t="s">
        <v>8683</v>
      </c>
      <c r="E3487" s="26" t="b">
        <v>1</v>
      </c>
      <c r="F3487" s="27" t="str">
        <f>HYPERLINK("http://nsgreg.nga.mil/genc/view?v=213313&amp;end_month=12&amp;end_day=31&amp;end_year=2014","Ingushetiya")</f>
        <v>Ingushetiya</v>
      </c>
      <c r="G3487" s="28" t="str">
        <f>HYPERLINK("http://api.nsgreg.nga.mil/geo-division/GENC/6/ed3/RU-IN","as:GENC:6:ed3:RU-IN")</f>
        <v>as:GENC:6:ed3:RU-IN</v>
      </c>
    </row>
    <row r="3488" spans="1:7" x14ac:dyDescent="0.2">
      <c r="A3488" s="85"/>
      <c r="B3488" s="25" t="s">
        <v>8716</v>
      </c>
      <c r="C3488" s="25" t="s">
        <v>13233</v>
      </c>
      <c r="D3488" s="25" t="s">
        <v>1719</v>
      </c>
      <c r="E3488" s="26" t="b">
        <v>1</v>
      </c>
      <c r="F3488" s="27" t="str">
        <f>HYPERLINK("http://nsgreg.nga.mil/genc/view?v=213314&amp;end_month=12&amp;end_day=31&amp;end_year=2014","Irkutskaya Oblast’")</f>
        <v>Irkutskaya Oblast’</v>
      </c>
      <c r="G3488" s="28" t="str">
        <f>HYPERLINK("http://api.nsgreg.nga.mil/geo-division/GENC/6/ed3/RU-IRK","as:GENC:6:ed3:RU-IRK")</f>
        <v>as:GENC:6:ed3:RU-IRK</v>
      </c>
    </row>
    <row r="3489" spans="1:7" x14ac:dyDescent="0.2">
      <c r="A3489" s="85"/>
      <c r="B3489" s="25" t="s">
        <v>8718</v>
      </c>
      <c r="C3489" s="25" t="s">
        <v>13234</v>
      </c>
      <c r="D3489" s="25" t="s">
        <v>1719</v>
      </c>
      <c r="E3489" s="26" t="b">
        <v>1</v>
      </c>
      <c r="F3489" s="27" t="str">
        <f>HYPERLINK("http://nsgreg.nga.mil/genc/view?v=213315&amp;end_month=12&amp;end_day=31&amp;end_year=2014","Ivanovskaya Oblast’")</f>
        <v>Ivanovskaya Oblast’</v>
      </c>
      <c r="G3489" s="28" t="str">
        <f>HYPERLINK("http://api.nsgreg.nga.mil/geo-division/GENC/6/ed3/RU-IVA","as:GENC:6:ed3:RU-IVA")</f>
        <v>as:GENC:6:ed3:RU-IVA</v>
      </c>
    </row>
    <row r="3490" spans="1:7" x14ac:dyDescent="0.2">
      <c r="A3490" s="85"/>
      <c r="B3490" s="25" t="s">
        <v>8720</v>
      </c>
      <c r="C3490" s="25" t="s">
        <v>13235</v>
      </c>
      <c r="D3490" s="25" t="s">
        <v>8683</v>
      </c>
      <c r="E3490" s="26" t="b">
        <v>1</v>
      </c>
      <c r="F3490" s="27" t="str">
        <f>HYPERLINK("http://nsgreg.nga.mil/genc/view?v=213317&amp;end_month=12&amp;end_day=31&amp;end_year=2014","Kabardino-Balkariya")</f>
        <v>Kabardino-Balkariya</v>
      </c>
      <c r="G3490" s="28" t="str">
        <f>HYPERLINK("http://api.nsgreg.nga.mil/geo-division/GENC/6/ed3/RU-KB","as:GENC:6:ed3:RU-KB")</f>
        <v>as:GENC:6:ed3:RU-KB</v>
      </c>
    </row>
    <row r="3491" spans="1:7" x14ac:dyDescent="0.2">
      <c r="A3491" s="85"/>
      <c r="B3491" s="25" t="s">
        <v>8722</v>
      </c>
      <c r="C3491" s="25" t="s">
        <v>13236</v>
      </c>
      <c r="D3491" s="25" t="s">
        <v>1719</v>
      </c>
      <c r="E3491" s="26" t="b">
        <v>1</v>
      </c>
      <c r="F3491" s="27" t="str">
        <f>HYPERLINK("http://nsgreg.nga.mil/genc/view?v=213321&amp;end_month=12&amp;end_day=31&amp;end_year=2014","Kaliningradskaya Oblast’")</f>
        <v>Kaliningradskaya Oblast’</v>
      </c>
      <c r="G3491" s="28" t="str">
        <f>HYPERLINK("http://api.nsgreg.nga.mil/geo-division/GENC/6/ed3/RU-KGD","as:GENC:6:ed3:RU-KGD")</f>
        <v>as:GENC:6:ed3:RU-KGD</v>
      </c>
    </row>
    <row r="3492" spans="1:7" x14ac:dyDescent="0.2">
      <c r="A3492" s="85"/>
      <c r="B3492" s="25" t="s">
        <v>8724</v>
      </c>
      <c r="C3492" s="25" t="s">
        <v>13237</v>
      </c>
      <c r="D3492" s="25" t="s">
        <v>8683</v>
      </c>
      <c r="E3492" s="26" t="b">
        <v>1</v>
      </c>
      <c r="F3492" s="27" t="str">
        <f>HYPERLINK("http://nsgreg.nga.mil/genc/view?v=213327&amp;end_month=12&amp;end_day=31&amp;end_year=2014","Kalmykiya")</f>
        <v>Kalmykiya</v>
      </c>
      <c r="G3492" s="28" t="str">
        <f>HYPERLINK("http://api.nsgreg.nga.mil/geo-division/GENC/6/ed3/RU-KL","as:GENC:6:ed3:RU-KL")</f>
        <v>as:GENC:6:ed3:RU-KL</v>
      </c>
    </row>
    <row r="3493" spans="1:7" x14ac:dyDescent="0.2">
      <c r="A3493" s="85"/>
      <c r="B3493" s="25" t="s">
        <v>8726</v>
      </c>
      <c r="C3493" s="25" t="s">
        <v>13238</v>
      </c>
      <c r="D3493" s="25" t="s">
        <v>1719</v>
      </c>
      <c r="E3493" s="26" t="b">
        <v>1</v>
      </c>
      <c r="F3493" s="27" t="str">
        <f>HYPERLINK("http://nsgreg.nga.mil/genc/view?v=213328&amp;end_month=12&amp;end_day=31&amp;end_year=2014","Kaluzhskaya Oblast’")</f>
        <v>Kaluzhskaya Oblast’</v>
      </c>
      <c r="G3493" s="28" t="str">
        <f>HYPERLINK("http://api.nsgreg.nga.mil/geo-division/GENC/6/ed3/RU-KLU","as:GENC:6:ed3:RU-KLU")</f>
        <v>as:GENC:6:ed3:RU-KLU</v>
      </c>
    </row>
    <row r="3494" spans="1:7" x14ac:dyDescent="0.2">
      <c r="A3494" s="85"/>
      <c r="B3494" s="25" t="s">
        <v>8728</v>
      </c>
      <c r="C3494" s="25" t="s">
        <v>13239</v>
      </c>
      <c r="D3494" s="25" t="s">
        <v>1790</v>
      </c>
      <c r="E3494" s="26" t="b">
        <v>1</v>
      </c>
      <c r="F3494" s="27" t="str">
        <f>HYPERLINK("http://nsgreg.nga.mil/genc/view?v=213316&amp;end_month=12&amp;end_day=31&amp;end_year=2014","Kamchatskiy Kray")</f>
        <v>Kamchatskiy Kray</v>
      </c>
      <c r="G3494" s="28" t="str">
        <f>HYPERLINK("http://api.nsgreg.nga.mil/geo-division/GENC/6/ed3/RU-KAM","as:GENC:6:ed3:RU-KAM")</f>
        <v>as:GENC:6:ed3:RU-KAM</v>
      </c>
    </row>
    <row r="3495" spans="1:7" x14ac:dyDescent="0.2">
      <c r="A3495" s="85"/>
      <c r="B3495" s="25" t="s">
        <v>8730</v>
      </c>
      <c r="C3495" s="25" t="s">
        <v>13240</v>
      </c>
      <c r="D3495" s="25" t="s">
        <v>1719</v>
      </c>
      <c r="E3495" s="26" t="b">
        <v>1</v>
      </c>
      <c r="F3495" s="27" t="str">
        <f>HYPERLINK("http://nsgreg.nga.mil/genc/view?v=213318&amp;end_month=12&amp;end_day=31&amp;end_year=2014","Karachayevo-Cherkesiya")</f>
        <v>Karachayevo-Cherkesiya</v>
      </c>
      <c r="G3495" s="28" t="str">
        <f>HYPERLINK("http://api.nsgreg.nga.mil/geo-division/GENC/6/ed3/RU-KC","as:GENC:6:ed3:RU-KC")</f>
        <v>as:GENC:6:ed3:RU-KC</v>
      </c>
    </row>
    <row r="3496" spans="1:7" x14ac:dyDescent="0.2">
      <c r="A3496" s="85"/>
      <c r="B3496" s="25" t="s">
        <v>8732</v>
      </c>
      <c r="C3496" s="25" t="s">
        <v>13241</v>
      </c>
      <c r="D3496" s="25" t="s">
        <v>8683</v>
      </c>
      <c r="E3496" s="26" t="b">
        <v>1</v>
      </c>
      <c r="F3496" s="27" t="str">
        <f>HYPERLINK("http://nsgreg.nga.mil/genc/view?v=213331&amp;end_month=12&amp;end_day=31&amp;end_year=2014","Kareliya")</f>
        <v>Kareliya</v>
      </c>
      <c r="G3496" s="28" t="str">
        <f>HYPERLINK("http://api.nsgreg.nga.mil/geo-division/GENC/6/ed3/RU-KR","as:GENC:6:ed3:RU-KR")</f>
        <v>as:GENC:6:ed3:RU-KR</v>
      </c>
    </row>
    <row r="3497" spans="1:7" x14ac:dyDescent="0.2">
      <c r="A3497" s="85"/>
      <c r="B3497" s="25" t="s">
        <v>8734</v>
      </c>
      <c r="C3497" s="25" t="s">
        <v>13242</v>
      </c>
      <c r="D3497" s="25" t="s">
        <v>1719</v>
      </c>
      <c r="E3497" s="26" t="b">
        <v>1</v>
      </c>
      <c r="F3497" s="27" t="str">
        <f>HYPERLINK("http://nsgreg.nga.mil/genc/view?v=213320&amp;end_month=12&amp;end_day=31&amp;end_year=2014","Kemerovskaya Oblast’")</f>
        <v>Kemerovskaya Oblast’</v>
      </c>
      <c r="G3497" s="28" t="str">
        <f>HYPERLINK("http://api.nsgreg.nga.mil/geo-division/GENC/6/ed3/RU-KEM","as:GENC:6:ed3:RU-KEM")</f>
        <v>as:GENC:6:ed3:RU-KEM</v>
      </c>
    </row>
    <row r="3498" spans="1:7" x14ac:dyDescent="0.2">
      <c r="A3498" s="85"/>
      <c r="B3498" s="25" t="s">
        <v>8736</v>
      </c>
      <c r="C3498" s="25" t="s">
        <v>13243</v>
      </c>
      <c r="D3498" s="25" t="s">
        <v>1790</v>
      </c>
      <c r="E3498" s="26" t="b">
        <v>1</v>
      </c>
      <c r="F3498" s="27" t="str">
        <f>HYPERLINK("http://nsgreg.nga.mil/genc/view?v=213323&amp;end_month=12&amp;end_day=31&amp;end_year=2014","Khabarovskiy Kray")</f>
        <v>Khabarovskiy Kray</v>
      </c>
      <c r="G3498" s="28" t="str">
        <f>HYPERLINK("http://api.nsgreg.nga.mil/geo-division/GENC/6/ed3/RU-KHA","as:GENC:6:ed3:RU-KHA")</f>
        <v>as:GENC:6:ed3:RU-KHA</v>
      </c>
    </row>
    <row r="3499" spans="1:7" x14ac:dyDescent="0.2">
      <c r="A3499" s="85"/>
      <c r="B3499" s="25" t="s">
        <v>8738</v>
      </c>
      <c r="C3499" s="25" t="s">
        <v>13244</v>
      </c>
      <c r="D3499" s="25" t="s">
        <v>8683</v>
      </c>
      <c r="E3499" s="26" t="b">
        <v>1</v>
      </c>
      <c r="F3499" s="27" t="str">
        <f>HYPERLINK("http://nsgreg.nga.mil/genc/view?v=213326&amp;end_month=12&amp;end_day=31&amp;end_year=2014","Khakasiya")</f>
        <v>Khakasiya</v>
      </c>
      <c r="G3499" s="28" t="str">
        <f>HYPERLINK("http://api.nsgreg.nga.mil/geo-division/GENC/6/ed3/RU-KK","as:GENC:6:ed3:RU-KK")</f>
        <v>as:GENC:6:ed3:RU-KK</v>
      </c>
    </row>
    <row r="3500" spans="1:7" x14ac:dyDescent="0.2">
      <c r="A3500" s="85"/>
      <c r="B3500" s="25" t="s">
        <v>8740</v>
      </c>
      <c r="C3500" s="25" t="s">
        <v>13245</v>
      </c>
      <c r="D3500" s="25" t="s">
        <v>3322</v>
      </c>
      <c r="E3500" s="26" t="b">
        <v>1</v>
      </c>
      <c r="F3500" s="27" t="str">
        <f>HYPERLINK("http://nsgreg.nga.mil/genc/view?v=213324&amp;end_month=12&amp;end_day=31&amp;end_year=2014","Khanty-Mansiyskiy Avtonomnyy Okrug-Yugra")</f>
        <v>Khanty-Mansiyskiy Avtonomnyy Okrug-Yugra</v>
      </c>
      <c r="G3500" s="28" t="str">
        <f>HYPERLINK("http://api.nsgreg.nga.mil/geo-division/GENC/6/ed3/RU-KHM","as:GENC:6:ed3:RU-KHM")</f>
        <v>as:GENC:6:ed3:RU-KHM</v>
      </c>
    </row>
    <row r="3501" spans="1:7" x14ac:dyDescent="0.2">
      <c r="A3501" s="85"/>
      <c r="B3501" s="25" t="s">
        <v>8742</v>
      </c>
      <c r="C3501" s="25" t="s">
        <v>13246</v>
      </c>
      <c r="D3501" s="25" t="s">
        <v>1719</v>
      </c>
      <c r="E3501" s="26" t="b">
        <v>1</v>
      </c>
      <c r="F3501" s="27" t="str">
        <f>HYPERLINK("http://nsgreg.nga.mil/genc/view?v=213325&amp;end_month=12&amp;end_day=31&amp;end_year=2014","Kirovskaya Oblast’")</f>
        <v>Kirovskaya Oblast’</v>
      </c>
      <c r="G3501" s="28" t="str">
        <f>HYPERLINK("http://api.nsgreg.nga.mil/geo-division/GENC/6/ed3/RU-KIR","as:GENC:6:ed3:RU-KIR")</f>
        <v>as:GENC:6:ed3:RU-KIR</v>
      </c>
    </row>
    <row r="3502" spans="1:7" x14ac:dyDescent="0.2">
      <c r="A3502" s="85"/>
      <c r="B3502" s="25" t="s">
        <v>8744</v>
      </c>
      <c r="C3502" s="25" t="s">
        <v>13247</v>
      </c>
      <c r="D3502" s="25" t="s">
        <v>8683</v>
      </c>
      <c r="E3502" s="26" t="b">
        <v>1</v>
      </c>
      <c r="F3502" s="27" t="str">
        <f>HYPERLINK("http://nsgreg.nga.mil/genc/view?v=213329&amp;end_month=12&amp;end_day=31&amp;end_year=2014","Komi")</f>
        <v>Komi</v>
      </c>
      <c r="G3502" s="28" t="str">
        <f>HYPERLINK("http://api.nsgreg.nga.mil/geo-division/GENC/6/ed3/RU-KO","as:GENC:6:ed3:RU-KO")</f>
        <v>as:GENC:6:ed3:RU-KO</v>
      </c>
    </row>
    <row r="3503" spans="1:7" x14ac:dyDescent="0.2">
      <c r="A3503" s="85"/>
      <c r="B3503" s="25" t="s">
        <v>8746</v>
      </c>
      <c r="C3503" s="25" t="s">
        <v>13248</v>
      </c>
      <c r="D3503" s="25" t="s">
        <v>1719</v>
      </c>
      <c r="E3503" s="26" t="b">
        <v>1</v>
      </c>
      <c r="F3503" s="27" t="str">
        <f>HYPERLINK("http://nsgreg.nga.mil/genc/view?v=213330&amp;end_month=12&amp;end_day=31&amp;end_year=2014","Kostromskaya Oblast’")</f>
        <v>Kostromskaya Oblast’</v>
      </c>
      <c r="G3503" s="28" t="str">
        <f>HYPERLINK("http://api.nsgreg.nga.mil/geo-division/GENC/6/ed3/RU-KOS","as:GENC:6:ed3:RU-KOS")</f>
        <v>as:GENC:6:ed3:RU-KOS</v>
      </c>
    </row>
    <row r="3504" spans="1:7" x14ac:dyDescent="0.2">
      <c r="A3504" s="85"/>
      <c r="B3504" s="25" t="s">
        <v>8748</v>
      </c>
      <c r="C3504" s="25" t="s">
        <v>13249</v>
      </c>
      <c r="D3504" s="25" t="s">
        <v>1790</v>
      </c>
      <c r="E3504" s="26" t="b">
        <v>1</v>
      </c>
      <c r="F3504" s="27" t="str">
        <f>HYPERLINK("http://nsgreg.nga.mil/genc/view?v=213319&amp;end_month=12&amp;end_day=31&amp;end_year=2014","Krasnodarskiy Kray")</f>
        <v>Krasnodarskiy Kray</v>
      </c>
      <c r="G3504" s="28" t="str">
        <f>HYPERLINK("http://api.nsgreg.nga.mil/geo-division/GENC/6/ed3/RU-KDA","as:GENC:6:ed3:RU-KDA")</f>
        <v>as:GENC:6:ed3:RU-KDA</v>
      </c>
    </row>
    <row r="3505" spans="1:7" x14ac:dyDescent="0.2">
      <c r="A3505" s="85"/>
      <c r="B3505" s="25" t="s">
        <v>8750</v>
      </c>
      <c r="C3505" s="25" t="s">
        <v>13250</v>
      </c>
      <c r="D3505" s="25" t="s">
        <v>1790</v>
      </c>
      <c r="E3505" s="26" t="b">
        <v>1</v>
      </c>
      <c r="F3505" s="27" t="str">
        <f>HYPERLINK("http://nsgreg.nga.mil/genc/view?v=213333&amp;end_month=12&amp;end_day=31&amp;end_year=2014","Krasnoyarskiy Kray")</f>
        <v>Krasnoyarskiy Kray</v>
      </c>
      <c r="G3505" s="28" t="str">
        <f>HYPERLINK("http://api.nsgreg.nga.mil/geo-division/GENC/6/ed3/RU-KYA","as:GENC:6:ed3:RU-KYA")</f>
        <v>as:GENC:6:ed3:RU-KYA</v>
      </c>
    </row>
    <row r="3506" spans="1:7" x14ac:dyDescent="0.2">
      <c r="A3506" s="85"/>
      <c r="B3506" s="25" t="s">
        <v>8752</v>
      </c>
      <c r="C3506" s="25" t="s">
        <v>13251</v>
      </c>
      <c r="D3506" s="25" t="s">
        <v>1719</v>
      </c>
      <c r="E3506" s="26" t="b">
        <v>1</v>
      </c>
      <c r="F3506" s="27" t="str">
        <f>HYPERLINK("http://nsgreg.nga.mil/genc/view?v=213322&amp;end_month=12&amp;end_day=31&amp;end_year=2014","Kurganskaya Oblast’")</f>
        <v>Kurganskaya Oblast’</v>
      </c>
      <c r="G3506" s="28" t="str">
        <f>HYPERLINK("http://api.nsgreg.nga.mil/geo-division/GENC/6/ed3/RU-KGN","as:GENC:6:ed3:RU-KGN")</f>
        <v>as:GENC:6:ed3:RU-KGN</v>
      </c>
    </row>
    <row r="3507" spans="1:7" x14ac:dyDescent="0.2">
      <c r="A3507" s="85"/>
      <c r="B3507" s="25" t="s">
        <v>8754</v>
      </c>
      <c r="C3507" s="25" t="s">
        <v>13252</v>
      </c>
      <c r="D3507" s="25" t="s">
        <v>1719</v>
      </c>
      <c r="E3507" s="26" t="b">
        <v>1</v>
      </c>
      <c r="F3507" s="27" t="str">
        <f>HYPERLINK("http://nsgreg.nga.mil/genc/view?v=213332&amp;end_month=12&amp;end_day=31&amp;end_year=2014","Kurskaya Oblast’")</f>
        <v>Kurskaya Oblast’</v>
      </c>
      <c r="G3507" s="28" t="str">
        <f>HYPERLINK("http://api.nsgreg.nga.mil/geo-division/GENC/6/ed3/RU-KRS","as:GENC:6:ed3:RU-KRS")</f>
        <v>as:GENC:6:ed3:RU-KRS</v>
      </c>
    </row>
    <row r="3508" spans="1:7" x14ac:dyDescent="0.2">
      <c r="A3508" s="85"/>
      <c r="B3508" s="25" t="s">
        <v>8756</v>
      </c>
      <c r="C3508" s="25" t="s">
        <v>13253</v>
      </c>
      <c r="D3508" s="25" t="s">
        <v>1719</v>
      </c>
      <c r="E3508" s="26" t="b">
        <v>1</v>
      </c>
      <c r="F3508" s="27" t="str">
        <f>HYPERLINK("http://nsgreg.nga.mil/genc/view?v=213334&amp;end_month=12&amp;end_day=31&amp;end_year=2014","Leningradskaya Oblast’")</f>
        <v>Leningradskaya Oblast’</v>
      </c>
      <c r="G3508" s="28" t="str">
        <f>HYPERLINK("http://api.nsgreg.nga.mil/geo-division/GENC/6/ed3/RU-LEN","as:GENC:6:ed3:RU-LEN")</f>
        <v>as:GENC:6:ed3:RU-LEN</v>
      </c>
    </row>
    <row r="3509" spans="1:7" x14ac:dyDescent="0.2">
      <c r="A3509" s="85"/>
      <c r="B3509" s="25" t="s">
        <v>8758</v>
      </c>
      <c r="C3509" s="25" t="s">
        <v>13254</v>
      </c>
      <c r="D3509" s="25" t="s">
        <v>1719</v>
      </c>
      <c r="E3509" s="26" t="b">
        <v>1</v>
      </c>
      <c r="F3509" s="27" t="str">
        <f>HYPERLINK("http://nsgreg.nga.mil/genc/view?v=213335&amp;end_month=12&amp;end_day=31&amp;end_year=2014","Lipetskaya Oblast’")</f>
        <v>Lipetskaya Oblast’</v>
      </c>
      <c r="G3509" s="28" t="str">
        <f>HYPERLINK("http://api.nsgreg.nga.mil/geo-division/GENC/6/ed3/RU-LIP","as:GENC:6:ed3:RU-LIP")</f>
        <v>as:GENC:6:ed3:RU-LIP</v>
      </c>
    </row>
    <row r="3510" spans="1:7" x14ac:dyDescent="0.2">
      <c r="A3510" s="85"/>
      <c r="B3510" s="25" t="s">
        <v>8760</v>
      </c>
      <c r="C3510" s="25" t="s">
        <v>13255</v>
      </c>
      <c r="D3510" s="25" t="s">
        <v>1719</v>
      </c>
      <c r="E3510" s="26" t="b">
        <v>1</v>
      </c>
      <c r="F3510" s="27" t="str">
        <f>HYPERLINK("http://nsgreg.nga.mil/genc/view?v=213336&amp;end_month=12&amp;end_day=31&amp;end_year=2014","Magadanskaya Oblast’")</f>
        <v>Magadanskaya Oblast’</v>
      </c>
      <c r="G3510" s="28" t="str">
        <f>HYPERLINK("http://api.nsgreg.nga.mil/geo-division/GENC/6/ed3/RU-MAG","as:GENC:6:ed3:RU-MAG")</f>
        <v>as:GENC:6:ed3:RU-MAG</v>
      </c>
    </row>
    <row r="3511" spans="1:7" x14ac:dyDescent="0.2">
      <c r="A3511" s="85"/>
      <c r="B3511" s="25" t="s">
        <v>8762</v>
      </c>
      <c r="C3511" s="25" t="s">
        <v>13256</v>
      </c>
      <c r="D3511" s="25" t="s">
        <v>8683</v>
      </c>
      <c r="E3511" s="26" t="b">
        <v>1</v>
      </c>
      <c r="F3511" s="27" t="str">
        <f>HYPERLINK("http://nsgreg.nga.mil/genc/view?v=213337&amp;end_month=12&amp;end_day=31&amp;end_year=2014","Mariy-El")</f>
        <v>Mariy-El</v>
      </c>
      <c r="G3511" s="28" t="str">
        <f>HYPERLINK("http://api.nsgreg.nga.mil/geo-division/GENC/6/ed3/RU-ME","as:GENC:6:ed3:RU-ME")</f>
        <v>as:GENC:6:ed3:RU-ME</v>
      </c>
    </row>
    <row r="3512" spans="1:7" x14ac:dyDescent="0.2">
      <c r="A3512" s="85"/>
      <c r="B3512" s="25" t="s">
        <v>8764</v>
      </c>
      <c r="C3512" s="25" t="s">
        <v>13257</v>
      </c>
      <c r="D3512" s="25" t="s">
        <v>8683</v>
      </c>
      <c r="E3512" s="26" t="b">
        <v>1</v>
      </c>
      <c r="F3512" s="27" t="str">
        <f>HYPERLINK("http://nsgreg.nga.mil/genc/view?v=213338&amp;end_month=12&amp;end_day=31&amp;end_year=2014","Mordoviya")</f>
        <v>Mordoviya</v>
      </c>
      <c r="G3512" s="28" t="str">
        <f>HYPERLINK("http://api.nsgreg.nga.mil/geo-division/GENC/6/ed3/RU-MO","as:GENC:6:ed3:RU-MO")</f>
        <v>as:GENC:6:ed3:RU-MO</v>
      </c>
    </row>
    <row r="3513" spans="1:7" x14ac:dyDescent="0.2">
      <c r="A3513" s="85"/>
      <c r="B3513" s="25" t="s">
        <v>8766</v>
      </c>
      <c r="C3513" s="25" t="s">
        <v>13258</v>
      </c>
      <c r="D3513" s="25" t="s">
        <v>1719</v>
      </c>
      <c r="E3513" s="26" t="b">
        <v>1</v>
      </c>
      <c r="F3513" s="27" t="str">
        <f>HYPERLINK("http://nsgreg.nga.mil/genc/view?v=213339&amp;end_month=12&amp;end_day=31&amp;end_year=2014","Moskovskaya Oblast’")</f>
        <v>Moskovskaya Oblast’</v>
      </c>
      <c r="G3513" s="28" t="str">
        <f>HYPERLINK("http://api.nsgreg.nga.mil/geo-division/GENC/6/ed3/RU-MOS","as:GENC:6:ed3:RU-MOS")</f>
        <v>as:GENC:6:ed3:RU-MOS</v>
      </c>
    </row>
    <row r="3514" spans="1:7" x14ac:dyDescent="0.2">
      <c r="A3514" s="85"/>
      <c r="B3514" s="25" t="s">
        <v>8768</v>
      </c>
      <c r="C3514" s="25" t="s">
        <v>8769</v>
      </c>
      <c r="D3514" s="25" t="s">
        <v>2046</v>
      </c>
      <c r="E3514" s="26" t="b">
        <v>1</v>
      </c>
      <c r="F3514" s="27" t="str">
        <f>HYPERLINK("http://nsgreg.nga.mil/genc/view?v=213340&amp;end_month=12&amp;end_day=31&amp;end_year=2014","Moskva")</f>
        <v>Moskva</v>
      </c>
      <c r="G3514" s="28" t="str">
        <f>HYPERLINK("http://api.nsgreg.nga.mil/geo-division/GENC/6/ed3/RU-MOW","as:GENC:6:ed3:RU-MOW")</f>
        <v>as:GENC:6:ed3:RU-MOW</v>
      </c>
    </row>
    <row r="3515" spans="1:7" x14ac:dyDescent="0.2">
      <c r="A3515" s="85"/>
      <c r="B3515" s="25" t="s">
        <v>8771</v>
      </c>
      <c r="C3515" s="25" t="s">
        <v>13259</v>
      </c>
      <c r="D3515" s="25" t="s">
        <v>1719</v>
      </c>
      <c r="E3515" s="26" t="b">
        <v>1</v>
      </c>
      <c r="F3515" s="27" t="str">
        <f>HYPERLINK("http://nsgreg.nga.mil/genc/view?v=213341&amp;end_month=12&amp;end_day=31&amp;end_year=2014","Murmanskaya Oblast’")</f>
        <v>Murmanskaya Oblast’</v>
      </c>
      <c r="G3515" s="28" t="str">
        <f>HYPERLINK("http://api.nsgreg.nga.mil/geo-division/GENC/6/ed3/RU-MUR","as:GENC:6:ed3:RU-MUR")</f>
        <v>as:GENC:6:ed3:RU-MUR</v>
      </c>
    </row>
    <row r="3516" spans="1:7" x14ac:dyDescent="0.2">
      <c r="A3516" s="85"/>
      <c r="B3516" s="25" t="s">
        <v>8773</v>
      </c>
      <c r="C3516" s="25" t="s">
        <v>13260</v>
      </c>
      <c r="D3516" s="25" t="s">
        <v>3322</v>
      </c>
      <c r="E3516" s="26" t="b">
        <v>1</v>
      </c>
      <c r="F3516" s="27" t="str">
        <f>HYPERLINK("http://nsgreg.nga.mil/genc/view?v=213342&amp;end_month=12&amp;end_day=31&amp;end_year=2014","Nenetskiy Avtonomnyy Okrug")</f>
        <v>Nenetskiy Avtonomnyy Okrug</v>
      </c>
      <c r="G3516" s="28" t="str">
        <f>HYPERLINK("http://api.nsgreg.nga.mil/geo-division/GENC/6/ed3/RU-NEN","as:GENC:6:ed3:RU-NEN")</f>
        <v>as:GENC:6:ed3:RU-NEN</v>
      </c>
    </row>
    <row r="3517" spans="1:7" x14ac:dyDescent="0.2">
      <c r="A3517" s="85"/>
      <c r="B3517" s="25" t="s">
        <v>8775</v>
      </c>
      <c r="C3517" s="25" t="s">
        <v>13261</v>
      </c>
      <c r="D3517" s="25" t="s">
        <v>1719</v>
      </c>
      <c r="E3517" s="26" t="b">
        <v>1</v>
      </c>
      <c r="F3517" s="27" t="str">
        <f>HYPERLINK("http://nsgreg.nga.mil/genc/view?v=213344&amp;end_month=12&amp;end_day=31&amp;end_year=2014","Nizhegorodskaya Oblast’")</f>
        <v>Nizhegorodskaya Oblast’</v>
      </c>
      <c r="G3517" s="28" t="str">
        <f>HYPERLINK("http://api.nsgreg.nga.mil/geo-division/GENC/6/ed3/RU-NIZ","as:GENC:6:ed3:RU-NIZ")</f>
        <v>as:GENC:6:ed3:RU-NIZ</v>
      </c>
    </row>
    <row r="3518" spans="1:7" x14ac:dyDescent="0.2">
      <c r="A3518" s="85"/>
      <c r="B3518" s="25" t="s">
        <v>8812</v>
      </c>
      <c r="C3518" s="25" t="s">
        <v>13262</v>
      </c>
      <c r="D3518" s="25" t="s">
        <v>8683</v>
      </c>
      <c r="E3518" s="26" t="b">
        <v>1</v>
      </c>
      <c r="F3518" s="27" t="str">
        <f>HYPERLINK("http://nsgreg.nga.mil/genc/view?v=213359&amp;end_month=12&amp;end_day=31&amp;end_year=2014","North Ossetia")</f>
        <v>North Ossetia</v>
      </c>
      <c r="G3518" s="28" t="str">
        <f>HYPERLINK("http://api.nsgreg.nga.mil/geo-division/GENC/6/ed3/RU-SE","as:GENC:6:ed3:RU-SE")</f>
        <v>as:GENC:6:ed3:RU-SE</v>
      </c>
    </row>
    <row r="3519" spans="1:7" x14ac:dyDescent="0.2">
      <c r="A3519" s="85"/>
      <c r="B3519" s="25" t="s">
        <v>8777</v>
      </c>
      <c r="C3519" s="25" t="s">
        <v>13263</v>
      </c>
      <c r="D3519" s="25" t="s">
        <v>1719</v>
      </c>
      <c r="E3519" s="26" t="b">
        <v>1</v>
      </c>
      <c r="F3519" s="27" t="str">
        <f>HYPERLINK("http://nsgreg.nga.mil/genc/view?v=213343&amp;end_month=12&amp;end_day=31&amp;end_year=2014","Novgorodskaya Oblast’")</f>
        <v>Novgorodskaya Oblast’</v>
      </c>
      <c r="G3519" s="28" t="str">
        <f>HYPERLINK("http://api.nsgreg.nga.mil/geo-division/GENC/6/ed3/RU-NGR","as:GENC:6:ed3:RU-NGR")</f>
        <v>as:GENC:6:ed3:RU-NGR</v>
      </c>
    </row>
    <row r="3520" spans="1:7" x14ac:dyDescent="0.2">
      <c r="A3520" s="85"/>
      <c r="B3520" s="25" t="s">
        <v>8779</v>
      </c>
      <c r="C3520" s="25" t="s">
        <v>13264</v>
      </c>
      <c r="D3520" s="25" t="s">
        <v>1719</v>
      </c>
      <c r="E3520" s="26" t="b">
        <v>1</v>
      </c>
      <c r="F3520" s="27" t="str">
        <f>HYPERLINK("http://nsgreg.nga.mil/genc/view?v=213345&amp;end_month=12&amp;end_day=31&amp;end_year=2014","Novosibirskaya Oblast’")</f>
        <v>Novosibirskaya Oblast’</v>
      </c>
      <c r="G3520" s="28" t="str">
        <f>HYPERLINK("http://api.nsgreg.nga.mil/geo-division/GENC/6/ed3/RU-NVS","as:GENC:6:ed3:RU-NVS")</f>
        <v>as:GENC:6:ed3:RU-NVS</v>
      </c>
    </row>
    <row r="3521" spans="1:7" x14ac:dyDescent="0.2">
      <c r="A3521" s="85"/>
      <c r="B3521" s="25" t="s">
        <v>8781</v>
      </c>
      <c r="C3521" s="25" t="s">
        <v>13265</v>
      </c>
      <c r="D3521" s="25" t="s">
        <v>1719</v>
      </c>
      <c r="E3521" s="26" t="b">
        <v>1</v>
      </c>
      <c r="F3521" s="27" t="str">
        <f>HYPERLINK("http://nsgreg.nga.mil/genc/view?v=213346&amp;end_month=12&amp;end_day=31&amp;end_year=2014","Omskaya Oblast’")</f>
        <v>Omskaya Oblast’</v>
      </c>
      <c r="G3521" s="28" t="str">
        <f>HYPERLINK("http://api.nsgreg.nga.mil/geo-division/GENC/6/ed3/RU-OMS","as:GENC:6:ed3:RU-OMS")</f>
        <v>as:GENC:6:ed3:RU-OMS</v>
      </c>
    </row>
    <row r="3522" spans="1:7" x14ac:dyDescent="0.2">
      <c r="A3522" s="85"/>
      <c r="B3522" s="25" t="s">
        <v>8783</v>
      </c>
      <c r="C3522" s="25" t="s">
        <v>13266</v>
      </c>
      <c r="D3522" s="25" t="s">
        <v>1719</v>
      </c>
      <c r="E3522" s="26" t="b">
        <v>1</v>
      </c>
      <c r="F3522" s="27" t="str">
        <f>HYPERLINK("http://nsgreg.nga.mil/genc/view?v=213347&amp;end_month=12&amp;end_day=31&amp;end_year=2014","Orenburgskaya Oblast’")</f>
        <v>Orenburgskaya Oblast’</v>
      </c>
      <c r="G3522" s="28" t="str">
        <f>HYPERLINK("http://api.nsgreg.nga.mil/geo-division/GENC/6/ed3/RU-ORE","as:GENC:6:ed3:RU-ORE")</f>
        <v>as:GENC:6:ed3:RU-ORE</v>
      </c>
    </row>
    <row r="3523" spans="1:7" x14ac:dyDescent="0.2">
      <c r="A3523" s="85"/>
      <c r="B3523" s="25" t="s">
        <v>8785</v>
      </c>
      <c r="C3523" s="25" t="s">
        <v>13267</v>
      </c>
      <c r="D3523" s="25" t="s">
        <v>1719</v>
      </c>
      <c r="E3523" s="26" t="b">
        <v>1</v>
      </c>
      <c r="F3523" s="27" t="str">
        <f>HYPERLINK("http://nsgreg.nga.mil/genc/view?v=213348&amp;end_month=12&amp;end_day=31&amp;end_year=2014","Orlovskaya Oblast’")</f>
        <v>Orlovskaya Oblast’</v>
      </c>
      <c r="G3523" s="28" t="str">
        <f>HYPERLINK("http://api.nsgreg.nga.mil/geo-division/GENC/6/ed3/RU-ORL","as:GENC:6:ed3:RU-ORL")</f>
        <v>as:GENC:6:ed3:RU-ORL</v>
      </c>
    </row>
    <row r="3524" spans="1:7" x14ac:dyDescent="0.2">
      <c r="A3524" s="85"/>
      <c r="B3524" s="25" t="s">
        <v>8787</v>
      </c>
      <c r="C3524" s="25" t="s">
        <v>13268</v>
      </c>
      <c r="D3524" s="25" t="s">
        <v>1719</v>
      </c>
      <c r="E3524" s="26" t="b">
        <v>1</v>
      </c>
      <c r="F3524" s="27" t="str">
        <f>HYPERLINK("http://nsgreg.nga.mil/genc/view?v=213350&amp;end_month=12&amp;end_day=31&amp;end_year=2014","Penzenskaya Oblast’")</f>
        <v>Penzenskaya Oblast’</v>
      </c>
      <c r="G3524" s="28" t="str">
        <f>HYPERLINK("http://api.nsgreg.nga.mil/geo-division/GENC/6/ed3/RU-PNZ","as:GENC:6:ed3:RU-PNZ")</f>
        <v>as:GENC:6:ed3:RU-PNZ</v>
      </c>
    </row>
    <row r="3525" spans="1:7" x14ac:dyDescent="0.2">
      <c r="A3525" s="85"/>
      <c r="B3525" s="25" t="s">
        <v>8789</v>
      </c>
      <c r="C3525" s="25" t="s">
        <v>13269</v>
      </c>
      <c r="D3525" s="25" t="s">
        <v>1790</v>
      </c>
      <c r="E3525" s="26" t="b">
        <v>1</v>
      </c>
      <c r="F3525" s="27" t="str">
        <f>HYPERLINK("http://nsgreg.nga.mil/genc/view?v=213349&amp;end_month=12&amp;end_day=31&amp;end_year=2014","Permskiy Kray")</f>
        <v>Permskiy Kray</v>
      </c>
      <c r="G3525" s="28" t="str">
        <f>HYPERLINK("http://api.nsgreg.nga.mil/geo-division/GENC/6/ed3/RU-PER","as:GENC:6:ed3:RU-PER")</f>
        <v>as:GENC:6:ed3:RU-PER</v>
      </c>
    </row>
    <row r="3526" spans="1:7" x14ac:dyDescent="0.2">
      <c r="A3526" s="85"/>
      <c r="B3526" s="25" t="s">
        <v>8791</v>
      </c>
      <c r="C3526" s="25" t="s">
        <v>13270</v>
      </c>
      <c r="D3526" s="25" t="s">
        <v>1790</v>
      </c>
      <c r="E3526" s="26" t="b">
        <v>1</v>
      </c>
      <c r="F3526" s="27" t="str">
        <f>HYPERLINK("http://nsgreg.nga.mil/genc/view?v=213351&amp;end_month=12&amp;end_day=31&amp;end_year=2014","Primorskiy Kray")</f>
        <v>Primorskiy Kray</v>
      </c>
      <c r="G3526" s="28" t="str">
        <f>HYPERLINK("http://api.nsgreg.nga.mil/geo-division/GENC/6/ed3/RU-PRI","as:GENC:6:ed3:RU-PRI")</f>
        <v>as:GENC:6:ed3:RU-PRI</v>
      </c>
    </row>
    <row r="3527" spans="1:7" x14ac:dyDescent="0.2">
      <c r="A3527" s="85"/>
      <c r="B3527" s="25" t="s">
        <v>8794</v>
      </c>
      <c r="C3527" s="25" t="s">
        <v>13271</v>
      </c>
      <c r="D3527" s="25" t="s">
        <v>1719</v>
      </c>
      <c r="E3527" s="26" t="b">
        <v>1</v>
      </c>
      <c r="F3527" s="27" t="str">
        <f>HYPERLINK("http://nsgreg.nga.mil/genc/view?v=213352&amp;end_month=12&amp;end_day=31&amp;end_year=2014","Pskovskaya Oblast’")</f>
        <v>Pskovskaya Oblast’</v>
      </c>
      <c r="G3527" s="28" t="str">
        <f>HYPERLINK("http://api.nsgreg.nga.mil/geo-division/GENC/6/ed3/RU-PSK","as:GENC:6:ed3:RU-PSK")</f>
        <v>as:GENC:6:ed3:RU-PSK</v>
      </c>
    </row>
    <row r="3528" spans="1:7" x14ac:dyDescent="0.2">
      <c r="A3528" s="85"/>
      <c r="B3528" s="25" t="s">
        <v>8797</v>
      </c>
      <c r="C3528" s="25" t="s">
        <v>13272</v>
      </c>
      <c r="D3528" s="25" t="s">
        <v>1719</v>
      </c>
      <c r="E3528" s="26" t="b">
        <v>1</v>
      </c>
      <c r="F3528" s="27" t="str">
        <f>HYPERLINK("http://nsgreg.nga.mil/genc/view?v=213353&amp;end_month=12&amp;end_day=31&amp;end_year=2014","Rostovskaya Oblast’")</f>
        <v>Rostovskaya Oblast’</v>
      </c>
      <c r="G3528" s="28" t="str">
        <f>HYPERLINK("http://api.nsgreg.nga.mil/geo-division/GENC/6/ed3/RU-ROS","as:GENC:6:ed3:RU-ROS")</f>
        <v>as:GENC:6:ed3:RU-ROS</v>
      </c>
    </row>
    <row r="3529" spans="1:7" x14ac:dyDescent="0.2">
      <c r="A3529" s="85"/>
      <c r="B3529" s="25" t="s">
        <v>8800</v>
      </c>
      <c r="C3529" s="25" t="s">
        <v>13273</v>
      </c>
      <c r="D3529" s="25" t="s">
        <v>1719</v>
      </c>
      <c r="E3529" s="26" t="b">
        <v>1</v>
      </c>
      <c r="F3529" s="27" t="str">
        <f>HYPERLINK("http://nsgreg.nga.mil/genc/view?v=213354&amp;end_month=12&amp;end_day=31&amp;end_year=2014","Ryazanskaya Oblast’")</f>
        <v>Ryazanskaya Oblast’</v>
      </c>
      <c r="G3529" s="28" t="str">
        <f>HYPERLINK("http://api.nsgreg.nga.mil/geo-division/GENC/6/ed3/RU-RYA","as:GENC:6:ed3:RU-RYA")</f>
        <v>as:GENC:6:ed3:RU-RYA</v>
      </c>
    </row>
    <row r="3530" spans="1:7" x14ac:dyDescent="0.2">
      <c r="A3530" s="85"/>
      <c r="B3530" s="25" t="s">
        <v>8802</v>
      </c>
      <c r="C3530" s="25" t="s">
        <v>13274</v>
      </c>
      <c r="D3530" s="25" t="s">
        <v>8683</v>
      </c>
      <c r="E3530" s="26" t="b">
        <v>1</v>
      </c>
      <c r="F3530" s="27" t="str">
        <f>HYPERLINK("http://nsgreg.nga.mil/genc/view?v=213355&amp;end_month=12&amp;end_day=31&amp;end_year=2014","Sakha (Yakutiya)")</f>
        <v>Sakha (Yakutiya)</v>
      </c>
      <c r="G3530" s="28" t="str">
        <f>HYPERLINK("http://api.nsgreg.nga.mil/geo-division/GENC/6/ed3/RU-SA","as:GENC:6:ed3:RU-SA")</f>
        <v>as:GENC:6:ed3:RU-SA</v>
      </c>
    </row>
    <row r="3531" spans="1:7" x14ac:dyDescent="0.2">
      <c r="A3531" s="85"/>
      <c r="B3531" s="25" t="s">
        <v>8804</v>
      </c>
      <c r="C3531" s="25" t="s">
        <v>13275</v>
      </c>
      <c r="D3531" s="25" t="s">
        <v>1719</v>
      </c>
      <c r="E3531" s="26" t="b">
        <v>1</v>
      </c>
      <c r="F3531" s="27" t="str">
        <f>HYPERLINK("http://nsgreg.nga.mil/genc/view?v=213356&amp;end_month=12&amp;end_day=31&amp;end_year=2014","Sakhalinskaya Oblast’")</f>
        <v>Sakhalinskaya Oblast’</v>
      </c>
      <c r="G3531" s="28" t="str">
        <f>HYPERLINK("http://api.nsgreg.nga.mil/geo-division/GENC/6/ed3/RU-SAK","as:GENC:6:ed3:RU-SAK")</f>
        <v>as:GENC:6:ed3:RU-SAK</v>
      </c>
    </row>
    <row r="3532" spans="1:7" x14ac:dyDescent="0.2">
      <c r="A3532" s="85"/>
      <c r="B3532" s="25" t="s">
        <v>8806</v>
      </c>
      <c r="C3532" s="25" t="s">
        <v>13276</v>
      </c>
      <c r="D3532" s="25" t="s">
        <v>1719</v>
      </c>
      <c r="E3532" s="26" t="b">
        <v>1</v>
      </c>
      <c r="F3532" s="27" t="str">
        <f>HYPERLINK("http://nsgreg.nga.mil/genc/view?v=213357&amp;end_month=12&amp;end_day=31&amp;end_year=2014","Samarskaya Oblast’")</f>
        <v>Samarskaya Oblast’</v>
      </c>
      <c r="G3532" s="28" t="str">
        <f>HYPERLINK("http://api.nsgreg.nga.mil/geo-division/GENC/6/ed3/RU-SAM","as:GENC:6:ed3:RU-SAM")</f>
        <v>as:GENC:6:ed3:RU-SAM</v>
      </c>
    </row>
    <row r="3533" spans="1:7" x14ac:dyDescent="0.2">
      <c r="A3533" s="85"/>
      <c r="B3533" s="25" t="s">
        <v>8808</v>
      </c>
      <c r="C3533" s="25" t="s">
        <v>8809</v>
      </c>
      <c r="D3533" s="25" t="s">
        <v>2046</v>
      </c>
      <c r="E3533" s="26" t="b">
        <v>1</v>
      </c>
      <c r="F3533" s="27" t="str">
        <f>HYPERLINK("http://nsgreg.nga.mil/genc/view?v=213361&amp;end_month=12&amp;end_day=31&amp;end_year=2014","Sankt-Peterburg")</f>
        <v>Sankt-Peterburg</v>
      </c>
      <c r="G3533" s="28" t="str">
        <f>HYPERLINK("http://api.nsgreg.nga.mil/geo-division/GENC/6/ed3/RU-SPE","as:GENC:6:ed3:RU-SPE")</f>
        <v>as:GENC:6:ed3:RU-SPE</v>
      </c>
    </row>
    <row r="3534" spans="1:7" x14ac:dyDescent="0.2">
      <c r="A3534" s="85"/>
      <c r="B3534" s="25" t="s">
        <v>8810</v>
      </c>
      <c r="C3534" s="25" t="s">
        <v>13277</v>
      </c>
      <c r="D3534" s="25" t="s">
        <v>1719</v>
      </c>
      <c r="E3534" s="26" t="b">
        <v>1</v>
      </c>
      <c r="F3534" s="27" t="str">
        <f>HYPERLINK("http://nsgreg.nga.mil/genc/view?v=213358&amp;end_month=12&amp;end_day=31&amp;end_year=2014","Saratovskaya Oblast’")</f>
        <v>Saratovskaya Oblast’</v>
      </c>
      <c r="G3534" s="28" t="str">
        <f>HYPERLINK("http://api.nsgreg.nga.mil/geo-division/GENC/6/ed3/RU-SAR","as:GENC:6:ed3:RU-SAR")</f>
        <v>as:GENC:6:ed3:RU-SAR</v>
      </c>
    </row>
    <row r="3535" spans="1:7" x14ac:dyDescent="0.2">
      <c r="A3535" s="85"/>
      <c r="B3535" s="25" t="s">
        <v>8814</v>
      </c>
      <c r="C3535" s="25" t="s">
        <v>13278</v>
      </c>
      <c r="D3535" s="25" t="s">
        <v>1719</v>
      </c>
      <c r="E3535" s="26" t="b">
        <v>1</v>
      </c>
      <c r="F3535" s="27" t="str">
        <f>HYPERLINK("http://nsgreg.nga.mil/genc/view?v=213360&amp;end_month=12&amp;end_day=31&amp;end_year=2014","Smolenskaya Oblast’")</f>
        <v>Smolenskaya Oblast’</v>
      </c>
      <c r="G3535" s="28" t="str">
        <f>HYPERLINK("http://api.nsgreg.nga.mil/geo-division/GENC/6/ed3/RU-SMO","as:GENC:6:ed3:RU-SMO")</f>
        <v>as:GENC:6:ed3:RU-SMO</v>
      </c>
    </row>
    <row r="3536" spans="1:7" x14ac:dyDescent="0.2">
      <c r="A3536" s="85"/>
      <c r="B3536" s="25" t="s">
        <v>8816</v>
      </c>
      <c r="C3536" s="25" t="s">
        <v>13279</v>
      </c>
      <c r="D3536" s="25" t="s">
        <v>1790</v>
      </c>
      <c r="E3536" s="26" t="b">
        <v>1</v>
      </c>
      <c r="F3536" s="27" t="str">
        <f>HYPERLINK("http://nsgreg.nga.mil/genc/view?v=213362&amp;end_month=12&amp;end_day=31&amp;end_year=2014","Stavropol’skiy Kray")</f>
        <v>Stavropol’skiy Kray</v>
      </c>
      <c r="G3536" s="28" t="str">
        <f>HYPERLINK("http://api.nsgreg.nga.mil/geo-division/GENC/6/ed3/RU-STA","as:GENC:6:ed3:RU-STA")</f>
        <v>as:GENC:6:ed3:RU-STA</v>
      </c>
    </row>
    <row r="3537" spans="1:7" x14ac:dyDescent="0.2">
      <c r="A3537" s="85"/>
      <c r="B3537" s="25" t="s">
        <v>8818</v>
      </c>
      <c r="C3537" s="25" t="s">
        <v>13280</v>
      </c>
      <c r="D3537" s="25" t="s">
        <v>1719</v>
      </c>
      <c r="E3537" s="26" t="b">
        <v>1</v>
      </c>
      <c r="F3537" s="27" t="str">
        <f>HYPERLINK("http://nsgreg.nga.mil/genc/view?v=213363&amp;end_month=12&amp;end_day=31&amp;end_year=2014","Sverdlovskaya Oblast’")</f>
        <v>Sverdlovskaya Oblast’</v>
      </c>
      <c r="G3537" s="28" t="str">
        <f>HYPERLINK("http://api.nsgreg.nga.mil/geo-division/GENC/6/ed3/RU-SVE","as:GENC:6:ed3:RU-SVE")</f>
        <v>as:GENC:6:ed3:RU-SVE</v>
      </c>
    </row>
    <row r="3538" spans="1:7" x14ac:dyDescent="0.2">
      <c r="A3538" s="85"/>
      <c r="B3538" s="25" t="s">
        <v>8820</v>
      </c>
      <c r="C3538" s="25" t="s">
        <v>13281</v>
      </c>
      <c r="D3538" s="25" t="s">
        <v>1719</v>
      </c>
      <c r="E3538" s="26" t="b">
        <v>1</v>
      </c>
      <c r="F3538" s="27" t="str">
        <f>HYPERLINK("http://nsgreg.nga.mil/genc/view?v=213365&amp;end_month=12&amp;end_day=31&amp;end_year=2014","Tambovskaya Oblast’")</f>
        <v>Tambovskaya Oblast’</v>
      </c>
      <c r="G3538" s="28" t="str">
        <f>HYPERLINK("http://api.nsgreg.nga.mil/geo-division/GENC/6/ed3/RU-TAM","as:GENC:6:ed3:RU-TAM")</f>
        <v>as:GENC:6:ed3:RU-TAM</v>
      </c>
    </row>
    <row r="3539" spans="1:7" x14ac:dyDescent="0.2">
      <c r="A3539" s="85"/>
      <c r="B3539" s="25" t="s">
        <v>8822</v>
      </c>
      <c r="C3539" s="25" t="s">
        <v>13282</v>
      </c>
      <c r="D3539" s="25" t="s">
        <v>8683</v>
      </c>
      <c r="E3539" s="26" t="b">
        <v>1</v>
      </c>
      <c r="F3539" s="27" t="str">
        <f>HYPERLINK("http://nsgreg.nga.mil/genc/view?v=213364&amp;end_month=12&amp;end_day=31&amp;end_year=2014","Tatarstan")</f>
        <v>Tatarstan</v>
      </c>
      <c r="G3539" s="28" t="str">
        <f>HYPERLINK("http://api.nsgreg.nga.mil/geo-division/GENC/6/ed3/RU-TA","as:GENC:6:ed3:RU-TA")</f>
        <v>as:GENC:6:ed3:RU-TA</v>
      </c>
    </row>
    <row r="3540" spans="1:7" x14ac:dyDescent="0.2">
      <c r="A3540" s="85"/>
      <c r="B3540" s="25" t="s">
        <v>8824</v>
      </c>
      <c r="C3540" s="25" t="s">
        <v>13283</v>
      </c>
      <c r="D3540" s="25" t="s">
        <v>1719</v>
      </c>
      <c r="E3540" s="26" t="b">
        <v>1</v>
      </c>
      <c r="F3540" s="27" t="str">
        <f>HYPERLINK("http://nsgreg.nga.mil/genc/view?v=213366&amp;end_month=12&amp;end_day=31&amp;end_year=2014","Tomskaya Oblast’")</f>
        <v>Tomskaya Oblast’</v>
      </c>
      <c r="G3540" s="28" t="str">
        <f>HYPERLINK("http://api.nsgreg.nga.mil/geo-division/GENC/6/ed3/RU-TOM","as:GENC:6:ed3:RU-TOM")</f>
        <v>as:GENC:6:ed3:RU-TOM</v>
      </c>
    </row>
    <row r="3541" spans="1:7" x14ac:dyDescent="0.2">
      <c r="A3541" s="85"/>
      <c r="B3541" s="25" t="s">
        <v>8826</v>
      </c>
      <c r="C3541" s="25" t="s">
        <v>13284</v>
      </c>
      <c r="D3541" s="25" t="s">
        <v>1719</v>
      </c>
      <c r="E3541" s="26" t="b">
        <v>1</v>
      </c>
      <c r="F3541" s="27" t="str">
        <f>HYPERLINK("http://nsgreg.nga.mil/genc/view?v=213367&amp;end_month=12&amp;end_day=31&amp;end_year=2014","Tul’skaya Oblast’")</f>
        <v>Tul’skaya Oblast’</v>
      </c>
      <c r="G3541" s="28" t="str">
        <f>HYPERLINK("http://api.nsgreg.nga.mil/geo-division/GENC/6/ed3/RU-TUL","as:GENC:6:ed3:RU-TUL")</f>
        <v>as:GENC:6:ed3:RU-TUL</v>
      </c>
    </row>
    <row r="3542" spans="1:7" x14ac:dyDescent="0.2">
      <c r="A3542" s="85"/>
      <c r="B3542" s="25" t="s">
        <v>8828</v>
      </c>
      <c r="C3542" s="25" t="s">
        <v>13285</v>
      </c>
      <c r="D3542" s="25" t="s">
        <v>1719</v>
      </c>
      <c r="E3542" s="26" t="b">
        <v>1</v>
      </c>
      <c r="F3542" s="27" t="str">
        <f>HYPERLINK("http://nsgreg.nga.mil/genc/view?v=213368&amp;end_month=12&amp;end_day=31&amp;end_year=2014","Tverskaya Oblast’")</f>
        <v>Tverskaya Oblast’</v>
      </c>
      <c r="G3542" s="28" t="str">
        <f>HYPERLINK("http://api.nsgreg.nga.mil/geo-division/GENC/6/ed3/RU-TVE","as:GENC:6:ed3:RU-TVE")</f>
        <v>as:GENC:6:ed3:RU-TVE</v>
      </c>
    </row>
    <row r="3543" spans="1:7" x14ac:dyDescent="0.2">
      <c r="A3543" s="85"/>
      <c r="B3543" s="25" t="s">
        <v>8830</v>
      </c>
      <c r="C3543" s="25" t="s">
        <v>13286</v>
      </c>
      <c r="D3543" s="25" t="s">
        <v>1719</v>
      </c>
      <c r="E3543" s="26" t="b">
        <v>1</v>
      </c>
      <c r="F3543" s="27" t="str">
        <f>HYPERLINK("http://nsgreg.nga.mil/genc/view?v=213370&amp;end_month=12&amp;end_day=31&amp;end_year=2014","Tyumenskaya Oblast’")</f>
        <v>Tyumenskaya Oblast’</v>
      </c>
      <c r="G3543" s="28" t="str">
        <f>HYPERLINK("http://api.nsgreg.nga.mil/geo-division/GENC/6/ed3/RU-TYU","as:GENC:6:ed3:RU-TYU")</f>
        <v>as:GENC:6:ed3:RU-TYU</v>
      </c>
    </row>
    <row r="3544" spans="1:7" x14ac:dyDescent="0.2">
      <c r="A3544" s="85"/>
      <c r="B3544" s="25" t="s">
        <v>8832</v>
      </c>
      <c r="C3544" s="25" t="s">
        <v>13287</v>
      </c>
      <c r="D3544" s="25" t="s">
        <v>8683</v>
      </c>
      <c r="E3544" s="26" t="b">
        <v>1</v>
      </c>
      <c r="F3544" s="27" t="str">
        <f>HYPERLINK("http://nsgreg.nga.mil/genc/view?v=213369&amp;end_month=12&amp;end_day=31&amp;end_year=2014","Tyva")</f>
        <v>Tyva</v>
      </c>
      <c r="G3544" s="28" t="str">
        <f>HYPERLINK("http://api.nsgreg.nga.mil/geo-division/GENC/6/ed3/RU-TY","as:GENC:6:ed3:RU-TY")</f>
        <v>as:GENC:6:ed3:RU-TY</v>
      </c>
    </row>
    <row r="3545" spans="1:7" x14ac:dyDescent="0.2">
      <c r="A3545" s="85"/>
      <c r="B3545" s="25" t="s">
        <v>8834</v>
      </c>
      <c r="C3545" s="25" t="s">
        <v>13288</v>
      </c>
      <c r="D3545" s="25" t="s">
        <v>8683</v>
      </c>
      <c r="E3545" s="26" t="b">
        <v>1</v>
      </c>
      <c r="F3545" s="27" t="str">
        <f>HYPERLINK("http://nsgreg.nga.mil/genc/view?v=213371&amp;end_month=12&amp;end_day=31&amp;end_year=2014","Udmurtiya")</f>
        <v>Udmurtiya</v>
      </c>
      <c r="G3545" s="28" t="str">
        <f>HYPERLINK("http://api.nsgreg.nga.mil/geo-division/GENC/6/ed3/RU-UD","as:GENC:6:ed3:RU-UD")</f>
        <v>as:GENC:6:ed3:RU-UD</v>
      </c>
    </row>
    <row r="3546" spans="1:7" x14ac:dyDescent="0.2">
      <c r="A3546" s="85"/>
      <c r="B3546" s="25" t="s">
        <v>8836</v>
      </c>
      <c r="C3546" s="25" t="s">
        <v>13289</v>
      </c>
      <c r="D3546" s="25" t="s">
        <v>1719</v>
      </c>
      <c r="E3546" s="26" t="b">
        <v>1</v>
      </c>
      <c r="F3546" s="27" t="str">
        <f>HYPERLINK("http://nsgreg.nga.mil/genc/view?v=213372&amp;end_month=12&amp;end_day=31&amp;end_year=2014","Ul’yanovskaya Oblast’")</f>
        <v>Ul’yanovskaya Oblast’</v>
      </c>
      <c r="G3546" s="28" t="str">
        <f>HYPERLINK("http://api.nsgreg.nga.mil/geo-division/GENC/6/ed3/RU-ULY","as:GENC:6:ed3:RU-ULY")</f>
        <v>as:GENC:6:ed3:RU-ULY</v>
      </c>
    </row>
    <row r="3547" spans="1:7" x14ac:dyDescent="0.2">
      <c r="A3547" s="85"/>
      <c r="B3547" s="25" t="s">
        <v>8838</v>
      </c>
      <c r="C3547" s="25" t="s">
        <v>13290</v>
      </c>
      <c r="D3547" s="25" t="s">
        <v>1719</v>
      </c>
      <c r="E3547" s="26" t="b">
        <v>1</v>
      </c>
      <c r="F3547" s="27" t="str">
        <f>HYPERLINK("http://nsgreg.nga.mil/genc/view?v=213374&amp;end_month=12&amp;end_day=31&amp;end_year=2014","Vladimirskaya Oblast’")</f>
        <v>Vladimirskaya Oblast’</v>
      </c>
      <c r="G3547" s="28" t="str">
        <f>HYPERLINK("http://api.nsgreg.nga.mil/geo-division/GENC/6/ed3/RU-VLA","as:GENC:6:ed3:RU-VLA")</f>
        <v>as:GENC:6:ed3:RU-VLA</v>
      </c>
    </row>
    <row r="3548" spans="1:7" x14ac:dyDescent="0.2">
      <c r="A3548" s="85"/>
      <c r="B3548" s="25" t="s">
        <v>8840</v>
      </c>
      <c r="C3548" s="25" t="s">
        <v>13291</v>
      </c>
      <c r="D3548" s="25" t="s">
        <v>1719</v>
      </c>
      <c r="E3548" s="26" t="b">
        <v>1</v>
      </c>
      <c r="F3548" s="27" t="str">
        <f>HYPERLINK("http://nsgreg.nga.mil/genc/view?v=213373&amp;end_month=12&amp;end_day=31&amp;end_year=2014","Volgogradskaya Oblast’")</f>
        <v>Volgogradskaya Oblast’</v>
      </c>
      <c r="G3548" s="28" t="str">
        <f>HYPERLINK("http://api.nsgreg.nga.mil/geo-division/GENC/6/ed3/RU-VGG","as:GENC:6:ed3:RU-VGG")</f>
        <v>as:GENC:6:ed3:RU-VGG</v>
      </c>
    </row>
    <row r="3549" spans="1:7" x14ac:dyDescent="0.2">
      <c r="A3549" s="85"/>
      <c r="B3549" s="25" t="s">
        <v>8842</v>
      </c>
      <c r="C3549" s="25" t="s">
        <v>13292</v>
      </c>
      <c r="D3549" s="25" t="s">
        <v>1719</v>
      </c>
      <c r="E3549" s="26" t="b">
        <v>1</v>
      </c>
      <c r="F3549" s="27" t="str">
        <f>HYPERLINK("http://nsgreg.nga.mil/genc/view?v=213375&amp;end_month=12&amp;end_day=31&amp;end_year=2014","Vologodskaya Oblast’")</f>
        <v>Vologodskaya Oblast’</v>
      </c>
      <c r="G3549" s="28" t="str">
        <f>HYPERLINK("http://api.nsgreg.nga.mil/geo-division/GENC/6/ed3/RU-VLG","as:GENC:6:ed3:RU-VLG")</f>
        <v>as:GENC:6:ed3:RU-VLG</v>
      </c>
    </row>
    <row r="3550" spans="1:7" x14ac:dyDescent="0.2">
      <c r="A3550" s="85"/>
      <c r="B3550" s="25" t="s">
        <v>8844</v>
      </c>
      <c r="C3550" s="25" t="s">
        <v>13293</v>
      </c>
      <c r="D3550" s="25" t="s">
        <v>1719</v>
      </c>
      <c r="E3550" s="26" t="b">
        <v>1</v>
      </c>
      <c r="F3550" s="27" t="str">
        <f>HYPERLINK("http://nsgreg.nga.mil/genc/view?v=213376&amp;end_month=12&amp;end_day=31&amp;end_year=2014","Voronezhskaya Oblast’")</f>
        <v>Voronezhskaya Oblast’</v>
      </c>
      <c r="G3550" s="28" t="str">
        <f>HYPERLINK("http://api.nsgreg.nga.mil/geo-division/GENC/6/ed3/RU-VOR","as:GENC:6:ed3:RU-VOR")</f>
        <v>as:GENC:6:ed3:RU-VOR</v>
      </c>
    </row>
    <row r="3551" spans="1:7" x14ac:dyDescent="0.2">
      <c r="A3551" s="85"/>
      <c r="B3551" s="25" t="s">
        <v>8846</v>
      </c>
      <c r="C3551" s="25" t="s">
        <v>13294</v>
      </c>
      <c r="D3551" s="25" t="s">
        <v>3322</v>
      </c>
      <c r="E3551" s="26" t="b">
        <v>1</v>
      </c>
      <c r="F3551" s="27" t="str">
        <f>HYPERLINK("http://nsgreg.nga.mil/genc/view?v=213377&amp;end_month=12&amp;end_day=31&amp;end_year=2014","Yamalo-Nenetskiy Avtonomnyy Okrug")</f>
        <v>Yamalo-Nenetskiy Avtonomnyy Okrug</v>
      </c>
      <c r="G3551" s="28" t="str">
        <f>HYPERLINK("http://api.nsgreg.nga.mil/geo-division/GENC/6/ed3/RU-YAN","as:GENC:6:ed3:RU-YAN")</f>
        <v>as:GENC:6:ed3:RU-YAN</v>
      </c>
    </row>
    <row r="3552" spans="1:7" x14ac:dyDescent="0.2">
      <c r="A3552" s="85"/>
      <c r="B3552" s="25" t="s">
        <v>8848</v>
      </c>
      <c r="C3552" s="25" t="s">
        <v>13295</v>
      </c>
      <c r="D3552" s="25" t="s">
        <v>1719</v>
      </c>
      <c r="E3552" s="26" t="b">
        <v>1</v>
      </c>
      <c r="F3552" s="27" t="str">
        <f>HYPERLINK("http://nsgreg.nga.mil/genc/view?v=213378&amp;end_month=12&amp;end_day=31&amp;end_year=2014","Yaroslavskaya Oblast’")</f>
        <v>Yaroslavskaya Oblast’</v>
      </c>
      <c r="G3552" s="28" t="str">
        <f>HYPERLINK("http://api.nsgreg.nga.mil/geo-division/GENC/6/ed3/RU-YAR","as:GENC:6:ed3:RU-YAR")</f>
        <v>as:GENC:6:ed3:RU-YAR</v>
      </c>
    </row>
    <row r="3553" spans="1:7" x14ac:dyDescent="0.2">
      <c r="A3553" s="85"/>
      <c r="B3553" s="25" t="s">
        <v>8850</v>
      </c>
      <c r="C3553" s="25" t="s">
        <v>13296</v>
      </c>
      <c r="D3553" s="25" t="s">
        <v>5165</v>
      </c>
      <c r="E3553" s="26" t="b">
        <v>1</v>
      </c>
      <c r="F3553" s="27" t="str">
        <f>HYPERLINK("http://nsgreg.nga.mil/genc/view?v=213379&amp;end_month=12&amp;end_day=31&amp;end_year=2014","Yevreyskaya Avtonomnaya Oblast’")</f>
        <v>Yevreyskaya Avtonomnaya Oblast’</v>
      </c>
      <c r="G3553" s="28" t="str">
        <f>HYPERLINK("http://api.nsgreg.nga.mil/geo-division/GENC/6/ed3/RU-YEV","as:GENC:6:ed3:RU-YEV")</f>
        <v>as:GENC:6:ed3:RU-YEV</v>
      </c>
    </row>
    <row r="3554" spans="1:7" x14ac:dyDescent="0.2">
      <c r="A3554" s="86"/>
      <c r="B3554" s="29" t="s">
        <v>8852</v>
      </c>
      <c r="C3554" s="29" t="s">
        <v>13297</v>
      </c>
      <c r="D3554" s="29" t="s">
        <v>1790</v>
      </c>
      <c r="E3554" s="30" t="b">
        <v>1</v>
      </c>
      <c r="F3554" s="31" t="str">
        <f>HYPERLINK("http://nsgreg.nga.mil/genc/view?v=213380&amp;end_month=12&amp;end_day=31&amp;end_year=2014","Zabaykal’skiy Kray")</f>
        <v>Zabaykal’skiy Kray</v>
      </c>
      <c r="G3554" s="32" t="str">
        <f>HYPERLINK("http://api.nsgreg.nga.mil/geo-division/GENC/6/ed3/RU-ZAB","as:GENC:6:ed3:RU-ZAB")</f>
        <v>as:GENC:6:ed3:RU-ZAB</v>
      </c>
    </row>
    <row r="3555" spans="1:7" x14ac:dyDescent="0.2">
      <c r="A3555" s="84" t="str">
        <f>HYPERLINK("[#]Codes_for_GE_Names!A213:I213","RWANDA")</f>
        <v>RWANDA</v>
      </c>
      <c r="B3555" s="33" t="s">
        <v>8854</v>
      </c>
      <c r="C3555" s="33" t="s">
        <v>13298</v>
      </c>
      <c r="D3555" s="33" t="s">
        <v>1719</v>
      </c>
      <c r="E3555" s="34" t="b">
        <v>1</v>
      </c>
      <c r="F3555" s="35" t="str">
        <f>HYPERLINK("http://nsgreg.nga.mil/genc/view?v=213382&amp;end_month=12&amp;end_day=31&amp;end_year=2014","Eastern Province")</f>
        <v>Eastern Province</v>
      </c>
      <c r="G3555" s="36" t="str">
        <f>HYPERLINK("http://api.nsgreg.nga.mil/geo-division/GENC/6/ed3/RW-02","as:GENC:6:ed3:RW-02")</f>
        <v>as:GENC:6:ed3:RW-02</v>
      </c>
    </row>
    <row r="3556" spans="1:7" x14ac:dyDescent="0.2">
      <c r="A3556" s="85"/>
      <c r="B3556" s="25" t="s">
        <v>8858</v>
      </c>
      <c r="C3556" s="25" t="s">
        <v>13299</v>
      </c>
      <c r="D3556" s="25" t="s">
        <v>2046</v>
      </c>
      <c r="E3556" s="26" t="b">
        <v>1</v>
      </c>
      <c r="F3556" s="27" t="str">
        <f>HYPERLINK("http://nsgreg.nga.mil/genc/view?v=213381&amp;end_month=12&amp;end_day=31&amp;end_year=2014","Kigali")</f>
        <v>Kigali</v>
      </c>
      <c r="G3556" s="28" t="str">
        <f>HYPERLINK("http://api.nsgreg.nga.mil/geo-division/GENC/6/ed3/RW-01","as:GENC:6:ed3:RW-01")</f>
        <v>as:GENC:6:ed3:RW-01</v>
      </c>
    </row>
    <row r="3557" spans="1:7" x14ac:dyDescent="0.2">
      <c r="A3557" s="85"/>
      <c r="B3557" s="25" t="s">
        <v>8855</v>
      </c>
      <c r="C3557" s="25" t="s">
        <v>13300</v>
      </c>
      <c r="D3557" s="25" t="s">
        <v>1719</v>
      </c>
      <c r="E3557" s="26" t="b">
        <v>1</v>
      </c>
      <c r="F3557" s="27" t="str">
        <f>HYPERLINK("http://nsgreg.nga.mil/genc/view?v=213383&amp;end_month=12&amp;end_day=31&amp;end_year=2014","Northern Province")</f>
        <v>Northern Province</v>
      </c>
      <c r="G3557" s="28" t="str">
        <f>HYPERLINK("http://api.nsgreg.nga.mil/geo-division/GENC/6/ed3/RW-03","as:GENC:6:ed3:RW-03")</f>
        <v>as:GENC:6:ed3:RW-03</v>
      </c>
    </row>
    <row r="3558" spans="1:7" x14ac:dyDescent="0.2">
      <c r="A3558" s="85"/>
      <c r="B3558" s="25" t="s">
        <v>8857</v>
      </c>
      <c r="C3558" s="25" t="s">
        <v>13301</v>
      </c>
      <c r="D3558" s="25" t="s">
        <v>1719</v>
      </c>
      <c r="E3558" s="26" t="b">
        <v>1</v>
      </c>
      <c r="F3558" s="27" t="str">
        <f>HYPERLINK("http://nsgreg.nga.mil/genc/view?v=213385&amp;end_month=12&amp;end_day=31&amp;end_year=2014","Southern Province")</f>
        <v>Southern Province</v>
      </c>
      <c r="G3558" s="28" t="str">
        <f>HYPERLINK("http://api.nsgreg.nga.mil/geo-division/GENC/6/ed3/RW-05","as:GENC:6:ed3:RW-05")</f>
        <v>as:GENC:6:ed3:RW-05</v>
      </c>
    </row>
    <row r="3559" spans="1:7" x14ac:dyDescent="0.2">
      <c r="A3559" s="86"/>
      <c r="B3559" s="29" t="s">
        <v>8856</v>
      </c>
      <c r="C3559" s="29" t="s">
        <v>13302</v>
      </c>
      <c r="D3559" s="29" t="s">
        <v>1719</v>
      </c>
      <c r="E3559" s="30" t="b">
        <v>1</v>
      </c>
      <c r="F3559" s="31" t="str">
        <f>HYPERLINK("http://nsgreg.nga.mil/genc/view?v=213384&amp;end_month=12&amp;end_day=31&amp;end_year=2014","Western Province")</f>
        <v>Western Province</v>
      </c>
      <c r="G3559" s="32" t="str">
        <f>HYPERLINK("http://api.nsgreg.nga.mil/geo-division/GENC/6/ed3/RW-04","as:GENC:6:ed3:RW-04")</f>
        <v>as:GENC:6:ed3:RW-04</v>
      </c>
    </row>
    <row r="3560" spans="1:7" x14ac:dyDescent="0.2">
      <c r="A3560" s="84" t="str">
        <f>HYPERLINK("[#]Codes_for_GE_Names!A215:I215","SAINT HELENA, ASCENSION, AND TRISTAN DA CUNHA")</f>
        <v>SAINT HELENA, ASCENSION, AND TRISTAN DA CUNHA</v>
      </c>
      <c r="B3560" s="33" t="s">
        <v>8862</v>
      </c>
      <c r="C3560" s="33" t="s">
        <v>8863</v>
      </c>
      <c r="D3560" s="33" t="s">
        <v>13303</v>
      </c>
      <c r="E3560" s="34" t="b">
        <v>1</v>
      </c>
      <c r="F3560" s="35" t="str">
        <f>HYPERLINK("http://nsgreg.nga.mil/genc/view?v=213465&amp;end_month=12&amp;end_day=31&amp;end_year=2014","Ascension")</f>
        <v>Ascension</v>
      </c>
      <c r="G3560" s="36" t="str">
        <f>HYPERLINK("http://api.nsgreg.nga.mil/geo-division/GENC/6/ed3/SH-AC","as:GENC:6:ed3:SH-AC")</f>
        <v>as:GENC:6:ed3:SH-AC</v>
      </c>
    </row>
    <row r="3561" spans="1:7" x14ac:dyDescent="0.2">
      <c r="A3561" s="85"/>
      <c r="B3561" s="25" t="s">
        <v>8865</v>
      </c>
      <c r="C3561" s="25" t="s">
        <v>8866</v>
      </c>
      <c r="D3561" s="25" t="s">
        <v>2021</v>
      </c>
      <c r="E3561" s="26" t="b">
        <v>1</v>
      </c>
      <c r="F3561" s="27" t="str">
        <f>HYPERLINK("http://nsgreg.nga.mil/genc/view?v=213466&amp;end_month=12&amp;end_day=31&amp;end_year=2014","Saint Helena")</f>
        <v>Saint Helena</v>
      </c>
      <c r="G3561" s="28" t="str">
        <f>HYPERLINK("http://api.nsgreg.nga.mil/geo-division/GENC/6/ed3/SH-HL","as:GENC:6:ed3:SH-HL")</f>
        <v>as:GENC:6:ed3:SH-HL</v>
      </c>
    </row>
    <row r="3562" spans="1:7" x14ac:dyDescent="0.2">
      <c r="A3562" s="86"/>
      <c r="B3562" s="29" t="s">
        <v>8867</v>
      </c>
      <c r="C3562" s="29" t="s">
        <v>8868</v>
      </c>
      <c r="D3562" s="29" t="s">
        <v>2021</v>
      </c>
      <c r="E3562" s="30" t="b">
        <v>1</v>
      </c>
      <c r="F3562" s="31" t="str">
        <f>HYPERLINK("http://nsgreg.nga.mil/genc/view?v=213467&amp;end_month=12&amp;end_day=31&amp;end_year=2014","Tristan da Cunha")</f>
        <v>Tristan da Cunha</v>
      </c>
      <c r="G3562" s="32" t="str">
        <f>HYPERLINK("http://api.nsgreg.nga.mil/geo-division/GENC/6/ed3/SH-TA","as:GENC:6:ed3:SH-TA")</f>
        <v>as:GENC:6:ed3:SH-TA</v>
      </c>
    </row>
    <row r="3563" spans="1:7" x14ac:dyDescent="0.2">
      <c r="A3563" s="84" t="str">
        <f>HYPERLINK("[#]Codes_for_GE_Names!A216:I216","SAINT KITTS AND NEVIS")</f>
        <v>SAINT KITTS AND NEVIS</v>
      </c>
      <c r="B3563" s="33" t="s">
        <v>8869</v>
      </c>
      <c r="C3563" s="33" t="s">
        <v>8870</v>
      </c>
      <c r="D3563" s="33" t="s">
        <v>1970</v>
      </c>
      <c r="E3563" s="34" t="b">
        <v>1</v>
      </c>
      <c r="F3563" s="35" t="str">
        <f>HYPERLINK("http://nsgreg.nga.mil/genc/view?v=120214&amp;gencs=T&amp;end_month=12&amp;end_day=31&amp;end_year=2014","Christ Church Nichola Town")</f>
        <v>Christ Church Nichola Town</v>
      </c>
      <c r="G3563" s="36" t="str">
        <f>HYPERLINK("http://api.nsgreg.nga.mil/geo-division/GENC/6/ed3/KN-01","as:GENC:6:ed3:KN-01")</f>
        <v>as:GENC:6:ed3:KN-01</v>
      </c>
    </row>
    <row r="3564" spans="1:7" x14ac:dyDescent="0.2">
      <c r="A3564" s="85"/>
      <c r="B3564" s="25" t="s">
        <v>8871</v>
      </c>
      <c r="C3564" s="25" t="s">
        <v>8872</v>
      </c>
      <c r="D3564" s="37" t="s">
        <v>2113</v>
      </c>
      <c r="E3564" s="38" t="b">
        <v>0</v>
      </c>
      <c r="F3564" s="27" t="str">
        <f>HYPERLINK("http://nsgreg.nga.mil/genc/view?v=120229&amp;gencs=T&amp;end_month=12&amp;end_day=31&amp;end_year=2014","Nevis")</f>
        <v>Nevis</v>
      </c>
      <c r="G3564" s="28" t="str">
        <f>HYPERLINK("http://api.nsgreg.nga.mil/geo-division/GENC/6/ed3/KN-N","as:GENC:6:ed3:KN-N")</f>
        <v>as:GENC:6:ed3:KN-N</v>
      </c>
    </row>
    <row r="3565" spans="1:7" x14ac:dyDescent="0.2">
      <c r="A3565" s="85"/>
      <c r="B3565" s="25" t="s">
        <v>8873</v>
      </c>
      <c r="C3565" s="25" t="s">
        <v>8874</v>
      </c>
      <c r="D3565" s="25" t="s">
        <v>1970</v>
      </c>
      <c r="E3565" s="26" t="b">
        <v>1</v>
      </c>
      <c r="F3565" s="27" t="str">
        <f>HYPERLINK("http://nsgreg.nga.mil/genc/view?v=120215&amp;gencs=T&amp;end_month=12&amp;end_day=31&amp;end_year=2014","Saint Anne Sandy Point")</f>
        <v>Saint Anne Sandy Point</v>
      </c>
      <c r="G3565" s="28" t="str">
        <f>HYPERLINK("http://api.nsgreg.nga.mil/geo-division/GENC/6/ed3/KN-02","as:GENC:6:ed3:KN-02")</f>
        <v>as:GENC:6:ed3:KN-02</v>
      </c>
    </row>
    <row r="3566" spans="1:7" x14ac:dyDescent="0.2">
      <c r="A3566" s="85"/>
      <c r="B3566" s="25" t="s">
        <v>8875</v>
      </c>
      <c r="C3566" s="25" t="s">
        <v>8876</v>
      </c>
      <c r="D3566" s="25" t="s">
        <v>1970</v>
      </c>
      <c r="E3566" s="26" t="b">
        <v>1</v>
      </c>
      <c r="F3566" s="27" t="str">
        <f>HYPERLINK("http://nsgreg.nga.mil/genc/view?v=120216&amp;gencs=T&amp;end_month=12&amp;end_day=31&amp;end_year=2014","Saint George Basseterre")</f>
        <v>Saint George Basseterre</v>
      </c>
      <c r="G3566" s="28" t="str">
        <f>HYPERLINK("http://api.nsgreg.nga.mil/geo-division/GENC/6/ed3/KN-03","as:GENC:6:ed3:KN-03")</f>
        <v>as:GENC:6:ed3:KN-03</v>
      </c>
    </row>
    <row r="3567" spans="1:7" x14ac:dyDescent="0.2">
      <c r="A3567" s="85"/>
      <c r="B3567" s="25" t="s">
        <v>8877</v>
      </c>
      <c r="C3567" s="25" t="s">
        <v>8878</v>
      </c>
      <c r="D3567" s="25" t="s">
        <v>1970</v>
      </c>
      <c r="E3567" s="26" t="b">
        <v>1</v>
      </c>
      <c r="F3567" s="27" t="str">
        <f>HYPERLINK("http://nsgreg.nga.mil/genc/view?v=120217&amp;gencs=T&amp;end_month=12&amp;end_day=31&amp;end_year=2014","Saint George Gingerland")</f>
        <v>Saint George Gingerland</v>
      </c>
      <c r="G3567" s="28" t="str">
        <f>HYPERLINK("http://api.nsgreg.nga.mil/geo-division/GENC/6/ed3/KN-04","as:GENC:6:ed3:KN-04")</f>
        <v>as:GENC:6:ed3:KN-04</v>
      </c>
    </row>
    <row r="3568" spans="1:7" x14ac:dyDescent="0.2">
      <c r="A3568" s="85"/>
      <c r="B3568" s="25" t="s">
        <v>8879</v>
      </c>
      <c r="C3568" s="25" t="s">
        <v>8880</v>
      </c>
      <c r="D3568" s="25" t="s">
        <v>1970</v>
      </c>
      <c r="E3568" s="26" t="b">
        <v>1</v>
      </c>
      <c r="F3568" s="27" t="str">
        <f>HYPERLINK("http://nsgreg.nga.mil/genc/view?v=120218&amp;gencs=T&amp;end_month=12&amp;end_day=31&amp;end_year=2014","Saint James Windward")</f>
        <v>Saint James Windward</v>
      </c>
      <c r="G3568" s="28" t="str">
        <f>HYPERLINK("http://api.nsgreg.nga.mil/geo-division/GENC/6/ed3/KN-05","as:GENC:6:ed3:KN-05")</f>
        <v>as:GENC:6:ed3:KN-05</v>
      </c>
    </row>
    <row r="3569" spans="1:7" x14ac:dyDescent="0.2">
      <c r="A3569" s="85"/>
      <c r="B3569" s="25" t="s">
        <v>8881</v>
      </c>
      <c r="C3569" s="25" t="s">
        <v>13304</v>
      </c>
      <c r="D3569" s="25" t="s">
        <v>1970</v>
      </c>
      <c r="E3569" s="26" t="b">
        <v>1</v>
      </c>
      <c r="F3569" s="27" t="str">
        <f>HYPERLINK("http://nsgreg.nga.mil/genc/view?v=212147&amp;end_month=12&amp;end_day=31&amp;end_year=2014","Saint John Capesterre")</f>
        <v>Saint John Capesterre</v>
      </c>
      <c r="G3569" s="28" t="str">
        <f>HYPERLINK("http://api.nsgreg.nga.mil/geo-division/GENC/6/ed3/KN-06","as:GENC:6:ed3:KN-06")</f>
        <v>as:GENC:6:ed3:KN-06</v>
      </c>
    </row>
    <row r="3570" spans="1:7" x14ac:dyDescent="0.2">
      <c r="A3570" s="85"/>
      <c r="B3570" s="25" t="s">
        <v>8883</v>
      </c>
      <c r="C3570" s="25" t="s">
        <v>8884</v>
      </c>
      <c r="D3570" s="25" t="s">
        <v>1970</v>
      </c>
      <c r="E3570" s="26" t="b">
        <v>1</v>
      </c>
      <c r="F3570" s="27" t="str">
        <f>HYPERLINK("http://nsgreg.nga.mil/genc/view?v=120220&amp;gencs=T&amp;end_month=12&amp;end_day=31&amp;end_year=2014","Saint John Figtree")</f>
        <v>Saint John Figtree</v>
      </c>
      <c r="G3570" s="28" t="str">
        <f>HYPERLINK("http://api.nsgreg.nga.mil/geo-division/GENC/6/ed3/KN-07","as:GENC:6:ed3:KN-07")</f>
        <v>as:GENC:6:ed3:KN-07</v>
      </c>
    </row>
    <row r="3571" spans="1:7" x14ac:dyDescent="0.2">
      <c r="A3571" s="85"/>
      <c r="B3571" s="25" t="s">
        <v>8885</v>
      </c>
      <c r="C3571" s="25" t="s">
        <v>8886</v>
      </c>
      <c r="D3571" s="37" t="s">
        <v>2113</v>
      </c>
      <c r="E3571" s="38" t="b">
        <v>0</v>
      </c>
      <c r="F3571" s="27" t="str">
        <f>HYPERLINK("http://nsgreg.nga.mil/genc/view?v=120228&amp;gencs=T&amp;end_month=12&amp;end_day=31&amp;end_year=2014","Saint Kitts")</f>
        <v>Saint Kitts</v>
      </c>
      <c r="G3571" s="28" t="str">
        <f>HYPERLINK("http://api.nsgreg.nga.mil/geo-division/GENC/6/ed3/KN-K","as:GENC:6:ed3:KN-K")</f>
        <v>as:GENC:6:ed3:KN-K</v>
      </c>
    </row>
    <row r="3572" spans="1:7" x14ac:dyDescent="0.2">
      <c r="A3572" s="85"/>
      <c r="B3572" s="25" t="s">
        <v>8887</v>
      </c>
      <c r="C3572" s="25" t="s">
        <v>8888</v>
      </c>
      <c r="D3572" s="25" t="s">
        <v>1970</v>
      </c>
      <c r="E3572" s="26" t="b">
        <v>1</v>
      </c>
      <c r="F3572" s="27" t="str">
        <f>HYPERLINK("http://nsgreg.nga.mil/genc/view?v=120221&amp;gencs=T&amp;end_month=12&amp;end_day=31&amp;end_year=2014","Saint Mary Cayon")</f>
        <v>Saint Mary Cayon</v>
      </c>
      <c r="G3572" s="28" t="str">
        <f>HYPERLINK("http://api.nsgreg.nga.mil/geo-division/GENC/6/ed3/KN-08","as:GENC:6:ed3:KN-08")</f>
        <v>as:GENC:6:ed3:KN-08</v>
      </c>
    </row>
    <row r="3573" spans="1:7" x14ac:dyDescent="0.2">
      <c r="A3573" s="85"/>
      <c r="B3573" s="25" t="s">
        <v>8889</v>
      </c>
      <c r="C3573" s="25" t="s">
        <v>13305</v>
      </c>
      <c r="D3573" s="25" t="s">
        <v>1970</v>
      </c>
      <c r="E3573" s="26" t="b">
        <v>1</v>
      </c>
      <c r="F3573" s="27" t="str">
        <f>HYPERLINK("http://nsgreg.nga.mil/genc/view?v=212148&amp;end_month=12&amp;end_day=31&amp;end_year=2014","Saint Paul Capesterre")</f>
        <v>Saint Paul Capesterre</v>
      </c>
      <c r="G3573" s="28" t="str">
        <f>HYPERLINK("http://api.nsgreg.nga.mil/geo-division/GENC/6/ed3/KN-09","as:GENC:6:ed3:KN-09")</f>
        <v>as:GENC:6:ed3:KN-09</v>
      </c>
    </row>
    <row r="3574" spans="1:7" x14ac:dyDescent="0.2">
      <c r="A3574" s="85"/>
      <c r="B3574" s="25" t="s">
        <v>8891</v>
      </c>
      <c r="C3574" s="25" t="s">
        <v>8892</v>
      </c>
      <c r="D3574" s="25" t="s">
        <v>1970</v>
      </c>
      <c r="E3574" s="26" t="b">
        <v>1</v>
      </c>
      <c r="F3574" s="27" t="str">
        <f>HYPERLINK("http://nsgreg.nga.mil/genc/view?v=120223&amp;gencs=T&amp;end_month=12&amp;end_day=31&amp;end_year=2014","Saint Paul Charlestown")</f>
        <v>Saint Paul Charlestown</v>
      </c>
      <c r="G3574" s="28" t="str">
        <f>HYPERLINK("http://api.nsgreg.nga.mil/geo-division/GENC/6/ed3/KN-10","as:GENC:6:ed3:KN-10")</f>
        <v>as:GENC:6:ed3:KN-10</v>
      </c>
    </row>
    <row r="3575" spans="1:7" x14ac:dyDescent="0.2">
      <c r="A3575" s="85"/>
      <c r="B3575" s="25" t="s">
        <v>8893</v>
      </c>
      <c r="C3575" s="25" t="s">
        <v>8894</v>
      </c>
      <c r="D3575" s="25" t="s">
        <v>1970</v>
      </c>
      <c r="E3575" s="26" t="b">
        <v>1</v>
      </c>
      <c r="F3575" s="27" t="str">
        <f>HYPERLINK("http://nsgreg.nga.mil/genc/view?v=120224&amp;gencs=T&amp;end_month=12&amp;end_day=31&amp;end_year=2014","Saint Peter Basseterre")</f>
        <v>Saint Peter Basseterre</v>
      </c>
      <c r="G3575" s="28" t="str">
        <f>HYPERLINK("http://api.nsgreg.nga.mil/geo-division/GENC/6/ed3/KN-11","as:GENC:6:ed3:KN-11")</f>
        <v>as:GENC:6:ed3:KN-11</v>
      </c>
    </row>
    <row r="3576" spans="1:7" x14ac:dyDescent="0.2">
      <c r="A3576" s="85"/>
      <c r="B3576" s="25" t="s">
        <v>8895</v>
      </c>
      <c r="C3576" s="25" t="s">
        <v>8896</v>
      </c>
      <c r="D3576" s="25" t="s">
        <v>1970</v>
      </c>
      <c r="E3576" s="26" t="b">
        <v>1</v>
      </c>
      <c r="F3576" s="27" t="str">
        <f>HYPERLINK("http://nsgreg.nga.mil/genc/view?v=120225&amp;gencs=T&amp;end_month=12&amp;end_day=31&amp;end_year=2014","Saint Thomas Lowland")</f>
        <v>Saint Thomas Lowland</v>
      </c>
      <c r="G3576" s="28" t="str">
        <f>HYPERLINK("http://api.nsgreg.nga.mil/geo-division/GENC/6/ed3/KN-12","as:GENC:6:ed3:KN-12")</f>
        <v>as:GENC:6:ed3:KN-12</v>
      </c>
    </row>
    <row r="3577" spans="1:7" x14ac:dyDescent="0.2">
      <c r="A3577" s="85"/>
      <c r="B3577" s="25" t="s">
        <v>8897</v>
      </c>
      <c r="C3577" s="25" t="s">
        <v>8898</v>
      </c>
      <c r="D3577" s="25" t="s">
        <v>1970</v>
      </c>
      <c r="E3577" s="26" t="b">
        <v>1</v>
      </c>
      <c r="F3577" s="27" t="str">
        <f>HYPERLINK("http://nsgreg.nga.mil/genc/view?v=120226&amp;gencs=T&amp;end_month=12&amp;end_day=31&amp;end_year=2014","Saint Thomas Middle Island")</f>
        <v>Saint Thomas Middle Island</v>
      </c>
      <c r="G3577" s="28" t="str">
        <f>HYPERLINK("http://api.nsgreg.nga.mil/geo-division/GENC/6/ed3/KN-13","as:GENC:6:ed3:KN-13")</f>
        <v>as:GENC:6:ed3:KN-13</v>
      </c>
    </row>
    <row r="3578" spans="1:7" x14ac:dyDescent="0.2">
      <c r="A3578" s="86"/>
      <c r="B3578" s="29" t="s">
        <v>8899</v>
      </c>
      <c r="C3578" s="29" t="s">
        <v>8900</v>
      </c>
      <c r="D3578" s="29" t="s">
        <v>1970</v>
      </c>
      <c r="E3578" s="30" t="b">
        <v>1</v>
      </c>
      <c r="F3578" s="31" t="str">
        <f>HYPERLINK("http://nsgreg.nga.mil/genc/view?v=120227&amp;gencs=T&amp;end_month=12&amp;end_day=31&amp;end_year=2014","Trinity Palmetto Point")</f>
        <v>Trinity Palmetto Point</v>
      </c>
      <c r="G3578" s="32" t="str">
        <f>HYPERLINK("http://api.nsgreg.nga.mil/geo-division/GENC/6/ed3/KN-15","as:GENC:6:ed3:KN-15")</f>
        <v>as:GENC:6:ed3:KN-15</v>
      </c>
    </row>
    <row r="3579" spans="1:7" x14ac:dyDescent="0.2">
      <c r="A3579" s="84" t="str">
        <f>HYPERLINK("[#]Codes_for_GE_Names!A217:I217","SAINT LUCIA")</f>
        <v>SAINT LUCIA</v>
      </c>
      <c r="B3579" s="33" t="s">
        <v>8901</v>
      </c>
      <c r="C3579" s="33" t="s">
        <v>13306</v>
      </c>
      <c r="D3579" s="33" t="s">
        <v>1790</v>
      </c>
      <c r="E3579" s="34" t="b">
        <v>1</v>
      </c>
      <c r="F3579" s="35" t="str">
        <f>HYPERLINK("http://nsgreg.nga.mil/genc/view?v=212216&amp;end_month=12&amp;end_day=31&amp;end_year=2014","Anse-la-Raye")</f>
        <v>Anse-la-Raye</v>
      </c>
      <c r="G3579" s="36" t="str">
        <f>HYPERLINK("http://api.nsgreg.nga.mil/geo-division/GENC/6/ed3/LC-01","as:GENC:6:ed3:LC-01")</f>
        <v>as:GENC:6:ed3:LC-01</v>
      </c>
    </row>
    <row r="3580" spans="1:7" x14ac:dyDescent="0.2">
      <c r="A3580" s="85"/>
      <c r="B3580" s="25" t="s">
        <v>13307</v>
      </c>
      <c r="C3580" s="25" t="s">
        <v>13308</v>
      </c>
      <c r="D3580" s="25" t="s">
        <v>1790</v>
      </c>
      <c r="E3580" s="26" t="b">
        <v>1</v>
      </c>
      <c r="F3580" s="27" t="str">
        <f>HYPERLINK("http://nsgreg.nga.mil/genc/view?v=120317&amp;gencs=T&amp;end_month=12&amp;end_day=31&amp;end_year=2014","Canaries")</f>
        <v>Canaries</v>
      </c>
      <c r="G3580" s="28" t="str">
        <f>HYPERLINK("http://api.nsgreg.nga.mil/geo-division/GENC/6/ed3/LC-12","as:GENC:6:ed3:LC-12")</f>
        <v>as:GENC:6:ed3:LC-12</v>
      </c>
    </row>
    <row r="3581" spans="1:7" x14ac:dyDescent="0.2">
      <c r="A3581" s="85"/>
      <c r="B3581" s="25" t="s">
        <v>8904</v>
      </c>
      <c r="C3581" s="25" t="s">
        <v>8905</v>
      </c>
      <c r="D3581" s="25" t="s">
        <v>8903</v>
      </c>
      <c r="E3581" s="26" t="b">
        <v>1</v>
      </c>
      <c r="F3581" s="27" t="str">
        <f>HYPERLINK("http://nsgreg.nga.mil/genc/view?v=120307&amp;gencs=T&amp;end_month=12&amp;end_day=31&amp;end_year=2014","Castries")</f>
        <v>Castries</v>
      </c>
      <c r="G3581" s="28" t="str">
        <f>HYPERLINK("http://api.nsgreg.nga.mil/geo-division/GENC/6/ed3/LC-02","as:GENC:6:ed3:LC-02")</f>
        <v>as:GENC:6:ed3:LC-02</v>
      </c>
    </row>
    <row r="3582" spans="1:7" x14ac:dyDescent="0.2">
      <c r="A3582" s="85"/>
      <c r="B3582" s="25" t="s">
        <v>8906</v>
      </c>
      <c r="C3582" s="25" t="s">
        <v>8907</v>
      </c>
      <c r="D3582" s="25" t="s">
        <v>8903</v>
      </c>
      <c r="E3582" s="26" t="b">
        <v>1</v>
      </c>
      <c r="F3582" s="27" t="str">
        <f>HYPERLINK("http://nsgreg.nga.mil/genc/view?v=120308&amp;gencs=T&amp;end_month=12&amp;end_day=31&amp;end_year=2014","Choiseul")</f>
        <v>Choiseul</v>
      </c>
      <c r="G3582" s="28" t="str">
        <f>HYPERLINK("http://api.nsgreg.nga.mil/geo-division/GENC/6/ed3/LC-03","as:GENC:6:ed3:LC-03")</f>
        <v>as:GENC:6:ed3:LC-03</v>
      </c>
    </row>
    <row r="3583" spans="1:7" x14ac:dyDescent="0.2">
      <c r="A3583" s="85"/>
      <c r="B3583" s="25" t="s">
        <v>8910</v>
      </c>
      <c r="C3583" s="25" t="s">
        <v>8911</v>
      </c>
      <c r="D3583" s="25" t="s">
        <v>8903</v>
      </c>
      <c r="E3583" s="26" t="b">
        <v>1</v>
      </c>
      <c r="F3583" s="27" t="str">
        <f>HYPERLINK("http://nsgreg.nga.mil/genc/view?v=120310&amp;gencs=T&amp;end_month=12&amp;end_day=31&amp;end_year=2014","Dennery")</f>
        <v>Dennery</v>
      </c>
      <c r="G3583" s="28" t="str">
        <f>HYPERLINK("http://api.nsgreg.nga.mil/geo-division/GENC/6/ed3/LC-05","as:GENC:6:ed3:LC-05")</f>
        <v>as:GENC:6:ed3:LC-05</v>
      </c>
    </row>
    <row r="3584" spans="1:7" x14ac:dyDescent="0.2">
      <c r="A3584" s="85"/>
      <c r="B3584" s="25" t="s">
        <v>8912</v>
      </c>
      <c r="C3584" s="25" t="s">
        <v>13309</v>
      </c>
      <c r="D3584" s="25" t="s">
        <v>1790</v>
      </c>
      <c r="E3584" s="26" t="b">
        <v>1</v>
      </c>
      <c r="F3584" s="27" t="str">
        <f>HYPERLINK("http://nsgreg.nga.mil/genc/view?v=212218&amp;end_month=12&amp;end_day=31&amp;end_year=2014","Gros-Islet")</f>
        <v>Gros-Islet</v>
      </c>
      <c r="G3584" s="28" t="str">
        <f>HYPERLINK("http://api.nsgreg.nga.mil/geo-division/GENC/6/ed3/LC-06","as:GENC:6:ed3:LC-06")</f>
        <v>as:GENC:6:ed3:LC-06</v>
      </c>
    </row>
    <row r="3585" spans="1:7" x14ac:dyDescent="0.2">
      <c r="A3585" s="85"/>
      <c r="B3585" s="25" t="s">
        <v>8914</v>
      </c>
      <c r="C3585" s="25" t="s">
        <v>8915</v>
      </c>
      <c r="D3585" s="25" t="s">
        <v>8903</v>
      </c>
      <c r="E3585" s="26" t="b">
        <v>1</v>
      </c>
      <c r="F3585" s="27" t="str">
        <f>HYPERLINK("http://nsgreg.nga.mil/genc/view?v=120312&amp;gencs=T&amp;end_month=12&amp;end_day=31&amp;end_year=2014","Laborie")</f>
        <v>Laborie</v>
      </c>
      <c r="G3585" s="28" t="str">
        <f>HYPERLINK("http://api.nsgreg.nga.mil/geo-division/GENC/6/ed3/LC-07","as:GENC:6:ed3:LC-07")</f>
        <v>as:GENC:6:ed3:LC-07</v>
      </c>
    </row>
    <row r="3586" spans="1:7" x14ac:dyDescent="0.2">
      <c r="A3586" s="85"/>
      <c r="B3586" s="25" t="s">
        <v>8916</v>
      </c>
      <c r="C3586" s="25" t="s">
        <v>8917</v>
      </c>
      <c r="D3586" s="25" t="s">
        <v>8903</v>
      </c>
      <c r="E3586" s="26" t="b">
        <v>1</v>
      </c>
      <c r="F3586" s="27" t="str">
        <f>HYPERLINK("http://nsgreg.nga.mil/genc/view?v=120313&amp;gencs=T&amp;end_month=12&amp;end_day=31&amp;end_year=2014","Micoud")</f>
        <v>Micoud</v>
      </c>
      <c r="G3586" s="28" t="str">
        <f>HYPERLINK("http://api.nsgreg.nga.mil/geo-division/GENC/6/ed3/LC-08","as:GENC:6:ed3:LC-08")</f>
        <v>as:GENC:6:ed3:LC-08</v>
      </c>
    </row>
    <row r="3587" spans="1:7" x14ac:dyDescent="0.2">
      <c r="A3587" s="85"/>
      <c r="B3587" s="25" t="s">
        <v>8920</v>
      </c>
      <c r="C3587" s="25" t="s">
        <v>8921</v>
      </c>
      <c r="D3587" s="25" t="s">
        <v>8903</v>
      </c>
      <c r="E3587" s="26" t="b">
        <v>1</v>
      </c>
      <c r="F3587" s="27" t="str">
        <f>HYPERLINK("http://nsgreg.nga.mil/genc/view?v=120315&amp;gencs=T&amp;end_month=12&amp;end_day=31&amp;end_year=2014","Soufrière")</f>
        <v>Soufrière</v>
      </c>
      <c r="G3587" s="28" t="str">
        <f>HYPERLINK("http://api.nsgreg.nga.mil/geo-division/GENC/6/ed3/LC-10","as:GENC:6:ed3:LC-10")</f>
        <v>as:GENC:6:ed3:LC-10</v>
      </c>
    </row>
    <row r="3588" spans="1:7" x14ac:dyDescent="0.2">
      <c r="A3588" s="86"/>
      <c r="B3588" s="29" t="s">
        <v>8922</v>
      </c>
      <c r="C3588" s="29" t="s">
        <v>13310</v>
      </c>
      <c r="D3588" s="29" t="s">
        <v>1790</v>
      </c>
      <c r="E3588" s="30" t="b">
        <v>1</v>
      </c>
      <c r="F3588" s="31" t="str">
        <f>HYPERLINK("http://nsgreg.nga.mil/genc/view?v=212220&amp;end_month=12&amp;end_day=31&amp;end_year=2014","Vieux-Fort")</f>
        <v>Vieux-Fort</v>
      </c>
      <c r="G3588" s="32" t="str">
        <f>HYPERLINK("http://api.nsgreg.nga.mil/geo-division/GENC/6/ed3/LC-11","as:GENC:6:ed3:LC-11")</f>
        <v>as:GENC:6:ed3:LC-11</v>
      </c>
    </row>
    <row r="3589" spans="1:7" x14ac:dyDescent="0.2">
      <c r="A3589" s="84" t="str">
        <f>HYPERLINK("[#]Codes_for_GE_Names!A220:I220","SAINT VINCENT AND THE GRENADINES")</f>
        <v>SAINT VINCENT AND THE GRENADINES</v>
      </c>
      <c r="B3589" s="33" t="s">
        <v>8924</v>
      </c>
      <c r="C3589" s="33" t="s">
        <v>8925</v>
      </c>
      <c r="D3589" s="33" t="s">
        <v>1970</v>
      </c>
      <c r="E3589" s="34" t="b">
        <v>1</v>
      </c>
      <c r="F3589" s="35" t="str">
        <f>HYPERLINK("http://nsgreg.nga.mil/genc/view?v=122705&amp;gencs=T&amp;end_month=12&amp;end_day=31&amp;end_year=2014","Charlotte")</f>
        <v>Charlotte</v>
      </c>
      <c r="G3589" s="36" t="str">
        <f>HYPERLINK("http://api.nsgreg.nga.mil/geo-division/GENC/6/ed3/VC-01","as:GENC:6:ed3:VC-01")</f>
        <v>as:GENC:6:ed3:VC-01</v>
      </c>
    </row>
    <row r="3590" spans="1:7" x14ac:dyDescent="0.2">
      <c r="A3590" s="85"/>
      <c r="B3590" s="25" t="s">
        <v>8926</v>
      </c>
      <c r="C3590" s="25" t="s">
        <v>8927</v>
      </c>
      <c r="D3590" s="25" t="s">
        <v>1970</v>
      </c>
      <c r="E3590" s="26" t="b">
        <v>1</v>
      </c>
      <c r="F3590" s="27" t="str">
        <f>HYPERLINK("http://nsgreg.nga.mil/genc/view?v=122710&amp;gencs=T&amp;end_month=12&amp;end_day=31&amp;end_year=2014","Grenadines")</f>
        <v>Grenadines</v>
      </c>
      <c r="G3590" s="28" t="str">
        <f>HYPERLINK("http://api.nsgreg.nga.mil/geo-division/GENC/6/ed3/VC-06","as:GENC:6:ed3:VC-06")</f>
        <v>as:GENC:6:ed3:VC-06</v>
      </c>
    </row>
    <row r="3591" spans="1:7" x14ac:dyDescent="0.2">
      <c r="A3591" s="85"/>
      <c r="B3591" s="25" t="s">
        <v>8928</v>
      </c>
      <c r="C3591" s="25" t="s">
        <v>2513</v>
      </c>
      <c r="D3591" s="25" t="s">
        <v>1970</v>
      </c>
      <c r="E3591" s="26" t="b">
        <v>1</v>
      </c>
      <c r="F3591" s="27" t="str">
        <f>HYPERLINK("http://nsgreg.nga.mil/genc/view?v=122706&amp;gencs=T&amp;end_month=12&amp;end_day=31&amp;end_year=2014","Saint Andrew")</f>
        <v>Saint Andrew</v>
      </c>
      <c r="G3591" s="28" t="str">
        <f>HYPERLINK("http://api.nsgreg.nga.mil/geo-division/GENC/6/ed3/VC-02","as:GENC:6:ed3:VC-02")</f>
        <v>as:GENC:6:ed3:VC-02</v>
      </c>
    </row>
    <row r="3592" spans="1:7" x14ac:dyDescent="0.2">
      <c r="A3592" s="85"/>
      <c r="B3592" s="25" t="s">
        <v>8929</v>
      </c>
      <c r="C3592" s="25" t="s">
        <v>3878</v>
      </c>
      <c r="D3592" s="25" t="s">
        <v>1970</v>
      </c>
      <c r="E3592" s="26" t="b">
        <v>1</v>
      </c>
      <c r="F3592" s="27" t="str">
        <f>HYPERLINK("http://nsgreg.nga.mil/genc/view?v=122707&amp;gencs=T&amp;end_month=12&amp;end_day=31&amp;end_year=2014","Saint David")</f>
        <v>Saint David</v>
      </c>
      <c r="G3592" s="28" t="str">
        <f>HYPERLINK("http://api.nsgreg.nga.mil/geo-division/GENC/6/ed3/VC-03","as:GENC:6:ed3:VC-03")</f>
        <v>as:GENC:6:ed3:VC-03</v>
      </c>
    </row>
    <row r="3593" spans="1:7" x14ac:dyDescent="0.2">
      <c r="A3593" s="85"/>
      <c r="B3593" s="25" t="s">
        <v>8930</v>
      </c>
      <c r="C3593" s="25" t="s">
        <v>2025</v>
      </c>
      <c r="D3593" s="25" t="s">
        <v>1970</v>
      </c>
      <c r="E3593" s="26" t="b">
        <v>1</v>
      </c>
      <c r="F3593" s="27" t="str">
        <f>HYPERLINK("http://nsgreg.nga.mil/genc/view?v=122708&amp;gencs=T&amp;end_month=12&amp;end_day=31&amp;end_year=2014","Saint George")</f>
        <v>Saint George</v>
      </c>
      <c r="G3593" s="28" t="str">
        <f>HYPERLINK("http://api.nsgreg.nga.mil/geo-division/GENC/6/ed3/VC-04","as:GENC:6:ed3:VC-04")</f>
        <v>as:GENC:6:ed3:VC-04</v>
      </c>
    </row>
    <row r="3594" spans="1:7" x14ac:dyDescent="0.2">
      <c r="A3594" s="86"/>
      <c r="B3594" s="29" t="s">
        <v>8931</v>
      </c>
      <c r="C3594" s="29" t="s">
        <v>3887</v>
      </c>
      <c r="D3594" s="29" t="s">
        <v>1970</v>
      </c>
      <c r="E3594" s="30" t="b">
        <v>1</v>
      </c>
      <c r="F3594" s="31" t="str">
        <f>HYPERLINK("http://nsgreg.nga.mil/genc/view?v=122709&amp;gencs=T&amp;end_month=12&amp;end_day=31&amp;end_year=2014","Saint Patrick")</f>
        <v>Saint Patrick</v>
      </c>
      <c r="G3594" s="32" t="str">
        <f>HYPERLINK("http://api.nsgreg.nga.mil/geo-division/GENC/6/ed3/VC-05","as:GENC:6:ed3:VC-05")</f>
        <v>as:GENC:6:ed3:VC-05</v>
      </c>
    </row>
    <row r="3595" spans="1:7" x14ac:dyDescent="0.2">
      <c r="A3595" s="84" t="str">
        <f>HYPERLINK("[#]Codes_for_GE_Names!A221:I221","SAMOA")</f>
        <v>SAMOA</v>
      </c>
      <c r="B3595" s="33" t="s">
        <v>8932</v>
      </c>
      <c r="C3595" s="33" t="s">
        <v>13311</v>
      </c>
      <c r="D3595" s="33" t="s">
        <v>1790</v>
      </c>
      <c r="E3595" s="34" t="b">
        <v>1</v>
      </c>
      <c r="F3595" s="35" t="str">
        <f>HYPERLINK("http://nsgreg.nga.mil/genc/view?v=213729&amp;end_month=12&amp;end_day=31&amp;end_year=2014","A‘ana")</f>
        <v>A‘ana</v>
      </c>
      <c r="G3595" s="36" t="str">
        <f>HYPERLINK("http://api.nsgreg.nga.mil/geo-division/GENC/6/ed3/WS-AA","as:GENC:6:ed3:WS-AA")</f>
        <v>as:GENC:6:ed3:WS-AA</v>
      </c>
    </row>
    <row r="3596" spans="1:7" x14ac:dyDescent="0.2">
      <c r="A3596" s="85"/>
      <c r="B3596" s="25" t="s">
        <v>8934</v>
      </c>
      <c r="C3596" s="25" t="s">
        <v>8935</v>
      </c>
      <c r="D3596" s="25" t="s">
        <v>1790</v>
      </c>
      <c r="E3596" s="26" t="b">
        <v>1</v>
      </c>
      <c r="F3596" s="27" t="str">
        <f>HYPERLINK("http://nsgreg.nga.mil/genc/view?v=213730&amp;end_month=12&amp;end_day=31&amp;end_year=2014","Aiga-i-le-Tai")</f>
        <v>Aiga-i-le-Tai</v>
      </c>
      <c r="G3596" s="28" t="str">
        <f>HYPERLINK("http://api.nsgreg.nga.mil/geo-division/GENC/6/ed3/WS-AL","as:GENC:6:ed3:WS-AL")</f>
        <v>as:GENC:6:ed3:WS-AL</v>
      </c>
    </row>
    <row r="3597" spans="1:7" x14ac:dyDescent="0.2">
      <c r="A3597" s="85"/>
      <c r="B3597" s="25" t="s">
        <v>8936</v>
      </c>
      <c r="C3597" s="25" t="s">
        <v>8937</v>
      </c>
      <c r="D3597" s="25" t="s">
        <v>1790</v>
      </c>
      <c r="E3597" s="26" t="b">
        <v>1</v>
      </c>
      <c r="F3597" s="27" t="str">
        <f>HYPERLINK("http://nsgreg.nga.mil/genc/view?v=213731&amp;end_month=12&amp;end_day=31&amp;end_year=2014","Atua")</f>
        <v>Atua</v>
      </c>
      <c r="G3597" s="28" t="str">
        <f>HYPERLINK("http://api.nsgreg.nga.mil/geo-division/GENC/6/ed3/WS-AT","as:GENC:6:ed3:WS-AT")</f>
        <v>as:GENC:6:ed3:WS-AT</v>
      </c>
    </row>
    <row r="3598" spans="1:7" x14ac:dyDescent="0.2">
      <c r="A3598" s="85"/>
      <c r="B3598" s="25" t="s">
        <v>8938</v>
      </c>
      <c r="C3598" s="25" t="s">
        <v>13312</v>
      </c>
      <c r="D3598" s="25" t="s">
        <v>1790</v>
      </c>
      <c r="E3598" s="26" t="b">
        <v>1</v>
      </c>
      <c r="F3598" s="27" t="str">
        <f>HYPERLINK("http://nsgreg.nga.mil/genc/view?v=213732&amp;end_month=12&amp;end_day=31&amp;end_year=2014","Fa‘asaleleaga")</f>
        <v>Fa‘asaleleaga</v>
      </c>
      <c r="G3598" s="28" t="str">
        <f>HYPERLINK("http://api.nsgreg.nga.mil/geo-division/GENC/6/ed3/WS-FA","as:GENC:6:ed3:WS-FA")</f>
        <v>as:GENC:6:ed3:WS-FA</v>
      </c>
    </row>
    <row r="3599" spans="1:7" x14ac:dyDescent="0.2">
      <c r="A3599" s="85"/>
      <c r="B3599" s="25" t="s">
        <v>8940</v>
      </c>
      <c r="C3599" s="25" t="s">
        <v>13313</v>
      </c>
      <c r="D3599" s="25" t="s">
        <v>1790</v>
      </c>
      <c r="E3599" s="26" t="b">
        <v>1</v>
      </c>
      <c r="F3599" s="27" t="str">
        <f>HYPERLINK("http://nsgreg.nga.mil/genc/view?v=213733&amp;end_month=12&amp;end_day=31&amp;end_year=2014","Gaga‘emauga")</f>
        <v>Gaga‘emauga</v>
      </c>
      <c r="G3599" s="28" t="str">
        <f>HYPERLINK("http://api.nsgreg.nga.mil/geo-division/GENC/6/ed3/WS-GE","as:GENC:6:ed3:WS-GE")</f>
        <v>as:GENC:6:ed3:WS-GE</v>
      </c>
    </row>
    <row r="3600" spans="1:7" x14ac:dyDescent="0.2">
      <c r="A3600" s="85"/>
      <c r="B3600" s="25" t="s">
        <v>8942</v>
      </c>
      <c r="C3600" s="25" t="s">
        <v>8943</v>
      </c>
      <c r="D3600" s="25" t="s">
        <v>1790</v>
      </c>
      <c r="E3600" s="26" t="b">
        <v>1</v>
      </c>
      <c r="F3600" s="27" t="str">
        <f>HYPERLINK("http://nsgreg.nga.mil/genc/view?v=213734&amp;end_month=12&amp;end_day=31&amp;end_year=2014","Gagaifomauga")</f>
        <v>Gagaifomauga</v>
      </c>
      <c r="G3600" s="28" t="str">
        <f>HYPERLINK("http://api.nsgreg.nga.mil/geo-division/GENC/6/ed3/WS-GI","as:GENC:6:ed3:WS-GI")</f>
        <v>as:GENC:6:ed3:WS-GI</v>
      </c>
    </row>
    <row r="3601" spans="1:7" x14ac:dyDescent="0.2">
      <c r="A3601" s="85"/>
      <c r="B3601" s="25" t="s">
        <v>8944</v>
      </c>
      <c r="C3601" s="25" t="s">
        <v>8945</v>
      </c>
      <c r="D3601" s="25" t="s">
        <v>1790</v>
      </c>
      <c r="E3601" s="26" t="b">
        <v>1</v>
      </c>
      <c r="F3601" s="27" t="str">
        <f>HYPERLINK("http://nsgreg.nga.mil/genc/view?v=213735&amp;end_month=12&amp;end_day=31&amp;end_year=2014","Palauli")</f>
        <v>Palauli</v>
      </c>
      <c r="G3601" s="28" t="str">
        <f>HYPERLINK("http://api.nsgreg.nga.mil/geo-division/GENC/6/ed3/WS-PA","as:GENC:6:ed3:WS-PA")</f>
        <v>as:GENC:6:ed3:WS-PA</v>
      </c>
    </row>
    <row r="3602" spans="1:7" x14ac:dyDescent="0.2">
      <c r="A3602" s="85"/>
      <c r="B3602" s="25" t="s">
        <v>8946</v>
      </c>
      <c r="C3602" s="25" t="s">
        <v>13314</v>
      </c>
      <c r="D3602" s="25" t="s">
        <v>1790</v>
      </c>
      <c r="E3602" s="26" t="b">
        <v>1</v>
      </c>
      <c r="F3602" s="27" t="str">
        <f>HYPERLINK("http://nsgreg.nga.mil/genc/view?v=213736&amp;end_month=12&amp;end_day=31&amp;end_year=2014","Satupa‘itea")</f>
        <v>Satupa‘itea</v>
      </c>
      <c r="G3602" s="28" t="str">
        <f>HYPERLINK("http://api.nsgreg.nga.mil/geo-division/GENC/6/ed3/WS-SA","as:GENC:6:ed3:WS-SA")</f>
        <v>as:GENC:6:ed3:WS-SA</v>
      </c>
    </row>
    <row r="3603" spans="1:7" x14ac:dyDescent="0.2">
      <c r="A3603" s="85"/>
      <c r="B3603" s="25" t="s">
        <v>8948</v>
      </c>
      <c r="C3603" s="25" t="s">
        <v>8949</v>
      </c>
      <c r="D3603" s="25" t="s">
        <v>1790</v>
      </c>
      <c r="E3603" s="26" t="b">
        <v>1</v>
      </c>
      <c r="F3603" s="27" t="str">
        <f>HYPERLINK("http://nsgreg.nga.mil/genc/view?v=213737&amp;end_month=12&amp;end_day=31&amp;end_year=2014","Tuamasaga")</f>
        <v>Tuamasaga</v>
      </c>
      <c r="G3603" s="28" t="str">
        <f>HYPERLINK("http://api.nsgreg.nga.mil/geo-division/GENC/6/ed3/WS-TU","as:GENC:6:ed3:WS-TU")</f>
        <v>as:GENC:6:ed3:WS-TU</v>
      </c>
    </row>
    <row r="3604" spans="1:7" x14ac:dyDescent="0.2">
      <c r="A3604" s="85"/>
      <c r="B3604" s="25" t="s">
        <v>8950</v>
      </c>
      <c r="C3604" s="25" t="s">
        <v>13315</v>
      </c>
      <c r="D3604" s="25" t="s">
        <v>1790</v>
      </c>
      <c r="E3604" s="26" t="b">
        <v>1</v>
      </c>
      <c r="F3604" s="27" t="str">
        <f>HYPERLINK("http://nsgreg.nga.mil/genc/view?v=213738&amp;end_month=12&amp;end_day=31&amp;end_year=2014","Va‘a-o-Fonoti")</f>
        <v>Va‘a-o-Fonoti</v>
      </c>
      <c r="G3604" s="28" t="str">
        <f>HYPERLINK("http://api.nsgreg.nga.mil/geo-division/GENC/6/ed3/WS-VF","as:GENC:6:ed3:WS-VF")</f>
        <v>as:GENC:6:ed3:WS-VF</v>
      </c>
    </row>
    <row r="3605" spans="1:7" x14ac:dyDescent="0.2">
      <c r="A3605" s="86"/>
      <c r="B3605" s="29" t="s">
        <v>8952</v>
      </c>
      <c r="C3605" s="29" t="s">
        <v>8953</v>
      </c>
      <c r="D3605" s="29" t="s">
        <v>1790</v>
      </c>
      <c r="E3605" s="30" t="b">
        <v>1</v>
      </c>
      <c r="F3605" s="31" t="str">
        <f>HYPERLINK("http://nsgreg.nga.mil/genc/view?v=213739&amp;end_month=12&amp;end_day=31&amp;end_year=2014","Vaisigano")</f>
        <v>Vaisigano</v>
      </c>
      <c r="G3605" s="32" t="str">
        <f>HYPERLINK("http://api.nsgreg.nga.mil/geo-division/GENC/6/ed3/WS-VS","as:GENC:6:ed3:WS-VS")</f>
        <v>as:GENC:6:ed3:WS-VS</v>
      </c>
    </row>
    <row r="3606" spans="1:7" x14ac:dyDescent="0.2">
      <c r="A3606" s="84" t="str">
        <f>HYPERLINK("[#]Codes_for_GE_Names!A222:I222","SAN MARINO")</f>
        <v>SAN MARINO</v>
      </c>
      <c r="B3606" s="33" t="s">
        <v>8954</v>
      </c>
      <c r="C3606" s="33" t="s">
        <v>8955</v>
      </c>
      <c r="D3606" s="33" t="s">
        <v>2164</v>
      </c>
      <c r="E3606" s="34" t="b">
        <v>1</v>
      </c>
      <c r="F3606" s="35" t="str">
        <f>HYPERLINK("http://nsgreg.nga.mil/genc/view?v=122051&amp;gencs=T&amp;end_month=12&amp;end_day=31&amp;end_year=2014","Acquaviva")</f>
        <v>Acquaviva</v>
      </c>
      <c r="G3606" s="36" t="str">
        <f>HYPERLINK("http://api.nsgreg.nga.mil/geo-division/GENC/6/ed3/SM-01","as:GENC:6:ed3:SM-01")</f>
        <v>as:GENC:6:ed3:SM-01</v>
      </c>
    </row>
    <row r="3607" spans="1:7" x14ac:dyDescent="0.2">
      <c r="A3607" s="85"/>
      <c r="B3607" s="25" t="s">
        <v>8956</v>
      </c>
      <c r="C3607" s="25" t="s">
        <v>8957</v>
      </c>
      <c r="D3607" s="25" t="s">
        <v>2164</v>
      </c>
      <c r="E3607" s="26" t="b">
        <v>1</v>
      </c>
      <c r="F3607" s="27" t="str">
        <f>HYPERLINK("http://nsgreg.nga.mil/genc/view?v=122056&amp;gencs=T&amp;end_month=12&amp;end_day=31&amp;end_year=2014","Borgo Maggiore")</f>
        <v>Borgo Maggiore</v>
      </c>
      <c r="G3607" s="28" t="str">
        <f>HYPERLINK("http://api.nsgreg.nga.mil/geo-division/GENC/6/ed3/SM-06","as:GENC:6:ed3:SM-06")</f>
        <v>as:GENC:6:ed3:SM-06</v>
      </c>
    </row>
    <row r="3608" spans="1:7" x14ac:dyDescent="0.2">
      <c r="A3608" s="85"/>
      <c r="B3608" s="25" t="s">
        <v>8958</v>
      </c>
      <c r="C3608" s="25" t="s">
        <v>8959</v>
      </c>
      <c r="D3608" s="25" t="s">
        <v>2164</v>
      </c>
      <c r="E3608" s="26" t="b">
        <v>1</v>
      </c>
      <c r="F3608" s="27" t="str">
        <f>HYPERLINK("http://nsgreg.nga.mil/genc/view?v=122052&amp;gencs=T&amp;end_month=12&amp;end_day=31&amp;end_year=2014","Chiesanuova")</f>
        <v>Chiesanuova</v>
      </c>
      <c r="G3608" s="28" t="str">
        <f>HYPERLINK("http://api.nsgreg.nga.mil/geo-division/GENC/6/ed3/SM-02","as:GENC:6:ed3:SM-02")</f>
        <v>as:GENC:6:ed3:SM-02</v>
      </c>
    </row>
    <row r="3609" spans="1:7" x14ac:dyDescent="0.2">
      <c r="A3609" s="85"/>
      <c r="B3609" s="25" t="s">
        <v>8960</v>
      </c>
      <c r="C3609" s="25" t="s">
        <v>8961</v>
      </c>
      <c r="D3609" s="25" t="s">
        <v>2164</v>
      </c>
      <c r="E3609" s="26" t="b">
        <v>1</v>
      </c>
      <c r="F3609" s="27" t="str">
        <f>HYPERLINK("http://nsgreg.nga.mil/genc/view?v=122053&amp;gencs=T&amp;end_month=12&amp;end_day=31&amp;end_year=2014","Domagnano")</f>
        <v>Domagnano</v>
      </c>
      <c r="G3609" s="28" t="str">
        <f>HYPERLINK("http://api.nsgreg.nga.mil/geo-division/GENC/6/ed3/SM-03","as:GENC:6:ed3:SM-03")</f>
        <v>as:GENC:6:ed3:SM-03</v>
      </c>
    </row>
    <row r="3610" spans="1:7" x14ac:dyDescent="0.2">
      <c r="A3610" s="85"/>
      <c r="B3610" s="25" t="s">
        <v>8962</v>
      </c>
      <c r="C3610" s="25" t="s">
        <v>8963</v>
      </c>
      <c r="D3610" s="25" t="s">
        <v>2164</v>
      </c>
      <c r="E3610" s="26" t="b">
        <v>1</v>
      </c>
      <c r="F3610" s="27" t="str">
        <f>HYPERLINK("http://nsgreg.nga.mil/genc/view?v=122054&amp;gencs=T&amp;end_month=12&amp;end_day=31&amp;end_year=2014","Faetano")</f>
        <v>Faetano</v>
      </c>
      <c r="G3610" s="28" t="str">
        <f>HYPERLINK("http://api.nsgreg.nga.mil/geo-division/GENC/6/ed3/SM-04","as:GENC:6:ed3:SM-04")</f>
        <v>as:GENC:6:ed3:SM-04</v>
      </c>
    </row>
    <row r="3611" spans="1:7" x14ac:dyDescent="0.2">
      <c r="A3611" s="85"/>
      <c r="B3611" s="25" t="s">
        <v>8964</v>
      </c>
      <c r="C3611" s="25" t="s">
        <v>8965</v>
      </c>
      <c r="D3611" s="25" t="s">
        <v>2164</v>
      </c>
      <c r="E3611" s="26" t="b">
        <v>1</v>
      </c>
      <c r="F3611" s="27" t="str">
        <f>HYPERLINK("http://nsgreg.nga.mil/genc/view?v=122055&amp;gencs=T&amp;end_month=12&amp;end_day=31&amp;end_year=2014","Fiorentino")</f>
        <v>Fiorentino</v>
      </c>
      <c r="G3611" s="28" t="str">
        <f>HYPERLINK("http://api.nsgreg.nga.mil/geo-division/GENC/6/ed3/SM-05","as:GENC:6:ed3:SM-05")</f>
        <v>as:GENC:6:ed3:SM-05</v>
      </c>
    </row>
    <row r="3612" spans="1:7" x14ac:dyDescent="0.2">
      <c r="A3612" s="85"/>
      <c r="B3612" s="25" t="s">
        <v>8966</v>
      </c>
      <c r="C3612" s="25" t="s">
        <v>8967</v>
      </c>
      <c r="D3612" s="25" t="s">
        <v>2164</v>
      </c>
      <c r="E3612" s="26" t="b">
        <v>1</v>
      </c>
      <c r="F3612" s="27" t="str">
        <f>HYPERLINK("http://nsgreg.nga.mil/genc/view?v=122058&amp;gencs=T&amp;end_month=12&amp;end_day=31&amp;end_year=2014","Montegiardino")</f>
        <v>Montegiardino</v>
      </c>
      <c r="G3612" s="28" t="str">
        <f>HYPERLINK("http://api.nsgreg.nga.mil/geo-division/GENC/6/ed3/SM-08","as:GENC:6:ed3:SM-08")</f>
        <v>as:GENC:6:ed3:SM-08</v>
      </c>
    </row>
    <row r="3613" spans="1:7" x14ac:dyDescent="0.2">
      <c r="A3613" s="85"/>
      <c r="B3613" s="25" t="s">
        <v>8968</v>
      </c>
      <c r="C3613" s="25" t="s">
        <v>13316</v>
      </c>
      <c r="D3613" s="25" t="s">
        <v>2164</v>
      </c>
      <c r="E3613" s="26" t="b">
        <v>1</v>
      </c>
      <c r="F3613" s="27" t="str">
        <f>HYPERLINK("http://nsgreg.nga.mil/genc/view?v=213494&amp;end_month=12&amp;end_day=31&amp;end_year=2014","San Marino Città")</f>
        <v>San Marino Città</v>
      </c>
      <c r="G3613" s="28" t="str">
        <f>HYPERLINK("http://api.nsgreg.nga.mil/geo-division/GENC/6/ed3/SM-07","as:GENC:6:ed3:SM-07")</f>
        <v>as:GENC:6:ed3:SM-07</v>
      </c>
    </row>
    <row r="3614" spans="1:7" x14ac:dyDescent="0.2">
      <c r="A3614" s="86"/>
      <c r="B3614" s="29" t="s">
        <v>8969</v>
      </c>
      <c r="C3614" s="29" t="s">
        <v>8970</v>
      </c>
      <c r="D3614" s="29" t="s">
        <v>2164</v>
      </c>
      <c r="E3614" s="30" t="b">
        <v>1</v>
      </c>
      <c r="F3614" s="31" t="str">
        <f>HYPERLINK("http://nsgreg.nga.mil/genc/view?v=122059&amp;gencs=T&amp;end_month=12&amp;end_day=31&amp;end_year=2014","Serravalle")</f>
        <v>Serravalle</v>
      </c>
      <c r="G3614" s="32" t="str">
        <f>HYPERLINK("http://api.nsgreg.nga.mil/geo-division/GENC/6/ed3/SM-09","as:GENC:6:ed3:SM-09")</f>
        <v>as:GENC:6:ed3:SM-09</v>
      </c>
    </row>
    <row r="3615" spans="1:7" x14ac:dyDescent="0.2">
      <c r="A3615" s="84" t="str">
        <f>HYPERLINK("[#]Codes_for_GE_Names!A223:I223","SAO TOME AND PRINCIPE")</f>
        <v>SAO TOME AND PRINCIPE</v>
      </c>
      <c r="B3615" s="33" t="s">
        <v>8971</v>
      </c>
      <c r="C3615" s="33" t="s">
        <v>8972</v>
      </c>
      <c r="D3615" s="33" t="s">
        <v>1719</v>
      </c>
      <c r="E3615" s="34" t="b">
        <v>1</v>
      </c>
      <c r="F3615" s="35" t="str">
        <f>HYPERLINK("http://nsgreg.nga.mil/genc/view?v=213513&amp;end_month=12&amp;end_day=31&amp;end_year=2014","Príncipe")</f>
        <v>Príncipe</v>
      </c>
      <c r="G3615" s="36" t="str">
        <f>HYPERLINK("http://api.nsgreg.nga.mil/geo-division/GENC/6/ed3/ST-P","as:GENC:6:ed3:ST-P")</f>
        <v>as:GENC:6:ed3:ST-P</v>
      </c>
    </row>
    <row r="3616" spans="1:7" x14ac:dyDescent="0.2">
      <c r="A3616" s="86"/>
      <c r="B3616" s="29" t="s">
        <v>8973</v>
      </c>
      <c r="C3616" s="29" t="s">
        <v>8974</v>
      </c>
      <c r="D3616" s="29" t="s">
        <v>1719</v>
      </c>
      <c r="E3616" s="30" t="b">
        <v>1</v>
      </c>
      <c r="F3616" s="31" t="str">
        <f>HYPERLINK("http://nsgreg.nga.mil/genc/view?v=213514&amp;end_month=12&amp;end_day=31&amp;end_year=2014","São Tomé")</f>
        <v>São Tomé</v>
      </c>
      <c r="G3616" s="32" t="str">
        <f>HYPERLINK("http://api.nsgreg.nga.mil/geo-division/GENC/6/ed3/ST-S","as:GENC:6:ed3:ST-S")</f>
        <v>as:GENC:6:ed3:ST-S</v>
      </c>
    </row>
    <row r="3617" spans="1:7" x14ac:dyDescent="0.2">
      <c r="A3617" s="84" t="str">
        <f>HYPERLINK("[#]Codes_for_GE_Names!A224:I224","SAUDI ARABIA")</f>
        <v>SAUDI ARABIA</v>
      </c>
      <c r="B3617" s="33" t="s">
        <v>8977</v>
      </c>
      <c r="C3617" s="33" t="s">
        <v>8978</v>
      </c>
      <c r="D3617" s="33" t="s">
        <v>2164</v>
      </c>
      <c r="E3617" s="34" t="b">
        <v>1</v>
      </c>
      <c r="F3617" s="35" t="str">
        <f>HYPERLINK("http://nsgreg.nga.mil/genc/view?v=213396&amp;end_month=12&amp;end_day=31&amp;end_year=2014","Al Bāḩah")</f>
        <v>Al Bāḩah</v>
      </c>
      <c r="G3617" s="36" t="str">
        <f>HYPERLINK("http://api.nsgreg.nga.mil/geo-division/GENC/6/ed3/SA-11","as:GENC:6:ed3:SA-11")</f>
        <v>as:GENC:6:ed3:SA-11</v>
      </c>
    </row>
    <row r="3618" spans="1:7" x14ac:dyDescent="0.2">
      <c r="A3618" s="85"/>
      <c r="B3618" s="25" t="s">
        <v>8985</v>
      </c>
      <c r="C3618" s="25" t="s">
        <v>8986</v>
      </c>
      <c r="D3618" s="25" t="s">
        <v>2164</v>
      </c>
      <c r="E3618" s="26" t="b">
        <v>1</v>
      </c>
      <c r="F3618" s="27" t="str">
        <f>HYPERLINK("http://nsgreg.nga.mil/genc/view?v=213393&amp;end_month=12&amp;end_day=31&amp;end_year=2014","Al Ḩudūd ash Shamālīyah")</f>
        <v>Al Ḩudūd ash Shamālīyah</v>
      </c>
      <c r="G3618" s="28" t="str">
        <f>HYPERLINK("http://api.nsgreg.nga.mil/geo-division/GENC/6/ed3/SA-08","as:GENC:6:ed3:SA-08")</f>
        <v>as:GENC:6:ed3:SA-08</v>
      </c>
    </row>
    <row r="3619" spans="1:7" x14ac:dyDescent="0.2">
      <c r="A3619" s="85"/>
      <c r="B3619" s="25" t="s">
        <v>8979</v>
      </c>
      <c r="C3619" s="25" t="s">
        <v>8980</v>
      </c>
      <c r="D3619" s="25" t="s">
        <v>2164</v>
      </c>
      <c r="E3619" s="26" t="b">
        <v>1</v>
      </c>
      <c r="F3619" s="27" t="str">
        <f>HYPERLINK("http://nsgreg.nga.mil/genc/view?v=213397&amp;end_month=12&amp;end_day=31&amp;end_year=2014","Al Jawf")</f>
        <v>Al Jawf</v>
      </c>
      <c r="G3619" s="28" t="str">
        <f>HYPERLINK("http://api.nsgreg.nga.mil/geo-division/GENC/6/ed3/SA-12","as:GENC:6:ed3:SA-12")</f>
        <v>as:GENC:6:ed3:SA-12</v>
      </c>
    </row>
    <row r="3620" spans="1:7" x14ac:dyDescent="0.2">
      <c r="A3620" s="85"/>
      <c r="B3620" s="25" t="s">
        <v>8981</v>
      </c>
      <c r="C3620" s="25" t="s">
        <v>13317</v>
      </c>
      <c r="D3620" s="25" t="s">
        <v>2164</v>
      </c>
      <c r="E3620" s="26" t="b">
        <v>1</v>
      </c>
      <c r="F3620" s="27" t="str">
        <f>HYPERLINK("http://nsgreg.nga.mil/genc/view?v=213388&amp;end_month=12&amp;end_day=31&amp;end_year=2014","Al Madīnah al Munawwarah")</f>
        <v>Al Madīnah al Munawwarah</v>
      </c>
      <c r="G3620" s="28" t="str">
        <f>HYPERLINK("http://api.nsgreg.nga.mil/geo-division/GENC/6/ed3/SA-03","as:GENC:6:ed3:SA-03")</f>
        <v>as:GENC:6:ed3:SA-03</v>
      </c>
    </row>
    <row r="3621" spans="1:7" x14ac:dyDescent="0.2">
      <c r="A3621" s="85"/>
      <c r="B3621" s="25" t="s">
        <v>8983</v>
      </c>
      <c r="C3621" s="25" t="s">
        <v>8984</v>
      </c>
      <c r="D3621" s="25" t="s">
        <v>2164</v>
      </c>
      <c r="E3621" s="26" t="b">
        <v>1</v>
      </c>
      <c r="F3621" s="27" t="str">
        <f>HYPERLINK("http://nsgreg.nga.mil/genc/view?v=213390&amp;end_month=12&amp;end_day=31&amp;end_year=2014","Al Qaşīm")</f>
        <v>Al Qaşīm</v>
      </c>
      <c r="G3621" s="28" t="str">
        <f>HYPERLINK("http://api.nsgreg.nga.mil/geo-division/GENC/6/ed3/SA-05","as:GENC:6:ed3:SA-05")</f>
        <v>as:GENC:6:ed3:SA-05</v>
      </c>
    </row>
    <row r="3622" spans="1:7" x14ac:dyDescent="0.2">
      <c r="A3622" s="85"/>
      <c r="B3622" s="25" t="s">
        <v>8987</v>
      </c>
      <c r="C3622" s="25" t="s">
        <v>8988</v>
      </c>
      <c r="D3622" s="25" t="s">
        <v>2164</v>
      </c>
      <c r="E3622" s="26" t="b">
        <v>1</v>
      </c>
      <c r="F3622" s="27" t="str">
        <f>HYPERLINK("http://nsgreg.nga.mil/genc/view?v=213386&amp;end_month=12&amp;end_day=31&amp;end_year=2014","Ar Riyāḑ")</f>
        <v>Ar Riyāḑ</v>
      </c>
      <c r="G3622" s="28" t="str">
        <f>HYPERLINK("http://api.nsgreg.nga.mil/geo-division/GENC/6/ed3/SA-01","as:GENC:6:ed3:SA-01")</f>
        <v>as:GENC:6:ed3:SA-01</v>
      </c>
    </row>
    <row r="3623" spans="1:7" x14ac:dyDescent="0.2">
      <c r="A3623" s="85"/>
      <c r="B3623" s="25" t="s">
        <v>8989</v>
      </c>
      <c r="C3623" s="25" t="s">
        <v>4032</v>
      </c>
      <c r="D3623" s="25" t="s">
        <v>2164</v>
      </c>
      <c r="E3623" s="26" t="b">
        <v>1</v>
      </c>
      <c r="F3623" s="27" t="str">
        <f>HYPERLINK("http://nsgreg.nga.mil/genc/view?v=213389&amp;end_month=12&amp;end_day=31&amp;end_year=2014","Ash Sharqīyah")</f>
        <v>Ash Sharqīyah</v>
      </c>
      <c r="G3623" s="28" t="str">
        <f>HYPERLINK("http://api.nsgreg.nga.mil/geo-division/GENC/6/ed3/SA-04","as:GENC:6:ed3:SA-04")</f>
        <v>as:GENC:6:ed3:SA-04</v>
      </c>
    </row>
    <row r="3624" spans="1:7" x14ac:dyDescent="0.2">
      <c r="A3624" s="85"/>
      <c r="B3624" s="25" t="s">
        <v>8975</v>
      </c>
      <c r="C3624" s="25" t="s">
        <v>13318</v>
      </c>
      <c r="D3624" s="25" t="s">
        <v>2164</v>
      </c>
      <c r="E3624" s="26" t="b">
        <v>1</v>
      </c>
      <c r="F3624" s="27" t="str">
        <f>HYPERLINK("http://nsgreg.nga.mil/genc/view?v=213398&amp;end_month=12&amp;end_day=31&amp;end_year=2014","‘Asīr")</f>
        <v>‘Asīr</v>
      </c>
      <c r="G3624" s="28" t="str">
        <f>HYPERLINK("http://api.nsgreg.nga.mil/geo-division/GENC/6/ed3/SA-14","as:GENC:6:ed3:SA-14")</f>
        <v>as:GENC:6:ed3:SA-14</v>
      </c>
    </row>
    <row r="3625" spans="1:7" x14ac:dyDescent="0.2">
      <c r="A3625" s="85"/>
      <c r="B3625" s="25" t="s">
        <v>8998</v>
      </c>
      <c r="C3625" s="25" t="s">
        <v>13319</v>
      </c>
      <c r="D3625" s="25" t="s">
        <v>2164</v>
      </c>
      <c r="E3625" s="26" t="b">
        <v>1</v>
      </c>
      <c r="F3625" s="27" t="str">
        <f>HYPERLINK("http://nsgreg.nga.mil/genc/view?v=213391&amp;end_month=12&amp;end_day=31&amp;end_year=2014","Ḩā’il")</f>
        <v>Ḩā’il</v>
      </c>
      <c r="G3625" s="28" t="str">
        <f>HYPERLINK("http://api.nsgreg.nga.mil/geo-division/GENC/6/ed3/SA-06","as:GENC:6:ed3:SA-06")</f>
        <v>as:GENC:6:ed3:SA-06</v>
      </c>
    </row>
    <row r="3626" spans="1:7" x14ac:dyDescent="0.2">
      <c r="A3626" s="85"/>
      <c r="B3626" s="25" t="s">
        <v>8990</v>
      </c>
      <c r="C3626" s="25" t="s">
        <v>13320</v>
      </c>
      <c r="D3626" s="25" t="s">
        <v>2164</v>
      </c>
      <c r="E3626" s="26" t="b">
        <v>1</v>
      </c>
      <c r="F3626" s="27" t="str">
        <f>HYPERLINK("http://nsgreg.nga.mil/genc/view?v=213394&amp;end_month=12&amp;end_day=31&amp;end_year=2014","Jāzān")</f>
        <v>Jāzān</v>
      </c>
      <c r="G3626" s="28" t="str">
        <f>HYPERLINK("http://api.nsgreg.nga.mil/geo-division/GENC/6/ed3/SA-09","as:GENC:6:ed3:SA-09")</f>
        <v>as:GENC:6:ed3:SA-09</v>
      </c>
    </row>
    <row r="3627" spans="1:7" x14ac:dyDescent="0.2">
      <c r="A3627" s="85"/>
      <c r="B3627" s="25" t="s">
        <v>8992</v>
      </c>
      <c r="C3627" s="25" t="s">
        <v>13321</v>
      </c>
      <c r="D3627" s="25" t="s">
        <v>2164</v>
      </c>
      <c r="E3627" s="26" t="b">
        <v>1</v>
      </c>
      <c r="F3627" s="27" t="str">
        <f>HYPERLINK("http://nsgreg.nga.mil/genc/view?v=213387&amp;end_month=12&amp;end_day=31&amp;end_year=2014","Makkah al Mukarramah")</f>
        <v>Makkah al Mukarramah</v>
      </c>
      <c r="G3627" s="28" t="str">
        <f>HYPERLINK("http://api.nsgreg.nga.mil/geo-division/GENC/6/ed3/SA-02","as:GENC:6:ed3:SA-02")</f>
        <v>as:GENC:6:ed3:SA-02</v>
      </c>
    </row>
    <row r="3628" spans="1:7" x14ac:dyDescent="0.2">
      <c r="A3628" s="85"/>
      <c r="B3628" s="25" t="s">
        <v>8994</v>
      </c>
      <c r="C3628" s="25" t="s">
        <v>8995</v>
      </c>
      <c r="D3628" s="25" t="s">
        <v>2164</v>
      </c>
      <c r="E3628" s="26" t="b">
        <v>1</v>
      </c>
      <c r="F3628" s="27" t="str">
        <f>HYPERLINK("http://nsgreg.nga.mil/genc/view?v=213395&amp;end_month=12&amp;end_day=31&amp;end_year=2014","Najrān")</f>
        <v>Najrān</v>
      </c>
      <c r="G3628" s="28" t="str">
        <f>HYPERLINK("http://api.nsgreg.nga.mil/geo-division/GENC/6/ed3/SA-10","as:GENC:6:ed3:SA-10")</f>
        <v>as:GENC:6:ed3:SA-10</v>
      </c>
    </row>
    <row r="3629" spans="1:7" x14ac:dyDescent="0.2">
      <c r="A3629" s="86"/>
      <c r="B3629" s="29" t="s">
        <v>8996</v>
      </c>
      <c r="C3629" s="29" t="s">
        <v>8997</v>
      </c>
      <c r="D3629" s="29" t="s">
        <v>2164</v>
      </c>
      <c r="E3629" s="30" t="b">
        <v>1</v>
      </c>
      <c r="F3629" s="31" t="str">
        <f>HYPERLINK("http://nsgreg.nga.mil/genc/view?v=213392&amp;end_month=12&amp;end_day=31&amp;end_year=2014","Tabūk")</f>
        <v>Tabūk</v>
      </c>
      <c r="G3629" s="32" t="str">
        <f>HYPERLINK("http://api.nsgreg.nga.mil/geo-division/GENC/6/ed3/SA-07","as:GENC:6:ed3:SA-07")</f>
        <v>as:GENC:6:ed3:SA-07</v>
      </c>
    </row>
    <row r="3630" spans="1:7" x14ac:dyDescent="0.2">
      <c r="A3630" s="84" t="str">
        <f>HYPERLINK("[#]Codes_for_GE_Names!A225:I225","SENEGAL")</f>
        <v>SENEGAL</v>
      </c>
      <c r="B3630" s="33" t="s">
        <v>9000</v>
      </c>
      <c r="C3630" s="33" t="s">
        <v>9001</v>
      </c>
      <c r="D3630" s="33" t="s">
        <v>2087</v>
      </c>
      <c r="E3630" s="34" t="b">
        <v>1</v>
      </c>
      <c r="F3630" s="35" t="str">
        <f>HYPERLINK("http://nsgreg.nga.mil/genc/view?v=122061&amp;gencs=T&amp;end_month=12&amp;end_day=31&amp;end_year=2014","Dakar")</f>
        <v>Dakar</v>
      </c>
      <c r="G3630" s="36" t="str">
        <f>HYPERLINK("http://api.nsgreg.nga.mil/geo-division/GENC/6/ed3/SN-DK","as:GENC:6:ed3:SN-DK")</f>
        <v>as:GENC:6:ed3:SN-DK</v>
      </c>
    </row>
    <row r="3631" spans="1:7" x14ac:dyDescent="0.2">
      <c r="A3631" s="85"/>
      <c r="B3631" s="25" t="s">
        <v>9002</v>
      </c>
      <c r="C3631" s="25" t="s">
        <v>9003</v>
      </c>
      <c r="D3631" s="25" t="s">
        <v>2087</v>
      </c>
      <c r="E3631" s="26" t="b">
        <v>1</v>
      </c>
      <c r="F3631" s="27" t="str">
        <f>HYPERLINK("http://nsgreg.nga.mil/genc/view?v=122060&amp;gencs=T&amp;end_month=12&amp;end_day=31&amp;end_year=2014","Diourbel")</f>
        <v>Diourbel</v>
      </c>
      <c r="G3631" s="28" t="str">
        <f>HYPERLINK("http://api.nsgreg.nga.mil/geo-division/GENC/6/ed3/SN-DB","as:GENC:6:ed3:SN-DB")</f>
        <v>as:GENC:6:ed3:SN-DB</v>
      </c>
    </row>
    <row r="3632" spans="1:7" x14ac:dyDescent="0.2">
      <c r="A3632" s="85"/>
      <c r="B3632" s="25" t="s">
        <v>9004</v>
      </c>
      <c r="C3632" s="25" t="s">
        <v>9005</v>
      </c>
      <c r="D3632" s="25" t="s">
        <v>2087</v>
      </c>
      <c r="E3632" s="26" t="b">
        <v>1</v>
      </c>
      <c r="F3632" s="27" t="str">
        <f>HYPERLINK("http://nsgreg.nga.mil/genc/view?v=122062&amp;gencs=T&amp;end_month=12&amp;end_day=31&amp;end_year=2014","Fatick")</f>
        <v>Fatick</v>
      </c>
      <c r="G3632" s="28" t="str">
        <f>HYPERLINK("http://api.nsgreg.nga.mil/geo-division/GENC/6/ed3/SN-FK","as:GENC:6:ed3:SN-FK")</f>
        <v>as:GENC:6:ed3:SN-FK</v>
      </c>
    </row>
    <row r="3633" spans="1:7" x14ac:dyDescent="0.2">
      <c r="A3633" s="85"/>
      <c r="B3633" s="25" t="s">
        <v>9006</v>
      </c>
      <c r="C3633" s="25" t="s">
        <v>9007</v>
      </c>
      <c r="D3633" s="25" t="s">
        <v>2087</v>
      </c>
      <c r="E3633" s="26" t="b">
        <v>1</v>
      </c>
      <c r="F3633" s="27" t="str">
        <f>HYPERLINK("http://nsgreg.nga.mil/genc/view?v=122063&amp;gencs=T&amp;end_month=12&amp;end_day=31&amp;end_year=2014","Kaffrine")</f>
        <v>Kaffrine</v>
      </c>
      <c r="G3633" s="28" t="str">
        <f>HYPERLINK("http://api.nsgreg.nga.mil/geo-division/GENC/6/ed3/SN-KA","as:GENC:6:ed3:SN-KA")</f>
        <v>as:GENC:6:ed3:SN-KA</v>
      </c>
    </row>
    <row r="3634" spans="1:7" x14ac:dyDescent="0.2">
      <c r="A3634" s="85"/>
      <c r="B3634" s="25" t="s">
        <v>9008</v>
      </c>
      <c r="C3634" s="25" t="s">
        <v>9009</v>
      </c>
      <c r="D3634" s="25" t="s">
        <v>2087</v>
      </c>
      <c r="E3634" s="26" t="b">
        <v>1</v>
      </c>
      <c r="F3634" s="27" t="str">
        <f>HYPERLINK("http://nsgreg.nga.mil/genc/view?v=122066&amp;gencs=T&amp;end_month=12&amp;end_day=31&amp;end_year=2014","Kaolack")</f>
        <v>Kaolack</v>
      </c>
      <c r="G3634" s="28" t="str">
        <f>HYPERLINK("http://api.nsgreg.nga.mil/geo-division/GENC/6/ed3/SN-KL","as:GENC:6:ed3:SN-KL")</f>
        <v>as:GENC:6:ed3:SN-KL</v>
      </c>
    </row>
    <row r="3635" spans="1:7" x14ac:dyDescent="0.2">
      <c r="A3635" s="85"/>
      <c r="B3635" s="25" t="s">
        <v>9012</v>
      </c>
      <c r="C3635" s="25" t="s">
        <v>9013</v>
      </c>
      <c r="D3635" s="25" t="s">
        <v>2087</v>
      </c>
      <c r="E3635" s="26" t="b">
        <v>1</v>
      </c>
      <c r="F3635" s="27" t="str">
        <f>HYPERLINK("http://nsgreg.nga.mil/genc/view?v=122065&amp;gencs=T&amp;end_month=12&amp;end_day=31&amp;end_year=2014","Kédougou")</f>
        <v>Kédougou</v>
      </c>
      <c r="G3635" s="28" t="str">
        <f>HYPERLINK("http://api.nsgreg.nga.mil/geo-division/GENC/6/ed3/SN-KE","as:GENC:6:ed3:SN-KE")</f>
        <v>as:GENC:6:ed3:SN-KE</v>
      </c>
    </row>
    <row r="3636" spans="1:7" x14ac:dyDescent="0.2">
      <c r="A3636" s="85"/>
      <c r="B3636" s="25" t="s">
        <v>9010</v>
      </c>
      <c r="C3636" s="25" t="s">
        <v>9011</v>
      </c>
      <c r="D3636" s="25" t="s">
        <v>2087</v>
      </c>
      <c r="E3636" s="26" t="b">
        <v>1</v>
      </c>
      <c r="F3636" s="27" t="str">
        <f>HYPERLINK("http://nsgreg.nga.mil/genc/view?v=122064&amp;gencs=T&amp;end_month=12&amp;end_day=31&amp;end_year=2014","Kolda")</f>
        <v>Kolda</v>
      </c>
      <c r="G3636" s="28" t="str">
        <f>HYPERLINK("http://api.nsgreg.nga.mil/geo-division/GENC/6/ed3/SN-KD","as:GENC:6:ed3:SN-KD")</f>
        <v>as:GENC:6:ed3:SN-KD</v>
      </c>
    </row>
    <row r="3637" spans="1:7" x14ac:dyDescent="0.2">
      <c r="A3637" s="85"/>
      <c r="B3637" s="25" t="s">
        <v>9014</v>
      </c>
      <c r="C3637" s="25" t="s">
        <v>9015</v>
      </c>
      <c r="D3637" s="25" t="s">
        <v>2087</v>
      </c>
      <c r="E3637" s="26" t="b">
        <v>1</v>
      </c>
      <c r="F3637" s="27" t="str">
        <f>HYPERLINK("http://nsgreg.nga.mil/genc/view?v=122067&amp;gencs=T&amp;end_month=12&amp;end_day=31&amp;end_year=2014","Louga")</f>
        <v>Louga</v>
      </c>
      <c r="G3637" s="28" t="str">
        <f>HYPERLINK("http://api.nsgreg.nga.mil/geo-division/GENC/6/ed3/SN-LG","as:GENC:6:ed3:SN-LG")</f>
        <v>as:GENC:6:ed3:SN-LG</v>
      </c>
    </row>
    <row r="3638" spans="1:7" x14ac:dyDescent="0.2">
      <c r="A3638" s="85"/>
      <c r="B3638" s="25" t="s">
        <v>9016</v>
      </c>
      <c r="C3638" s="25" t="s">
        <v>9017</v>
      </c>
      <c r="D3638" s="25" t="s">
        <v>2087</v>
      </c>
      <c r="E3638" s="26" t="b">
        <v>1</v>
      </c>
      <c r="F3638" s="27" t="str">
        <f>HYPERLINK("http://nsgreg.nga.mil/genc/view?v=122068&amp;gencs=T&amp;end_month=12&amp;end_day=31&amp;end_year=2014","Matam")</f>
        <v>Matam</v>
      </c>
      <c r="G3638" s="28" t="str">
        <f>HYPERLINK("http://api.nsgreg.nga.mil/geo-division/GENC/6/ed3/SN-MT","as:GENC:6:ed3:SN-MT")</f>
        <v>as:GENC:6:ed3:SN-MT</v>
      </c>
    </row>
    <row r="3639" spans="1:7" x14ac:dyDescent="0.2">
      <c r="A3639" s="85"/>
      <c r="B3639" s="25" t="s">
        <v>9018</v>
      </c>
      <c r="C3639" s="25" t="s">
        <v>9019</v>
      </c>
      <c r="D3639" s="25" t="s">
        <v>2087</v>
      </c>
      <c r="E3639" s="26" t="b">
        <v>1</v>
      </c>
      <c r="F3639" s="27" t="str">
        <f>HYPERLINK("http://nsgreg.nga.mil/genc/view?v=122070&amp;gencs=T&amp;end_month=12&amp;end_day=31&amp;end_year=2014","Saint-Louis")</f>
        <v>Saint-Louis</v>
      </c>
      <c r="G3639" s="28" t="str">
        <f>HYPERLINK("http://api.nsgreg.nga.mil/geo-division/GENC/6/ed3/SN-SL","as:GENC:6:ed3:SN-SL")</f>
        <v>as:GENC:6:ed3:SN-SL</v>
      </c>
    </row>
    <row r="3640" spans="1:7" x14ac:dyDescent="0.2">
      <c r="A3640" s="85"/>
      <c r="B3640" s="25" t="s">
        <v>9020</v>
      </c>
      <c r="C3640" s="25" t="s">
        <v>9021</v>
      </c>
      <c r="D3640" s="25" t="s">
        <v>2087</v>
      </c>
      <c r="E3640" s="26" t="b">
        <v>1</v>
      </c>
      <c r="F3640" s="27" t="str">
        <f>HYPERLINK("http://nsgreg.nga.mil/genc/view?v=122069&amp;gencs=T&amp;end_month=12&amp;end_day=31&amp;end_year=2014","Sédhiou")</f>
        <v>Sédhiou</v>
      </c>
      <c r="G3640" s="28" t="str">
        <f>HYPERLINK("http://api.nsgreg.nga.mil/geo-division/GENC/6/ed3/SN-SE","as:GENC:6:ed3:SN-SE")</f>
        <v>as:GENC:6:ed3:SN-SE</v>
      </c>
    </row>
    <row r="3641" spans="1:7" x14ac:dyDescent="0.2">
      <c r="A3641" s="85"/>
      <c r="B3641" s="25" t="s">
        <v>9022</v>
      </c>
      <c r="C3641" s="25" t="s">
        <v>9023</v>
      </c>
      <c r="D3641" s="25" t="s">
        <v>2087</v>
      </c>
      <c r="E3641" s="26" t="b">
        <v>1</v>
      </c>
      <c r="F3641" s="27" t="str">
        <f>HYPERLINK("http://nsgreg.nga.mil/genc/view?v=122071&amp;gencs=T&amp;end_month=12&amp;end_day=31&amp;end_year=2014","Tambacounda")</f>
        <v>Tambacounda</v>
      </c>
      <c r="G3641" s="28" t="str">
        <f>HYPERLINK("http://api.nsgreg.nga.mil/geo-division/GENC/6/ed3/SN-TC","as:GENC:6:ed3:SN-TC")</f>
        <v>as:GENC:6:ed3:SN-TC</v>
      </c>
    </row>
    <row r="3642" spans="1:7" x14ac:dyDescent="0.2">
      <c r="A3642" s="85"/>
      <c r="B3642" s="25" t="s">
        <v>9024</v>
      </c>
      <c r="C3642" s="25" t="s">
        <v>9025</v>
      </c>
      <c r="D3642" s="25" t="s">
        <v>2087</v>
      </c>
      <c r="E3642" s="26" t="b">
        <v>1</v>
      </c>
      <c r="F3642" s="27" t="str">
        <f>HYPERLINK("http://nsgreg.nga.mil/genc/view?v=122072&amp;gencs=T&amp;end_month=12&amp;end_day=31&amp;end_year=2014","Thiès")</f>
        <v>Thiès</v>
      </c>
      <c r="G3642" s="28" t="str">
        <f>HYPERLINK("http://api.nsgreg.nga.mil/geo-division/GENC/6/ed3/SN-TH","as:GENC:6:ed3:SN-TH")</f>
        <v>as:GENC:6:ed3:SN-TH</v>
      </c>
    </row>
    <row r="3643" spans="1:7" x14ac:dyDescent="0.2">
      <c r="A3643" s="86"/>
      <c r="B3643" s="29" t="s">
        <v>9026</v>
      </c>
      <c r="C3643" s="29" t="s">
        <v>9027</v>
      </c>
      <c r="D3643" s="29" t="s">
        <v>2087</v>
      </c>
      <c r="E3643" s="30" t="b">
        <v>1</v>
      </c>
      <c r="F3643" s="31" t="str">
        <f>HYPERLINK("http://nsgreg.nga.mil/genc/view?v=122073&amp;gencs=T&amp;end_month=12&amp;end_day=31&amp;end_year=2014","Ziguinchor")</f>
        <v>Ziguinchor</v>
      </c>
      <c r="G3643" s="32" t="str">
        <f>HYPERLINK("http://api.nsgreg.nga.mil/geo-division/GENC/6/ed3/SN-ZG","as:GENC:6:ed3:SN-ZG")</f>
        <v>as:GENC:6:ed3:SN-ZG</v>
      </c>
    </row>
    <row r="3644" spans="1:7" x14ac:dyDescent="0.2">
      <c r="A3644" s="84" t="str">
        <f>HYPERLINK("[#]Codes_for_GE_Names!A226:I226","SERBIA")</f>
        <v>SERBIA</v>
      </c>
      <c r="B3644" s="33" t="s">
        <v>13322</v>
      </c>
      <c r="C3644" s="33" t="s">
        <v>13323</v>
      </c>
      <c r="D3644" s="33" t="s">
        <v>2164</v>
      </c>
      <c r="E3644" s="34" t="b">
        <v>1</v>
      </c>
      <c r="F3644" s="35" t="str">
        <f>HYPERLINK("http://nsgreg.nga.mil/genc/view?v=213227&amp;end_month=12&amp;end_day=31&amp;end_year=2014","Ada")</f>
        <v>Ada</v>
      </c>
      <c r="G3644" s="36" t="str">
        <f>HYPERLINK("http://api.nsgreg.nga.mil/geo-division/GENC/6/ed3/RS-30","as:GENC:6:ed3:RS-30")</f>
        <v>as:GENC:6:ed3:RS-30</v>
      </c>
    </row>
    <row r="3645" spans="1:7" x14ac:dyDescent="0.2">
      <c r="A3645" s="85"/>
      <c r="B3645" s="25" t="s">
        <v>13324</v>
      </c>
      <c r="C3645" s="25" t="s">
        <v>13325</v>
      </c>
      <c r="D3645" s="25" t="s">
        <v>2164</v>
      </c>
      <c r="E3645" s="26" t="b">
        <v>1</v>
      </c>
      <c r="F3645" s="27" t="str">
        <f>HYPERLINK("http://nsgreg.nga.mil/genc/view?v=213228&amp;end_month=12&amp;end_day=31&amp;end_year=2014","Aleksandrovac")</f>
        <v>Aleksandrovac</v>
      </c>
      <c r="G3645" s="28" t="str">
        <f>HYPERLINK("http://api.nsgreg.nga.mil/geo-division/GENC/6/ed3/RS-31","as:GENC:6:ed3:RS-31")</f>
        <v>as:GENC:6:ed3:RS-31</v>
      </c>
    </row>
    <row r="3646" spans="1:7" x14ac:dyDescent="0.2">
      <c r="A3646" s="85"/>
      <c r="B3646" s="25" t="s">
        <v>13326</v>
      </c>
      <c r="C3646" s="25" t="s">
        <v>13327</v>
      </c>
      <c r="D3646" s="25" t="s">
        <v>2164</v>
      </c>
      <c r="E3646" s="26" t="b">
        <v>1</v>
      </c>
      <c r="F3646" s="27" t="str">
        <f>HYPERLINK("http://nsgreg.nga.mil/genc/view?v=213229&amp;end_month=12&amp;end_day=31&amp;end_year=2014","Aleksinac")</f>
        <v>Aleksinac</v>
      </c>
      <c r="G3646" s="28" t="str">
        <f>HYPERLINK("http://api.nsgreg.nga.mil/geo-division/GENC/6/ed3/RS-32","as:GENC:6:ed3:RS-32")</f>
        <v>as:GENC:6:ed3:RS-32</v>
      </c>
    </row>
    <row r="3647" spans="1:7" x14ac:dyDescent="0.2">
      <c r="A3647" s="85"/>
      <c r="B3647" s="25" t="s">
        <v>13328</v>
      </c>
      <c r="C3647" s="25" t="s">
        <v>13329</v>
      </c>
      <c r="D3647" s="25" t="s">
        <v>2164</v>
      </c>
      <c r="E3647" s="26" t="b">
        <v>1</v>
      </c>
      <c r="F3647" s="27" t="str">
        <f>HYPERLINK("http://nsgreg.nga.mil/genc/view?v=213230&amp;end_month=12&amp;end_day=31&amp;end_year=2014","Alibunar")</f>
        <v>Alibunar</v>
      </c>
      <c r="G3647" s="28" t="str">
        <f>HYPERLINK("http://api.nsgreg.nga.mil/geo-division/GENC/6/ed3/RS-33","as:GENC:6:ed3:RS-33")</f>
        <v>as:GENC:6:ed3:RS-33</v>
      </c>
    </row>
    <row r="3648" spans="1:7" x14ac:dyDescent="0.2">
      <c r="A3648" s="85"/>
      <c r="B3648" s="25" t="s">
        <v>13330</v>
      </c>
      <c r="C3648" s="25" t="s">
        <v>13331</v>
      </c>
      <c r="D3648" s="25" t="s">
        <v>2164</v>
      </c>
      <c r="E3648" s="26" t="b">
        <v>1</v>
      </c>
      <c r="F3648" s="27" t="str">
        <f>HYPERLINK("http://nsgreg.nga.mil/genc/view?v=213231&amp;end_month=12&amp;end_day=31&amp;end_year=2014","Apatin")</f>
        <v>Apatin</v>
      </c>
      <c r="G3648" s="28" t="str">
        <f>HYPERLINK("http://api.nsgreg.nga.mil/geo-division/GENC/6/ed3/RS-34","as:GENC:6:ed3:RS-34")</f>
        <v>as:GENC:6:ed3:RS-34</v>
      </c>
    </row>
    <row r="3649" spans="1:7" x14ac:dyDescent="0.2">
      <c r="A3649" s="85"/>
      <c r="B3649" s="25" t="s">
        <v>13332</v>
      </c>
      <c r="C3649" s="25" t="s">
        <v>13333</v>
      </c>
      <c r="D3649" s="25" t="s">
        <v>2164</v>
      </c>
      <c r="E3649" s="26" t="b">
        <v>1</v>
      </c>
      <c r="F3649" s="27" t="str">
        <f>HYPERLINK("http://nsgreg.nga.mil/genc/view?v=213232&amp;end_month=12&amp;end_day=31&amp;end_year=2014","Aranđelovac")</f>
        <v>Aranđelovac</v>
      </c>
      <c r="G3649" s="28" t="str">
        <f>HYPERLINK("http://api.nsgreg.nga.mil/geo-division/GENC/6/ed3/RS-35","as:GENC:6:ed3:RS-35")</f>
        <v>as:GENC:6:ed3:RS-35</v>
      </c>
    </row>
    <row r="3650" spans="1:7" x14ac:dyDescent="0.2">
      <c r="A3650" s="85"/>
      <c r="B3650" s="25" t="s">
        <v>13334</v>
      </c>
      <c r="C3650" s="25" t="s">
        <v>13335</v>
      </c>
      <c r="D3650" s="25" t="s">
        <v>2164</v>
      </c>
      <c r="E3650" s="26" t="b">
        <v>1</v>
      </c>
      <c r="F3650" s="27" t="str">
        <f>HYPERLINK("http://nsgreg.nga.mil/genc/view?v=213233&amp;end_month=12&amp;end_day=31&amp;end_year=2014","Arilje")</f>
        <v>Arilje</v>
      </c>
      <c r="G3650" s="28" t="str">
        <f>HYPERLINK("http://api.nsgreg.nga.mil/geo-division/GENC/6/ed3/RS-36","as:GENC:6:ed3:RS-36")</f>
        <v>as:GENC:6:ed3:RS-36</v>
      </c>
    </row>
    <row r="3651" spans="1:7" x14ac:dyDescent="0.2">
      <c r="A3651" s="85"/>
      <c r="B3651" s="25" t="s">
        <v>13336</v>
      </c>
      <c r="C3651" s="25" t="s">
        <v>13337</v>
      </c>
      <c r="D3651" s="25" t="s">
        <v>2164</v>
      </c>
      <c r="E3651" s="26" t="b">
        <v>1</v>
      </c>
      <c r="F3651" s="27" t="str">
        <f>HYPERLINK("http://nsgreg.nga.mil/genc/view?v=213234&amp;end_month=12&amp;end_day=31&amp;end_year=2014","Babušnica")</f>
        <v>Babušnica</v>
      </c>
      <c r="G3651" s="28" t="str">
        <f>HYPERLINK("http://api.nsgreg.nga.mil/geo-division/GENC/6/ed3/RS-37","as:GENC:6:ed3:RS-37")</f>
        <v>as:GENC:6:ed3:RS-37</v>
      </c>
    </row>
    <row r="3652" spans="1:7" x14ac:dyDescent="0.2">
      <c r="A3652" s="85"/>
      <c r="B3652" s="25" t="s">
        <v>13338</v>
      </c>
      <c r="C3652" s="25" t="s">
        <v>13339</v>
      </c>
      <c r="D3652" s="25" t="s">
        <v>2164</v>
      </c>
      <c r="E3652" s="26" t="b">
        <v>1</v>
      </c>
      <c r="F3652" s="27" t="str">
        <f>HYPERLINK("http://nsgreg.nga.mil/genc/view?v=213235&amp;end_month=12&amp;end_day=31&amp;end_year=2014","Bač")</f>
        <v>Bač</v>
      </c>
      <c r="G3652" s="28" t="str">
        <f>HYPERLINK("http://api.nsgreg.nga.mil/geo-division/GENC/6/ed3/RS-38","as:GENC:6:ed3:RS-38")</f>
        <v>as:GENC:6:ed3:RS-38</v>
      </c>
    </row>
    <row r="3653" spans="1:7" x14ac:dyDescent="0.2">
      <c r="A3653" s="85"/>
      <c r="B3653" s="25" t="s">
        <v>13340</v>
      </c>
      <c r="C3653" s="25" t="s">
        <v>13341</v>
      </c>
      <c r="D3653" s="25" t="s">
        <v>2164</v>
      </c>
      <c r="E3653" s="26" t="b">
        <v>1</v>
      </c>
      <c r="F3653" s="27" t="str">
        <f>HYPERLINK("http://nsgreg.nga.mil/genc/view?v=213236&amp;end_month=12&amp;end_day=31&amp;end_year=2014","Bačka Palanka")</f>
        <v>Bačka Palanka</v>
      </c>
      <c r="G3653" s="28" t="str">
        <f>HYPERLINK("http://api.nsgreg.nga.mil/geo-division/GENC/6/ed3/RS-39","as:GENC:6:ed3:RS-39")</f>
        <v>as:GENC:6:ed3:RS-39</v>
      </c>
    </row>
    <row r="3654" spans="1:7" x14ac:dyDescent="0.2">
      <c r="A3654" s="85"/>
      <c r="B3654" s="25" t="s">
        <v>13342</v>
      </c>
      <c r="C3654" s="25" t="s">
        <v>13343</v>
      </c>
      <c r="D3654" s="25" t="s">
        <v>2164</v>
      </c>
      <c r="E3654" s="26" t="b">
        <v>1</v>
      </c>
      <c r="F3654" s="27" t="str">
        <f>HYPERLINK("http://nsgreg.nga.mil/genc/view?v=213237&amp;end_month=12&amp;end_day=31&amp;end_year=2014","Bačka Topola")</f>
        <v>Bačka Topola</v>
      </c>
      <c r="G3654" s="28" t="str">
        <f>HYPERLINK("http://api.nsgreg.nga.mil/geo-division/GENC/6/ed3/RS-40","as:GENC:6:ed3:RS-40")</f>
        <v>as:GENC:6:ed3:RS-40</v>
      </c>
    </row>
    <row r="3655" spans="1:7" x14ac:dyDescent="0.2">
      <c r="A3655" s="85"/>
      <c r="B3655" s="25" t="s">
        <v>13344</v>
      </c>
      <c r="C3655" s="25" t="s">
        <v>13345</v>
      </c>
      <c r="D3655" s="25" t="s">
        <v>2164</v>
      </c>
      <c r="E3655" s="26" t="b">
        <v>1</v>
      </c>
      <c r="F3655" s="27" t="str">
        <f>HYPERLINK("http://nsgreg.nga.mil/genc/view?v=213238&amp;end_month=12&amp;end_day=31&amp;end_year=2014","Bački Petrovac")</f>
        <v>Bački Petrovac</v>
      </c>
      <c r="G3655" s="28" t="str">
        <f>HYPERLINK("http://api.nsgreg.nga.mil/geo-division/GENC/6/ed3/RS-41","as:GENC:6:ed3:RS-41")</f>
        <v>as:GENC:6:ed3:RS-41</v>
      </c>
    </row>
    <row r="3656" spans="1:7" x14ac:dyDescent="0.2">
      <c r="A3656" s="85"/>
      <c r="B3656" s="25" t="s">
        <v>13346</v>
      </c>
      <c r="C3656" s="25" t="s">
        <v>13347</v>
      </c>
      <c r="D3656" s="25" t="s">
        <v>2164</v>
      </c>
      <c r="E3656" s="26" t="b">
        <v>1</v>
      </c>
      <c r="F3656" s="27" t="str">
        <f>HYPERLINK("http://nsgreg.nga.mil/genc/view?v=213239&amp;end_month=12&amp;end_day=31&amp;end_year=2014","Bajina Bašta")</f>
        <v>Bajina Bašta</v>
      </c>
      <c r="G3656" s="28" t="str">
        <f>HYPERLINK("http://api.nsgreg.nga.mil/geo-division/GENC/6/ed3/RS-42","as:GENC:6:ed3:RS-42")</f>
        <v>as:GENC:6:ed3:RS-42</v>
      </c>
    </row>
    <row r="3657" spans="1:7" x14ac:dyDescent="0.2">
      <c r="A3657" s="85"/>
      <c r="B3657" s="25" t="s">
        <v>13348</v>
      </c>
      <c r="C3657" s="25" t="s">
        <v>13349</v>
      </c>
      <c r="D3657" s="25" t="s">
        <v>2164</v>
      </c>
      <c r="E3657" s="26" t="b">
        <v>1</v>
      </c>
      <c r="F3657" s="27" t="str">
        <f>HYPERLINK("http://nsgreg.nga.mil/genc/view?v=213240&amp;end_month=12&amp;end_day=31&amp;end_year=2014","Batočina")</f>
        <v>Batočina</v>
      </c>
      <c r="G3657" s="28" t="str">
        <f>HYPERLINK("http://api.nsgreg.nga.mil/geo-division/GENC/6/ed3/RS-43","as:GENC:6:ed3:RS-43")</f>
        <v>as:GENC:6:ed3:RS-43</v>
      </c>
    </row>
    <row r="3658" spans="1:7" x14ac:dyDescent="0.2">
      <c r="A3658" s="85"/>
      <c r="B3658" s="25" t="s">
        <v>13350</v>
      </c>
      <c r="C3658" s="25" t="s">
        <v>13351</v>
      </c>
      <c r="D3658" s="25" t="s">
        <v>2164</v>
      </c>
      <c r="E3658" s="26" t="b">
        <v>1</v>
      </c>
      <c r="F3658" s="27" t="str">
        <f>HYPERLINK("http://nsgreg.nga.mil/genc/view?v=213241&amp;end_month=12&amp;end_day=31&amp;end_year=2014","Bečej")</f>
        <v>Bečej</v>
      </c>
      <c r="G3658" s="28" t="str">
        <f>HYPERLINK("http://api.nsgreg.nga.mil/geo-division/GENC/6/ed3/RS-44","as:GENC:6:ed3:RS-44")</f>
        <v>as:GENC:6:ed3:RS-44</v>
      </c>
    </row>
    <row r="3659" spans="1:7" x14ac:dyDescent="0.2">
      <c r="A3659" s="85"/>
      <c r="B3659" s="25" t="s">
        <v>13352</v>
      </c>
      <c r="C3659" s="25" t="s">
        <v>13353</v>
      </c>
      <c r="D3659" s="25" t="s">
        <v>2164</v>
      </c>
      <c r="E3659" s="26" t="b">
        <v>1</v>
      </c>
      <c r="F3659" s="27" t="str">
        <f>HYPERLINK("http://nsgreg.nga.mil/genc/view?v=213242&amp;end_month=12&amp;end_day=31&amp;end_year=2014","Bela Crkva")</f>
        <v>Bela Crkva</v>
      </c>
      <c r="G3659" s="28" t="str">
        <f>HYPERLINK("http://api.nsgreg.nga.mil/geo-division/GENC/6/ed3/RS-45","as:GENC:6:ed3:RS-45")</f>
        <v>as:GENC:6:ed3:RS-45</v>
      </c>
    </row>
    <row r="3660" spans="1:7" x14ac:dyDescent="0.2">
      <c r="A3660" s="85"/>
      <c r="B3660" s="25" t="s">
        <v>13354</v>
      </c>
      <c r="C3660" s="25" t="s">
        <v>13355</v>
      </c>
      <c r="D3660" s="25" t="s">
        <v>2164</v>
      </c>
      <c r="E3660" s="26" t="b">
        <v>1</v>
      </c>
      <c r="F3660" s="27" t="str">
        <f>HYPERLINK("http://nsgreg.nga.mil/genc/view?v=213243&amp;end_month=12&amp;end_day=31&amp;end_year=2014","Bela Palanka")</f>
        <v>Bela Palanka</v>
      </c>
      <c r="G3660" s="28" t="str">
        <f>HYPERLINK("http://api.nsgreg.nga.mil/geo-division/GENC/6/ed3/RS-46","as:GENC:6:ed3:RS-46")</f>
        <v>as:GENC:6:ed3:RS-46</v>
      </c>
    </row>
    <row r="3661" spans="1:7" x14ac:dyDescent="0.2">
      <c r="A3661" s="85"/>
      <c r="B3661" s="25" t="s">
        <v>13356</v>
      </c>
      <c r="C3661" s="25" t="s">
        <v>13357</v>
      </c>
      <c r="D3661" s="25" t="s">
        <v>2164</v>
      </c>
      <c r="E3661" s="26" t="b">
        <v>1</v>
      </c>
      <c r="F3661" s="27" t="str">
        <f>HYPERLINK("http://nsgreg.nga.mil/genc/view?v=213244&amp;end_month=12&amp;end_day=31&amp;end_year=2014","Beočin ")</f>
        <v xml:space="preserve">Beočin </v>
      </c>
      <c r="G3661" s="28" t="str">
        <f>HYPERLINK("http://api.nsgreg.nga.mil/geo-division/GENC/6/ed3/RS-47","as:GENC:6:ed3:RS-47")</f>
        <v>as:GENC:6:ed3:RS-47</v>
      </c>
    </row>
    <row r="3662" spans="1:7" x14ac:dyDescent="0.2">
      <c r="A3662" s="85"/>
      <c r="B3662" s="25" t="s">
        <v>9028</v>
      </c>
      <c r="C3662" s="25" t="s">
        <v>9029</v>
      </c>
      <c r="D3662" s="25" t="s">
        <v>2046</v>
      </c>
      <c r="E3662" s="26" t="b">
        <v>1</v>
      </c>
      <c r="F3662" s="27" t="str">
        <f>HYPERLINK("http://nsgreg.nga.mil/genc/view?v=121614&amp;gencs=T&amp;end_month=12&amp;end_day=31&amp;end_year=2014","Beograd")</f>
        <v>Beograd</v>
      </c>
      <c r="G3662" s="28" t="str">
        <f>HYPERLINK("http://api.nsgreg.nga.mil/geo-division/GENC/6/ed3/RS-00","as:GENC:6:ed3:RS-00")</f>
        <v>as:GENC:6:ed3:RS-00</v>
      </c>
    </row>
    <row r="3663" spans="1:7" x14ac:dyDescent="0.2">
      <c r="A3663" s="85"/>
      <c r="B3663" s="25" t="s">
        <v>13358</v>
      </c>
      <c r="C3663" s="25" t="s">
        <v>13359</v>
      </c>
      <c r="D3663" s="25" t="s">
        <v>2164</v>
      </c>
      <c r="E3663" s="26" t="b">
        <v>1</v>
      </c>
      <c r="F3663" s="27" t="str">
        <f>HYPERLINK("http://nsgreg.nga.mil/genc/view?v=213245&amp;end_month=12&amp;end_day=31&amp;end_year=2014","Blace")</f>
        <v>Blace</v>
      </c>
      <c r="G3663" s="28" t="str">
        <f>HYPERLINK("http://api.nsgreg.nga.mil/geo-division/GENC/6/ed3/RS-48","as:GENC:6:ed3:RS-48")</f>
        <v>as:GENC:6:ed3:RS-48</v>
      </c>
    </row>
    <row r="3664" spans="1:7" x14ac:dyDescent="0.2">
      <c r="A3664" s="85"/>
      <c r="B3664" s="25" t="s">
        <v>13360</v>
      </c>
      <c r="C3664" s="25" t="s">
        <v>13361</v>
      </c>
      <c r="D3664" s="25" t="s">
        <v>2164</v>
      </c>
      <c r="E3664" s="26" t="b">
        <v>1</v>
      </c>
      <c r="F3664" s="27" t="str">
        <f>HYPERLINK("http://nsgreg.nga.mil/genc/view?v=213246&amp;end_month=12&amp;end_day=31&amp;end_year=2014","Bogatić")</f>
        <v>Bogatić</v>
      </c>
      <c r="G3664" s="28" t="str">
        <f>HYPERLINK("http://api.nsgreg.nga.mil/geo-division/GENC/6/ed3/RS-49","as:GENC:6:ed3:RS-49")</f>
        <v>as:GENC:6:ed3:RS-49</v>
      </c>
    </row>
    <row r="3665" spans="1:7" x14ac:dyDescent="0.2">
      <c r="A3665" s="85"/>
      <c r="B3665" s="25" t="s">
        <v>13362</v>
      </c>
      <c r="C3665" s="25" t="s">
        <v>13363</v>
      </c>
      <c r="D3665" s="25" t="s">
        <v>2164</v>
      </c>
      <c r="E3665" s="26" t="b">
        <v>1</v>
      </c>
      <c r="F3665" s="27" t="str">
        <f>HYPERLINK("http://nsgreg.nga.mil/genc/view?v=213247&amp;end_month=12&amp;end_day=31&amp;end_year=2014","Bojnik")</f>
        <v>Bojnik</v>
      </c>
      <c r="G3665" s="28" t="str">
        <f>HYPERLINK("http://api.nsgreg.nga.mil/geo-division/GENC/6/ed3/RS-50","as:GENC:6:ed3:RS-50")</f>
        <v>as:GENC:6:ed3:RS-50</v>
      </c>
    </row>
    <row r="3666" spans="1:7" x14ac:dyDescent="0.2">
      <c r="A3666" s="85"/>
      <c r="B3666" s="25" t="s">
        <v>13364</v>
      </c>
      <c r="C3666" s="25" t="s">
        <v>13365</v>
      </c>
      <c r="D3666" s="25" t="s">
        <v>2164</v>
      </c>
      <c r="E3666" s="26" t="b">
        <v>1</v>
      </c>
      <c r="F3666" s="27" t="str">
        <f>HYPERLINK("http://nsgreg.nga.mil/genc/view?v=213248&amp;end_month=12&amp;end_day=31&amp;end_year=2014","Boljevac")</f>
        <v>Boljevac</v>
      </c>
      <c r="G3666" s="28" t="str">
        <f>HYPERLINK("http://api.nsgreg.nga.mil/geo-division/GENC/6/ed3/RS-51","as:GENC:6:ed3:RS-51")</f>
        <v>as:GENC:6:ed3:RS-51</v>
      </c>
    </row>
    <row r="3667" spans="1:7" x14ac:dyDescent="0.2">
      <c r="A3667" s="85"/>
      <c r="B3667" s="25" t="s">
        <v>13366</v>
      </c>
      <c r="C3667" s="25" t="s">
        <v>13367</v>
      </c>
      <c r="D3667" s="25" t="s">
        <v>2164</v>
      </c>
      <c r="E3667" s="26" t="b">
        <v>1</v>
      </c>
      <c r="F3667" s="27" t="str">
        <f>HYPERLINK("http://nsgreg.nga.mil/genc/view?v=213249&amp;end_month=12&amp;end_day=31&amp;end_year=2014","Bor")</f>
        <v>Bor</v>
      </c>
      <c r="G3667" s="28" t="str">
        <f>HYPERLINK("http://api.nsgreg.nga.mil/geo-division/GENC/6/ed3/RS-52","as:GENC:6:ed3:RS-52")</f>
        <v>as:GENC:6:ed3:RS-52</v>
      </c>
    </row>
    <row r="3668" spans="1:7" x14ac:dyDescent="0.2">
      <c r="A3668" s="85"/>
      <c r="B3668" s="25" t="s">
        <v>9030</v>
      </c>
      <c r="C3668" s="25" t="s">
        <v>13368</v>
      </c>
      <c r="D3668" s="37" t="s">
        <v>1790</v>
      </c>
      <c r="E3668" s="38" t="b">
        <v>0</v>
      </c>
      <c r="F3668" s="27" t="str">
        <f>HYPERLINK("http://nsgreg.nga.mil/genc/view?v=213177&amp;end_month=12&amp;end_day=31&amp;end_year=2014","Borski Okrug")</f>
        <v>Borski Okrug</v>
      </c>
      <c r="G3668" s="28" t="str">
        <f>HYPERLINK("http://api.nsgreg.nga.mil/geo-division/GENC/6/ed3/RS-14","as:GENC:6:ed3:RS-14")</f>
        <v>as:GENC:6:ed3:RS-14</v>
      </c>
    </row>
    <row r="3669" spans="1:7" x14ac:dyDescent="0.2">
      <c r="A3669" s="85"/>
      <c r="B3669" s="25" t="s">
        <v>13369</v>
      </c>
      <c r="C3669" s="25" t="s">
        <v>13370</v>
      </c>
      <c r="D3669" s="25" t="s">
        <v>2164</v>
      </c>
      <c r="E3669" s="26" t="b">
        <v>1</v>
      </c>
      <c r="F3669" s="27" t="str">
        <f>HYPERLINK("http://nsgreg.nga.mil/genc/view?v=213250&amp;end_month=12&amp;end_day=31&amp;end_year=2014","Bosilegrad")</f>
        <v>Bosilegrad</v>
      </c>
      <c r="G3669" s="28" t="str">
        <f>HYPERLINK("http://api.nsgreg.nga.mil/geo-division/GENC/6/ed3/RS-53","as:GENC:6:ed3:RS-53")</f>
        <v>as:GENC:6:ed3:RS-53</v>
      </c>
    </row>
    <row r="3670" spans="1:7" x14ac:dyDescent="0.2">
      <c r="A3670" s="85"/>
      <c r="B3670" s="25" t="s">
        <v>9032</v>
      </c>
      <c r="C3670" s="25" t="s">
        <v>13371</v>
      </c>
      <c r="D3670" s="37" t="s">
        <v>1790</v>
      </c>
      <c r="E3670" s="38" t="b">
        <v>0</v>
      </c>
      <c r="F3670" s="27" t="str">
        <f>HYPERLINK("http://nsgreg.nga.mil/genc/view?v=213144&amp;end_month=12&amp;end_day=31&amp;end_year=2014","Braničevski Okrug")</f>
        <v>Braničevski Okrug</v>
      </c>
      <c r="G3670" s="28" t="str">
        <f>HYPERLINK("http://api.nsgreg.nga.mil/geo-division/GENC/6/ed3/RS-11","as:GENC:6:ed3:RS-11")</f>
        <v>as:GENC:6:ed3:RS-11</v>
      </c>
    </row>
    <row r="3671" spans="1:7" x14ac:dyDescent="0.2">
      <c r="A3671" s="85"/>
      <c r="B3671" s="25" t="s">
        <v>13372</v>
      </c>
      <c r="C3671" s="25" t="s">
        <v>13373</v>
      </c>
      <c r="D3671" s="25" t="s">
        <v>2164</v>
      </c>
      <c r="E3671" s="26" t="b">
        <v>1</v>
      </c>
      <c r="F3671" s="27" t="str">
        <f>HYPERLINK("http://nsgreg.nga.mil/genc/view?v=213251&amp;end_month=12&amp;end_day=31&amp;end_year=2014","Brus")</f>
        <v>Brus</v>
      </c>
      <c r="G3671" s="28" t="str">
        <f>HYPERLINK("http://api.nsgreg.nga.mil/geo-division/GENC/6/ed3/RS-54","as:GENC:6:ed3:RS-54")</f>
        <v>as:GENC:6:ed3:RS-54</v>
      </c>
    </row>
    <row r="3672" spans="1:7" x14ac:dyDescent="0.2">
      <c r="A3672" s="85"/>
      <c r="B3672" s="25" t="s">
        <v>13374</v>
      </c>
      <c r="C3672" s="25" t="s">
        <v>13375</v>
      </c>
      <c r="D3672" s="25" t="s">
        <v>2164</v>
      </c>
      <c r="E3672" s="26" t="b">
        <v>1</v>
      </c>
      <c r="F3672" s="27" t="str">
        <f>HYPERLINK("http://nsgreg.nga.mil/genc/view?v=213252&amp;end_month=12&amp;end_day=31&amp;end_year=2014","Bujanovac")</f>
        <v>Bujanovac</v>
      </c>
      <c r="G3672" s="28" t="str">
        <f>HYPERLINK("http://api.nsgreg.nga.mil/geo-division/GENC/6/ed3/RS-55","as:GENC:6:ed3:RS-55")</f>
        <v>as:GENC:6:ed3:RS-55</v>
      </c>
    </row>
    <row r="3673" spans="1:7" x14ac:dyDescent="0.2">
      <c r="A3673" s="85"/>
      <c r="B3673" s="25" t="s">
        <v>13376</v>
      </c>
      <c r="C3673" s="25" t="s">
        <v>13377</v>
      </c>
      <c r="D3673" s="25" t="s">
        <v>2046</v>
      </c>
      <c r="E3673" s="26" t="b">
        <v>1</v>
      </c>
      <c r="F3673" s="27" t="str">
        <f>HYPERLINK("http://nsgreg.nga.mil/genc/view?v=213253&amp;end_month=12&amp;end_day=31&amp;end_year=2014","Čačak")</f>
        <v>Čačak</v>
      </c>
      <c r="G3673" s="28" t="str">
        <f>HYPERLINK("http://api.nsgreg.nga.mil/geo-division/GENC/6/ed3/RS-56","as:GENC:6:ed3:RS-56")</f>
        <v>as:GENC:6:ed3:RS-56</v>
      </c>
    </row>
    <row r="3674" spans="1:7" x14ac:dyDescent="0.2">
      <c r="A3674" s="85"/>
      <c r="B3674" s="25" t="s">
        <v>13378</v>
      </c>
      <c r="C3674" s="25" t="s">
        <v>13379</v>
      </c>
      <c r="D3674" s="25" t="s">
        <v>2164</v>
      </c>
      <c r="E3674" s="26" t="b">
        <v>1</v>
      </c>
      <c r="F3674" s="27" t="str">
        <f>HYPERLINK("http://nsgreg.nga.mil/genc/view?v=213254&amp;end_month=12&amp;end_day=31&amp;end_year=2014","Čajetina")</f>
        <v>Čajetina</v>
      </c>
      <c r="G3674" s="28" t="str">
        <f>HYPERLINK("http://api.nsgreg.nga.mil/geo-division/GENC/6/ed3/RS-57","as:GENC:6:ed3:RS-57")</f>
        <v>as:GENC:6:ed3:RS-57</v>
      </c>
    </row>
    <row r="3675" spans="1:7" x14ac:dyDescent="0.2">
      <c r="A3675" s="85"/>
      <c r="B3675" s="25" t="s">
        <v>13380</v>
      </c>
      <c r="C3675" s="25" t="s">
        <v>13381</v>
      </c>
      <c r="D3675" s="25" t="s">
        <v>2164</v>
      </c>
      <c r="E3675" s="26" t="b">
        <v>1</v>
      </c>
      <c r="F3675" s="27" t="str">
        <f>HYPERLINK("http://nsgreg.nga.mil/genc/view?v=213255&amp;end_month=12&amp;end_day=31&amp;end_year=2014","Ćićevac")</f>
        <v>Ćićevac</v>
      </c>
      <c r="G3675" s="28" t="str">
        <f>HYPERLINK("http://api.nsgreg.nga.mil/geo-division/GENC/6/ed3/RS-58","as:GENC:6:ed3:RS-58")</f>
        <v>as:GENC:6:ed3:RS-58</v>
      </c>
    </row>
    <row r="3676" spans="1:7" x14ac:dyDescent="0.2">
      <c r="A3676" s="85"/>
      <c r="B3676" s="25" t="s">
        <v>13382</v>
      </c>
      <c r="C3676" s="25" t="s">
        <v>13383</v>
      </c>
      <c r="D3676" s="25" t="s">
        <v>2164</v>
      </c>
      <c r="E3676" s="26" t="b">
        <v>1</v>
      </c>
      <c r="F3676" s="27" t="str">
        <f>HYPERLINK("http://nsgreg.nga.mil/genc/view?v=213256&amp;end_month=12&amp;end_day=31&amp;end_year=2014","Čoka")</f>
        <v>Čoka</v>
      </c>
      <c r="G3676" s="28" t="str">
        <f>HYPERLINK("http://api.nsgreg.nga.mil/geo-division/GENC/6/ed3/RS-59","as:GENC:6:ed3:RS-59")</f>
        <v>as:GENC:6:ed3:RS-59</v>
      </c>
    </row>
    <row r="3677" spans="1:7" x14ac:dyDescent="0.2">
      <c r="A3677" s="85"/>
      <c r="B3677" s="25" t="s">
        <v>13384</v>
      </c>
      <c r="C3677" s="25" t="s">
        <v>13385</v>
      </c>
      <c r="D3677" s="25" t="s">
        <v>2164</v>
      </c>
      <c r="E3677" s="26" t="b">
        <v>1</v>
      </c>
      <c r="F3677" s="27" t="str">
        <f>HYPERLINK("http://nsgreg.nga.mil/genc/view?v=213257&amp;end_month=12&amp;end_day=31&amp;end_year=2014","Crna Trava")</f>
        <v>Crna Trava</v>
      </c>
      <c r="G3677" s="28" t="str">
        <f>HYPERLINK("http://api.nsgreg.nga.mil/geo-division/GENC/6/ed3/RS-60","as:GENC:6:ed3:RS-60")</f>
        <v>as:GENC:6:ed3:RS-60</v>
      </c>
    </row>
    <row r="3678" spans="1:7" x14ac:dyDescent="0.2">
      <c r="A3678" s="85"/>
      <c r="B3678" s="25" t="s">
        <v>13386</v>
      </c>
      <c r="C3678" s="25" t="s">
        <v>13387</v>
      </c>
      <c r="D3678" s="25" t="s">
        <v>2164</v>
      </c>
      <c r="E3678" s="26" t="b">
        <v>1</v>
      </c>
      <c r="F3678" s="27" t="str">
        <f>HYPERLINK("http://nsgreg.nga.mil/genc/view?v=213258&amp;end_month=12&amp;end_day=31&amp;end_year=2014","Ćuprija")</f>
        <v>Ćuprija</v>
      </c>
      <c r="G3678" s="28" t="str">
        <f>HYPERLINK("http://api.nsgreg.nga.mil/geo-division/GENC/6/ed3/RS-61","as:GENC:6:ed3:RS-61")</f>
        <v>as:GENC:6:ed3:RS-61</v>
      </c>
    </row>
    <row r="3679" spans="1:7" x14ac:dyDescent="0.2">
      <c r="A3679" s="85"/>
      <c r="B3679" s="25" t="s">
        <v>13388</v>
      </c>
      <c r="C3679" s="25" t="s">
        <v>13389</v>
      </c>
      <c r="D3679" s="25" t="s">
        <v>2164</v>
      </c>
      <c r="E3679" s="26" t="b">
        <v>1</v>
      </c>
      <c r="F3679" s="27" t="str">
        <f>HYPERLINK("http://nsgreg.nga.mil/genc/view?v=213259&amp;end_month=12&amp;end_day=31&amp;end_year=2014","Despotovac")</f>
        <v>Despotovac</v>
      </c>
      <c r="G3679" s="28" t="str">
        <f>HYPERLINK("http://api.nsgreg.nga.mil/geo-division/GENC/6/ed3/RS-62","as:GENC:6:ed3:RS-62")</f>
        <v>as:GENC:6:ed3:RS-62</v>
      </c>
    </row>
    <row r="3680" spans="1:7" x14ac:dyDescent="0.2">
      <c r="A3680" s="85"/>
      <c r="B3680" s="25" t="s">
        <v>13390</v>
      </c>
      <c r="C3680" s="25" t="s">
        <v>13391</v>
      </c>
      <c r="D3680" s="25" t="s">
        <v>2164</v>
      </c>
      <c r="E3680" s="26" t="b">
        <v>1</v>
      </c>
      <c r="F3680" s="27" t="str">
        <f>HYPERLINK("http://nsgreg.nga.mil/genc/view?v=213260&amp;end_month=12&amp;end_day=31&amp;end_year=2014","Dimitrovgrad")</f>
        <v>Dimitrovgrad</v>
      </c>
      <c r="G3680" s="28" t="str">
        <f>HYPERLINK("http://api.nsgreg.nga.mil/geo-division/GENC/6/ed3/RS-63","as:GENC:6:ed3:RS-63")</f>
        <v>as:GENC:6:ed3:RS-63</v>
      </c>
    </row>
    <row r="3681" spans="1:7" x14ac:dyDescent="0.2">
      <c r="A3681" s="85"/>
      <c r="B3681" s="25" t="s">
        <v>13392</v>
      </c>
      <c r="C3681" s="25" t="s">
        <v>13393</v>
      </c>
      <c r="D3681" s="25" t="s">
        <v>2164</v>
      </c>
      <c r="E3681" s="26" t="b">
        <v>1</v>
      </c>
      <c r="F3681" s="27" t="str">
        <f>HYPERLINK("http://nsgreg.nga.mil/genc/view?v=213261&amp;end_month=12&amp;end_day=31&amp;end_year=2014","Doljevac")</f>
        <v>Doljevac</v>
      </c>
      <c r="G3681" s="28" t="str">
        <f>HYPERLINK("http://api.nsgreg.nga.mil/geo-division/GENC/6/ed3/RS-64","as:GENC:6:ed3:RS-64")</f>
        <v>as:GENC:6:ed3:RS-64</v>
      </c>
    </row>
    <row r="3682" spans="1:7" x14ac:dyDescent="0.2">
      <c r="A3682" s="85"/>
      <c r="B3682" s="25" t="s">
        <v>13394</v>
      </c>
      <c r="C3682" s="25" t="s">
        <v>13395</v>
      </c>
      <c r="D3682" s="25" t="s">
        <v>2164</v>
      </c>
      <c r="E3682" s="26" t="b">
        <v>1</v>
      </c>
      <c r="F3682" s="27" t="str">
        <f>HYPERLINK("http://nsgreg.nga.mil/genc/view?v=213262&amp;end_month=12&amp;end_day=31&amp;end_year=2014","Gadžin Han")</f>
        <v>Gadžin Han</v>
      </c>
      <c r="G3682" s="28" t="str">
        <f>HYPERLINK("http://api.nsgreg.nga.mil/geo-division/GENC/6/ed3/RS-65","as:GENC:6:ed3:RS-65")</f>
        <v>as:GENC:6:ed3:RS-65</v>
      </c>
    </row>
    <row r="3683" spans="1:7" x14ac:dyDescent="0.2">
      <c r="A3683" s="85"/>
      <c r="B3683" s="25" t="s">
        <v>13396</v>
      </c>
      <c r="C3683" s="25" t="s">
        <v>13397</v>
      </c>
      <c r="D3683" s="25" t="s">
        <v>2164</v>
      </c>
      <c r="E3683" s="26" t="b">
        <v>1</v>
      </c>
      <c r="F3683" s="27" t="str">
        <f>HYPERLINK("http://nsgreg.nga.mil/genc/view?v=213263&amp;end_month=12&amp;end_day=31&amp;end_year=2014","Golubac")</f>
        <v>Golubac</v>
      </c>
      <c r="G3683" s="28" t="str">
        <f>HYPERLINK("http://api.nsgreg.nga.mil/geo-division/GENC/6/ed3/RS-66","as:GENC:6:ed3:RS-66")</f>
        <v>as:GENC:6:ed3:RS-66</v>
      </c>
    </row>
    <row r="3684" spans="1:7" x14ac:dyDescent="0.2">
      <c r="A3684" s="85"/>
      <c r="B3684" s="25" t="s">
        <v>13398</v>
      </c>
      <c r="C3684" s="25" t="s">
        <v>13399</v>
      </c>
      <c r="D3684" s="25" t="s">
        <v>2164</v>
      </c>
      <c r="E3684" s="26" t="b">
        <v>1</v>
      </c>
      <c r="F3684" s="27" t="str">
        <f>HYPERLINK("http://nsgreg.nga.mil/genc/view?v=213264&amp;end_month=12&amp;end_day=31&amp;end_year=2014","Gornji Milanovac")</f>
        <v>Gornji Milanovac</v>
      </c>
      <c r="G3684" s="28" t="str">
        <f>HYPERLINK("http://api.nsgreg.nga.mil/geo-division/GENC/6/ed3/RS-67","as:GENC:6:ed3:RS-67")</f>
        <v>as:GENC:6:ed3:RS-67</v>
      </c>
    </row>
    <row r="3685" spans="1:7" x14ac:dyDescent="0.2">
      <c r="A3685" s="85"/>
      <c r="B3685" s="25" t="s">
        <v>13400</v>
      </c>
      <c r="C3685" s="25" t="s">
        <v>13401</v>
      </c>
      <c r="D3685" s="25" t="s">
        <v>2164</v>
      </c>
      <c r="E3685" s="26" t="b">
        <v>1</v>
      </c>
      <c r="F3685" s="27" t="str">
        <f>HYPERLINK("http://nsgreg.nga.mil/genc/view?v=213265&amp;end_month=12&amp;end_day=31&amp;end_year=2014","Inđija")</f>
        <v>Inđija</v>
      </c>
      <c r="G3685" s="28" t="str">
        <f>HYPERLINK("http://api.nsgreg.nga.mil/geo-division/GENC/6/ed3/RS-68","as:GENC:6:ed3:RS-68")</f>
        <v>as:GENC:6:ed3:RS-68</v>
      </c>
    </row>
    <row r="3686" spans="1:7" x14ac:dyDescent="0.2">
      <c r="A3686" s="85"/>
      <c r="B3686" s="25" t="s">
        <v>13402</v>
      </c>
      <c r="C3686" s="25" t="s">
        <v>13403</v>
      </c>
      <c r="D3686" s="25" t="s">
        <v>2164</v>
      </c>
      <c r="E3686" s="26" t="b">
        <v>1</v>
      </c>
      <c r="F3686" s="27" t="str">
        <f>HYPERLINK("http://nsgreg.nga.mil/genc/view?v=213266&amp;end_month=12&amp;end_day=31&amp;end_year=2014","Irig")</f>
        <v>Irig</v>
      </c>
      <c r="G3686" s="28" t="str">
        <f>HYPERLINK("http://api.nsgreg.nga.mil/geo-division/GENC/6/ed3/RS-69","as:GENC:6:ed3:RS-69")</f>
        <v>as:GENC:6:ed3:RS-69</v>
      </c>
    </row>
    <row r="3687" spans="1:7" x14ac:dyDescent="0.2">
      <c r="A3687" s="85"/>
      <c r="B3687" s="25" t="s">
        <v>13404</v>
      </c>
      <c r="C3687" s="25" t="s">
        <v>13405</v>
      </c>
      <c r="D3687" s="25" t="s">
        <v>2164</v>
      </c>
      <c r="E3687" s="26" t="b">
        <v>1</v>
      </c>
      <c r="F3687" s="27" t="str">
        <f>HYPERLINK("http://nsgreg.nga.mil/genc/view?v=213267&amp;end_month=12&amp;end_day=31&amp;end_year=2014","Ivanjica")</f>
        <v>Ivanjica</v>
      </c>
      <c r="G3687" s="28" t="str">
        <f>HYPERLINK("http://api.nsgreg.nga.mil/geo-division/GENC/6/ed3/RS-70","as:GENC:6:ed3:RS-70")</f>
        <v>as:GENC:6:ed3:RS-70</v>
      </c>
    </row>
    <row r="3688" spans="1:7" x14ac:dyDescent="0.2">
      <c r="A3688" s="85"/>
      <c r="B3688" s="25" t="s">
        <v>9034</v>
      </c>
      <c r="C3688" s="25" t="s">
        <v>13406</v>
      </c>
      <c r="D3688" s="37" t="s">
        <v>1790</v>
      </c>
      <c r="E3688" s="38" t="b">
        <v>0</v>
      </c>
      <c r="F3688" s="27" t="str">
        <f>HYPERLINK("http://nsgreg.nga.mil/genc/view?v=213220&amp;end_month=12&amp;end_day=31&amp;end_year=2014","Jablanički Okrug")</f>
        <v>Jablanički Okrug</v>
      </c>
      <c r="G3688" s="28" t="str">
        <f>HYPERLINK("http://api.nsgreg.nga.mil/geo-division/GENC/6/ed3/RS-23","as:GENC:6:ed3:RS-23")</f>
        <v>as:GENC:6:ed3:RS-23</v>
      </c>
    </row>
    <row r="3689" spans="1:7" x14ac:dyDescent="0.2">
      <c r="A3689" s="85"/>
      <c r="B3689" s="25" t="s">
        <v>13407</v>
      </c>
      <c r="C3689" s="25" t="s">
        <v>13408</v>
      </c>
      <c r="D3689" s="25" t="s">
        <v>2046</v>
      </c>
      <c r="E3689" s="26" t="b">
        <v>1</v>
      </c>
      <c r="F3689" s="27" t="str">
        <f>HYPERLINK("http://nsgreg.nga.mil/genc/view?v=213268&amp;end_month=12&amp;end_day=31&amp;end_year=2014","Jagodina")</f>
        <v>Jagodina</v>
      </c>
      <c r="G3689" s="28" t="str">
        <f>HYPERLINK("http://api.nsgreg.nga.mil/geo-division/GENC/6/ed3/RS-71","as:GENC:6:ed3:RS-71")</f>
        <v>as:GENC:6:ed3:RS-71</v>
      </c>
    </row>
    <row r="3690" spans="1:7" x14ac:dyDescent="0.2">
      <c r="A3690" s="85"/>
      <c r="B3690" s="25" t="s">
        <v>9038</v>
      </c>
      <c r="C3690" s="25" t="s">
        <v>13409</v>
      </c>
      <c r="D3690" s="37" t="s">
        <v>1790</v>
      </c>
      <c r="E3690" s="38" t="b">
        <v>0</v>
      </c>
      <c r="F3690" s="27" t="str">
        <f>HYPERLINK("http://nsgreg.nga.mil/genc/view?v=213129&amp;end_month=12&amp;end_day=31&amp;end_year=2014","Južno Bački Okrug")</f>
        <v>Južno Bački Okrug</v>
      </c>
      <c r="G3690" s="28" t="str">
        <f>HYPERLINK("http://api.nsgreg.nga.mil/geo-division/GENC/6/ed3/RS-06","as:GENC:6:ed3:RS-06")</f>
        <v>as:GENC:6:ed3:RS-06</v>
      </c>
    </row>
    <row r="3691" spans="1:7" x14ac:dyDescent="0.2">
      <c r="A3691" s="85"/>
      <c r="B3691" s="25" t="s">
        <v>9036</v>
      </c>
      <c r="C3691" s="25" t="s">
        <v>13410</v>
      </c>
      <c r="D3691" s="37" t="s">
        <v>1790</v>
      </c>
      <c r="E3691" s="38" t="b">
        <v>0</v>
      </c>
      <c r="F3691" s="27" t="str">
        <f>HYPERLINK("http://nsgreg.nga.mil/genc/view?v=213127&amp;end_month=12&amp;end_day=31&amp;end_year=2014","Južno Banatski Okrug")</f>
        <v>Južno Banatski Okrug</v>
      </c>
      <c r="G3691" s="28" t="str">
        <f>HYPERLINK("http://api.nsgreg.nga.mil/geo-division/GENC/6/ed3/RS-04","as:GENC:6:ed3:RS-04")</f>
        <v>as:GENC:6:ed3:RS-04</v>
      </c>
    </row>
    <row r="3692" spans="1:7" x14ac:dyDescent="0.2">
      <c r="A3692" s="85"/>
      <c r="B3692" s="25" t="s">
        <v>13411</v>
      </c>
      <c r="C3692" s="25" t="s">
        <v>13412</v>
      </c>
      <c r="D3692" s="25" t="s">
        <v>2164</v>
      </c>
      <c r="E3692" s="26" t="b">
        <v>1</v>
      </c>
      <c r="F3692" s="27" t="str">
        <f>HYPERLINK("http://nsgreg.nga.mil/genc/view?v=213269&amp;end_month=12&amp;end_day=31&amp;end_year=2014","Kanjiža")</f>
        <v>Kanjiža</v>
      </c>
      <c r="G3692" s="28" t="str">
        <f>HYPERLINK("http://api.nsgreg.nga.mil/geo-division/GENC/6/ed3/RS-72","as:GENC:6:ed3:RS-72")</f>
        <v>as:GENC:6:ed3:RS-72</v>
      </c>
    </row>
    <row r="3693" spans="1:7" x14ac:dyDescent="0.2">
      <c r="A3693" s="85"/>
      <c r="B3693" s="25" t="s">
        <v>13413</v>
      </c>
      <c r="C3693" s="25" t="s">
        <v>13414</v>
      </c>
      <c r="D3693" s="25" t="s">
        <v>2164</v>
      </c>
      <c r="E3693" s="26" t="b">
        <v>1</v>
      </c>
      <c r="F3693" s="27" t="str">
        <f>HYPERLINK("http://nsgreg.nga.mil/genc/view?v=213270&amp;end_month=12&amp;end_day=31&amp;end_year=2014","Kikinda")</f>
        <v>Kikinda</v>
      </c>
      <c r="G3693" s="28" t="str">
        <f>HYPERLINK("http://api.nsgreg.nga.mil/geo-division/GENC/6/ed3/RS-73","as:GENC:6:ed3:RS-73")</f>
        <v>as:GENC:6:ed3:RS-73</v>
      </c>
    </row>
    <row r="3694" spans="1:7" x14ac:dyDescent="0.2">
      <c r="A3694" s="85"/>
      <c r="B3694" s="25" t="s">
        <v>13415</v>
      </c>
      <c r="C3694" s="25" t="s">
        <v>13416</v>
      </c>
      <c r="D3694" s="25" t="s">
        <v>2164</v>
      </c>
      <c r="E3694" s="26" t="b">
        <v>1</v>
      </c>
      <c r="F3694" s="27" t="str">
        <f>HYPERLINK("http://nsgreg.nga.mil/genc/view?v=213271&amp;end_month=12&amp;end_day=31&amp;end_year=2014","Kladovo")</f>
        <v>Kladovo</v>
      </c>
      <c r="G3694" s="28" t="str">
        <f>HYPERLINK("http://api.nsgreg.nga.mil/geo-division/GENC/6/ed3/RS-74","as:GENC:6:ed3:RS-74")</f>
        <v>as:GENC:6:ed3:RS-74</v>
      </c>
    </row>
    <row r="3695" spans="1:7" x14ac:dyDescent="0.2">
      <c r="A3695" s="85"/>
      <c r="B3695" s="25" t="s">
        <v>13417</v>
      </c>
      <c r="C3695" s="25" t="s">
        <v>13418</v>
      </c>
      <c r="D3695" s="25" t="s">
        <v>2164</v>
      </c>
      <c r="E3695" s="26" t="b">
        <v>1</v>
      </c>
      <c r="F3695" s="27" t="str">
        <f>HYPERLINK("http://nsgreg.nga.mil/genc/view?v=213272&amp;end_month=12&amp;end_day=31&amp;end_year=2014","Knić")</f>
        <v>Knić</v>
      </c>
      <c r="G3695" s="28" t="str">
        <f>HYPERLINK("http://api.nsgreg.nga.mil/geo-division/GENC/6/ed3/RS-75","as:GENC:6:ed3:RS-75")</f>
        <v>as:GENC:6:ed3:RS-75</v>
      </c>
    </row>
    <row r="3696" spans="1:7" x14ac:dyDescent="0.2">
      <c r="A3696" s="85"/>
      <c r="B3696" s="25" t="s">
        <v>13419</v>
      </c>
      <c r="C3696" s="25" t="s">
        <v>13420</v>
      </c>
      <c r="D3696" s="25" t="s">
        <v>2164</v>
      </c>
      <c r="E3696" s="26" t="b">
        <v>1</v>
      </c>
      <c r="F3696" s="27" t="str">
        <f>HYPERLINK("http://nsgreg.nga.mil/genc/view?v=213273&amp;end_month=12&amp;end_day=31&amp;end_year=2014","Knjaževac")</f>
        <v>Knjaževac</v>
      </c>
      <c r="G3696" s="28" t="str">
        <f>HYPERLINK("http://api.nsgreg.nga.mil/geo-division/GENC/6/ed3/RS-76","as:GENC:6:ed3:RS-76")</f>
        <v>as:GENC:6:ed3:RS-76</v>
      </c>
    </row>
    <row r="3697" spans="1:7" x14ac:dyDescent="0.2">
      <c r="A3697" s="85"/>
      <c r="B3697" s="25" t="s">
        <v>13421</v>
      </c>
      <c r="C3697" s="25" t="s">
        <v>13422</v>
      </c>
      <c r="D3697" s="25" t="s">
        <v>2164</v>
      </c>
      <c r="E3697" s="26" t="b">
        <v>1</v>
      </c>
      <c r="F3697" s="27" t="str">
        <f>HYPERLINK("http://nsgreg.nga.mil/genc/view?v=213274&amp;end_month=12&amp;end_day=31&amp;end_year=2014","Koceljeva")</f>
        <v>Koceljeva</v>
      </c>
      <c r="G3697" s="28" t="str">
        <f>HYPERLINK("http://api.nsgreg.nga.mil/geo-division/GENC/6/ed3/RS-77","as:GENC:6:ed3:RS-77")</f>
        <v>as:GENC:6:ed3:RS-77</v>
      </c>
    </row>
    <row r="3698" spans="1:7" x14ac:dyDescent="0.2">
      <c r="A3698" s="85"/>
      <c r="B3698" s="25" t="s">
        <v>9040</v>
      </c>
      <c r="C3698" s="25" t="s">
        <v>13423</v>
      </c>
      <c r="D3698" s="37" t="s">
        <v>1790</v>
      </c>
      <c r="E3698" s="38" t="b">
        <v>0</v>
      </c>
      <c r="F3698" s="27" t="str">
        <f>HYPERLINK("http://nsgreg.nga.mil/genc/view?v=213132&amp;end_month=12&amp;end_day=31&amp;end_year=2014","Kolubarski Okrug")</f>
        <v>Kolubarski Okrug</v>
      </c>
      <c r="G3698" s="28" t="str">
        <f>HYPERLINK("http://api.nsgreg.nga.mil/geo-division/GENC/6/ed3/RS-09","as:GENC:6:ed3:RS-09")</f>
        <v>as:GENC:6:ed3:RS-09</v>
      </c>
    </row>
    <row r="3699" spans="1:7" x14ac:dyDescent="0.2">
      <c r="A3699" s="85"/>
      <c r="B3699" s="25" t="s">
        <v>13424</v>
      </c>
      <c r="C3699" s="25" t="s">
        <v>13425</v>
      </c>
      <c r="D3699" s="25" t="s">
        <v>2164</v>
      </c>
      <c r="E3699" s="26" t="b">
        <v>1</v>
      </c>
      <c r="F3699" s="27" t="str">
        <f>HYPERLINK("http://nsgreg.nga.mil/genc/view?v=213275&amp;end_month=12&amp;end_day=31&amp;end_year=2014","Kosjerić")</f>
        <v>Kosjerić</v>
      </c>
      <c r="G3699" s="28" t="str">
        <f>HYPERLINK("http://api.nsgreg.nga.mil/geo-division/GENC/6/ed3/RS-78","as:GENC:6:ed3:RS-78")</f>
        <v>as:GENC:6:ed3:RS-78</v>
      </c>
    </row>
    <row r="3700" spans="1:7" x14ac:dyDescent="0.2">
      <c r="A3700" s="85"/>
      <c r="B3700" s="25" t="s">
        <v>13426</v>
      </c>
      <c r="C3700" s="25" t="s">
        <v>13427</v>
      </c>
      <c r="D3700" s="25" t="s">
        <v>2164</v>
      </c>
      <c r="E3700" s="26" t="b">
        <v>1</v>
      </c>
      <c r="F3700" s="27" t="str">
        <f>HYPERLINK("http://nsgreg.nga.mil/genc/view?v=213276&amp;end_month=12&amp;end_day=31&amp;end_year=2014","Kovačica")</f>
        <v>Kovačica</v>
      </c>
      <c r="G3700" s="28" t="str">
        <f>HYPERLINK("http://api.nsgreg.nga.mil/geo-division/GENC/6/ed3/RS-79","as:GENC:6:ed3:RS-79")</f>
        <v>as:GENC:6:ed3:RS-79</v>
      </c>
    </row>
    <row r="3701" spans="1:7" x14ac:dyDescent="0.2">
      <c r="A3701" s="85"/>
      <c r="B3701" s="25" t="s">
        <v>13428</v>
      </c>
      <c r="C3701" s="25" t="s">
        <v>13429</v>
      </c>
      <c r="D3701" s="25" t="s">
        <v>2164</v>
      </c>
      <c r="E3701" s="26" t="b">
        <v>1</v>
      </c>
      <c r="F3701" s="27" t="str">
        <f>HYPERLINK("http://nsgreg.nga.mil/genc/view?v=213277&amp;end_month=12&amp;end_day=31&amp;end_year=2014","Kovin")</f>
        <v>Kovin</v>
      </c>
      <c r="G3701" s="28" t="str">
        <f>HYPERLINK("http://api.nsgreg.nga.mil/geo-division/GENC/6/ed3/RS-80","as:GENC:6:ed3:RS-80")</f>
        <v>as:GENC:6:ed3:RS-80</v>
      </c>
    </row>
    <row r="3702" spans="1:7" x14ac:dyDescent="0.2">
      <c r="A3702" s="85"/>
      <c r="B3702" s="25" t="s">
        <v>13430</v>
      </c>
      <c r="C3702" s="25" t="s">
        <v>13431</v>
      </c>
      <c r="D3702" s="25" t="s">
        <v>2046</v>
      </c>
      <c r="E3702" s="26" t="b">
        <v>1</v>
      </c>
      <c r="F3702" s="27" t="str">
        <f>HYPERLINK("http://nsgreg.nga.mil/genc/view?v=213278&amp;end_month=12&amp;end_day=31&amp;end_year=2014","Kragujevac")</f>
        <v>Kragujevac</v>
      </c>
      <c r="G3702" s="28" t="str">
        <f>HYPERLINK("http://api.nsgreg.nga.mil/geo-division/GENC/6/ed3/RS-81","as:GENC:6:ed3:RS-81")</f>
        <v>as:GENC:6:ed3:RS-81</v>
      </c>
    </row>
    <row r="3703" spans="1:7" x14ac:dyDescent="0.2">
      <c r="A3703" s="85"/>
      <c r="B3703" s="25" t="s">
        <v>13432</v>
      </c>
      <c r="C3703" s="25" t="s">
        <v>13433</v>
      </c>
      <c r="D3703" s="25" t="s">
        <v>2046</v>
      </c>
      <c r="E3703" s="26" t="b">
        <v>1</v>
      </c>
      <c r="F3703" s="27" t="str">
        <f>HYPERLINK("http://nsgreg.nga.mil/genc/view?v=213279&amp;end_month=12&amp;end_day=31&amp;end_year=2014","Kraljevo")</f>
        <v>Kraljevo</v>
      </c>
      <c r="G3703" s="28" t="str">
        <f>HYPERLINK("http://api.nsgreg.nga.mil/geo-division/GENC/6/ed3/RS-82","as:GENC:6:ed3:RS-82")</f>
        <v>as:GENC:6:ed3:RS-82</v>
      </c>
    </row>
    <row r="3704" spans="1:7" x14ac:dyDescent="0.2">
      <c r="A3704" s="85"/>
      <c r="B3704" s="25" t="s">
        <v>13434</v>
      </c>
      <c r="C3704" s="25" t="s">
        <v>13435</v>
      </c>
      <c r="D3704" s="25" t="s">
        <v>2164</v>
      </c>
      <c r="E3704" s="26" t="b">
        <v>1</v>
      </c>
      <c r="F3704" s="27" t="str">
        <f>HYPERLINK("http://nsgreg.nga.mil/genc/view?v=213280&amp;end_month=12&amp;end_day=31&amp;end_year=2014","Krupanj")</f>
        <v>Krupanj</v>
      </c>
      <c r="G3704" s="28" t="str">
        <f>HYPERLINK("http://api.nsgreg.nga.mil/geo-division/GENC/6/ed3/RS-83","as:GENC:6:ed3:RS-83")</f>
        <v>as:GENC:6:ed3:RS-83</v>
      </c>
    </row>
    <row r="3705" spans="1:7" x14ac:dyDescent="0.2">
      <c r="A3705" s="85"/>
      <c r="B3705" s="25" t="s">
        <v>13436</v>
      </c>
      <c r="C3705" s="25" t="s">
        <v>13437</v>
      </c>
      <c r="D3705" s="25" t="s">
        <v>2046</v>
      </c>
      <c r="E3705" s="26" t="b">
        <v>1</v>
      </c>
      <c r="F3705" s="27" t="str">
        <f>HYPERLINK("http://nsgreg.nga.mil/genc/view?v=213281&amp;end_month=12&amp;end_day=31&amp;end_year=2014","Kruševac")</f>
        <v>Kruševac</v>
      </c>
      <c r="G3705" s="28" t="str">
        <f>HYPERLINK("http://api.nsgreg.nga.mil/geo-division/GENC/6/ed3/RS-84","as:GENC:6:ed3:RS-84")</f>
        <v>as:GENC:6:ed3:RS-84</v>
      </c>
    </row>
    <row r="3706" spans="1:7" x14ac:dyDescent="0.2">
      <c r="A3706" s="85"/>
      <c r="B3706" s="25" t="s">
        <v>13438</v>
      </c>
      <c r="C3706" s="25" t="s">
        <v>13439</v>
      </c>
      <c r="D3706" s="25" t="s">
        <v>2164</v>
      </c>
      <c r="E3706" s="26" t="b">
        <v>1</v>
      </c>
      <c r="F3706" s="27" t="str">
        <f>HYPERLINK("http://nsgreg.nga.mil/genc/view?v=213282&amp;end_month=12&amp;end_day=31&amp;end_year=2014","Kučevo")</f>
        <v>Kučevo</v>
      </c>
      <c r="G3706" s="28" t="str">
        <f>HYPERLINK("http://api.nsgreg.nga.mil/geo-division/GENC/6/ed3/RS-85","as:GENC:6:ed3:RS-85")</f>
        <v>as:GENC:6:ed3:RS-85</v>
      </c>
    </row>
    <row r="3707" spans="1:7" x14ac:dyDescent="0.2">
      <c r="A3707" s="85"/>
      <c r="B3707" s="25" t="s">
        <v>13440</v>
      </c>
      <c r="C3707" s="25" t="s">
        <v>13441</v>
      </c>
      <c r="D3707" s="25" t="s">
        <v>2164</v>
      </c>
      <c r="E3707" s="26" t="b">
        <v>1</v>
      </c>
      <c r="F3707" s="27" t="str">
        <f>HYPERLINK("http://nsgreg.nga.mil/genc/view?v=213283&amp;end_month=12&amp;end_day=31&amp;end_year=2014","Kula")</f>
        <v>Kula</v>
      </c>
      <c r="G3707" s="28" t="str">
        <f>HYPERLINK("http://api.nsgreg.nga.mil/geo-division/GENC/6/ed3/RS-86","as:GENC:6:ed3:RS-86")</f>
        <v>as:GENC:6:ed3:RS-86</v>
      </c>
    </row>
    <row r="3708" spans="1:7" x14ac:dyDescent="0.2">
      <c r="A3708" s="85"/>
      <c r="B3708" s="25" t="s">
        <v>13442</v>
      </c>
      <c r="C3708" s="25" t="s">
        <v>13443</v>
      </c>
      <c r="D3708" s="25" t="s">
        <v>2164</v>
      </c>
      <c r="E3708" s="26" t="b">
        <v>1</v>
      </c>
      <c r="F3708" s="27" t="str">
        <f>HYPERLINK("http://nsgreg.nga.mil/genc/view?v=213284&amp;end_month=12&amp;end_day=31&amp;end_year=2014","Kuršumlija")</f>
        <v>Kuršumlija</v>
      </c>
      <c r="G3708" s="28" t="str">
        <f>HYPERLINK("http://api.nsgreg.nga.mil/geo-division/GENC/6/ed3/RS-87","as:GENC:6:ed3:RS-87")</f>
        <v>as:GENC:6:ed3:RS-87</v>
      </c>
    </row>
    <row r="3709" spans="1:7" x14ac:dyDescent="0.2">
      <c r="A3709" s="85"/>
      <c r="B3709" s="25" t="s">
        <v>13444</v>
      </c>
      <c r="C3709" s="25" t="s">
        <v>13445</v>
      </c>
      <c r="D3709" s="25" t="s">
        <v>2164</v>
      </c>
      <c r="E3709" s="26" t="b">
        <v>1</v>
      </c>
      <c r="F3709" s="27" t="str">
        <f>HYPERLINK("http://nsgreg.nga.mil/genc/view?v=213285&amp;end_month=12&amp;end_day=31&amp;end_year=2014","Lajkovac")</f>
        <v>Lajkovac</v>
      </c>
      <c r="G3709" s="28" t="str">
        <f>HYPERLINK("http://api.nsgreg.nga.mil/geo-division/GENC/6/ed3/RS-88","as:GENC:6:ed3:RS-88")</f>
        <v>as:GENC:6:ed3:RS-88</v>
      </c>
    </row>
    <row r="3710" spans="1:7" x14ac:dyDescent="0.2">
      <c r="A3710" s="85"/>
      <c r="B3710" s="25" t="s">
        <v>13446</v>
      </c>
      <c r="C3710" s="25" t="s">
        <v>13447</v>
      </c>
      <c r="D3710" s="25" t="s">
        <v>2164</v>
      </c>
      <c r="E3710" s="26" t="b">
        <v>1</v>
      </c>
      <c r="F3710" s="27" t="str">
        <f>HYPERLINK("http://nsgreg.nga.mil/genc/view?v=213286&amp;end_month=12&amp;end_day=31&amp;end_year=2014","Lapovo")</f>
        <v>Lapovo</v>
      </c>
      <c r="G3710" s="28" t="str">
        <f>HYPERLINK("http://api.nsgreg.nga.mil/geo-division/GENC/6/ed3/RS-89","as:GENC:6:ed3:RS-89")</f>
        <v>as:GENC:6:ed3:RS-89</v>
      </c>
    </row>
    <row r="3711" spans="1:7" x14ac:dyDescent="0.2">
      <c r="A3711" s="85"/>
      <c r="B3711" s="25" t="s">
        <v>13448</v>
      </c>
      <c r="C3711" s="25" t="s">
        <v>13449</v>
      </c>
      <c r="D3711" s="25" t="s">
        <v>2164</v>
      </c>
      <c r="E3711" s="26" t="b">
        <v>1</v>
      </c>
      <c r="F3711" s="27" t="str">
        <f>HYPERLINK("http://nsgreg.nga.mil/genc/view?v=213287&amp;end_month=12&amp;end_day=31&amp;end_year=2014","Lebane")</f>
        <v>Lebane</v>
      </c>
      <c r="G3711" s="28" t="str">
        <f>HYPERLINK("http://api.nsgreg.nga.mil/geo-division/GENC/6/ed3/RS-90","as:GENC:6:ed3:RS-90")</f>
        <v>as:GENC:6:ed3:RS-90</v>
      </c>
    </row>
    <row r="3712" spans="1:7" x14ac:dyDescent="0.2">
      <c r="A3712" s="85"/>
      <c r="B3712" s="25" t="s">
        <v>13450</v>
      </c>
      <c r="C3712" s="25" t="s">
        <v>13451</v>
      </c>
      <c r="D3712" s="25" t="s">
        <v>2046</v>
      </c>
      <c r="E3712" s="26" t="b">
        <v>1</v>
      </c>
      <c r="F3712" s="27" t="str">
        <f>HYPERLINK("http://nsgreg.nga.mil/genc/view?v=213288&amp;end_month=12&amp;end_day=31&amp;end_year=2014","Leskovac")</f>
        <v>Leskovac</v>
      </c>
      <c r="G3712" s="28" t="str">
        <f>HYPERLINK("http://api.nsgreg.nga.mil/geo-division/GENC/6/ed3/RS-91","as:GENC:6:ed3:RS-91")</f>
        <v>as:GENC:6:ed3:RS-91</v>
      </c>
    </row>
    <row r="3713" spans="1:7" x14ac:dyDescent="0.2">
      <c r="A3713" s="85"/>
      <c r="B3713" s="25" t="s">
        <v>13452</v>
      </c>
      <c r="C3713" s="25" t="s">
        <v>13453</v>
      </c>
      <c r="D3713" s="25" t="s">
        <v>2164</v>
      </c>
      <c r="E3713" s="26" t="b">
        <v>1</v>
      </c>
      <c r="F3713" s="27" t="str">
        <f>HYPERLINK("http://nsgreg.nga.mil/genc/view?v=213289&amp;end_month=12&amp;end_day=31&amp;end_year=2014","Ljig")</f>
        <v>Ljig</v>
      </c>
      <c r="G3713" s="28" t="str">
        <f>HYPERLINK("http://api.nsgreg.nga.mil/geo-division/GENC/6/ed3/RS-92","as:GENC:6:ed3:RS-92")</f>
        <v>as:GENC:6:ed3:RS-92</v>
      </c>
    </row>
    <row r="3714" spans="1:7" x14ac:dyDescent="0.2">
      <c r="A3714" s="85"/>
      <c r="B3714" s="25" t="s">
        <v>13454</v>
      </c>
      <c r="C3714" s="25" t="s">
        <v>13455</v>
      </c>
      <c r="D3714" s="25" t="s">
        <v>2164</v>
      </c>
      <c r="E3714" s="26" t="b">
        <v>1</v>
      </c>
      <c r="F3714" s="27" t="str">
        <f>HYPERLINK("http://nsgreg.nga.mil/genc/view?v=213290&amp;end_month=12&amp;end_day=31&amp;end_year=2014","Ljubovija")</f>
        <v>Ljubovija</v>
      </c>
      <c r="G3714" s="28" t="str">
        <f>HYPERLINK("http://api.nsgreg.nga.mil/geo-division/GENC/6/ed3/RS-93","as:GENC:6:ed3:RS-93")</f>
        <v>as:GENC:6:ed3:RS-93</v>
      </c>
    </row>
    <row r="3715" spans="1:7" x14ac:dyDescent="0.2">
      <c r="A3715" s="85"/>
      <c r="B3715" s="25" t="s">
        <v>13456</v>
      </c>
      <c r="C3715" s="25" t="s">
        <v>13457</v>
      </c>
      <c r="D3715" s="25" t="s">
        <v>2046</v>
      </c>
      <c r="E3715" s="26" t="b">
        <v>1</v>
      </c>
      <c r="F3715" s="27" t="str">
        <f>HYPERLINK("http://nsgreg.nga.mil/genc/view?v=213291&amp;end_month=12&amp;end_day=31&amp;end_year=2014","Loznica")</f>
        <v>Loznica</v>
      </c>
      <c r="G3715" s="28" t="str">
        <f>HYPERLINK("http://api.nsgreg.nga.mil/geo-division/GENC/6/ed3/RS-94","as:GENC:6:ed3:RS-94")</f>
        <v>as:GENC:6:ed3:RS-94</v>
      </c>
    </row>
    <row r="3716" spans="1:7" x14ac:dyDescent="0.2">
      <c r="A3716" s="85"/>
      <c r="B3716" s="25" t="s">
        <v>13458</v>
      </c>
      <c r="C3716" s="25" t="s">
        <v>13459</v>
      </c>
      <c r="D3716" s="25" t="s">
        <v>2164</v>
      </c>
      <c r="E3716" s="26" t="b">
        <v>1</v>
      </c>
      <c r="F3716" s="27" t="str">
        <f>HYPERLINK("http://nsgreg.nga.mil/genc/view?v=213292&amp;end_month=12&amp;end_day=31&amp;end_year=2014","Lučani")</f>
        <v>Lučani</v>
      </c>
      <c r="G3716" s="28" t="str">
        <f>HYPERLINK("http://api.nsgreg.nga.mil/geo-division/GENC/6/ed3/RS-95","as:GENC:6:ed3:RS-95")</f>
        <v>as:GENC:6:ed3:RS-95</v>
      </c>
    </row>
    <row r="3717" spans="1:7" x14ac:dyDescent="0.2">
      <c r="A3717" s="85"/>
      <c r="B3717" s="25" t="s">
        <v>9050</v>
      </c>
      <c r="C3717" s="25" t="s">
        <v>13460</v>
      </c>
      <c r="D3717" s="37" t="s">
        <v>1790</v>
      </c>
      <c r="E3717" s="38" t="b">
        <v>0</v>
      </c>
      <c r="F3717" s="27" t="str">
        <f>HYPERLINK("http://nsgreg.nga.mil/genc/view?v=213131&amp;end_month=12&amp;end_day=31&amp;end_year=2014","Mačvanski Okrug")</f>
        <v>Mačvanski Okrug</v>
      </c>
      <c r="G3717" s="28" t="str">
        <f>HYPERLINK("http://api.nsgreg.nga.mil/geo-division/GENC/6/ed3/RS-08","as:GENC:6:ed3:RS-08")</f>
        <v>as:GENC:6:ed3:RS-08</v>
      </c>
    </row>
    <row r="3718" spans="1:7" x14ac:dyDescent="0.2">
      <c r="A3718" s="85"/>
      <c r="B3718" s="25" t="s">
        <v>13461</v>
      </c>
      <c r="C3718" s="25" t="s">
        <v>13462</v>
      </c>
      <c r="D3718" s="25" t="s">
        <v>2164</v>
      </c>
      <c r="E3718" s="26" t="b">
        <v>1</v>
      </c>
      <c r="F3718" s="27" t="str">
        <f>HYPERLINK("http://nsgreg.nga.mil/genc/view?v=213293&amp;end_month=12&amp;end_day=31&amp;end_year=2014","Majdanpek")</f>
        <v>Majdanpek</v>
      </c>
      <c r="G3718" s="28" t="str">
        <f>HYPERLINK("http://api.nsgreg.nga.mil/geo-division/GENC/6/ed3/RS-96","as:GENC:6:ed3:RS-96")</f>
        <v>as:GENC:6:ed3:RS-96</v>
      </c>
    </row>
    <row r="3719" spans="1:7" x14ac:dyDescent="0.2">
      <c r="A3719" s="85"/>
      <c r="B3719" s="25" t="s">
        <v>13463</v>
      </c>
      <c r="C3719" s="25" t="s">
        <v>13464</v>
      </c>
      <c r="D3719" s="25" t="s">
        <v>2164</v>
      </c>
      <c r="E3719" s="26" t="b">
        <v>1</v>
      </c>
      <c r="F3719" s="27" t="str">
        <f>HYPERLINK("http://nsgreg.nga.mil/genc/view?v=213294&amp;end_month=12&amp;end_day=31&amp;end_year=2014","Mali Iđoš")</f>
        <v>Mali Iđoš</v>
      </c>
      <c r="G3719" s="28" t="str">
        <f>HYPERLINK("http://api.nsgreg.nga.mil/geo-division/GENC/6/ed3/RS-97","as:GENC:6:ed3:RS-97")</f>
        <v>as:GENC:6:ed3:RS-97</v>
      </c>
    </row>
    <row r="3720" spans="1:7" x14ac:dyDescent="0.2">
      <c r="A3720" s="85"/>
      <c r="B3720" s="25" t="s">
        <v>13465</v>
      </c>
      <c r="C3720" s="25" t="s">
        <v>13466</v>
      </c>
      <c r="D3720" s="25" t="s">
        <v>2164</v>
      </c>
      <c r="E3720" s="26" t="b">
        <v>1</v>
      </c>
      <c r="F3720" s="27" t="str">
        <f>HYPERLINK("http://nsgreg.nga.mil/genc/view?v=213295&amp;end_month=12&amp;end_day=31&amp;end_year=2014","Mali Zvornik")</f>
        <v>Mali Zvornik</v>
      </c>
      <c r="G3720" s="28" t="str">
        <f>HYPERLINK("http://api.nsgreg.nga.mil/geo-division/GENC/6/ed3/RS-98","as:GENC:6:ed3:RS-98")</f>
        <v>as:GENC:6:ed3:RS-98</v>
      </c>
    </row>
    <row r="3721" spans="1:7" x14ac:dyDescent="0.2">
      <c r="A3721" s="85"/>
      <c r="B3721" s="25" t="s">
        <v>13467</v>
      </c>
      <c r="C3721" s="25" t="s">
        <v>13468</v>
      </c>
      <c r="D3721" s="25" t="s">
        <v>2164</v>
      </c>
      <c r="E3721" s="26" t="b">
        <v>1</v>
      </c>
      <c r="F3721" s="27" t="str">
        <f>HYPERLINK("http://nsgreg.nga.mil/genc/view?v=213296&amp;end_month=12&amp;end_day=31&amp;end_year=2014","Malo Crniće")</f>
        <v>Malo Crniće</v>
      </c>
      <c r="G3721" s="28" t="str">
        <f>HYPERLINK("http://api.nsgreg.nga.mil/geo-division/GENC/6/ed3/RS-99","as:GENC:6:ed3:RS-99")</f>
        <v>as:GENC:6:ed3:RS-99</v>
      </c>
    </row>
    <row r="3722" spans="1:7" x14ac:dyDescent="0.2">
      <c r="A3722" s="85"/>
      <c r="B3722" s="25" t="s">
        <v>13469</v>
      </c>
      <c r="C3722" s="25" t="s">
        <v>13470</v>
      </c>
      <c r="D3722" s="25" t="s">
        <v>2164</v>
      </c>
      <c r="E3722" s="26" t="b">
        <v>1</v>
      </c>
      <c r="F3722" s="27" t="str">
        <f>HYPERLINK("http://nsgreg.nga.mil/genc/view?v=213134&amp;end_month=12&amp;end_day=31&amp;end_year=2014","Medveđa")</f>
        <v>Medveđa</v>
      </c>
      <c r="G3722" s="28" t="str">
        <f>HYPERLINK("http://api.nsgreg.nga.mil/geo-division/GENC/6/ed3/RS-100","as:GENC:6:ed3:RS-100")</f>
        <v>as:GENC:6:ed3:RS-100</v>
      </c>
    </row>
    <row r="3723" spans="1:7" x14ac:dyDescent="0.2">
      <c r="A3723" s="85"/>
      <c r="B3723" s="25" t="s">
        <v>13471</v>
      </c>
      <c r="C3723" s="25" t="s">
        <v>13472</v>
      </c>
      <c r="D3723" s="25" t="s">
        <v>2164</v>
      </c>
      <c r="E3723" s="26" t="b">
        <v>1</v>
      </c>
      <c r="F3723" s="27" t="str">
        <f>HYPERLINK("http://nsgreg.nga.mil/genc/view?v=213135&amp;end_month=12&amp;end_day=31&amp;end_year=2014","Merošina")</f>
        <v>Merošina</v>
      </c>
      <c r="G3723" s="28" t="str">
        <f>HYPERLINK("http://api.nsgreg.nga.mil/geo-division/GENC/6/ed3/RS-101","as:GENC:6:ed3:RS-101")</f>
        <v>as:GENC:6:ed3:RS-101</v>
      </c>
    </row>
    <row r="3724" spans="1:7" x14ac:dyDescent="0.2">
      <c r="A3724" s="85"/>
      <c r="B3724" s="25" t="s">
        <v>13473</v>
      </c>
      <c r="C3724" s="25" t="s">
        <v>13474</v>
      </c>
      <c r="D3724" s="25" t="s">
        <v>2164</v>
      </c>
      <c r="E3724" s="26" t="b">
        <v>1</v>
      </c>
      <c r="F3724" s="27" t="str">
        <f>HYPERLINK("http://nsgreg.nga.mil/genc/view?v=213136&amp;end_month=12&amp;end_day=31&amp;end_year=2014","Mionica")</f>
        <v>Mionica</v>
      </c>
      <c r="G3724" s="28" t="str">
        <f>HYPERLINK("http://api.nsgreg.nga.mil/geo-division/GENC/6/ed3/RS-102","as:GENC:6:ed3:RS-102")</f>
        <v>as:GENC:6:ed3:RS-102</v>
      </c>
    </row>
    <row r="3725" spans="1:7" x14ac:dyDescent="0.2">
      <c r="A3725" s="85"/>
      <c r="B3725" s="25" t="s">
        <v>9052</v>
      </c>
      <c r="C3725" s="25" t="s">
        <v>13475</v>
      </c>
      <c r="D3725" s="37" t="s">
        <v>1790</v>
      </c>
      <c r="E3725" s="38" t="b">
        <v>0</v>
      </c>
      <c r="F3725" s="27" t="str">
        <f>HYPERLINK("http://nsgreg.nga.mil/genc/view?v=213210&amp;end_month=12&amp;end_day=31&amp;end_year=2014","Moravički Okrug")</f>
        <v>Moravički Okrug</v>
      </c>
      <c r="G3725" s="28" t="str">
        <f>HYPERLINK("http://api.nsgreg.nga.mil/geo-division/GENC/6/ed3/RS-17","as:GENC:6:ed3:RS-17")</f>
        <v>as:GENC:6:ed3:RS-17</v>
      </c>
    </row>
    <row r="3726" spans="1:7" x14ac:dyDescent="0.2">
      <c r="A3726" s="85"/>
      <c r="B3726" s="25" t="s">
        <v>13476</v>
      </c>
      <c r="C3726" s="25" t="s">
        <v>13477</v>
      </c>
      <c r="D3726" s="25" t="s">
        <v>2164</v>
      </c>
      <c r="E3726" s="26" t="b">
        <v>1</v>
      </c>
      <c r="F3726" s="27" t="str">
        <f>HYPERLINK("http://nsgreg.nga.mil/genc/view?v=213137&amp;end_month=12&amp;end_day=31&amp;end_year=2014","Negotin")</f>
        <v>Negotin</v>
      </c>
      <c r="G3726" s="28" t="str">
        <f>HYPERLINK("http://api.nsgreg.nga.mil/geo-division/GENC/6/ed3/RS-103","as:GENC:6:ed3:RS-103")</f>
        <v>as:GENC:6:ed3:RS-103</v>
      </c>
    </row>
    <row r="3727" spans="1:7" x14ac:dyDescent="0.2">
      <c r="A3727" s="85"/>
      <c r="B3727" s="25" t="s">
        <v>13478</v>
      </c>
      <c r="C3727" s="25" t="s">
        <v>13479</v>
      </c>
      <c r="D3727" s="25" t="s">
        <v>2046</v>
      </c>
      <c r="E3727" s="26" t="b">
        <v>1</v>
      </c>
      <c r="F3727" s="27" t="str">
        <f>HYPERLINK("http://nsgreg.nga.mil/genc/view?v=213138&amp;end_month=12&amp;end_day=31&amp;end_year=2014","Niš")</f>
        <v>Niš</v>
      </c>
      <c r="G3727" s="28" t="str">
        <f>HYPERLINK("http://api.nsgreg.nga.mil/geo-division/GENC/6/ed3/RS-104","as:GENC:6:ed3:RS-104")</f>
        <v>as:GENC:6:ed3:RS-104</v>
      </c>
    </row>
    <row r="3728" spans="1:7" x14ac:dyDescent="0.2">
      <c r="A3728" s="85"/>
      <c r="B3728" s="25" t="s">
        <v>9054</v>
      </c>
      <c r="C3728" s="25" t="s">
        <v>13480</v>
      </c>
      <c r="D3728" s="37" t="s">
        <v>1790</v>
      </c>
      <c r="E3728" s="38" t="b">
        <v>0</v>
      </c>
      <c r="F3728" s="27" t="str">
        <f>HYPERLINK("http://nsgreg.nga.mil/genc/view?v=213217&amp;end_month=12&amp;end_day=31&amp;end_year=2014","Nišavski Okrug")</f>
        <v>Nišavski Okrug</v>
      </c>
      <c r="G3728" s="28" t="str">
        <f>HYPERLINK("http://api.nsgreg.nga.mil/geo-division/GENC/6/ed3/RS-20","as:GENC:6:ed3:RS-20")</f>
        <v>as:GENC:6:ed3:RS-20</v>
      </c>
    </row>
    <row r="3729" spans="1:7" x14ac:dyDescent="0.2">
      <c r="A3729" s="85"/>
      <c r="B3729" s="25" t="s">
        <v>13481</v>
      </c>
      <c r="C3729" s="25" t="s">
        <v>13482</v>
      </c>
      <c r="D3729" s="25" t="s">
        <v>2164</v>
      </c>
      <c r="E3729" s="26" t="b">
        <v>1</v>
      </c>
      <c r="F3729" s="27" t="str">
        <f>HYPERLINK("http://nsgreg.nga.mil/genc/view?v=213139&amp;end_month=12&amp;end_day=31&amp;end_year=2014","Nova Crnja")</f>
        <v>Nova Crnja</v>
      </c>
      <c r="G3729" s="28" t="str">
        <f>HYPERLINK("http://api.nsgreg.nga.mil/geo-division/GENC/6/ed3/RS-105","as:GENC:6:ed3:RS-105")</f>
        <v>as:GENC:6:ed3:RS-105</v>
      </c>
    </row>
    <row r="3730" spans="1:7" x14ac:dyDescent="0.2">
      <c r="A3730" s="85"/>
      <c r="B3730" s="25" t="s">
        <v>13483</v>
      </c>
      <c r="C3730" s="25" t="s">
        <v>13484</v>
      </c>
      <c r="D3730" s="25" t="s">
        <v>2164</v>
      </c>
      <c r="E3730" s="26" t="b">
        <v>1</v>
      </c>
      <c r="F3730" s="27" t="str">
        <f>HYPERLINK("http://nsgreg.nga.mil/genc/view?v=213140&amp;end_month=12&amp;end_day=31&amp;end_year=2014","Nova Varoš")</f>
        <v>Nova Varoš</v>
      </c>
      <c r="G3730" s="28" t="str">
        <f>HYPERLINK("http://api.nsgreg.nga.mil/geo-division/GENC/6/ed3/RS-106","as:GENC:6:ed3:RS-106")</f>
        <v>as:GENC:6:ed3:RS-106</v>
      </c>
    </row>
    <row r="3731" spans="1:7" x14ac:dyDescent="0.2">
      <c r="A3731" s="85"/>
      <c r="B3731" s="25" t="s">
        <v>13485</v>
      </c>
      <c r="C3731" s="25" t="s">
        <v>13486</v>
      </c>
      <c r="D3731" s="25" t="s">
        <v>2164</v>
      </c>
      <c r="E3731" s="26" t="b">
        <v>1</v>
      </c>
      <c r="F3731" s="27" t="str">
        <f>HYPERLINK("http://nsgreg.nga.mil/genc/view?v=213141&amp;end_month=12&amp;end_day=31&amp;end_year=2014","Novi Bečej")</f>
        <v>Novi Bečej</v>
      </c>
      <c r="G3731" s="28" t="str">
        <f>HYPERLINK("http://api.nsgreg.nga.mil/geo-division/GENC/6/ed3/RS-107","as:GENC:6:ed3:RS-107")</f>
        <v>as:GENC:6:ed3:RS-107</v>
      </c>
    </row>
    <row r="3732" spans="1:7" x14ac:dyDescent="0.2">
      <c r="A3732" s="85"/>
      <c r="B3732" s="25" t="s">
        <v>13487</v>
      </c>
      <c r="C3732" s="25" t="s">
        <v>13488</v>
      </c>
      <c r="D3732" s="25" t="s">
        <v>2164</v>
      </c>
      <c r="E3732" s="26" t="b">
        <v>1</v>
      </c>
      <c r="F3732" s="27" t="str">
        <f>HYPERLINK("http://nsgreg.nga.mil/genc/view?v=213142&amp;end_month=12&amp;end_day=31&amp;end_year=2014","Novi Kneževac")</f>
        <v>Novi Kneževac</v>
      </c>
      <c r="G3732" s="28" t="str">
        <f>HYPERLINK("http://api.nsgreg.nga.mil/geo-division/GENC/6/ed3/RS-108","as:GENC:6:ed3:RS-108")</f>
        <v>as:GENC:6:ed3:RS-108</v>
      </c>
    </row>
    <row r="3733" spans="1:7" x14ac:dyDescent="0.2">
      <c r="A3733" s="85"/>
      <c r="B3733" s="25" t="s">
        <v>13489</v>
      </c>
      <c r="C3733" s="25" t="s">
        <v>13490</v>
      </c>
      <c r="D3733" s="25" t="s">
        <v>2046</v>
      </c>
      <c r="E3733" s="26" t="b">
        <v>1</v>
      </c>
      <c r="F3733" s="27" t="str">
        <f>HYPERLINK("http://nsgreg.nga.mil/genc/view?v=213143&amp;end_month=12&amp;end_day=31&amp;end_year=2014","Novi Pazar")</f>
        <v>Novi Pazar</v>
      </c>
      <c r="G3733" s="28" t="str">
        <f>HYPERLINK("http://api.nsgreg.nga.mil/geo-division/GENC/6/ed3/RS-109","as:GENC:6:ed3:RS-109")</f>
        <v>as:GENC:6:ed3:RS-109</v>
      </c>
    </row>
    <row r="3734" spans="1:7" x14ac:dyDescent="0.2">
      <c r="A3734" s="85"/>
      <c r="B3734" s="25" t="s">
        <v>13491</v>
      </c>
      <c r="C3734" s="25" t="s">
        <v>13492</v>
      </c>
      <c r="D3734" s="25" t="s">
        <v>2046</v>
      </c>
      <c r="E3734" s="26" t="b">
        <v>1</v>
      </c>
      <c r="F3734" s="27" t="str">
        <f>HYPERLINK("http://nsgreg.nga.mil/genc/view?v=213145&amp;end_month=12&amp;end_day=31&amp;end_year=2014","Novi Sad")</f>
        <v>Novi Sad</v>
      </c>
      <c r="G3734" s="28" t="str">
        <f>HYPERLINK("http://api.nsgreg.nga.mil/geo-division/GENC/6/ed3/RS-110","as:GENC:6:ed3:RS-110")</f>
        <v>as:GENC:6:ed3:RS-110</v>
      </c>
    </row>
    <row r="3735" spans="1:7" x14ac:dyDescent="0.2">
      <c r="A3735" s="85"/>
      <c r="B3735" s="25" t="s">
        <v>13493</v>
      </c>
      <c r="C3735" s="25" t="s">
        <v>13494</v>
      </c>
      <c r="D3735" s="25" t="s">
        <v>2164</v>
      </c>
      <c r="E3735" s="26" t="b">
        <v>1</v>
      </c>
      <c r="F3735" s="27" t="str">
        <f>HYPERLINK("http://nsgreg.nga.mil/genc/view?v=213146&amp;end_month=12&amp;end_day=31&amp;end_year=2014","Odžaci")</f>
        <v>Odžaci</v>
      </c>
      <c r="G3735" s="28" t="str">
        <f>HYPERLINK("http://api.nsgreg.nga.mil/geo-division/GENC/6/ed3/RS-111","as:GENC:6:ed3:RS-111")</f>
        <v>as:GENC:6:ed3:RS-111</v>
      </c>
    </row>
    <row r="3736" spans="1:7" x14ac:dyDescent="0.2">
      <c r="A3736" s="85"/>
      <c r="B3736" s="25" t="s">
        <v>13495</v>
      </c>
      <c r="C3736" s="25" t="s">
        <v>13496</v>
      </c>
      <c r="D3736" s="25" t="s">
        <v>2164</v>
      </c>
      <c r="E3736" s="26" t="b">
        <v>1</v>
      </c>
      <c r="F3736" s="27" t="str">
        <f>HYPERLINK("http://nsgreg.nga.mil/genc/view?v=213147&amp;end_month=12&amp;end_day=31&amp;end_year=2014","Opovo")</f>
        <v>Opovo</v>
      </c>
      <c r="G3736" s="28" t="str">
        <f>HYPERLINK("http://api.nsgreg.nga.mil/geo-division/GENC/6/ed3/RS-112","as:GENC:6:ed3:RS-112")</f>
        <v>as:GENC:6:ed3:RS-112</v>
      </c>
    </row>
    <row r="3737" spans="1:7" x14ac:dyDescent="0.2">
      <c r="A3737" s="85"/>
      <c r="B3737" s="25" t="s">
        <v>13497</v>
      </c>
      <c r="C3737" s="25" t="s">
        <v>13498</v>
      </c>
      <c r="D3737" s="25" t="s">
        <v>2164</v>
      </c>
      <c r="E3737" s="26" t="b">
        <v>1</v>
      </c>
      <c r="F3737" s="27" t="str">
        <f>HYPERLINK("http://nsgreg.nga.mil/genc/view?v=213148&amp;end_month=12&amp;end_day=31&amp;end_year=2014","Osečina")</f>
        <v>Osečina</v>
      </c>
      <c r="G3737" s="28" t="str">
        <f>HYPERLINK("http://api.nsgreg.nga.mil/geo-division/GENC/6/ed3/RS-113","as:GENC:6:ed3:RS-113")</f>
        <v>as:GENC:6:ed3:RS-113</v>
      </c>
    </row>
    <row r="3738" spans="1:7" x14ac:dyDescent="0.2">
      <c r="A3738" s="85"/>
      <c r="B3738" s="25" t="s">
        <v>13499</v>
      </c>
      <c r="C3738" s="25" t="s">
        <v>13500</v>
      </c>
      <c r="D3738" s="25" t="s">
        <v>2046</v>
      </c>
      <c r="E3738" s="26" t="b">
        <v>1</v>
      </c>
      <c r="F3738" s="27" t="str">
        <f>HYPERLINK("http://nsgreg.nga.mil/genc/view?v=213149&amp;end_month=12&amp;end_day=31&amp;end_year=2014","Pančevo")</f>
        <v>Pančevo</v>
      </c>
      <c r="G3738" s="28" t="str">
        <f>HYPERLINK("http://api.nsgreg.nga.mil/geo-division/GENC/6/ed3/RS-114","as:GENC:6:ed3:RS-114")</f>
        <v>as:GENC:6:ed3:RS-114</v>
      </c>
    </row>
    <row r="3739" spans="1:7" x14ac:dyDescent="0.2">
      <c r="A3739" s="85"/>
      <c r="B3739" s="25" t="s">
        <v>13501</v>
      </c>
      <c r="C3739" s="25" t="s">
        <v>13502</v>
      </c>
      <c r="D3739" s="25" t="s">
        <v>2164</v>
      </c>
      <c r="E3739" s="26" t="b">
        <v>1</v>
      </c>
      <c r="F3739" s="27" t="str">
        <f>HYPERLINK("http://nsgreg.nga.mil/genc/view?v=213150&amp;end_month=12&amp;end_day=31&amp;end_year=2014","Paraćin")</f>
        <v>Paraćin</v>
      </c>
      <c r="G3739" s="28" t="str">
        <f>HYPERLINK("http://api.nsgreg.nga.mil/geo-division/GENC/6/ed3/RS-115","as:GENC:6:ed3:RS-115")</f>
        <v>as:GENC:6:ed3:RS-115</v>
      </c>
    </row>
    <row r="3740" spans="1:7" x14ac:dyDescent="0.2">
      <c r="A3740" s="85"/>
      <c r="B3740" s="25" t="s">
        <v>9066</v>
      </c>
      <c r="C3740" s="25" t="s">
        <v>13503</v>
      </c>
      <c r="D3740" s="37" t="s">
        <v>1790</v>
      </c>
      <c r="E3740" s="38" t="b">
        <v>0</v>
      </c>
      <c r="F3740" s="27" t="str">
        <f>HYPERLINK("http://nsgreg.nga.mil/genc/view?v=213221&amp;end_month=12&amp;end_day=31&amp;end_year=2014","Pčinjski Okrug")</f>
        <v>Pčinjski Okrug</v>
      </c>
      <c r="G3740" s="28" t="str">
        <f>HYPERLINK("http://api.nsgreg.nga.mil/geo-division/GENC/6/ed3/RS-24","as:GENC:6:ed3:RS-24")</f>
        <v>as:GENC:6:ed3:RS-24</v>
      </c>
    </row>
    <row r="3741" spans="1:7" x14ac:dyDescent="0.2">
      <c r="A3741" s="85"/>
      <c r="B3741" s="25" t="s">
        <v>13504</v>
      </c>
      <c r="C3741" s="25" t="s">
        <v>13505</v>
      </c>
      <c r="D3741" s="25" t="s">
        <v>2164</v>
      </c>
      <c r="E3741" s="26" t="b">
        <v>1</v>
      </c>
      <c r="F3741" s="27" t="str">
        <f>HYPERLINK("http://nsgreg.nga.mil/genc/view?v=213151&amp;end_month=12&amp;end_day=31&amp;end_year=2014","Pećinci")</f>
        <v>Pećinci</v>
      </c>
      <c r="G3741" s="28" t="str">
        <f>HYPERLINK("http://api.nsgreg.nga.mil/geo-division/GENC/6/ed3/RS-116","as:GENC:6:ed3:RS-116")</f>
        <v>as:GENC:6:ed3:RS-116</v>
      </c>
    </row>
    <row r="3742" spans="1:7" x14ac:dyDescent="0.2">
      <c r="A3742" s="85"/>
      <c r="B3742" s="25" t="s">
        <v>13506</v>
      </c>
      <c r="C3742" s="25" t="s">
        <v>13507</v>
      </c>
      <c r="D3742" s="25" t="s">
        <v>2164</v>
      </c>
      <c r="E3742" s="26" t="b">
        <v>1</v>
      </c>
      <c r="F3742" s="27" t="str">
        <f>HYPERLINK("http://nsgreg.nga.mil/genc/view?v=213152&amp;end_month=12&amp;end_day=31&amp;end_year=2014","Petrovac na Mlavi")</f>
        <v>Petrovac na Mlavi</v>
      </c>
      <c r="G3742" s="28" t="str">
        <f>HYPERLINK("http://api.nsgreg.nga.mil/geo-division/GENC/6/ed3/RS-117","as:GENC:6:ed3:RS-117")</f>
        <v>as:GENC:6:ed3:RS-117</v>
      </c>
    </row>
    <row r="3743" spans="1:7" x14ac:dyDescent="0.2">
      <c r="A3743" s="85"/>
      <c r="B3743" s="25" t="s">
        <v>13508</v>
      </c>
      <c r="C3743" s="25" t="s">
        <v>13509</v>
      </c>
      <c r="D3743" s="25" t="s">
        <v>2164</v>
      </c>
      <c r="E3743" s="26" t="b">
        <v>1</v>
      </c>
      <c r="F3743" s="27" t="str">
        <f>HYPERLINK("http://nsgreg.nga.mil/genc/view?v=213153&amp;end_month=12&amp;end_day=31&amp;end_year=2014","Pirot")</f>
        <v>Pirot</v>
      </c>
      <c r="G3743" s="28" t="str">
        <f>HYPERLINK("http://api.nsgreg.nga.mil/geo-division/GENC/6/ed3/RS-118","as:GENC:6:ed3:RS-118")</f>
        <v>as:GENC:6:ed3:RS-118</v>
      </c>
    </row>
    <row r="3744" spans="1:7" x14ac:dyDescent="0.2">
      <c r="A3744" s="85"/>
      <c r="B3744" s="25" t="s">
        <v>9058</v>
      </c>
      <c r="C3744" s="25" t="s">
        <v>13510</v>
      </c>
      <c r="D3744" s="37" t="s">
        <v>1790</v>
      </c>
      <c r="E3744" s="38" t="b">
        <v>0</v>
      </c>
      <c r="F3744" s="27" t="str">
        <f>HYPERLINK("http://nsgreg.nga.mil/genc/view?v=213219&amp;end_month=12&amp;end_day=31&amp;end_year=2014","Pirotski Okrug")</f>
        <v>Pirotski Okrug</v>
      </c>
      <c r="G3744" s="28" t="str">
        <f>HYPERLINK("http://api.nsgreg.nga.mil/geo-division/GENC/6/ed3/RS-22","as:GENC:6:ed3:RS-22")</f>
        <v>as:GENC:6:ed3:RS-22</v>
      </c>
    </row>
    <row r="3745" spans="1:7" x14ac:dyDescent="0.2">
      <c r="A3745" s="85"/>
      <c r="B3745" s="25" t="s">
        <v>13511</v>
      </c>
      <c r="C3745" s="25" t="s">
        <v>13512</v>
      </c>
      <c r="D3745" s="25" t="s">
        <v>2164</v>
      </c>
      <c r="E3745" s="26" t="b">
        <v>1</v>
      </c>
      <c r="F3745" s="27" t="str">
        <f>HYPERLINK("http://nsgreg.nga.mil/genc/view?v=213154&amp;end_month=12&amp;end_day=31&amp;end_year=2014","Plandište")</f>
        <v>Plandište</v>
      </c>
      <c r="G3745" s="28" t="str">
        <f>HYPERLINK("http://api.nsgreg.nga.mil/geo-division/GENC/6/ed3/RS-119","as:GENC:6:ed3:RS-119")</f>
        <v>as:GENC:6:ed3:RS-119</v>
      </c>
    </row>
    <row r="3746" spans="1:7" x14ac:dyDescent="0.2">
      <c r="A3746" s="85"/>
      <c r="B3746" s="25" t="s">
        <v>9060</v>
      </c>
      <c r="C3746" s="25" t="s">
        <v>13513</v>
      </c>
      <c r="D3746" s="37" t="s">
        <v>1790</v>
      </c>
      <c r="E3746" s="38" t="b">
        <v>0</v>
      </c>
      <c r="F3746" s="27" t="str">
        <f>HYPERLINK("http://nsgreg.nga.mil/genc/view?v=213133&amp;end_month=12&amp;end_day=31&amp;end_year=2014","Podunavski Okrug")</f>
        <v>Podunavski Okrug</v>
      </c>
      <c r="G3746" s="28" t="str">
        <f>HYPERLINK("http://api.nsgreg.nga.mil/geo-division/GENC/6/ed3/RS-10","as:GENC:6:ed3:RS-10")</f>
        <v>as:GENC:6:ed3:RS-10</v>
      </c>
    </row>
    <row r="3747" spans="1:7" x14ac:dyDescent="0.2">
      <c r="A3747" s="85"/>
      <c r="B3747" s="25" t="s">
        <v>9062</v>
      </c>
      <c r="C3747" s="25" t="s">
        <v>13514</v>
      </c>
      <c r="D3747" s="37" t="s">
        <v>1790</v>
      </c>
      <c r="E3747" s="38" t="b">
        <v>0</v>
      </c>
      <c r="F3747" s="27" t="str">
        <f>HYPERLINK("http://nsgreg.nga.mil/genc/view?v=213166&amp;end_month=12&amp;end_day=31&amp;end_year=2014","Pomoravski Okrug")</f>
        <v>Pomoravski Okrug</v>
      </c>
      <c r="G3747" s="28" t="str">
        <f>HYPERLINK("http://api.nsgreg.nga.mil/geo-division/GENC/6/ed3/RS-13","as:GENC:6:ed3:RS-13")</f>
        <v>as:GENC:6:ed3:RS-13</v>
      </c>
    </row>
    <row r="3748" spans="1:7" x14ac:dyDescent="0.2">
      <c r="A3748" s="85"/>
      <c r="B3748" s="25" t="s">
        <v>13515</v>
      </c>
      <c r="C3748" s="25" t="s">
        <v>13516</v>
      </c>
      <c r="D3748" s="25" t="s">
        <v>2046</v>
      </c>
      <c r="E3748" s="26" t="b">
        <v>1</v>
      </c>
      <c r="F3748" s="27" t="str">
        <f>HYPERLINK("http://nsgreg.nga.mil/genc/view?v=213156&amp;end_month=12&amp;end_day=31&amp;end_year=2014","Požarevac")</f>
        <v>Požarevac</v>
      </c>
      <c r="G3748" s="28" t="str">
        <f>HYPERLINK("http://api.nsgreg.nga.mil/geo-division/GENC/6/ed3/RS-120","as:GENC:6:ed3:RS-120")</f>
        <v>as:GENC:6:ed3:RS-120</v>
      </c>
    </row>
    <row r="3749" spans="1:7" x14ac:dyDescent="0.2">
      <c r="A3749" s="85"/>
      <c r="B3749" s="25" t="s">
        <v>13517</v>
      </c>
      <c r="C3749" s="25" t="s">
        <v>13518</v>
      </c>
      <c r="D3749" s="25" t="s">
        <v>2164</v>
      </c>
      <c r="E3749" s="26" t="b">
        <v>1</v>
      </c>
      <c r="F3749" s="27" t="str">
        <f>HYPERLINK("http://nsgreg.nga.mil/genc/view?v=213157&amp;end_month=12&amp;end_day=31&amp;end_year=2014","Požega")</f>
        <v>Požega</v>
      </c>
      <c r="G3749" s="28" t="str">
        <f>HYPERLINK("http://api.nsgreg.nga.mil/geo-division/GENC/6/ed3/RS-121","as:GENC:6:ed3:RS-121")</f>
        <v>as:GENC:6:ed3:RS-121</v>
      </c>
    </row>
    <row r="3750" spans="1:7" x14ac:dyDescent="0.2">
      <c r="A3750" s="85"/>
      <c r="B3750" s="25" t="s">
        <v>13519</v>
      </c>
      <c r="C3750" s="25" t="s">
        <v>13520</v>
      </c>
      <c r="D3750" s="25" t="s">
        <v>2164</v>
      </c>
      <c r="E3750" s="26" t="b">
        <v>1</v>
      </c>
      <c r="F3750" s="27" t="str">
        <f>HYPERLINK("http://nsgreg.nga.mil/genc/view?v=213158&amp;end_month=12&amp;end_day=31&amp;end_year=2014","Preševo")</f>
        <v>Preševo</v>
      </c>
      <c r="G3750" s="28" t="str">
        <f>HYPERLINK("http://api.nsgreg.nga.mil/geo-division/GENC/6/ed3/RS-122","as:GENC:6:ed3:RS-122")</f>
        <v>as:GENC:6:ed3:RS-122</v>
      </c>
    </row>
    <row r="3751" spans="1:7" x14ac:dyDescent="0.2">
      <c r="A3751" s="85"/>
      <c r="B3751" s="25" t="s">
        <v>13521</v>
      </c>
      <c r="C3751" s="25" t="s">
        <v>13522</v>
      </c>
      <c r="D3751" s="25" t="s">
        <v>2164</v>
      </c>
      <c r="E3751" s="26" t="b">
        <v>1</v>
      </c>
      <c r="F3751" s="27" t="str">
        <f>HYPERLINK("http://nsgreg.nga.mil/genc/view?v=213159&amp;end_month=12&amp;end_day=31&amp;end_year=2014","Priboj")</f>
        <v>Priboj</v>
      </c>
      <c r="G3751" s="28" t="str">
        <f>HYPERLINK("http://api.nsgreg.nga.mil/geo-division/GENC/6/ed3/RS-123","as:GENC:6:ed3:RS-123")</f>
        <v>as:GENC:6:ed3:RS-123</v>
      </c>
    </row>
    <row r="3752" spans="1:7" x14ac:dyDescent="0.2">
      <c r="A3752" s="85"/>
      <c r="B3752" s="25" t="s">
        <v>13523</v>
      </c>
      <c r="C3752" s="25" t="s">
        <v>13524</v>
      </c>
      <c r="D3752" s="25" t="s">
        <v>2164</v>
      </c>
      <c r="E3752" s="26" t="b">
        <v>1</v>
      </c>
      <c r="F3752" s="27" t="str">
        <f>HYPERLINK("http://nsgreg.nga.mil/genc/view?v=213160&amp;end_month=12&amp;end_day=31&amp;end_year=2014","Prijepolje")</f>
        <v>Prijepolje</v>
      </c>
      <c r="G3752" s="28" t="str">
        <f>HYPERLINK("http://api.nsgreg.nga.mil/geo-division/GENC/6/ed3/RS-124","as:GENC:6:ed3:RS-124")</f>
        <v>as:GENC:6:ed3:RS-124</v>
      </c>
    </row>
    <row r="3753" spans="1:7" x14ac:dyDescent="0.2">
      <c r="A3753" s="85"/>
      <c r="B3753" s="25" t="s">
        <v>13525</v>
      </c>
      <c r="C3753" s="25" t="s">
        <v>13526</v>
      </c>
      <c r="D3753" s="25" t="s">
        <v>2164</v>
      </c>
      <c r="E3753" s="26" t="b">
        <v>1</v>
      </c>
      <c r="F3753" s="27" t="str">
        <f>HYPERLINK("http://nsgreg.nga.mil/genc/view?v=213161&amp;end_month=12&amp;end_day=31&amp;end_year=2014","Prokuplje")</f>
        <v>Prokuplje</v>
      </c>
      <c r="G3753" s="28" t="str">
        <f>HYPERLINK("http://api.nsgreg.nga.mil/geo-division/GENC/6/ed3/RS-125","as:GENC:6:ed3:RS-125")</f>
        <v>as:GENC:6:ed3:RS-125</v>
      </c>
    </row>
    <row r="3754" spans="1:7" x14ac:dyDescent="0.2">
      <c r="A3754" s="85"/>
      <c r="B3754" s="25" t="s">
        <v>13527</v>
      </c>
      <c r="C3754" s="25" t="s">
        <v>13528</v>
      </c>
      <c r="D3754" s="25" t="s">
        <v>2164</v>
      </c>
      <c r="E3754" s="26" t="b">
        <v>1</v>
      </c>
      <c r="F3754" s="27" t="str">
        <f>HYPERLINK("http://nsgreg.nga.mil/genc/view?v=213162&amp;end_month=12&amp;end_day=31&amp;end_year=2014","Rača")</f>
        <v>Rača</v>
      </c>
      <c r="G3754" s="28" t="str">
        <f>HYPERLINK("http://api.nsgreg.nga.mil/geo-division/GENC/6/ed3/RS-126","as:GENC:6:ed3:RS-126")</f>
        <v>as:GENC:6:ed3:RS-126</v>
      </c>
    </row>
    <row r="3755" spans="1:7" x14ac:dyDescent="0.2">
      <c r="A3755" s="85"/>
      <c r="B3755" s="25" t="s">
        <v>9068</v>
      </c>
      <c r="C3755" s="25" t="s">
        <v>13529</v>
      </c>
      <c r="D3755" s="37" t="s">
        <v>1790</v>
      </c>
      <c r="E3755" s="38" t="b">
        <v>0</v>
      </c>
      <c r="F3755" s="27" t="str">
        <f>HYPERLINK("http://nsgreg.nga.mil/genc/view?v=213216&amp;end_month=12&amp;end_day=31&amp;end_year=2014","Rasinski Okrug")</f>
        <v>Rasinski Okrug</v>
      </c>
      <c r="G3755" s="28" t="str">
        <f>HYPERLINK("http://api.nsgreg.nga.mil/geo-division/GENC/6/ed3/RS-19","as:GENC:6:ed3:RS-19")</f>
        <v>as:GENC:6:ed3:RS-19</v>
      </c>
    </row>
    <row r="3756" spans="1:7" x14ac:dyDescent="0.2">
      <c r="A3756" s="85"/>
      <c r="B3756" s="25" t="s">
        <v>13530</v>
      </c>
      <c r="C3756" s="25" t="s">
        <v>13531</v>
      </c>
      <c r="D3756" s="25" t="s">
        <v>2164</v>
      </c>
      <c r="E3756" s="26" t="b">
        <v>1</v>
      </c>
      <c r="F3756" s="27" t="str">
        <f>HYPERLINK("http://nsgreg.nga.mil/genc/view?v=213163&amp;end_month=12&amp;end_day=31&amp;end_year=2014","Raška")</f>
        <v>Raška</v>
      </c>
      <c r="G3756" s="28" t="str">
        <f>HYPERLINK("http://api.nsgreg.nga.mil/geo-division/GENC/6/ed3/RS-127","as:GENC:6:ed3:RS-127")</f>
        <v>as:GENC:6:ed3:RS-127</v>
      </c>
    </row>
    <row r="3757" spans="1:7" x14ac:dyDescent="0.2">
      <c r="A3757" s="85"/>
      <c r="B3757" s="25" t="s">
        <v>9070</v>
      </c>
      <c r="C3757" s="25" t="s">
        <v>13532</v>
      </c>
      <c r="D3757" s="37" t="s">
        <v>1790</v>
      </c>
      <c r="E3757" s="38" t="b">
        <v>0</v>
      </c>
      <c r="F3757" s="27" t="str">
        <f>HYPERLINK("http://nsgreg.nga.mil/genc/view?v=213215&amp;end_month=12&amp;end_day=31&amp;end_year=2014","Raški Okrug")</f>
        <v>Raški Okrug</v>
      </c>
      <c r="G3757" s="28" t="str">
        <f>HYPERLINK("http://api.nsgreg.nga.mil/geo-division/GENC/6/ed3/RS-18","as:GENC:6:ed3:RS-18")</f>
        <v>as:GENC:6:ed3:RS-18</v>
      </c>
    </row>
    <row r="3758" spans="1:7" x14ac:dyDescent="0.2">
      <c r="A3758" s="85"/>
      <c r="B3758" s="25" t="s">
        <v>13533</v>
      </c>
      <c r="C3758" s="25" t="s">
        <v>13534</v>
      </c>
      <c r="D3758" s="25" t="s">
        <v>2164</v>
      </c>
      <c r="E3758" s="26" t="b">
        <v>1</v>
      </c>
      <c r="F3758" s="27" t="str">
        <f>HYPERLINK("http://nsgreg.nga.mil/genc/view?v=213164&amp;end_month=12&amp;end_day=31&amp;end_year=2014","Ražanj")</f>
        <v>Ražanj</v>
      </c>
      <c r="G3758" s="28" t="str">
        <f>HYPERLINK("http://api.nsgreg.nga.mil/geo-division/GENC/6/ed3/RS-128","as:GENC:6:ed3:RS-128")</f>
        <v>as:GENC:6:ed3:RS-128</v>
      </c>
    </row>
    <row r="3759" spans="1:7" x14ac:dyDescent="0.2">
      <c r="A3759" s="85"/>
      <c r="B3759" s="25" t="s">
        <v>13535</v>
      </c>
      <c r="C3759" s="25" t="s">
        <v>13536</v>
      </c>
      <c r="D3759" s="25" t="s">
        <v>2164</v>
      </c>
      <c r="E3759" s="26" t="b">
        <v>1</v>
      </c>
      <c r="F3759" s="27" t="str">
        <f>HYPERLINK("http://nsgreg.nga.mil/genc/view?v=213165&amp;end_month=12&amp;end_day=31&amp;end_year=2014","Rekovac")</f>
        <v>Rekovac</v>
      </c>
      <c r="G3759" s="28" t="str">
        <f>HYPERLINK("http://api.nsgreg.nga.mil/geo-division/GENC/6/ed3/RS-129","as:GENC:6:ed3:RS-129")</f>
        <v>as:GENC:6:ed3:RS-129</v>
      </c>
    </row>
    <row r="3760" spans="1:7" x14ac:dyDescent="0.2">
      <c r="A3760" s="85"/>
      <c r="B3760" s="25" t="s">
        <v>13537</v>
      </c>
      <c r="C3760" s="25" t="s">
        <v>13538</v>
      </c>
      <c r="D3760" s="25" t="s">
        <v>2164</v>
      </c>
      <c r="E3760" s="26" t="b">
        <v>1</v>
      </c>
      <c r="F3760" s="27" t="str">
        <f>HYPERLINK("http://nsgreg.nga.mil/genc/view?v=213167&amp;end_month=12&amp;end_day=31&amp;end_year=2014","Ruma")</f>
        <v>Ruma</v>
      </c>
      <c r="G3760" s="28" t="str">
        <f>HYPERLINK("http://api.nsgreg.nga.mil/geo-division/GENC/6/ed3/RS-130","as:GENC:6:ed3:RS-130")</f>
        <v>as:GENC:6:ed3:RS-130</v>
      </c>
    </row>
    <row r="3761" spans="1:7" x14ac:dyDescent="0.2">
      <c r="A3761" s="85"/>
      <c r="B3761" s="25" t="s">
        <v>13539</v>
      </c>
      <c r="C3761" s="25" t="s">
        <v>13540</v>
      </c>
      <c r="D3761" s="25" t="s">
        <v>2046</v>
      </c>
      <c r="E3761" s="26" t="b">
        <v>1</v>
      </c>
      <c r="F3761" s="27" t="str">
        <f>HYPERLINK("http://nsgreg.nga.mil/genc/view?v=213168&amp;end_month=12&amp;end_day=31&amp;end_year=2014","Šabac")</f>
        <v>Šabac</v>
      </c>
      <c r="G3761" s="28" t="str">
        <f>HYPERLINK("http://api.nsgreg.nga.mil/geo-division/GENC/6/ed3/RS-131","as:GENC:6:ed3:RS-131")</f>
        <v>as:GENC:6:ed3:RS-131</v>
      </c>
    </row>
    <row r="3762" spans="1:7" x14ac:dyDescent="0.2">
      <c r="A3762" s="85"/>
      <c r="B3762" s="25" t="s">
        <v>13541</v>
      </c>
      <c r="C3762" s="25" t="s">
        <v>13542</v>
      </c>
      <c r="D3762" s="25" t="s">
        <v>2164</v>
      </c>
      <c r="E3762" s="26" t="b">
        <v>1</v>
      </c>
      <c r="F3762" s="27" t="str">
        <f>HYPERLINK("http://nsgreg.nga.mil/genc/view?v=213169&amp;end_month=12&amp;end_day=31&amp;end_year=2014","Sečanj")</f>
        <v>Sečanj</v>
      </c>
      <c r="G3762" s="28" t="str">
        <f>HYPERLINK("http://api.nsgreg.nga.mil/geo-division/GENC/6/ed3/RS-132","as:GENC:6:ed3:RS-132")</f>
        <v>as:GENC:6:ed3:RS-132</v>
      </c>
    </row>
    <row r="3763" spans="1:7" x14ac:dyDescent="0.2">
      <c r="A3763" s="85"/>
      <c r="B3763" s="25" t="s">
        <v>13543</v>
      </c>
      <c r="C3763" s="25" t="s">
        <v>13544</v>
      </c>
      <c r="D3763" s="25" t="s">
        <v>2164</v>
      </c>
      <c r="E3763" s="26" t="b">
        <v>1</v>
      </c>
      <c r="F3763" s="27" t="str">
        <f>HYPERLINK("http://nsgreg.nga.mil/genc/view?v=213170&amp;end_month=12&amp;end_day=31&amp;end_year=2014","Senta")</f>
        <v>Senta</v>
      </c>
      <c r="G3763" s="28" t="str">
        <f>HYPERLINK("http://api.nsgreg.nga.mil/geo-division/GENC/6/ed3/RS-133","as:GENC:6:ed3:RS-133")</f>
        <v>as:GENC:6:ed3:RS-133</v>
      </c>
    </row>
    <row r="3764" spans="1:7" x14ac:dyDescent="0.2">
      <c r="A3764" s="85"/>
      <c r="B3764" s="25" t="s">
        <v>9074</v>
      </c>
      <c r="C3764" s="25" t="s">
        <v>13545</v>
      </c>
      <c r="D3764" s="37" t="s">
        <v>1790</v>
      </c>
      <c r="E3764" s="38" t="b">
        <v>0</v>
      </c>
      <c r="F3764" s="27" t="str">
        <f>HYPERLINK("http://nsgreg.nga.mil/genc/view?v=213124&amp;end_month=12&amp;end_day=31&amp;end_year=2014","Severno Bački Okrug")</f>
        <v>Severno Bački Okrug</v>
      </c>
      <c r="G3764" s="28" t="str">
        <f>HYPERLINK("http://api.nsgreg.nga.mil/geo-division/GENC/6/ed3/RS-01","as:GENC:6:ed3:RS-01")</f>
        <v>as:GENC:6:ed3:RS-01</v>
      </c>
    </row>
    <row r="3765" spans="1:7" x14ac:dyDescent="0.2">
      <c r="A3765" s="85"/>
      <c r="B3765" s="25" t="s">
        <v>9072</v>
      </c>
      <c r="C3765" s="25" t="s">
        <v>13546</v>
      </c>
      <c r="D3765" s="37" t="s">
        <v>1790</v>
      </c>
      <c r="E3765" s="38" t="b">
        <v>0</v>
      </c>
      <c r="F3765" s="27" t="str">
        <f>HYPERLINK("http://nsgreg.nga.mil/genc/view?v=213126&amp;end_month=12&amp;end_day=31&amp;end_year=2014","Severno Banatski Okrug")</f>
        <v>Severno Banatski Okrug</v>
      </c>
      <c r="G3765" s="28" t="str">
        <f>HYPERLINK("http://api.nsgreg.nga.mil/geo-division/GENC/6/ed3/RS-03","as:GENC:6:ed3:RS-03")</f>
        <v>as:GENC:6:ed3:RS-03</v>
      </c>
    </row>
    <row r="3766" spans="1:7" x14ac:dyDescent="0.2">
      <c r="A3766" s="85"/>
      <c r="B3766" s="25" t="s">
        <v>13547</v>
      </c>
      <c r="C3766" s="25" t="s">
        <v>13548</v>
      </c>
      <c r="D3766" s="25" t="s">
        <v>2164</v>
      </c>
      <c r="E3766" s="26" t="b">
        <v>1</v>
      </c>
      <c r="F3766" s="27" t="str">
        <f>HYPERLINK("http://nsgreg.nga.mil/genc/view?v=213171&amp;end_month=12&amp;end_day=31&amp;end_year=2014","Šid")</f>
        <v>Šid</v>
      </c>
      <c r="G3766" s="28" t="str">
        <f>HYPERLINK("http://api.nsgreg.nga.mil/geo-division/GENC/6/ed3/RS-134","as:GENC:6:ed3:RS-134")</f>
        <v>as:GENC:6:ed3:RS-134</v>
      </c>
    </row>
    <row r="3767" spans="1:7" x14ac:dyDescent="0.2">
      <c r="A3767" s="85"/>
      <c r="B3767" s="25" t="s">
        <v>13549</v>
      </c>
      <c r="C3767" s="25" t="s">
        <v>13550</v>
      </c>
      <c r="D3767" s="25" t="s">
        <v>2164</v>
      </c>
      <c r="E3767" s="26" t="b">
        <v>1</v>
      </c>
      <c r="F3767" s="27" t="str">
        <f>HYPERLINK("http://nsgreg.nga.mil/genc/view?v=213172&amp;end_month=12&amp;end_day=31&amp;end_year=2014","Sjenica")</f>
        <v>Sjenica</v>
      </c>
      <c r="G3767" s="28" t="str">
        <f>HYPERLINK("http://api.nsgreg.nga.mil/geo-division/GENC/6/ed3/RS-135","as:GENC:6:ed3:RS-135")</f>
        <v>as:GENC:6:ed3:RS-135</v>
      </c>
    </row>
    <row r="3768" spans="1:7" x14ac:dyDescent="0.2">
      <c r="A3768" s="85"/>
      <c r="B3768" s="25" t="s">
        <v>13551</v>
      </c>
      <c r="C3768" s="25" t="s">
        <v>13552</v>
      </c>
      <c r="D3768" s="25" t="s">
        <v>2046</v>
      </c>
      <c r="E3768" s="26" t="b">
        <v>1</v>
      </c>
      <c r="F3768" s="27" t="str">
        <f>HYPERLINK("http://nsgreg.nga.mil/genc/view?v=213173&amp;end_month=12&amp;end_day=31&amp;end_year=2014","Smederevo")</f>
        <v>Smederevo</v>
      </c>
      <c r="G3768" s="28" t="str">
        <f>HYPERLINK("http://api.nsgreg.nga.mil/geo-division/GENC/6/ed3/RS-136","as:GENC:6:ed3:RS-136")</f>
        <v>as:GENC:6:ed3:RS-136</v>
      </c>
    </row>
    <row r="3769" spans="1:7" x14ac:dyDescent="0.2">
      <c r="A3769" s="85"/>
      <c r="B3769" s="25" t="s">
        <v>13553</v>
      </c>
      <c r="C3769" s="25" t="s">
        <v>13554</v>
      </c>
      <c r="D3769" s="25" t="s">
        <v>2164</v>
      </c>
      <c r="E3769" s="26" t="b">
        <v>1</v>
      </c>
      <c r="F3769" s="27" t="str">
        <f>HYPERLINK("http://nsgreg.nga.mil/genc/view?v=213174&amp;end_month=12&amp;end_day=31&amp;end_year=2014","Smederevska Palanka")</f>
        <v>Smederevska Palanka</v>
      </c>
      <c r="G3769" s="28" t="str">
        <f>HYPERLINK("http://api.nsgreg.nga.mil/geo-division/GENC/6/ed3/RS-137","as:GENC:6:ed3:RS-137")</f>
        <v>as:GENC:6:ed3:RS-137</v>
      </c>
    </row>
    <row r="3770" spans="1:7" x14ac:dyDescent="0.2">
      <c r="A3770" s="85"/>
      <c r="B3770" s="25" t="s">
        <v>13555</v>
      </c>
      <c r="C3770" s="25" t="s">
        <v>13556</v>
      </c>
      <c r="D3770" s="25" t="s">
        <v>2164</v>
      </c>
      <c r="E3770" s="26" t="b">
        <v>1</v>
      </c>
      <c r="F3770" s="27" t="str">
        <f>HYPERLINK("http://nsgreg.nga.mil/genc/view?v=213175&amp;end_month=12&amp;end_day=31&amp;end_year=2014","Sokobanja")</f>
        <v>Sokobanja</v>
      </c>
      <c r="G3770" s="28" t="str">
        <f>HYPERLINK("http://api.nsgreg.nga.mil/geo-division/GENC/6/ed3/RS-138","as:GENC:6:ed3:RS-138")</f>
        <v>as:GENC:6:ed3:RS-138</v>
      </c>
    </row>
    <row r="3771" spans="1:7" x14ac:dyDescent="0.2">
      <c r="A3771" s="85"/>
      <c r="B3771" s="25" t="s">
        <v>13557</v>
      </c>
      <c r="C3771" s="25" t="s">
        <v>13558</v>
      </c>
      <c r="D3771" s="25" t="s">
        <v>2046</v>
      </c>
      <c r="E3771" s="26" t="b">
        <v>1</v>
      </c>
      <c r="F3771" s="27" t="str">
        <f>HYPERLINK("http://nsgreg.nga.mil/genc/view?v=213176&amp;end_month=12&amp;end_day=31&amp;end_year=2014","Sombor")</f>
        <v>Sombor</v>
      </c>
      <c r="G3771" s="28" t="str">
        <f>HYPERLINK("http://api.nsgreg.nga.mil/geo-division/GENC/6/ed3/RS-139","as:GENC:6:ed3:RS-139")</f>
        <v>as:GENC:6:ed3:RS-139</v>
      </c>
    </row>
    <row r="3772" spans="1:7" x14ac:dyDescent="0.2">
      <c r="A3772" s="85"/>
      <c r="B3772" s="25" t="s">
        <v>13559</v>
      </c>
      <c r="C3772" s="25" t="s">
        <v>13560</v>
      </c>
      <c r="D3772" s="25" t="s">
        <v>2164</v>
      </c>
      <c r="E3772" s="26" t="b">
        <v>1</v>
      </c>
      <c r="F3772" s="27" t="str">
        <f>HYPERLINK("http://nsgreg.nga.mil/genc/view?v=213178&amp;end_month=12&amp;end_day=31&amp;end_year=2014","Srbobran")</f>
        <v>Srbobran</v>
      </c>
      <c r="G3772" s="28" t="str">
        <f>HYPERLINK("http://api.nsgreg.nga.mil/geo-division/GENC/6/ed3/RS-140","as:GENC:6:ed3:RS-140")</f>
        <v>as:GENC:6:ed3:RS-140</v>
      </c>
    </row>
    <row r="3773" spans="1:7" x14ac:dyDescent="0.2">
      <c r="A3773" s="85"/>
      <c r="B3773" s="25" t="s">
        <v>9076</v>
      </c>
      <c r="C3773" s="25" t="s">
        <v>13561</v>
      </c>
      <c r="D3773" s="37" t="s">
        <v>1790</v>
      </c>
      <c r="E3773" s="38" t="b">
        <v>0</v>
      </c>
      <c r="F3773" s="27" t="str">
        <f>HYPERLINK("http://nsgreg.nga.mil/genc/view?v=213125&amp;end_month=12&amp;end_day=31&amp;end_year=2014","Srednje Banatski Okrug")</f>
        <v>Srednje Banatski Okrug</v>
      </c>
      <c r="G3773" s="28" t="str">
        <f>HYPERLINK("http://api.nsgreg.nga.mil/geo-division/GENC/6/ed3/RS-02","as:GENC:6:ed3:RS-02")</f>
        <v>as:GENC:6:ed3:RS-02</v>
      </c>
    </row>
    <row r="3774" spans="1:7" x14ac:dyDescent="0.2">
      <c r="A3774" s="85"/>
      <c r="B3774" s="25" t="s">
        <v>13562</v>
      </c>
      <c r="C3774" s="25" t="s">
        <v>13563</v>
      </c>
      <c r="D3774" s="25" t="s">
        <v>2046</v>
      </c>
      <c r="E3774" s="26" t="b">
        <v>1</v>
      </c>
      <c r="F3774" s="27" t="str">
        <f>HYPERLINK("http://nsgreg.nga.mil/genc/view?v=213179&amp;end_month=12&amp;end_day=31&amp;end_year=2014","Sremska Mitrovica")</f>
        <v>Sremska Mitrovica</v>
      </c>
      <c r="G3774" s="28" t="str">
        <f>HYPERLINK("http://api.nsgreg.nga.mil/geo-division/GENC/6/ed3/RS-141","as:GENC:6:ed3:RS-141")</f>
        <v>as:GENC:6:ed3:RS-141</v>
      </c>
    </row>
    <row r="3775" spans="1:7" x14ac:dyDescent="0.2">
      <c r="A3775" s="85"/>
      <c r="B3775" s="25" t="s">
        <v>13564</v>
      </c>
      <c r="C3775" s="25" t="s">
        <v>13565</v>
      </c>
      <c r="D3775" s="25" t="s">
        <v>2164</v>
      </c>
      <c r="E3775" s="26" t="b">
        <v>1</v>
      </c>
      <c r="F3775" s="27" t="str">
        <f>HYPERLINK("http://nsgreg.nga.mil/genc/view?v=213180&amp;end_month=12&amp;end_day=31&amp;end_year=2014","Sremski Karlovci")</f>
        <v>Sremski Karlovci</v>
      </c>
      <c r="G3775" s="28" t="str">
        <f>HYPERLINK("http://api.nsgreg.nga.mil/geo-division/GENC/6/ed3/RS-142","as:GENC:6:ed3:RS-142")</f>
        <v>as:GENC:6:ed3:RS-142</v>
      </c>
    </row>
    <row r="3776" spans="1:7" x14ac:dyDescent="0.2">
      <c r="A3776" s="85"/>
      <c r="B3776" s="25" t="s">
        <v>9078</v>
      </c>
      <c r="C3776" s="25" t="s">
        <v>13566</v>
      </c>
      <c r="D3776" s="37" t="s">
        <v>1790</v>
      </c>
      <c r="E3776" s="38" t="b">
        <v>0</v>
      </c>
      <c r="F3776" s="27" t="str">
        <f>HYPERLINK("http://nsgreg.nga.mil/genc/view?v=213130&amp;end_month=12&amp;end_day=31&amp;end_year=2014","Sremski Okrug")</f>
        <v>Sremski Okrug</v>
      </c>
      <c r="G3776" s="28" t="str">
        <f>HYPERLINK("http://api.nsgreg.nga.mil/geo-division/GENC/6/ed3/RS-07","as:GENC:6:ed3:RS-07")</f>
        <v>as:GENC:6:ed3:RS-07</v>
      </c>
    </row>
    <row r="3777" spans="1:7" x14ac:dyDescent="0.2">
      <c r="A3777" s="85"/>
      <c r="B3777" s="25" t="s">
        <v>13567</v>
      </c>
      <c r="C3777" s="25" t="s">
        <v>13568</v>
      </c>
      <c r="D3777" s="25" t="s">
        <v>2164</v>
      </c>
      <c r="E3777" s="26" t="b">
        <v>1</v>
      </c>
      <c r="F3777" s="27" t="str">
        <f>HYPERLINK("http://nsgreg.nga.mil/genc/view?v=213181&amp;end_month=12&amp;end_day=31&amp;end_year=2014","Stara Pazova")</f>
        <v>Stara Pazova</v>
      </c>
      <c r="G3777" s="28" t="str">
        <f>HYPERLINK("http://api.nsgreg.nga.mil/geo-division/GENC/6/ed3/RS-143","as:GENC:6:ed3:RS-143")</f>
        <v>as:GENC:6:ed3:RS-143</v>
      </c>
    </row>
    <row r="3778" spans="1:7" x14ac:dyDescent="0.2">
      <c r="A3778" s="85"/>
      <c r="B3778" s="25" t="s">
        <v>13569</v>
      </c>
      <c r="C3778" s="25" t="s">
        <v>13570</v>
      </c>
      <c r="D3778" s="25" t="s">
        <v>2046</v>
      </c>
      <c r="E3778" s="26" t="b">
        <v>1</v>
      </c>
      <c r="F3778" s="27" t="str">
        <f>HYPERLINK("http://nsgreg.nga.mil/genc/view?v=213182&amp;end_month=12&amp;end_day=31&amp;end_year=2014","Subotica")</f>
        <v>Subotica</v>
      </c>
      <c r="G3778" s="28" t="str">
        <f>HYPERLINK("http://api.nsgreg.nga.mil/geo-division/GENC/6/ed3/RS-144","as:GENC:6:ed3:RS-144")</f>
        <v>as:GENC:6:ed3:RS-144</v>
      </c>
    </row>
    <row r="3779" spans="1:7" x14ac:dyDescent="0.2">
      <c r="A3779" s="85"/>
      <c r="B3779" s="25" t="s">
        <v>9090</v>
      </c>
      <c r="C3779" s="25" t="s">
        <v>13571</v>
      </c>
      <c r="D3779" s="37" t="s">
        <v>1790</v>
      </c>
      <c r="E3779" s="38" t="b">
        <v>0</v>
      </c>
      <c r="F3779" s="27" t="str">
        <f>HYPERLINK("http://nsgreg.nga.mil/genc/view?v=213155&amp;end_month=12&amp;end_day=31&amp;end_year=2014","Šumadijski Okrug")</f>
        <v>Šumadijski Okrug</v>
      </c>
      <c r="G3779" s="28" t="str">
        <f>HYPERLINK("http://api.nsgreg.nga.mil/geo-division/GENC/6/ed3/RS-12","as:GENC:6:ed3:RS-12")</f>
        <v>as:GENC:6:ed3:RS-12</v>
      </c>
    </row>
    <row r="3780" spans="1:7" x14ac:dyDescent="0.2">
      <c r="A3780" s="85"/>
      <c r="B3780" s="25" t="s">
        <v>13572</v>
      </c>
      <c r="C3780" s="25" t="s">
        <v>13573</v>
      </c>
      <c r="D3780" s="25" t="s">
        <v>2164</v>
      </c>
      <c r="E3780" s="26" t="b">
        <v>1</v>
      </c>
      <c r="F3780" s="27" t="str">
        <f>HYPERLINK("http://nsgreg.nga.mil/genc/view?v=213183&amp;end_month=12&amp;end_day=31&amp;end_year=2014","Surdulica")</f>
        <v>Surdulica</v>
      </c>
      <c r="G3780" s="28" t="str">
        <f>HYPERLINK("http://api.nsgreg.nga.mil/geo-division/GENC/6/ed3/RS-145","as:GENC:6:ed3:RS-145")</f>
        <v>as:GENC:6:ed3:RS-145</v>
      </c>
    </row>
    <row r="3781" spans="1:7" x14ac:dyDescent="0.2">
      <c r="A3781" s="85"/>
      <c r="B3781" s="25" t="s">
        <v>13574</v>
      </c>
      <c r="C3781" s="25" t="s">
        <v>13575</v>
      </c>
      <c r="D3781" s="25" t="s">
        <v>2164</v>
      </c>
      <c r="E3781" s="26" t="b">
        <v>1</v>
      </c>
      <c r="F3781" s="27" t="str">
        <f>HYPERLINK("http://nsgreg.nga.mil/genc/view?v=213184&amp;end_month=12&amp;end_day=31&amp;end_year=2014","Svilajnac")</f>
        <v>Svilajnac</v>
      </c>
      <c r="G3781" s="28" t="str">
        <f>HYPERLINK("http://api.nsgreg.nga.mil/geo-division/GENC/6/ed3/RS-146","as:GENC:6:ed3:RS-146")</f>
        <v>as:GENC:6:ed3:RS-146</v>
      </c>
    </row>
    <row r="3782" spans="1:7" x14ac:dyDescent="0.2">
      <c r="A3782" s="85"/>
      <c r="B3782" s="25" t="s">
        <v>13576</v>
      </c>
      <c r="C3782" s="25" t="s">
        <v>13577</v>
      </c>
      <c r="D3782" s="25" t="s">
        <v>2164</v>
      </c>
      <c r="E3782" s="26" t="b">
        <v>1</v>
      </c>
      <c r="F3782" s="27" t="str">
        <f>HYPERLINK("http://nsgreg.nga.mil/genc/view?v=213185&amp;end_month=12&amp;end_day=31&amp;end_year=2014","Svrljig")</f>
        <v>Svrljig</v>
      </c>
      <c r="G3782" s="28" t="str">
        <f>HYPERLINK("http://api.nsgreg.nga.mil/geo-division/GENC/6/ed3/RS-147","as:GENC:6:ed3:RS-147")</f>
        <v>as:GENC:6:ed3:RS-147</v>
      </c>
    </row>
    <row r="3783" spans="1:7" x14ac:dyDescent="0.2">
      <c r="A3783" s="85"/>
      <c r="B3783" s="25" t="s">
        <v>13578</v>
      </c>
      <c r="C3783" s="25" t="s">
        <v>13579</v>
      </c>
      <c r="D3783" s="25" t="s">
        <v>2164</v>
      </c>
      <c r="E3783" s="26" t="b">
        <v>1</v>
      </c>
      <c r="F3783" s="27" t="str">
        <f>HYPERLINK("http://nsgreg.nga.mil/genc/view?v=213186&amp;end_month=12&amp;end_day=31&amp;end_year=2014","Temerin")</f>
        <v>Temerin</v>
      </c>
      <c r="G3783" s="28" t="str">
        <f>HYPERLINK("http://api.nsgreg.nga.mil/geo-division/GENC/6/ed3/RS-148","as:GENC:6:ed3:RS-148")</f>
        <v>as:GENC:6:ed3:RS-148</v>
      </c>
    </row>
    <row r="3784" spans="1:7" x14ac:dyDescent="0.2">
      <c r="A3784" s="85"/>
      <c r="B3784" s="25" t="s">
        <v>13580</v>
      </c>
      <c r="C3784" s="25" t="s">
        <v>13581</v>
      </c>
      <c r="D3784" s="25" t="s">
        <v>2164</v>
      </c>
      <c r="E3784" s="26" t="b">
        <v>1</v>
      </c>
      <c r="F3784" s="27" t="str">
        <f>HYPERLINK("http://nsgreg.nga.mil/genc/view?v=213187&amp;end_month=12&amp;end_day=31&amp;end_year=2014","Titel")</f>
        <v>Titel</v>
      </c>
      <c r="G3784" s="28" t="str">
        <f>HYPERLINK("http://api.nsgreg.nga.mil/geo-division/GENC/6/ed3/RS-149","as:GENC:6:ed3:RS-149")</f>
        <v>as:GENC:6:ed3:RS-149</v>
      </c>
    </row>
    <row r="3785" spans="1:7" x14ac:dyDescent="0.2">
      <c r="A3785" s="85"/>
      <c r="B3785" s="25" t="s">
        <v>9080</v>
      </c>
      <c r="C3785" s="25" t="s">
        <v>13582</v>
      </c>
      <c r="D3785" s="37" t="s">
        <v>1790</v>
      </c>
      <c r="E3785" s="38" t="b">
        <v>0</v>
      </c>
      <c r="F3785" s="27" t="str">
        <f>HYPERLINK("http://nsgreg.nga.mil/genc/view?v=213218&amp;end_month=12&amp;end_day=31&amp;end_year=2014","Toplički Okrug")</f>
        <v>Toplički Okrug</v>
      </c>
      <c r="G3785" s="28" t="str">
        <f>HYPERLINK("http://api.nsgreg.nga.mil/geo-division/GENC/6/ed3/RS-21","as:GENC:6:ed3:RS-21")</f>
        <v>as:GENC:6:ed3:RS-21</v>
      </c>
    </row>
    <row r="3786" spans="1:7" x14ac:dyDescent="0.2">
      <c r="A3786" s="85"/>
      <c r="B3786" s="25" t="s">
        <v>13583</v>
      </c>
      <c r="C3786" s="25" t="s">
        <v>13584</v>
      </c>
      <c r="D3786" s="25" t="s">
        <v>2164</v>
      </c>
      <c r="E3786" s="26" t="b">
        <v>1</v>
      </c>
      <c r="F3786" s="27" t="str">
        <f>HYPERLINK("http://nsgreg.nga.mil/genc/view?v=213189&amp;end_month=12&amp;end_day=31&amp;end_year=2014","Topola")</f>
        <v>Topola</v>
      </c>
      <c r="G3786" s="28" t="str">
        <f>HYPERLINK("http://api.nsgreg.nga.mil/geo-division/GENC/6/ed3/RS-150","as:GENC:6:ed3:RS-150")</f>
        <v>as:GENC:6:ed3:RS-150</v>
      </c>
    </row>
    <row r="3787" spans="1:7" x14ac:dyDescent="0.2">
      <c r="A3787" s="85"/>
      <c r="B3787" s="25" t="s">
        <v>13585</v>
      </c>
      <c r="C3787" s="25" t="s">
        <v>13586</v>
      </c>
      <c r="D3787" s="25" t="s">
        <v>2164</v>
      </c>
      <c r="E3787" s="26" t="b">
        <v>1</v>
      </c>
      <c r="F3787" s="27" t="str">
        <f>HYPERLINK("http://nsgreg.nga.mil/genc/view?v=213190&amp;end_month=12&amp;end_day=31&amp;end_year=2014","Trgovište")</f>
        <v>Trgovište</v>
      </c>
      <c r="G3787" s="28" t="str">
        <f>HYPERLINK("http://api.nsgreg.nga.mil/geo-division/GENC/6/ed3/RS-151","as:GENC:6:ed3:RS-151")</f>
        <v>as:GENC:6:ed3:RS-151</v>
      </c>
    </row>
    <row r="3788" spans="1:7" x14ac:dyDescent="0.2">
      <c r="A3788" s="85"/>
      <c r="B3788" s="25" t="s">
        <v>13587</v>
      </c>
      <c r="C3788" s="25" t="s">
        <v>13588</v>
      </c>
      <c r="D3788" s="25" t="s">
        <v>2164</v>
      </c>
      <c r="E3788" s="26" t="b">
        <v>1</v>
      </c>
      <c r="F3788" s="27" t="str">
        <f>HYPERLINK("http://nsgreg.nga.mil/genc/view?v=213191&amp;end_month=12&amp;end_day=31&amp;end_year=2014","Trstenik")</f>
        <v>Trstenik</v>
      </c>
      <c r="G3788" s="28" t="str">
        <f>HYPERLINK("http://api.nsgreg.nga.mil/geo-division/GENC/6/ed3/RS-152","as:GENC:6:ed3:RS-152")</f>
        <v>as:GENC:6:ed3:RS-152</v>
      </c>
    </row>
    <row r="3789" spans="1:7" x14ac:dyDescent="0.2">
      <c r="A3789" s="85"/>
      <c r="B3789" s="25" t="s">
        <v>13589</v>
      </c>
      <c r="C3789" s="25" t="s">
        <v>13590</v>
      </c>
      <c r="D3789" s="25" t="s">
        <v>2164</v>
      </c>
      <c r="E3789" s="26" t="b">
        <v>1</v>
      </c>
      <c r="F3789" s="27" t="str">
        <f>HYPERLINK("http://nsgreg.nga.mil/genc/view?v=213192&amp;end_month=12&amp;end_day=31&amp;end_year=2014","Tutin")</f>
        <v>Tutin</v>
      </c>
      <c r="G3789" s="28" t="str">
        <f>HYPERLINK("http://api.nsgreg.nga.mil/geo-division/GENC/6/ed3/RS-153","as:GENC:6:ed3:RS-153")</f>
        <v>as:GENC:6:ed3:RS-153</v>
      </c>
    </row>
    <row r="3790" spans="1:7" x14ac:dyDescent="0.2">
      <c r="A3790" s="85"/>
      <c r="B3790" s="25" t="s">
        <v>13591</v>
      </c>
      <c r="C3790" s="25" t="s">
        <v>13592</v>
      </c>
      <c r="D3790" s="25" t="s">
        <v>2164</v>
      </c>
      <c r="E3790" s="26" t="b">
        <v>1</v>
      </c>
      <c r="F3790" s="27" t="str">
        <f>HYPERLINK("http://nsgreg.nga.mil/genc/view?v=213193&amp;end_month=12&amp;end_day=31&amp;end_year=2014","Ub")</f>
        <v>Ub</v>
      </c>
      <c r="G3790" s="28" t="str">
        <f>HYPERLINK("http://api.nsgreg.nga.mil/geo-division/GENC/6/ed3/RS-154","as:GENC:6:ed3:RS-154")</f>
        <v>as:GENC:6:ed3:RS-154</v>
      </c>
    </row>
    <row r="3791" spans="1:7" x14ac:dyDescent="0.2">
      <c r="A3791" s="85"/>
      <c r="B3791" s="25" t="s">
        <v>13593</v>
      </c>
      <c r="C3791" s="25" t="s">
        <v>13594</v>
      </c>
      <c r="D3791" s="25" t="s">
        <v>2046</v>
      </c>
      <c r="E3791" s="26" t="b">
        <v>1</v>
      </c>
      <c r="F3791" s="27" t="str">
        <f>HYPERLINK("http://nsgreg.nga.mil/genc/view?v=213194&amp;end_month=12&amp;end_day=31&amp;end_year=2014","Užice")</f>
        <v>Užice</v>
      </c>
      <c r="G3791" s="28" t="str">
        <f>HYPERLINK("http://api.nsgreg.nga.mil/geo-division/GENC/6/ed3/RS-155","as:GENC:6:ed3:RS-155")</f>
        <v>as:GENC:6:ed3:RS-155</v>
      </c>
    </row>
    <row r="3792" spans="1:7" x14ac:dyDescent="0.2">
      <c r="A3792" s="85"/>
      <c r="B3792" s="25" t="s">
        <v>13595</v>
      </c>
      <c r="C3792" s="25" t="s">
        <v>13596</v>
      </c>
      <c r="D3792" s="25" t="s">
        <v>2046</v>
      </c>
      <c r="E3792" s="26" t="b">
        <v>1</v>
      </c>
      <c r="F3792" s="27" t="str">
        <f>HYPERLINK("http://nsgreg.nga.mil/genc/view?v=213195&amp;end_month=12&amp;end_day=31&amp;end_year=2014","Valjevo")</f>
        <v>Valjevo</v>
      </c>
      <c r="G3792" s="28" t="str">
        <f>HYPERLINK("http://api.nsgreg.nga.mil/geo-division/GENC/6/ed3/RS-156","as:GENC:6:ed3:RS-156")</f>
        <v>as:GENC:6:ed3:RS-156</v>
      </c>
    </row>
    <row r="3793" spans="1:7" x14ac:dyDescent="0.2">
      <c r="A3793" s="85"/>
      <c r="B3793" s="25" t="s">
        <v>13597</v>
      </c>
      <c r="C3793" s="25" t="s">
        <v>13598</v>
      </c>
      <c r="D3793" s="25" t="s">
        <v>2164</v>
      </c>
      <c r="E3793" s="26" t="b">
        <v>1</v>
      </c>
      <c r="F3793" s="27" t="str">
        <f>HYPERLINK("http://nsgreg.nga.mil/genc/view?v=213196&amp;end_month=12&amp;end_day=31&amp;end_year=2014","Varvarin")</f>
        <v>Varvarin</v>
      </c>
      <c r="G3793" s="28" t="str">
        <f>HYPERLINK("http://api.nsgreg.nga.mil/geo-division/GENC/6/ed3/RS-157","as:GENC:6:ed3:RS-157")</f>
        <v>as:GENC:6:ed3:RS-157</v>
      </c>
    </row>
    <row r="3794" spans="1:7" x14ac:dyDescent="0.2">
      <c r="A3794" s="85"/>
      <c r="B3794" s="25" t="s">
        <v>13599</v>
      </c>
      <c r="C3794" s="25" t="s">
        <v>13600</v>
      </c>
      <c r="D3794" s="25" t="s">
        <v>2164</v>
      </c>
      <c r="E3794" s="26" t="b">
        <v>1</v>
      </c>
      <c r="F3794" s="27" t="str">
        <f>HYPERLINK("http://nsgreg.nga.mil/genc/view?v=213197&amp;end_month=12&amp;end_day=31&amp;end_year=2014","Velika Plana")</f>
        <v>Velika Plana</v>
      </c>
      <c r="G3794" s="28" t="str">
        <f>HYPERLINK("http://api.nsgreg.nga.mil/geo-division/GENC/6/ed3/RS-158","as:GENC:6:ed3:RS-158")</f>
        <v>as:GENC:6:ed3:RS-158</v>
      </c>
    </row>
    <row r="3795" spans="1:7" x14ac:dyDescent="0.2">
      <c r="A3795" s="85"/>
      <c r="B3795" s="25" t="s">
        <v>13601</v>
      </c>
      <c r="C3795" s="25" t="s">
        <v>13602</v>
      </c>
      <c r="D3795" s="25" t="s">
        <v>2164</v>
      </c>
      <c r="E3795" s="26" t="b">
        <v>1</v>
      </c>
      <c r="F3795" s="27" t="str">
        <f>HYPERLINK("http://nsgreg.nga.mil/genc/view?v=213198&amp;end_month=12&amp;end_day=31&amp;end_year=2014","Veliko Gradište")</f>
        <v>Veliko Gradište</v>
      </c>
      <c r="G3795" s="28" t="str">
        <f>HYPERLINK("http://api.nsgreg.nga.mil/geo-division/GENC/6/ed3/RS-159","as:GENC:6:ed3:RS-159")</f>
        <v>as:GENC:6:ed3:RS-159</v>
      </c>
    </row>
    <row r="3796" spans="1:7" x14ac:dyDescent="0.2">
      <c r="A3796" s="85"/>
      <c r="B3796" s="25" t="s">
        <v>13603</v>
      </c>
      <c r="C3796" s="25" t="s">
        <v>13604</v>
      </c>
      <c r="D3796" s="25" t="s">
        <v>2164</v>
      </c>
      <c r="E3796" s="26" t="b">
        <v>1</v>
      </c>
      <c r="F3796" s="27" t="str">
        <f>HYPERLINK("http://nsgreg.nga.mil/genc/view?v=213200&amp;end_month=12&amp;end_day=31&amp;end_year=2014","Vladičin Han")</f>
        <v>Vladičin Han</v>
      </c>
      <c r="G3796" s="28" t="str">
        <f>HYPERLINK("http://api.nsgreg.nga.mil/geo-division/GENC/6/ed3/RS-160","as:GENC:6:ed3:RS-160")</f>
        <v>as:GENC:6:ed3:RS-160</v>
      </c>
    </row>
    <row r="3797" spans="1:7" x14ac:dyDescent="0.2">
      <c r="A3797" s="85"/>
      <c r="B3797" s="25" t="s">
        <v>13605</v>
      </c>
      <c r="C3797" s="25" t="s">
        <v>13606</v>
      </c>
      <c r="D3797" s="25" t="s">
        <v>2164</v>
      </c>
      <c r="E3797" s="26" t="b">
        <v>1</v>
      </c>
      <c r="F3797" s="27" t="str">
        <f>HYPERLINK("http://nsgreg.nga.mil/genc/view?v=213201&amp;end_month=12&amp;end_day=31&amp;end_year=2014","Vladimirci")</f>
        <v>Vladimirci</v>
      </c>
      <c r="G3797" s="28" t="str">
        <f>HYPERLINK("http://api.nsgreg.nga.mil/geo-division/GENC/6/ed3/RS-161","as:GENC:6:ed3:RS-161")</f>
        <v>as:GENC:6:ed3:RS-161</v>
      </c>
    </row>
    <row r="3798" spans="1:7" x14ac:dyDescent="0.2">
      <c r="A3798" s="85"/>
      <c r="B3798" s="25" t="s">
        <v>13607</v>
      </c>
      <c r="C3798" s="25" t="s">
        <v>13608</v>
      </c>
      <c r="D3798" s="25" t="s">
        <v>2164</v>
      </c>
      <c r="E3798" s="26" t="b">
        <v>1</v>
      </c>
      <c r="F3798" s="27" t="str">
        <f>HYPERLINK("http://nsgreg.nga.mil/genc/view?v=213202&amp;end_month=12&amp;end_day=31&amp;end_year=2014","Vlasotince")</f>
        <v>Vlasotince</v>
      </c>
      <c r="G3798" s="28" t="str">
        <f>HYPERLINK("http://api.nsgreg.nga.mil/geo-division/GENC/6/ed3/RS-162","as:GENC:6:ed3:RS-162")</f>
        <v>as:GENC:6:ed3:RS-162</v>
      </c>
    </row>
    <row r="3799" spans="1:7" x14ac:dyDescent="0.2">
      <c r="A3799" s="85"/>
      <c r="B3799" s="25" t="s">
        <v>9082</v>
      </c>
      <c r="C3799" s="25" t="s">
        <v>9083</v>
      </c>
      <c r="D3799" s="37" t="s">
        <v>5165</v>
      </c>
      <c r="E3799" s="38" t="b">
        <v>0</v>
      </c>
      <c r="F3799" s="27" t="str">
        <f>HYPERLINK("http://nsgreg.nga.mil/genc/view?v=121645&amp;gencs=T&amp;end_month=12&amp;end_day=31&amp;end_year=2014","Vojvodina")</f>
        <v>Vojvodina</v>
      </c>
      <c r="G3799" s="28" t="str">
        <f>HYPERLINK("http://api.nsgreg.nga.mil/geo-division/GENC/6/ed3/RS-VO","as:GENC:6:ed3:RS-VO")</f>
        <v>as:GENC:6:ed3:RS-VO</v>
      </c>
    </row>
    <row r="3800" spans="1:7" x14ac:dyDescent="0.2">
      <c r="A3800" s="85"/>
      <c r="B3800" s="25" t="s">
        <v>13609</v>
      </c>
      <c r="C3800" s="25" t="s">
        <v>13610</v>
      </c>
      <c r="D3800" s="25" t="s">
        <v>2046</v>
      </c>
      <c r="E3800" s="26" t="b">
        <v>1</v>
      </c>
      <c r="F3800" s="27" t="str">
        <f>HYPERLINK("http://nsgreg.nga.mil/genc/view?v=213203&amp;end_month=12&amp;end_day=31&amp;end_year=2014","Vranje")</f>
        <v>Vranje</v>
      </c>
      <c r="G3800" s="28" t="str">
        <f>HYPERLINK("http://api.nsgreg.nga.mil/geo-division/GENC/6/ed3/RS-163","as:GENC:6:ed3:RS-163")</f>
        <v>as:GENC:6:ed3:RS-163</v>
      </c>
    </row>
    <row r="3801" spans="1:7" x14ac:dyDescent="0.2">
      <c r="A3801" s="85"/>
      <c r="B3801" s="25" t="s">
        <v>13611</v>
      </c>
      <c r="C3801" s="25" t="s">
        <v>13612</v>
      </c>
      <c r="D3801" s="25" t="s">
        <v>2164</v>
      </c>
      <c r="E3801" s="26" t="b">
        <v>1</v>
      </c>
      <c r="F3801" s="27" t="str">
        <f>HYPERLINK("http://nsgreg.nga.mil/genc/view?v=213204&amp;end_month=12&amp;end_day=31&amp;end_year=2014","Vrbas")</f>
        <v>Vrbas</v>
      </c>
      <c r="G3801" s="28" t="str">
        <f>HYPERLINK("http://api.nsgreg.nga.mil/geo-division/GENC/6/ed3/RS-164","as:GENC:6:ed3:RS-164")</f>
        <v>as:GENC:6:ed3:RS-164</v>
      </c>
    </row>
    <row r="3802" spans="1:7" x14ac:dyDescent="0.2">
      <c r="A3802" s="85"/>
      <c r="B3802" s="25" t="s">
        <v>13613</v>
      </c>
      <c r="C3802" s="25" t="s">
        <v>13614</v>
      </c>
      <c r="D3802" s="25" t="s">
        <v>2164</v>
      </c>
      <c r="E3802" s="26" t="b">
        <v>1</v>
      </c>
      <c r="F3802" s="27" t="str">
        <f>HYPERLINK("http://nsgreg.nga.mil/genc/view?v=213205&amp;end_month=12&amp;end_day=31&amp;end_year=2014","Vrnjačka Banja")</f>
        <v>Vrnjačka Banja</v>
      </c>
      <c r="G3802" s="28" t="str">
        <f>HYPERLINK("http://api.nsgreg.nga.mil/geo-division/GENC/6/ed3/RS-165","as:GENC:6:ed3:RS-165")</f>
        <v>as:GENC:6:ed3:RS-165</v>
      </c>
    </row>
    <row r="3803" spans="1:7" x14ac:dyDescent="0.2">
      <c r="A3803" s="85"/>
      <c r="B3803" s="25" t="s">
        <v>13615</v>
      </c>
      <c r="C3803" s="25" t="s">
        <v>13616</v>
      </c>
      <c r="D3803" s="25" t="s">
        <v>2164</v>
      </c>
      <c r="E3803" s="26" t="b">
        <v>1</v>
      </c>
      <c r="F3803" s="27" t="str">
        <f>HYPERLINK("http://nsgreg.nga.mil/genc/view?v=213206&amp;end_month=12&amp;end_day=31&amp;end_year=2014","Vršac")</f>
        <v>Vršac</v>
      </c>
      <c r="G3803" s="28" t="str">
        <f>HYPERLINK("http://api.nsgreg.nga.mil/geo-division/GENC/6/ed3/RS-166","as:GENC:6:ed3:RS-166")</f>
        <v>as:GENC:6:ed3:RS-166</v>
      </c>
    </row>
    <row r="3804" spans="1:7" x14ac:dyDescent="0.2">
      <c r="A3804" s="85"/>
      <c r="B3804" s="25" t="s">
        <v>13617</v>
      </c>
      <c r="C3804" s="25" t="s">
        <v>13618</v>
      </c>
      <c r="D3804" s="25" t="s">
        <v>2164</v>
      </c>
      <c r="E3804" s="26" t="b">
        <v>1</v>
      </c>
      <c r="F3804" s="27" t="str">
        <f>HYPERLINK("http://nsgreg.nga.mil/genc/view?v=213207&amp;end_month=12&amp;end_day=31&amp;end_year=2014","Žabalj")</f>
        <v>Žabalj</v>
      </c>
      <c r="G3804" s="28" t="str">
        <f>HYPERLINK("http://api.nsgreg.nga.mil/geo-division/GENC/6/ed3/RS-167","as:GENC:6:ed3:RS-167")</f>
        <v>as:GENC:6:ed3:RS-167</v>
      </c>
    </row>
    <row r="3805" spans="1:7" x14ac:dyDescent="0.2">
      <c r="A3805" s="85"/>
      <c r="B3805" s="25" t="s">
        <v>13619</v>
      </c>
      <c r="C3805" s="25" t="s">
        <v>13620</v>
      </c>
      <c r="D3805" s="25" t="s">
        <v>2164</v>
      </c>
      <c r="E3805" s="26" t="b">
        <v>1</v>
      </c>
      <c r="F3805" s="27" t="str">
        <f>HYPERLINK("http://nsgreg.nga.mil/genc/view?v=213208&amp;end_month=12&amp;end_day=31&amp;end_year=2014","Žabari")</f>
        <v>Žabari</v>
      </c>
      <c r="G3805" s="28" t="str">
        <f>HYPERLINK("http://api.nsgreg.nga.mil/geo-division/GENC/6/ed3/RS-168","as:GENC:6:ed3:RS-168")</f>
        <v>as:GENC:6:ed3:RS-168</v>
      </c>
    </row>
    <row r="3806" spans="1:7" x14ac:dyDescent="0.2">
      <c r="A3806" s="85"/>
      <c r="B3806" s="25" t="s">
        <v>13621</v>
      </c>
      <c r="C3806" s="25" t="s">
        <v>13622</v>
      </c>
      <c r="D3806" s="25" t="s">
        <v>2164</v>
      </c>
      <c r="E3806" s="26" t="b">
        <v>1</v>
      </c>
      <c r="F3806" s="27" t="str">
        <f>HYPERLINK("http://nsgreg.nga.mil/genc/view?v=213209&amp;end_month=12&amp;end_day=31&amp;end_year=2014","Žagubica")</f>
        <v>Žagubica</v>
      </c>
      <c r="G3806" s="28" t="str">
        <f>HYPERLINK("http://api.nsgreg.nga.mil/geo-division/GENC/6/ed3/RS-169","as:GENC:6:ed3:RS-169")</f>
        <v>as:GENC:6:ed3:RS-169</v>
      </c>
    </row>
    <row r="3807" spans="1:7" x14ac:dyDescent="0.2">
      <c r="A3807" s="85"/>
      <c r="B3807" s="25" t="s">
        <v>13623</v>
      </c>
      <c r="C3807" s="25" t="s">
        <v>13624</v>
      </c>
      <c r="D3807" s="25" t="s">
        <v>2046</v>
      </c>
      <c r="E3807" s="26" t="b">
        <v>1</v>
      </c>
      <c r="F3807" s="27" t="str">
        <f>HYPERLINK("http://nsgreg.nga.mil/genc/view?v=213211&amp;end_month=12&amp;end_day=31&amp;end_year=2014","Zaječar")</f>
        <v>Zaječar</v>
      </c>
      <c r="G3807" s="28" t="str">
        <f>HYPERLINK("http://api.nsgreg.nga.mil/geo-division/GENC/6/ed3/RS-170","as:GENC:6:ed3:RS-170")</f>
        <v>as:GENC:6:ed3:RS-170</v>
      </c>
    </row>
    <row r="3808" spans="1:7" x14ac:dyDescent="0.2">
      <c r="A3808" s="85"/>
      <c r="B3808" s="25" t="s">
        <v>9084</v>
      </c>
      <c r="C3808" s="25" t="s">
        <v>13625</v>
      </c>
      <c r="D3808" s="37" t="s">
        <v>1790</v>
      </c>
      <c r="E3808" s="38" t="b">
        <v>0</v>
      </c>
      <c r="F3808" s="27" t="str">
        <f>HYPERLINK("http://nsgreg.nga.mil/genc/view?v=213188&amp;end_month=12&amp;end_day=31&amp;end_year=2014","Zaječarski Okrug")</f>
        <v>Zaječarski Okrug</v>
      </c>
      <c r="G3808" s="28" t="str">
        <f>HYPERLINK("http://api.nsgreg.nga.mil/geo-division/GENC/6/ed3/RS-15","as:GENC:6:ed3:RS-15")</f>
        <v>as:GENC:6:ed3:RS-15</v>
      </c>
    </row>
    <row r="3809" spans="1:7" x14ac:dyDescent="0.2">
      <c r="A3809" s="85"/>
      <c r="B3809" s="25" t="s">
        <v>9086</v>
      </c>
      <c r="C3809" s="25" t="s">
        <v>13626</v>
      </c>
      <c r="D3809" s="37" t="s">
        <v>1790</v>
      </c>
      <c r="E3809" s="38" t="b">
        <v>0</v>
      </c>
      <c r="F3809" s="27" t="str">
        <f>HYPERLINK("http://nsgreg.nga.mil/genc/view?v=213128&amp;end_month=12&amp;end_day=31&amp;end_year=2014","Zapadno Bački Okrug")</f>
        <v>Zapadno Bački Okrug</v>
      </c>
      <c r="G3809" s="28" t="str">
        <f>HYPERLINK("http://api.nsgreg.nga.mil/geo-division/GENC/6/ed3/RS-05","as:GENC:6:ed3:RS-05")</f>
        <v>as:GENC:6:ed3:RS-05</v>
      </c>
    </row>
    <row r="3810" spans="1:7" x14ac:dyDescent="0.2">
      <c r="A3810" s="85"/>
      <c r="B3810" s="25" t="s">
        <v>13627</v>
      </c>
      <c r="C3810" s="25" t="s">
        <v>13628</v>
      </c>
      <c r="D3810" s="25" t="s">
        <v>2164</v>
      </c>
      <c r="E3810" s="26" t="b">
        <v>1</v>
      </c>
      <c r="F3810" s="27" t="str">
        <f>HYPERLINK("http://nsgreg.nga.mil/genc/view?v=213212&amp;end_month=12&amp;end_day=31&amp;end_year=2014","Žitište")</f>
        <v>Žitište</v>
      </c>
      <c r="G3810" s="28" t="str">
        <f>HYPERLINK("http://api.nsgreg.nga.mil/geo-division/GENC/6/ed3/RS-171","as:GENC:6:ed3:RS-171")</f>
        <v>as:GENC:6:ed3:RS-171</v>
      </c>
    </row>
    <row r="3811" spans="1:7" x14ac:dyDescent="0.2">
      <c r="A3811" s="85"/>
      <c r="B3811" s="25" t="s">
        <v>13629</v>
      </c>
      <c r="C3811" s="25" t="s">
        <v>13630</v>
      </c>
      <c r="D3811" s="25" t="s">
        <v>2164</v>
      </c>
      <c r="E3811" s="26" t="b">
        <v>1</v>
      </c>
      <c r="F3811" s="27" t="str">
        <f>HYPERLINK("http://nsgreg.nga.mil/genc/view?v=213213&amp;end_month=12&amp;end_day=31&amp;end_year=2014","Žitorađa")</f>
        <v>Žitorađa</v>
      </c>
      <c r="G3811" s="28" t="str">
        <f>HYPERLINK("http://api.nsgreg.nga.mil/geo-division/GENC/6/ed3/RS-172","as:GENC:6:ed3:RS-172")</f>
        <v>as:GENC:6:ed3:RS-172</v>
      </c>
    </row>
    <row r="3812" spans="1:7" x14ac:dyDescent="0.2">
      <c r="A3812" s="85"/>
      <c r="B3812" s="25" t="s">
        <v>9088</v>
      </c>
      <c r="C3812" s="25" t="s">
        <v>13631</v>
      </c>
      <c r="D3812" s="37" t="s">
        <v>1790</v>
      </c>
      <c r="E3812" s="38" t="b">
        <v>0</v>
      </c>
      <c r="F3812" s="27" t="str">
        <f>HYPERLINK("http://nsgreg.nga.mil/genc/view?v=213199&amp;end_month=12&amp;end_day=31&amp;end_year=2014","Zlatiborski Okrug")</f>
        <v>Zlatiborski Okrug</v>
      </c>
      <c r="G3812" s="28" t="str">
        <f>HYPERLINK("http://api.nsgreg.nga.mil/geo-division/GENC/6/ed3/RS-16","as:GENC:6:ed3:RS-16")</f>
        <v>as:GENC:6:ed3:RS-16</v>
      </c>
    </row>
    <row r="3813" spans="1:7" x14ac:dyDescent="0.2">
      <c r="A3813" s="86"/>
      <c r="B3813" s="29" t="s">
        <v>13632</v>
      </c>
      <c r="C3813" s="29" t="s">
        <v>13633</v>
      </c>
      <c r="D3813" s="29" t="s">
        <v>2046</v>
      </c>
      <c r="E3813" s="30" t="b">
        <v>1</v>
      </c>
      <c r="F3813" s="31" t="str">
        <f>HYPERLINK("http://nsgreg.nga.mil/genc/view?v=213214&amp;end_month=12&amp;end_day=31&amp;end_year=2014","Zrenjanin")</f>
        <v>Zrenjanin</v>
      </c>
      <c r="G3813" s="32" t="str">
        <f>HYPERLINK("http://api.nsgreg.nga.mil/geo-division/GENC/6/ed3/RS-173","as:GENC:6:ed3:RS-173")</f>
        <v>as:GENC:6:ed3:RS-173</v>
      </c>
    </row>
    <row r="3814" spans="1:7" x14ac:dyDescent="0.2">
      <c r="A3814" s="84" t="str">
        <f>HYPERLINK("[#]Codes_for_GE_Names!A227:I227","SEYCHELLES")</f>
        <v>SEYCHELLES</v>
      </c>
      <c r="B3814" s="33" t="s">
        <v>9098</v>
      </c>
      <c r="C3814" s="33" t="s">
        <v>9103</v>
      </c>
      <c r="D3814" s="33" t="s">
        <v>1790</v>
      </c>
      <c r="E3814" s="34" t="b">
        <v>1</v>
      </c>
      <c r="F3814" s="35" t="str">
        <f>HYPERLINK("http://nsgreg.nga.mil/genc/view?v=213401&amp;end_month=12&amp;end_day=31&amp;end_year=2014","Anse aux Pins")</f>
        <v>Anse aux Pins</v>
      </c>
      <c r="G3814" s="36" t="str">
        <f>HYPERLINK("http://api.nsgreg.nga.mil/geo-division/GENC/6/ed3/SC-01","as:GENC:6:ed3:SC-01")</f>
        <v>as:GENC:6:ed3:SC-01</v>
      </c>
    </row>
    <row r="3815" spans="1:7" x14ac:dyDescent="0.2">
      <c r="A3815" s="85"/>
      <c r="B3815" s="25" t="s">
        <v>9092</v>
      </c>
      <c r="C3815" s="25" t="s">
        <v>9100</v>
      </c>
      <c r="D3815" s="25" t="s">
        <v>1790</v>
      </c>
      <c r="E3815" s="26" t="b">
        <v>1</v>
      </c>
      <c r="F3815" s="27" t="str">
        <f>HYPERLINK("http://nsgreg.nga.mil/genc/view?v=213402&amp;end_month=12&amp;end_day=31&amp;end_year=2014","Anse Boileau")</f>
        <v>Anse Boileau</v>
      </c>
      <c r="G3815" s="28" t="str">
        <f>HYPERLINK("http://api.nsgreg.nga.mil/geo-division/GENC/6/ed3/SC-02","as:GENC:6:ed3:SC-02")</f>
        <v>as:GENC:6:ed3:SC-02</v>
      </c>
    </row>
    <row r="3816" spans="1:7" x14ac:dyDescent="0.2">
      <c r="A3816" s="85"/>
      <c r="B3816" s="25" t="s">
        <v>9094</v>
      </c>
      <c r="C3816" s="25" t="s">
        <v>9101</v>
      </c>
      <c r="D3816" s="25" t="s">
        <v>1790</v>
      </c>
      <c r="E3816" s="26" t="b">
        <v>1</v>
      </c>
      <c r="F3816" s="27" t="str">
        <f>HYPERLINK("http://nsgreg.nga.mil/genc/view?v=213403&amp;end_month=12&amp;end_day=31&amp;end_year=2014","Anse Etoile")</f>
        <v>Anse Etoile</v>
      </c>
      <c r="G3816" s="28" t="str">
        <f>HYPERLINK("http://api.nsgreg.nga.mil/geo-division/GENC/6/ed3/SC-03","as:GENC:6:ed3:SC-03")</f>
        <v>as:GENC:6:ed3:SC-03</v>
      </c>
    </row>
    <row r="3817" spans="1:7" x14ac:dyDescent="0.2">
      <c r="A3817" s="85"/>
      <c r="B3817" s="25" t="s">
        <v>9096</v>
      </c>
      <c r="C3817" s="25" t="s">
        <v>9102</v>
      </c>
      <c r="D3817" s="25" t="s">
        <v>1790</v>
      </c>
      <c r="E3817" s="26" t="b">
        <v>1</v>
      </c>
      <c r="F3817" s="27" t="str">
        <f>HYPERLINK("http://nsgreg.nga.mil/genc/view?v=213405&amp;end_month=12&amp;end_day=31&amp;end_year=2014","Anse Royale")</f>
        <v>Anse Royale</v>
      </c>
      <c r="G3817" s="28" t="str">
        <f>HYPERLINK("http://api.nsgreg.nga.mil/geo-division/GENC/6/ed3/SC-05","as:GENC:6:ed3:SC-05")</f>
        <v>as:GENC:6:ed3:SC-05</v>
      </c>
    </row>
    <row r="3818" spans="1:7" x14ac:dyDescent="0.2">
      <c r="A3818" s="85"/>
      <c r="B3818" s="25" t="s">
        <v>9105</v>
      </c>
      <c r="C3818" s="25" t="s">
        <v>9106</v>
      </c>
      <c r="D3818" s="25" t="s">
        <v>1790</v>
      </c>
      <c r="E3818" s="26" t="b">
        <v>1</v>
      </c>
      <c r="F3818" s="27" t="str">
        <f>HYPERLINK("http://nsgreg.nga.mil/genc/view?v=213404&amp;end_month=12&amp;end_day=31&amp;end_year=2014","Au Cap")</f>
        <v>Au Cap</v>
      </c>
      <c r="G3818" s="28" t="str">
        <f>HYPERLINK("http://api.nsgreg.nga.mil/geo-division/GENC/6/ed3/SC-04","as:GENC:6:ed3:SC-04")</f>
        <v>as:GENC:6:ed3:SC-04</v>
      </c>
    </row>
    <row r="3819" spans="1:7" x14ac:dyDescent="0.2">
      <c r="A3819" s="85"/>
      <c r="B3819" s="25" t="s">
        <v>9107</v>
      </c>
      <c r="C3819" s="25" t="s">
        <v>9108</v>
      </c>
      <c r="D3819" s="25" t="s">
        <v>1790</v>
      </c>
      <c r="E3819" s="26" t="b">
        <v>1</v>
      </c>
      <c r="F3819" s="27" t="str">
        <f>HYPERLINK("http://nsgreg.nga.mil/genc/view?v=213406&amp;end_month=12&amp;end_day=31&amp;end_year=2014","Baie Lazare")</f>
        <v>Baie Lazare</v>
      </c>
      <c r="G3819" s="28" t="str">
        <f>HYPERLINK("http://api.nsgreg.nga.mil/geo-division/GENC/6/ed3/SC-06","as:GENC:6:ed3:SC-06")</f>
        <v>as:GENC:6:ed3:SC-06</v>
      </c>
    </row>
    <row r="3820" spans="1:7" x14ac:dyDescent="0.2">
      <c r="A3820" s="85"/>
      <c r="B3820" s="25" t="s">
        <v>9109</v>
      </c>
      <c r="C3820" s="25" t="s">
        <v>9110</v>
      </c>
      <c r="D3820" s="25" t="s">
        <v>1790</v>
      </c>
      <c r="E3820" s="26" t="b">
        <v>1</v>
      </c>
      <c r="F3820" s="27" t="str">
        <f>HYPERLINK("http://nsgreg.nga.mil/genc/view?v=213407&amp;end_month=12&amp;end_day=31&amp;end_year=2014","Baie Sainte Anne")</f>
        <v>Baie Sainte Anne</v>
      </c>
      <c r="G3820" s="28" t="str">
        <f>HYPERLINK("http://api.nsgreg.nga.mil/geo-division/GENC/6/ed3/SC-07","as:GENC:6:ed3:SC-07")</f>
        <v>as:GENC:6:ed3:SC-07</v>
      </c>
    </row>
    <row r="3821" spans="1:7" x14ac:dyDescent="0.2">
      <c r="A3821" s="85"/>
      <c r="B3821" s="25" t="s">
        <v>9114</v>
      </c>
      <c r="C3821" s="25" t="s">
        <v>9115</v>
      </c>
      <c r="D3821" s="25" t="s">
        <v>1790</v>
      </c>
      <c r="E3821" s="26" t="b">
        <v>1</v>
      </c>
      <c r="F3821" s="27" t="str">
        <f>HYPERLINK("http://nsgreg.nga.mil/genc/view?v=213408&amp;end_month=12&amp;end_day=31&amp;end_year=2014","Beau Vallon")</f>
        <v>Beau Vallon</v>
      </c>
      <c r="G3821" s="28" t="str">
        <f>HYPERLINK("http://api.nsgreg.nga.mil/geo-division/GENC/6/ed3/SC-08","as:GENC:6:ed3:SC-08")</f>
        <v>as:GENC:6:ed3:SC-08</v>
      </c>
    </row>
    <row r="3822" spans="1:7" x14ac:dyDescent="0.2">
      <c r="A3822" s="85"/>
      <c r="B3822" s="25" t="s">
        <v>9116</v>
      </c>
      <c r="C3822" s="25" t="s">
        <v>9117</v>
      </c>
      <c r="D3822" s="25" t="s">
        <v>1790</v>
      </c>
      <c r="E3822" s="26" t="b">
        <v>1</v>
      </c>
      <c r="F3822" s="27" t="str">
        <f>HYPERLINK("http://nsgreg.nga.mil/genc/view?v=213409&amp;end_month=12&amp;end_day=31&amp;end_year=2014","Bel Air")</f>
        <v>Bel Air</v>
      </c>
      <c r="G3822" s="28" t="str">
        <f>HYPERLINK("http://api.nsgreg.nga.mil/geo-division/GENC/6/ed3/SC-09","as:GENC:6:ed3:SC-09")</f>
        <v>as:GENC:6:ed3:SC-09</v>
      </c>
    </row>
    <row r="3823" spans="1:7" x14ac:dyDescent="0.2">
      <c r="A3823" s="85"/>
      <c r="B3823" s="25" t="s">
        <v>9118</v>
      </c>
      <c r="C3823" s="25" t="s">
        <v>9119</v>
      </c>
      <c r="D3823" s="25" t="s">
        <v>1790</v>
      </c>
      <c r="E3823" s="26" t="b">
        <v>1</v>
      </c>
      <c r="F3823" s="27" t="str">
        <f>HYPERLINK("http://nsgreg.nga.mil/genc/view?v=213410&amp;end_month=12&amp;end_day=31&amp;end_year=2014","Bel Ombre")</f>
        <v>Bel Ombre</v>
      </c>
      <c r="G3823" s="28" t="str">
        <f>HYPERLINK("http://api.nsgreg.nga.mil/geo-division/GENC/6/ed3/SC-10","as:GENC:6:ed3:SC-10")</f>
        <v>as:GENC:6:ed3:SC-10</v>
      </c>
    </row>
    <row r="3824" spans="1:7" x14ac:dyDescent="0.2">
      <c r="A3824" s="85"/>
      <c r="B3824" s="25" t="s">
        <v>9123</v>
      </c>
      <c r="C3824" s="25" t="s">
        <v>9124</v>
      </c>
      <c r="D3824" s="25" t="s">
        <v>1790</v>
      </c>
      <c r="E3824" s="26" t="b">
        <v>1</v>
      </c>
      <c r="F3824" s="27" t="str">
        <f>HYPERLINK("http://nsgreg.nga.mil/genc/view?v=213411&amp;end_month=12&amp;end_day=31&amp;end_year=2014","Cascade")</f>
        <v>Cascade</v>
      </c>
      <c r="G3824" s="28" t="str">
        <f>HYPERLINK("http://api.nsgreg.nga.mil/geo-division/GENC/6/ed3/SC-11","as:GENC:6:ed3:SC-11")</f>
        <v>as:GENC:6:ed3:SC-11</v>
      </c>
    </row>
    <row r="3825" spans="1:7" x14ac:dyDescent="0.2">
      <c r="A3825" s="85"/>
      <c r="B3825" s="25" t="s">
        <v>9125</v>
      </c>
      <c r="C3825" s="25" t="s">
        <v>9126</v>
      </c>
      <c r="D3825" s="25" t="s">
        <v>1790</v>
      </c>
      <c r="E3825" s="26" t="b">
        <v>1</v>
      </c>
      <c r="F3825" s="27" t="str">
        <f>HYPERLINK("http://nsgreg.nga.mil/genc/view?v=213416&amp;end_month=12&amp;end_day=31&amp;end_year=2014","English River")</f>
        <v>English River</v>
      </c>
      <c r="G3825" s="28" t="str">
        <f>HYPERLINK("http://api.nsgreg.nga.mil/geo-division/GENC/6/ed3/SC-16","as:GENC:6:ed3:SC-16")</f>
        <v>as:GENC:6:ed3:SC-16</v>
      </c>
    </row>
    <row r="3826" spans="1:7" x14ac:dyDescent="0.2">
      <c r="A3826" s="85"/>
      <c r="B3826" s="25" t="s">
        <v>9127</v>
      </c>
      <c r="C3826" s="25" t="s">
        <v>9128</v>
      </c>
      <c r="D3826" s="25" t="s">
        <v>1790</v>
      </c>
      <c r="E3826" s="26" t="b">
        <v>1</v>
      </c>
      <c r="F3826" s="27" t="str">
        <f>HYPERLINK("http://nsgreg.nga.mil/genc/view?v=213412&amp;end_month=12&amp;end_day=31&amp;end_year=2014","Glacis")</f>
        <v>Glacis</v>
      </c>
      <c r="G3826" s="28" t="str">
        <f>HYPERLINK("http://api.nsgreg.nga.mil/geo-division/GENC/6/ed3/SC-12","as:GENC:6:ed3:SC-12")</f>
        <v>as:GENC:6:ed3:SC-12</v>
      </c>
    </row>
    <row r="3827" spans="1:7" x14ac:dyDescent="0.2">
      <c r="A3827" s="85"/>
      <c r="B3827" s="25" t="s">
        <v>9130</v>
      </c>
      <c r="C3827" s="25" t="s">
        <v>9134</v>
      </c>
      <c r="D3827" s="25" t="s">
        <v>1790</v>
      </c>
      <c r="E3827" s="26" t="b">
        <v>1</v>
      </c>
      <c r="F3827" s="27" t="str">
        <f>HYPERLINK("http://nsgreg.nga.mil/genc/view?v=213413&amp;end_month=12&amp;end_day=31&amp;end_year=2014","Grand Anse Mahe")</f>
        <v>Grand Anse Mahe</v>
      </c>
      <c r="G3827" s="28" t="str">
        <f>HYPERLINK("http://api.nsgreg.nga.mil/geo-division/GENC/6/ed3/SC-13","as:GENC:6:ed3:SC-13")</f>
        <v>as:GENC:6:ed3:SC-13</v>
      </c>
    </row>
    <row r="3828" spans="1:7" x14ac:dyDescent="0.2">
      <c r="A3828" s="85"/>
      <c r="B3828" s="25" t="s">
        <v>9132</v>
      </c>
      <c r="C3828" s="25" t="s">
        <v>9135</v>
      </c>
      <c r="D3828" s="25" t="s">
        <v>1790</v>
      </c>
      <c r="E3828" s="26" t="b">
        <v>1</v>
      </c>
      <c r="F3828" s="27" t="str">
        <f>HYPERLINK("http://nsgreg.nga.mil/genc/view?v=213414&amp;end_month=12&amp;end_day=31&amp;end_year=2014","Grand Anse Praslin")</f>
        <v>Grand Anse Praslin</v>
      </c>
      <c r="G3828" s="28" t="str">
        <f>HYPERLINK("http://api.nsgreg.nga.mil/geo-division/GENC/6/ed3/SC-14","as:GENC:6:ed3:SC-14")</f>
        <v>as:GENC:6:ed3:SC-14</v>
      </c>
    </row>
    <row r="3829" spans="1:7" x14ac:dyDescent="0.2">
      <c r="A3829" s="85"/>
      <c r="B3829" s="25" t="s">
        <v>9139</v>
      </c>
      <c r="C3829" s="25" t="s">
        <v>13634</v>
      </c>
      <c r="D3829" s="25" t="s">
        <v>1790</v>
      </c>
      <c r="E3829" s="26" t="b">
        <v>1</v>
      </c>
      <c r="F3829" s="27" t="str">
        <f>HYPERLINK("http://nsgreg.nga.mil/genc/view?v=213415&amp;end_month=12&amp;end_day=31&amp;end_year=2014","Inner Islands")</f>
        <v>Inner Islands</v>
      </c>
      <c r="G3829" s="28" t="str">
        <f>HYPERLINK("http://api.nsgreg.nga.mil/geo-division/GENC/6/ed3/SC-15","as:GENC:6:ed3:SC-15")</f>
        <v>as:GENC:6:ed3:SC-15</v>
      </c>
    </row>
    <row r="3830" spans="1:7" x14ac:dyDescent="0.2">
      <c r="A3830" s="85"/>
      <c r="B3830" s="25" t="s">
        <v>9144</v>
      </c>
      <c r="C3830" s="25" t="s">
        <v>9146</v>
      </c>
      <c r="D3830" s="25" t="s">
        <v>1790</v>
      </c>
      <c r="E3830" s="26" t="b">
        <v>1</v>
      </c>
      <c r="F3830" s="27" t="str">
        <f>HYPERLINK("http://nsgreg.nga.mil/genc/view?v=213424&amp;end_month=12&amp;end_day=31&amp;end_year=2014","Les Mamelles")</f>
        <v>Les Mamelles</v>
      </c>
      <c r="G3830" s="28" t="str">
        <f>HYPERLINK("http://api.nsgreg.nga.mil/geo-division/GENC/6/ed3/SC-24","as:GENC:6:ed3:SC-24")</f>
        <v>as:GENC:6:ed3:SC-24</v>
      </c>
    </row>
    <row r="3831" spans="1:7" x14ac:dyDescent="0.2">
      <c r="A3831" s="85"/>
      <c r="B3831" s="25" t="s">
        <v>9147</v>
      </c>
      <c r="C3831" s="25" t="s">
        <v>9151</v>
      </c>
      <c r="D3831" s="25" t="s">
        <v>1790</v>
      </c>
      <c r="E3831" s="26" t="b">
        <v>1</v>
      </c>
      <c r="F3831" s="27" t="str">
        <f>HYPERLINK("http://nsgreg.nga.mil/genc/view?v=213417&amp;end_month=12&amp;end_day=31&amp;end_year=2014","Mont Buxton")</f>
        <v>Mont Buxton</v>
      </c>
      <c r="G3831" s="28" t="str">
        <f>HYPERLINK("http://api.nsgreg.nga.mil/geo-division/GENC/6/ed3/SC-17","as:GENC:6:ed3:SC-17")</f>
        <v>as:GENC:6:ed3:SC-17</v>
      </c>
    </row>
    <row r="3832" spans="1:7" x14ac:dyDescent="0.2">
      <c r="A3832" s="85"/>
      <c r="B3832" s="25" t="s">
        <v>9149</v>
      </c>
      <c r="C3832" s="25" t="s">
        <v>9152</v>
      </c>
      <c r="D3832" s="25" t="s">
        <v>1790</v>
      </c>
      <c r="E3832" s="26" t="b">
        <v>1</v>
      </c>
      <c r="F3832" s="27" t="str">
        <f>HYPERLINK("http://nsgreg.nga.mil/genc/view?v=213418&amp;end_month=12&amp;end_day=31&amp;end_year=2014","Mont Fleuri")</f>
        <v>Mont Fleuri</v>
      </c>
      <c r="G3832" s="28" t="str">
        <f>HYPERLINK("http://api.nsgreg.nga.mil/geo-division/GENC/6/ed3/SC-18","as:GENC:6:ed3:SC-18")</f>
        <v>as:GENC:6:ed3:SC-18</v>
      </c>
    </row>
    <row r="3833" spans="1:7" x14ac:dyDescent="0.2">
      <c r="A3833" s="85"/>
      <c r="B3833" s="25" t="s">
        <v>9154</v>
      </c>
      <c r="C3833" s="25" t="s">
        <v>9155</v>
      </c>
      <c r="D3833" s="25" t="s">
        <v>1790</v>
      </c>
      <c r="E3833" s="26" t="b">
        <v>1</v>
      </c>
      <c r="F3833" s="27" t="str">
        <f>HYPERLINK("http://nsgreg.nga.mil/genc/view?v=213419&amp;end_month=12&amp;end_day=31&amp;end_year=2014","Plaisance")</f>
        <v>Plaisance</v>
      </c>
      <c r="G3833" s="28" t="str">
        <f>HYPERLINK("http://api.nsgreg.nga.mil/geo-division/GENC/6/ed3/SC-19","as:GENC:6:ed3:SC-19")</f>
        <v>as:GENC:6:ed3:SC-19</v>
      </c>
    </row>
    <row r="3834" spans="1:7" x14ac:dyDescent="0.2">
      <c r="A3834" s="85"/>
      <c r="B3834" s="25" t="s">
        <v>9157</v>
      </c>
      <c r="C3834" s="25" t="s">
        <v>9159</v>
      </c>
      <c r="D3834" s="25" t="s">
        <v>1790</v>
      </c>
      <c r="E3834" s="26" t="b">
        <v>1</v>
      </c>
      <c r="F3834" s="27" t="str">
        <f>HYPERLINK("http://nsgreg.nga.mil/genc/view?v=213420&amp;end_month=12&amp;end_day=31&amp;end_year=2014","Pointe Larue")</f>
        <v>Pointe Larue</v>
      </c>
      <c r="G3834" s="28" t="str">
        <f>HYPERLINK("http://api.nsgreg.nga.mil/geo-division/GENC/6/ed3/SC-20","as:GENC:6:ed3:SC-20")</f>
        <v>as:GENC:6:ed3:SC-20</v>
      </c>
    </row>
    <row r="3835" spans="1:7" x14ac:dyDescent="0.2">
      <c r="A3835" s="85"/>
      <c r="B3835" s="25" t="s">
        <v>9160</v>
      </c>
      <c r="C3835" s="25" t="s">
        <v>9162</v>
      </c>
      <c r="D3835" s="25" t="s">
        <v>1790</v>
      </c>
      <c r="E3835" s="26" t="b">
        <v>1</v>
      </c>
      <c r="F3835" s="27" t="str">
        <f>HYPERLINK("http://nsgreg.nga.mil/genc/view?v=213421&amp;end_month=12&amp;end_day=31&amp;end_year=2014","Port Glaud")</f>
        <v>Port Glaud</v>
      </c>
      <c r="G3835" s="28" t="str">
        <f>HYPERLINK("http://api.nsgreg.nga.mil/geo-division/GENC/6/ed3/SC-21","as:GENC:6:ed3:SC-21")</f>
        <v>as:GENC:6:ed3:SC-21</v>
      </c>
    </row>
    <row r="3836" spans="1:7" x14ac:dyDescent="0.2">
      <c r="A3836" s="85"/>
      <c r="B3836" s="25" t="s">
        <v>9164</v>
      </c>
      <c r="C3836" s="25" t="s">
        <v>9165</v>
      </c>
      <c r="D3836" s="25" t="s">
        <v>1790</v>
      </c>
      <c r="E3836" s="26" t="b">
        <v>1</v>
      </c>
      <c r="F3836" s="27" t="str">
        <f>HYPERLINK("http://nsgreg.nga.mil/genc/view?v=213425&amp;end_month=12&amp;end_day=31&amp;end_year=2014","Roche Caiman")</f>
        <v>Roche Caiman</v>
      </c>
      <c r="G3836" s="28" t="str">
        <f>HYPERLINK("http://api.nsgreg.nga.mil/geo-division/GENC/6/ed3/SC-25","as:GENC:6:ed3:SC-25")</f>
        <v>as:GENC:6:ed3:SC-25</v>
      </c>
    </row>
    <row r="3837" spans="1:7" x14ac:dyDescent="0.2">
      <c r="A3837" s="85"/>
      <c r="B3837" s="25" t="s">
        <v>9168</v>
      </c>
      <c r="C3837" s="25" t="s">
        <v>9169</v>
      </c>
      <c r="D3837" s="25" t="s">
        <v>1790</v>
      </c>
      <c r="E3837" s="26" t="b">
        <v>1</v>
      </c>
      <c r="F3837" s="27" t="str">
        <f>HYPERLINK("http://nsgreg.nga.mil/genc/view?v=213422&amp;end_month=12&amp;end_day=31&amp;end_year=2014","Saint Louis")</f>
        <v>Saint Louis</v>
      </c>
      <c r="G3837" s="28" t="str">
        <f>HYPERLINK("http://api.nsgreg.nga.mil/geo-division/GENC/6/ed3/SC-22","as:GENC:6:ed3:SC-22")</f>
        <v>as:GENC:6:ed3:SC-22</v>
      </c>
    </row>
    <row r="3838" spans="1:7" x14ac:dyDescent="0.2">
      <c r="A3838" s="86"/>
      <c r="B3838" s="29" t="s">
        <v>9171</v>
      </c>
      <c r="C3838" s="29" t="s">
        <v>9172</v>
      </c>
      <c r="D3838" s="29" t="s">
        <v>1790</v>
      </c>
      <c r="E3838" s="30" t="b">
        <v>1</v>
      </c>
      <c r="F3838" s="31" t="str">
        <f>HYPERLINK("http://nsgreg.nga.mil/genc/view?v=213423&amp;end_month=12&amp;end_day=31&amp;end_year=2014","Takamaka")</f>
        <v>Takamaka</v>
      </c>
      <c r="G3838" s="32" t="str">
        <f>HYPERLINK("http://api.nsgreg.nga.mil/geo-division/GENC/6/ed3/SC-23","as:GENC:6:ed3:SC-23")</f>
        <v>as:GENC:6:ed3:SC-23</v>
      </c>
    </row>
    <row r="3839" spans="1:7" x14ac:dyDescent="0.2">
      <c r="A3839" s="84" t="str">
        <f>HYPERLINK("[#]Codes_for_GE_Names!A228:I228","SIERRA LEONE")</f>
        <v>SIERRA LEONE</v>
      </c>
      <c r="B3839" s="33" t="s">
        <v>9173</v>
      </c>
      <c r="C3839" s="33" t="s">
        <v>4191</v>
      </c>
      <c r="D3839" s="33" t="s">
        <v>1719</v>
      </c>
      <c r="E3839" s="34" t="b">
        <v>1</v>
      </c>
      <c r="F3839" s="35" t="str">
        <f>HYPERLINK("http://nsgreg.nga.mil/genc/view?v=122047&amp;gencs=T&amp;end_month=12&amp;end_day=31&amp;end_year=2014","Eastern")</f>
        <v>Eastern</v>
      </c>
      <c r="G3839" s="36" t="str">
        <f>HYPERLINK("http://api.nsgreg.nga.mil/geo-division/GENC/6/ed3/SL-E","as:GENC:6:ed3:SL-E")</f>
        <v>as:GENC:6:ed3:SL-E</v>
      </c>
    </row>
    <row r="3840" spans="1:7" x14ac:dyDescent="0.2">
      <c r="A3840" s="85"/>
      <c r="B3840" s="25" t="s">
        <v>9174</v>
      </c>
      <c r="C3840" s="25" t="s">
        <v>4193</v>
      </c>
      <c r="D3840" s="25" t="s">
        <v>1719</v>
      </c>
      <c r="E3840" s="26" t="b">
        <v>1</v>
      </c>
      <c r="F3840" s="27" t="str">
        <f>HYPERLINK("http://nsgreg.nga.mil/genc/view?v=122048&amp;gencs=T&amp;end_month=12&amp;end_day=31&amp;end_year=2014","Northern")</f>
        <v>Northern</v>
      </c>
      <c r="G3840" s="28" t="str">
        <f>HYPERLINK("http://api.nsgreg.nga.mil/geo-division/GENC/6/ed3/SL-N","as:GENC:6:ed3:SL-N")</f>
        <v>as:GENC:6:ed3:SL-N</v>
      </c>
    </row>
    <row r="3841" spans="1:7" x14ac:dyDescent="0.2">
      <c r="A3841" s="85"/>
      <c r="B3841" s="25" t="s">
        <v>9175</v>
      </c>
      <c r="C3841" s="25" t="s">
        <v>2736</v>
      </c>
      <c r="D3841" s="25" t="s">
        <v>1719</v>
      </c>
      <c r="E3841" s="26" t="b">
        <v>1</v>
      </c>
      <c r="F3841" s="27" t="str">
        <f>HYPERLINK("http://nsgreg.nga.mil/genc/view?v=122049&amp;gencs=T&amp;end_month=12&amp;end_day=31&amp;end_year=2014","Southern")</f>
        <v>Southern</v>
      </c>
      <c r="G3841" s="28" t="str">
        <f>HYPERLINK("http://api.nsgreg.nga.mil/geo-division/GENC/6/ed3/SL-S","as:GENC:6:ed3:SL-S")</f>
        <v>as:GENC:6:ed3:SL-S</v>
      </c>
    </row>
    <row r="3842" spans="1:7" x14ac:dyDescent="0.2">
      <c r="A3842" s="86"/>
      <c r="B3842" s="29" t="s">
        <v>9176</v>
      </c>
      <c r="C3842" s="29" t="s">
        <v>13635</v>
      </c>
      <c r="D3842" s="29" t="s">
        <v>1719</v>
      </c>
      <c r="E3842" s="30" t="b">
        <v>1</v>
      </c>
      <c r="F3842" s="31" t="str">
        <f>HYPERLINK("http://nsgreg.nga.mil/genc/view?v=213493&amp;end_month=12&amp;end_day=31&amp;end_year=2014","Western Area")</f>
        <v>Western Area</v>
      </c>
      <c r="G3842" s="32" t="str">
        <f>HYPERLINK("http://api.nsgreg.nga.mil/geo-division/GENC/6/ed3/SL-W","as:GENC:6:ed3:SL-W")</f>
        <v>as:GENC:6:ed3:SL-W</v>
      </c>
    </row>
    <row r="3843" spans="1:7" x14ac:dyDescent="0.2">
      <c r="A3843" s="84" t="str">
        <f>HYPERLINK("[#]Codes_for_GE_Names!A229:I229","SINGAPORE")</f>
        <v>SINGAPORE</v>
      </c>
      <c r="B3843" s="33" t="s">
        <v>9179</v>
      </c>
      <c r="C3843" s="33" t="s">
        <v>9180</v>
      </c>
      <c r="D3843" s="41" t="s">
        <v>1790</v>
      </c>
      <c r="E3843" s="42" t="b">
        <v>0</v>
      </c>
      <c r="F3843" s="35" t="str">
        <f>HYPERLINK("http://nsgreg.nga.mil/genc/view?v=121820&amp;gencs=T&amp;end_month=12&amp;end_day=31&amp;end_year=2014","Central Singapore")</f>
        <v>Central Singapore</v>
      </c>
      <c r="G3843" s="36" t="str">
        <f>HYPERLINK("http://api.nsgreg.nga.mil/geo-division/GENC/6/ed3/SG-01","as:GENC:6:ed3:SG-01")</f>
        <v>as:GENC:6:ed3:SG-01</v>
      </c>
    </row>
    <row r="3844" spans="1:7" x14ac:dyDescent="0.2">
      <c r="A3844" s="85"/>
      <c r="B3844" s="25" t="s">
        <v>9181</v>
      </c>
      <c r="C3844" s="25" t="s">
        <v>9182</v>
      </c>
      <c r="D3844" s="37" t="s">
        <v>1790</v>
      </c>
      <c r="E3844" s="38" t="b">
        <v>0</v>
      </c>
      <c r="F3844" s="27" t="str">
        <f>HYPERLINK("http://nsgreg.nga.mil/genc/view?v=121821&amp;gencs=T&amp;end_month=12&amp;end_day=31&amp;end_year=2014","North East")</f>
        <v>North East</v>
      </c>
      <c r="G3844" s="28" t="str">
        <f>HYPERLINK("http://api.nsgreg.nga.mil/geo-division/GENC/6/ed3/SG-02","as:GENC:6:ed3:SG-02")</f>
        <v>as:GENC:6:ed3:SG-02</v>
      </c>
    </row>
    <row r="3845" spans="1:7" x14ac:dyDescent="0.2">
      <c r="A3845" s="85"/>
      <c r="B3845" s="25" t="s">
        <v>9183</v>
      </c>
      <c r="C3845" s="25" t="s">
        <v>9184</v>
      </c>
      <c r="D3845" s="37" t="s">
        <v>1790</v>
      </c>
      <c r="E3845" s="38" t="b">
        <v>0</v>
      </c>
      <c r="F3845" s="27" t="str">
        <f>HYPERLINK("http://nsgreg.nga.mil/genc/view?v=121822&amp;gencs=T&amp;end_month=12&amp;end_day=31&amp;end_year=2014","North West")</f>
        <v>North West</v>
      </c>
      <c r="G3845" s="28" t="str">
        <f>HYPERLINK("http://api.nsgreg.nga.mil/geo-division/GENC/6/ed3/SG-03","as:GENC:6:ed3:SG-03")</f>
        <v>as:GENC:6:ed3:SG-03</v>
      </c>
    </row>
    <row r="3846" spans="1:7" x14ac:dyDescent="0.2">
      <c r="A3846" s="85"/>
      <c r="B3846" s="25" t="s">
        <v>9185</v>
      </c>
      <c r="C3846" s="25" t="s">
        <v>9186</v>
      </c>
      <c r="D3846" s="37" t="s">
        <v>1790</v>
      </c>
      <c r="E3846" s="38" t="b">
        <v>0</v>
      </c>
      <c r="F3846" s="27" t="str">
        <f>HYPERLINK("http://nsgreg.nga.mil/genc/view?v=121823&amp;gencs=T&amp;end_month=12&amp;end_day=31&amp;end_year=2014","South East")</f>
        <v>South East</v>
      </c>
      <c r="G3846" s="28" t="str">
        <f>HYPERLINK("http://api.nsgreg.nga.mil/geo-division/GENC/6/ed3/SG-04","as:GENC:6:ed3:SG-04")</f>
        <v>as:GENC:6:ed3:SG-04</v>
      </c>
    </row>
    <row r="3847" spans="1:7" x14ac:dyDescent="0.2">
      <c r="A3847" s="86"/>
      <c r="B3847" s="29" t="s">
        <v>9187</v>
      </c>
      <c r="C3847" s="29" t="s">
        <v>9188</v>
      </c>
      <c r="D3847" s="39" t="s">
        <v>1790</v>
      </c>
      <c r="E3847" s="40" t="b">
        <v>0</v>
      </c>
      <c r="F3847" s="31" t="str">
        <f>HYPERLINK("http://nsgreg.nga.mil/genc/view?v=121824&amp;gencs=T&amp;end_month=12&amp;end_day=31&amp;end_year=2014","South West")</f>
        <v>South West</v>
      </c>
      <c r="G3847" s="32" t="str">
        <f>HYPERLINK("http://api.nsgreg.nga.mil/geo-division/GENC/6/ed3/SG-05","as:GENC:6:ed3:SG-05")</f>
        <v>as:GENC:6:ed3:SG-05</v>
      </c>
    </row>
    <row r="3848" spans="1:7" x14ac:dyDescent="0.2">
      <c r="A3848" s="84" t="str">
        <f>HYPERLINK("[#]Codes_for_GE_Names!A231:I231","SLOVAKIA")</f>
        <v>SLOVAKIA</v>
      </c>
      <c r="B3848" s="33" t="s">
        <v>9189</v>
      </c>
      <c r="C3848" s="33" t="s">
        <v>13636</v>
      </c>
      <c r="D3848" s="33" t="s">
        <v>1790</v>
      </c>
      <c r="E3848" s="34" t="b">
        <v>1</v>
      </c>
      <c r="F3848" s="35" t="str">
        <f>HYPERLINK("http://nsgreg.nga.mil/genc/view?v=213485&amp;end_month=12&amp;end_day=31&amp;end_year=2014","Banskobystrický")</f>
        <v>Banskobystrický</v>
      </c>
      <c r="G3848" s="36" t="str">
        <f>HYPERLINK("http://api.nsgreg.nga.mil/geo-division/GENC/6/ed3/SK-BC","as:GENC:6:ed3:SK-BC")</f>
        <v>as:GENC:6:ed3:SK-BC</v>
      </c>
    </row>
    <row r="3849" spans="1:7" x14ac:dyDescent="0.2">
      <c r="A3849" s="85"/>
      <c r="B3849" s="25" t="s">
        <v>9191</v>
      </c>
      <c r="C3849" s="25" t="s">
        <v>13637</v>
      </c>
      <c r="D3849" s="25" t="s">
        <v>1790</v>
      </c>
      <c r="E3849" s="26" t="b">
        <v>1</v>
      </c>
      <c r="F3849" s="27" t="str">
        <f>HYPERLINK("http://nsgreg.nga.mil/genc/view?v=213486&amp;end_month=12&amp;end_day=31&amp;end_year=2014","Bratislavský")</f>
        <v>Bratislavský</v>
      </c>
      <c r="G3849" s="28" t="str">
        <f>HYPERLINK("http://api.nsgreg.nga.mil/geo-division/GENC/6/ed3/SK-BL","as:GENC:6:ed3:SK-BL")</f>
        <v>as:GENC:6:ed3:SK-BL</v>
      </c>
    </row>
    <row r="3850" spans="1:7" x14ac:dyDescent="0.2">
      <c r="A3850" s="85"/>
      <c r="B3850" s="25" t="s">
        <v>9193</v>
      </c>
      <c r="C3850" s="25" t="s">
        <v>13638</v>
      </c>
      <c r="D3850" s="25" t="s">
        <v>1790</v>
      </c>
      <c r="E3850" s="26" t="b">
        <v>1</v>
      </c>
      <c r="F3850" s="27" t="str">
        <f>HYPERLINK("http://nsgreg.nga.mil/genc/view?v=213487&amp;end_month=12&amp;end_day=31&amp;end_year=2014","Košický")</f>
        <v>Košický</v>
      </c>
      <c r="G3850" s="28" t="str">
        <f>HYPERLINK("http://api.nsgreg.nga.mil/geo-division/GENC/6/ed3/SK-KI","as:GENC:6:ed3:SK-KI")</f>
        <v>as:GENC:6:ed3:SK-KI</v>
      </c>
    </row>
    <row r="3851" spans="1:7" x14ac:dyDescent="0.2">
      <c r="A3851" s="85"/>
      <c r="B3851" s="25" t="s">
        <v>9195</v>
      </c>
      <c r="C3851" s="25" t="s">
        <v>13639</v>
      </c>
      <c r="D3851" s="25" t="s">
        <v>1790</v>
      </c>
      <c r="E3851" s="26" t="b">
        <v>1</v>
      </c>
      <c r="F3851" s="27" t="str">
        <f>HYPERLINK("http://nsgreg.nga.mil/genc/view?v=213488&amp;end_month=12&amp;end_day=31&amp;end_year=2014","Nitriansky")</f>
        <v>Nitriansky</v>
      </c>
      <c r="G3851" s="28" t="str">
        <f>HYPERLINK("http://api.nsgreg.nga.mil/geo-division/GENC/6/ed3/SK-NI","as:GENC:6:ed3:SK-NI")</f>
        <v>as:GENC:6:ed3:SK-NI</v>
      </c>
    </row>
    <row r="3852" spans="1:7" x14ac:dyDescent="0.2">
      <c r="A3852" s="85"/>
      <c r="B3852" s="25" t="s">
        <v>9197</v>
      </c>
      <c r="C3852" s="25" t="s">
        <v>13640</v>
      </c>
      <c r="D3852" s="25" t="s">
        <v>1790</v>
      </c>
      <c r="E3852" s="26" t="b">
        <v>1</v>
      </c>
      <c r="F3852" s="27" t="str">
        <f>HYPERLINK("http://nsgreg.nga.mil/genc/view?v=213489&amp;end_month=12&amp;end_day=31&amp;end_year=2014","Prešovský")</f>
        <v>Prešovský</v>
      </c>
      <c r="G3852" s="28" t="str">
        <f>HYPERLINK("http://api.nsgreg.nga.mil/geo-division/GENC/6/ed3/SK-PV","as:GENC:6:ed3:SK-PV")</f>
        <v>as:GENC:6:ed3:SK-PV</v>
      </c>
    </row>
    <row r="3853" spans="1:7" x14ac:dyDescent="0.2">
      <c r="A3853" s="85"/>
      <c r="B3853" s="25" t="s">
        <v>9199</v>
      </c>
      <c r="C3853" s="25" t="s">
        <v>13641</v>
      </c>
      <c r="D3853" s="25" t="s">
        <v>1790</v>
      </c>
      <c r="E3853" s="26" t="b">
        <v>1</v>
      </c>
      <c r="F3853" s="27" t="str">
        <f>HYPERLINK("http://nsgreg.nga.mil/genc/view?v=213491&amp;end_month=12&amp;end_day=31&amp;end_year=2014","Trenčiansky")</f>
        <v>Trenčiansky</v>
      </c>
      <c r="G3853" s="28" t="str">
        <f>HYPERLINK("http://api.nsgreg.nga.mil/geo-division/GENC/6/ed3/SK-TC","as:GENC:6:ed3:SK-TC")</f>
        <v>as:GENC:6:ed3:SK-TC</v>
      </c>
    </row>
    <row r="3854" spans="1:7" x14ac:dyDescent="0.2">
      <c r="A3854" s="85"/>
      <c r="B3854" s="25" t="s">
        <v>9201</v>
      </c>
      <c r="C3854" s="25" t="s">
        <v>13642</v>
      </c>
      <c r="D3854" s="25" t="s">
        <v>1790</v>
      </c>
      <c r="E3854" s="26" t="b">
        <v>1</v>
      </c>
      <c r="F3854" s="27" t="str">
        <f>HYPERLINK("http://nsgreg.nga.mil/genc/view?v=213490&amp;end_month=12&amp;end_day=31&amp;end_year=2014","Trnavský")</f>
        <v>Trnavský</v>
      </c>
      <c r="G3854" s="28" t="str">
        <f>HYPERLINK("http://api.nsgreg.nga.mil/geo-division/GENC/6/ed3/SK-TA","as:GENC:6:ed3:SK-TA")</f>
        <v>as:GENC:6:ed3:SK-TA</v>
      </c>
    </row>
    <row r="3855" spans="1:7" x14ac:dyDescent="0.2">
      <c r="A3855" s="86"/>
      <c r="B3855" s="29" t="s">
        <v>9203</v>
      </c>
      <c r="C3855" s="29" t="s">
        <v>13643</v>
      </c>
      <c r="D3855" s="29" t="s">
        <v>1790</v>
      </c>
      <c r="E3855" s="30" t="b">
        <v>1</v>
      </c>
      <c r="F3855" s="31" t="str">
        <f>HYPERLINK("http://nsgreg.nga.mil/genc/view?v=213492&amp;end_month=12&amp;end_day=31&amp;end_year=2014","Žilinský")</f>
        <v>Žilinský</v>
      </c>
      <c r="G3855" s="32" t="str">
        <f>HYPERLINK("http://api.nsgreg.nga.mil/geo-division/GENC/6/ed3/SK-ZI","as:GENC:6:ed3:SK-ZI")</f>
        <v>as:GENC:6:ed3:SK-ZI</v>
      </c>
    </row>
    <row r="3856" spans="1:7" x14ac:dyDescent="0.2">
      <c r="A3856" s="84" t="str">
        <f>HYPERLINK("[#]Codes_for_GE_Names!A232:I232","SLOVENIA")</f>
        <v>SLOVENIA</v>
      </c>
      <c r="B3856" s="33" t="s">
        <v>9205</v>
      </c>
      <c r="C3856" s="33" t="s">
        <v>9206</v>
      </c>
      <c r="D3856" s="33" t="s">
        <v>3162</v>
      </c>
      <c r="E3856" s="34" t="b">
        <v>1</v>
      </c>
      <c r="F3856" s="35" t="str">
        <f>HYPERLINK("http://nsgreg.nga.mil/genc/view?v=121828&amp;gencs=T&amp;end_month=12&amp;end_day=31&amp;end_year=2014","Ajdovščina")</f>
        <v>Ajdovščina</v>
      </c>
      <c r="G3856" s="36" t="str">
        <f>HYPERLINK("http://api.nsgreg.nga.mil/geo-division/GENC/6/ed3/SI-001","as:GENC:6:ed3:SI-001")</f>
        <v>as:GENC:6:ed3:SI-001</v>
      </c>
    </row>
    <row r="3857" spans="1:7" x14ac:dyDescent="0.2">
      <c r="A3857" s="85"/>
      <c r="B3857" s="25" t="s">
        <v>9207</v>
      </c>
      <c r="C3857" s="25" t="s">
        <v>9208</v>
      </c>
      <c r="D3857" s="25" t="s">
        <v>3162</v>
      </c>
      <c r="E3857" s="26" t="b">
        <v>1</v>
      </c>
      <c r="F3857" s="27" t="str">
        <f>HYPERLINK("http://nsgreg.nga.mil/genc/view?v=122021&amp;gencs=T&amp;end_month=12&amp;end_day=31&amp;end_year=2014","Apače")</f>
        <v>Apače</v>
      </c>
      <c r="G3857" s="28" t="str">
        <f>HYPERLINK("http://api.nsgreg.nga.mil/geo-division/GENC/6/ed3/SI-195","as:GENC:6:ed3:SI-195")</f>
        <v>as:GENC:6:ed3:SI-195</v>
      </c>
    </row>
    <row r="3858" spans="1:7" x14ac:dyDescent="0.2">
      <c r="A3858" s="85"/>
      <c r="B3858" s="25" t="s">
        <v>9209</v>
      </c>
      <c r="C3858" s="25" t="s">
        <v>9210</v>
      </c>
      <c r="D3858" s="25" t="s">
        <v>3162</v>
      </c>
      <c r="E3858" s="26" t="b">
        <v>1</v>
      </c>
      <c r="F3858" s="27" t="str">
        <f>HYPERLINK("http://nsgreg.nga.mil/genc/view?v=121829&amp;gencs=T&amp;end_month=12&amp;end_day=31&amp;end_year=2014","Beltinci")</f>
        <v>Beltinci</v>
      </c>
      <c r="G3858" s="28" t="str">
        <f>HYPERLINK("http://api.nsgreg.nga.mil/geo-division/GENC/6/ed3/SI-002","as:GENC:6:ed3:SI-002")</f>
        <v>as:GENC:6:ed3:SI-002</v>
      </c>
    </row>
    <row r="3859" spans="1:7" x14ac:dyDescent="0.2">
      <c r="A3859" s="85"/>
      <c r="B3859" s="25" t="s">
        <v>9211</v>
      </c>
      <c r="C3859" s="25" t="s">
        <v>9212</v>
      </c>
      <c r="D3859" s="25" t="s">
        <v>3162</v>
      </c>
      <c r="E3859" s="26" t="b">
        <v>1</v>
      </c>
      <c r="F3859" s="27" t="str">
        <f>HYPERLINK("http://nsgreg.nga.mil/genc/view?v=121974&amp;gencs=T&amp;end_month=12&amp;end_day=31&amp;end_year=2014","Benedikt")</f>
        <v>Benedikt</v>
      </c>
      <c r="G3859" s="28" t="str">
        <f>HYPERLINK("http://api.nsgreg.nga.mil/geo-division/GENC/6/ed3/SI-148","as:GENC:6:ed3:SI-148")</f>
        <v>as:GENC:6:ed3:SI-148</v>
      </c>
    </row>
    <row r="3860" spans="1:7" x14ac:dyDescent="0.2">
      <c r="A3860" s="85"/>
      <c r="B3860" s="25" t="s">
        <v>9213</v>
      </c>
      <c r="C3860" s="25" t="s">
        <v>9214</v>
      </c>
      <c r="D3860" s="25" t="s">
        <v>3162</v>
      </c>
      <c r="E3860" s="26" t="b">
        <v>1</v>
      </c>
      <c r="F3860" s="27" t="str">
        <f>HYPERLINK("http://nsgreg.nga.mil/genc/view?v=121975&amp;gencs=T&amp;end_month=12&amp;end_day=31&amp;end_year=2014","Bistrica ob Sotli")</f>
        <v>Bistrica ob Sotli</v>
      </c>
      <c r="G3860" s="28" t="str">
        <f>HYPERLINK("http://api.nsgreg.nga.mil/geo-division/GENC/6/ed3/SI-149","as:GENC:6:ed3:SI-149")</f>
        <v>as:GENC:6:ed3:SI-149</v>
      </c>
    </row>
    <row r="3861" spans="1:7" x14ac:dyDescent="0.2">
      <c r="A3861" s="85"/>
      <c r="B3861" s="25" t="s">
        <v>9215</v>
      </c>
      <c r="C3861" s="25" t="s">
        <v>9216</v>
      </c>
      <c r="D3861" s="25" t="s">
        <v>3162</v>
      </c>
      <c r="E3861" s="26" t="b">
        <v>1</v>
      </c>
      <c r="F3861" s="27" t="str">
        <f>HYPERLINK("http://nsgreg.nga.mil/genc/view?v=121830&amp;gencs=T&amp;end_month=12&amp;end_day=31&amp;end_year=2014","Bled")</f>
        <v>Bled</v>
      </c>
      <c r="G3861" s="28" t="str">
        <f>HYPERLINK("http://api.nsgreg.nga.mil/geo-division/GENC/6/ed3/SI-003","as:GENC:6:ed3:SI-003")</f>
        <v>as:GENC:6:ed3:SI-003</v>
      </c>
    </row>
    <row r="3862" spans="1:7" x14ac:dyDescent="0.2">
      <c r="A3862" s="85"/>
      <c r="B3862" s="25" t="s">
        <v>9217</v>
      </c>
      <c r="C3862" s="25" t="s">
        <v>9218</v>
      </c>
      <c r="D3862" s="25" t="s">
        <v>3162</v>
      </c>
      <c r="E3862" s="26" t="b">
        <v>1</v>
      </c>
      <c r="F3862" s="27" t="str">
        <f>HYPERLINK("http://nsgreg.nga.mil/genc/view?v=121976&amp;gencs=T&amp;end_month=12&amp;end_day=31&amp;end_year=2014","Bloke")</f>
        <v>Bloke</v>
      </c>
      <c r="G3862" s="28" t="str">
        <f>HYPERLINK("http://api.nsgreg.nga.mil/geo-division/GENC/6/ed3/SI-150","as:GENC:6:ed3:SI-150")</f>
        <v>as:GENC:6:ed3:SI-150</v>
      </c>
    </row>
    <row r="3863" spans="1:7" x14ac:dyDescent="0.2">
      <c r="A3863" s="85"/>
      <c r="B3863" s="25" t="s">
        <v>9219</v>
      </c>
      <c r="C3863" s="25" t="s">
        <v>9220</v>
      </c>
      <c r="D3863" s="25" t="s">
        <v>3162</v>
      </c>
      <c r="E3863" s="26" t="b">
        <v>1</v>
      </c>
      <c r="F3863" s="27" t="str">
        <f>HYPERLINK("http://nsgreg.nga.mil/genc/view?v=121831&amp;gencs=T&amp;end_month=12&amp;end_day=31&amp;end_year=2014","Bohinj")</f>
        <v>Bohinj</v>
      </c>
      <c r="G3863" s="28" t="str">
        <f>HYPERLINK("http://api.nsgreg.nga.mil/geo-division/GENC/6/ed3/SI-004","as:GENC:6:ed3:SI-004")</f>
        <v>as:GENC:6:ed3:SI-004</v>
      </c>
    </row>
    <row r="3864" spans="1:7" x14ac:dyDescent="0.2">
      <c r="A3864" s="85"/>
      <c r="B3864" s="25" t="s">
        <v>9221</v>
      </c>
      <c r="C3864" s="25" t="s">
        <v>9222</v>
      </c>
      <c r="D3864" s="25" t="s">
        <v>3162</v>
      </c>
      <c r="E3864" s="26" t="b">
        <v>1</v>
      </c>
      <c r="F3864" s="27" t="str">
        <f>HYPERLINK("http://nsgreg.nga.mil/genc/view?v=121832&amp;gencs=T&amp;end_month=12&amp;end_day=31&amp;end_year=2014","Borovnica")</f>
        <v>Borovnica</v>
      </c>
      <c r="G3864" s="28" t="str">
        <f>HYPERLINK("http://api.nsgreg.nga.mil/geo-division/GENC/6/ed3/SI-005","as:GENC:6:ed3:SI-005")</f>
        <v>as:GENC:6:ed3:SI-005</v>
      </c>
    </row>
    <row r="3865" spans="1:7" x14ac:dyDescent="0.2">
      <c r="A3865" s="85"/>
      <c r="B3865" s="25" t="s">
        <v>9223</v>
      </c>
      <c r="C3865" s="25" t="s">
        <v>9224</v>
      </c>
      <c r="D3865" s="25" t="s">
        <v>3162</v>
      </c>
      <c r="E3865" s="26" t="b">
        <v>1</v>
      </c>
      <c r="F3865" s="27" t="str">
        <f>HYPERLINK("http://nsgreg.nga.mil/genc/view?v=121833&amp;gencs=T&amp;end_month=12&amp;end_day=31&amp;end_year=2014","Bovec")</f>
        <v>Bovec</v>
      </c>
      <c r="G3865" s="28" t="str">
        <f>HYPERLINK("http://api.nsgreg.nga.mil/geo-division/GENC/6/ed3/SI-006","as:GENC:6:ed3:SI-006")</f>
        <v>as:GENC:6:ed3:SI-006</v>
      </c>
    </row>
    <row r="3866" spans="1:7" x14ac:dyDescent="0.2">
      <c r="A3866" s="85"/>
      <c r="B3866" s="25" t="s">
        <v>9225</v>
      </c>
      <c r="C3866" s="25" t="s">
        <v>9226</v>
      </c>
      <c r="D3866" s="25" t="s">
        <v>3162</v>
      </c>
      <c r="E3866" s="26" t="b">
        <v>1</v>
      </c>
      <c r="F3866" s="27" t="str">
        <f>HYPERLINK("http://nsgreg.nga.mil/genc/view?v=121977&amp;gencs=T&amp;end_month=12&amp;end_day=31&amp;end_year=2014","Braslovče")</f>
        <v>Braslovče</v>
      </c>
      <c r="G3866" s="28" t="str">
        <f>HYPERLINK("http://api.nsgreg.nga.mil/geo-division/GENC/6/ed3/SI-151","as:GENC:6:ed3:SI-151")</f>
        <v>as:GENC:6:ed3:SI-151</v>
      </c>
    </row>
    <row r="3867" spans="1:7" x14ac:dyDescent="0.2">
      <c r="A3867" s="85"/>
      <c r="B3867" s="25" t="s">
        <v>9227</v>
      </c>
      <c r="C3867" s="25" t="s">
        <v>9228</v>
      </c>
      <c r="D3867" s="25" t="s">
        <v>3162</v>
      </c>
      <c r="E3867" s="26" t="b">
        <v>1</v>
      </c>
      <c r="F3867" s="27" t="str">
        <f>HYPERLINK("http://nsgreg.nga.mil/genc/view?v=121834&amp;gencs=T&amp;end_month=12&amp;end_day=31&amp;end_year=2014","Brda")</f>
        <v>Brda</v>
      </c>
      <c r="G3867" s="28" t="str">
        <f>HYPERLINK("http://api.nsgreg.nga.mil/geo-division/GENC/6/ed3/SI-007","as:GENC:6:ed3:SI-007")</f>
        <v>as:GENC:6:ed3:SI-007</v>
      </c>
    </row>
    <row r="3868" spans="1:7" x14ac:dyDescent="0.2">
      <c r="A3868" s="85"/>
      <c r="B3868" s="25" t="s">
        <v>9231</v>
      </c>
      <c r="C3868" s="25" t="s">
        <v>9232</v>
      </c>
      <c r="D3868" s="25" t="s">
        <v>3162</v>
      </c>
      <c r="E3868" s="26" t="b">
        <v>1</v>
      </c>
      <c r="F3868" s="27" t="str">
        <f>HYPERLINK("http://nsgreg.nga.mil/genc/view?v=121836&amp;gencs=T&amp;end_month=12&amp;end_day=31&amp;end_year=2014","Brežice")</f>
        <v>Brežice</v>
      </c>
      <c r="G3868" s="28" t="str">
        <f>HYPERLINK("http://api.nsgreg.nga.mil/geo-division/GENC/6/ed3/SI-009","as:GENC:6:ed3:SI-009")</f>
        <v>as:GENC:6:ed3:SI-009</v>
      </c>
    </row>
    <row r="3869" spans="1:7" x14ac:dyDescent="0.2">
      <c r="A3869" s="85"/>
      <c r="B3869" s="25" t="s">
        <v>9229</v>
      </c>
      <c r="C3869" s="25" t="s">
        <v>9230</v>
      </c>
      <c r="D3869" s="25" t="s">
        <v>3162</v>
      </c>
      <c r="E3869" s="26" t="b">
        <v>1</v>
      </c>
      <c r="F3869" s="27" t="str">
        <f>HYPERLINK("http://nsgreg.nga.mil/genc/view?v=121835&amp;gencs=T&amp;end_month=12&amp;end_day=31&amp;end_year=2014","Brezovica")</f>
        <v>Brezovica</v>
      </c>
      <c r="G3869" s="28" t="str">
        <f>HYPERLINK("http://api.nsgreg.nga.mil/geo-division/GENC/6/ed3/SI-008","as:GENC:6:ed3:SI-008")</f>
        <v>as:GENC:6:ed3:SI-008</v>
      </c>
    </row>
    <row r="3870" spans="1:7" x14ac:dyDescent="0.2">
      <c r="A3870" s="85"/>
      <c r="B3870" s="25" t="s">
        <v>9233</v>
      </c>
      <c r="C3870" s="25" t="s">
        <v>9234</v>
      </c>
      <c r="D3870" s="25" t="s">
        <v>3162</v>
      </c>
      <c r="E3870" s="26" t="b">
        <v>1</v>
      </c>
      <c r="F3870" s="27" t="str">
        <f>HYPERLINK("http://nsgreg.nga.mil/genc/view?v=121978&amp;gencs=T&amp;end_month=12&amp;end_day=31&amp;end_year=2014","Cankova")</f>
        <v>Cankova</v>
      </c>
      <c r="G3870" s="28" t="str">
        <f>HYPERLINK("http://api.nsgreg.nga.mil/geo-division/GENC/6/ed3/SI-152","as:GENC:6:ed3:SI-152")</f>
        <v>as:GENC:6:ed3:SI-152</v>
      </c>
    </row>
    <row r="3871" spans="1:7" x14ac:dyDescent="0.2">
      <c r="A3871" s="85"/>
      <c r="B3871" s="25" t="s">
        <v>9235</v>
      </c>
      <c r="C3871" s="25" t="s">
        <v>9236</v>
      </c>
      <c r="D3871" s="25" t="s">
        <v>3162</v>
      </c>
      <c r="E3871" s="26" t="b">
        <v>1</v>
      </c>
      <c r="F3871" s="27" t="str">
        <f>HYPERLINK("http://nsgreg.nga.mil/genc/view?v=121838&amp;gencs=T&amp;end_month=12&amp;end_day=31&amp;end_year=2014","Celje")</f>
        <v>Celje</v>
      </c>
      <c r="G3871" s="28" t="str">
        <f>HYPERLINK("http://api.nsgreg.nga.mil/geo-division/GENC/6/ed3/SI-011","as:GENC:6:ed3:SI-011")</f>
        <v>as:GENC:6:ed3:SI-011</v>
      </c>
    </row>
    <row r="3872" spans="1:7" x14ac:dyDescent="0.2">
      <c r="A3872" s="85"/>
      <c r="B3872" s="25" t="s">
        <v>9237</v>
      </c>
      <c r="C3872" s="25" t="s">
        <v>9238</v>
      </c>
      <c r="D3872" s="25" t="s">
        <v>3162</v>
      </c>
      <c r="E3872" s="26" t="b">
        <v>1</v>
      </c>
      <c r="F3872" s="27" t="str">
        <f>HYPERLINK("http://nsgreg.nga.mil/genc/view?v=121839&amp;gencs=T&amp;end_month=12&amp;end_day=31&amp;end_year=2014","Cerklje na Gorenjskem")</f>
        <v>Cerklje na Gorenjskem</v>
      </c>
      <c r="G3872" s="28" t="str">
        <f>HYPERLINK("http://api.nsgreg.nga.mil/geo-division/GENC/6/ed3/SI-012","as:GENC:6:ed3:SI-012")</f>
        <v>as:GENC:6:ed3:SI-012</v>
      </c>
    </row>
    <row r="3873" spans="1:7" x14ac:dyDescent="0.2">
      <c r="A3873" s="85"/>
      <c r="B3873" s="25" t="s">
        <v>9239</v>
      </c>
      <c r="C3873" s="25" t="s">
        <v>9240</v>
      </c>
      <c r="D3873" s="25" t="s">
        <v>3162</v>
      </c>
      <c r="E3873" s="26" t="b">
        <v>1</v>
      </c>
      <c r="F3873" s="27" t="str">
        <f>HYPERLINK("http://nsgreg.nga.mil/genc/view?v=121840&amp;gencs=T&amp;end_month=12&amp;end_day=31&amp;end_year=2014","Cerknica")</f>
        <v>Cerknica</v>
      </c>
      <c r="G3873" s="28" t="str">
        <f>HYPERLINK("http://api.nsgreg.nga.mil/geo-division/GENC/6/ed3/SI-013","as:GENC:6:ed3:SI-013")</f>
        <v>as:GENC:6:ed3:SI-013</v>
      </c>
    </row>
    <row r="3874" spans="1:7" x14ac:dyDescent="0.2">
      <c r="A3874" s="85"/>
      <c r="B3874" s="25" t="s">
        <v>9241</v>
      </c>
      <c r="C3874" s="25" t="s">
        <v>9242</v>
      </c>
      <c r="D3874" s="25" t="s">
        <v>3162</v>
      </c>
      <c r="E3874" s="26" t="b">
        <v>1</v>
      </c>
      <c r="F3874" s="27" t="str">
        <f>HYPERLINK("http://nsgreg.nga.mil/genc/view?v=121841&amp;gencs=T&amp;end_month=12&amp;end_day=31&amp;end_year=2014","Cerkno")</f>
        <v>Cerkno</v>
      </c>
      <c r="G3874" s="28" t="str">
        <f>HYPERLINK("http://api.nsgreg.nga.mil/geo-division/GENC/6/ed3/SI-014","as:GENC:6:ed3:SI-014")</f>
        <v>as:GENC:6:ed3:SI-014</v>
      </c>
    </row>
    <row r="3875" spans="1:7" x14ac:dyDescent="0.2">
      <c r="A3875" s="85"/>
      <c r="B3875" s="25" t="s">
        <v>9243</v>
      </c>
      <c r="C3875" s="25" t="s">
        <v>9244</v>
      </c>
      <c r="D3875" s="25" t="s">
        <v>3162</v>
      </c>
      <c r="E3875" s="26" t="b">
        <v>1</v>
      </c>
      <c r="F3875" s="27" t="str">
        <f>HYPERLINK("http://nsgreg.nga.mil/genc/view?v=121979&amp;gencs=T&amp;end_month=12&amp;end_day=31&amp;end_year=2014","Cerkvenjak")</f>
        <v>Cerkvenjak</v>
      </c>
      <c r="G3875" s="28" t="str">
        <f>HYPERLINK("http://api.nsgreg.nga.mil/geo-division/GENC/6/ed3/SI-153","as:GENC:6:ed3:SI-153")</f>
        <v>as:GENC:6:ed3:SI-153</v>
      </c>
    </row>
    <row r="3876" spans="1:7" x14ac:dyDescent="0.2">
      <c r="A3876" s="85"/>
      <c r="B3876" s="25" t="s">
        <v>9245</v>
      </c>
      <c r="C3876" s="25" t="s">
        <v>9246</v>
      </c>
      <c r="D3876" s="25" t="s">
        <v>3162</v>
      </c>
      <c r="E3876" s="26" t="b">
        <v>1</v>
      </c>
      <c r="F3876" s="27" t="str">
        <f>HYPERLINK("http://nsgreg.nga.mil/genc/view?v=122022&amp;gencs=T&amp;end_month=12&amp;end_day=31&amp;end_year=2014","Cirkulane")</f>
        <v>Cirkulane</v>
      </c>
      <c r="G3876" s="28" t="str">
        <f>HYPERLINK("http://api.nsgreg.nga.mil/geo-division/GENC/6/ed3/SI-196","as:GENC:6:ed3:SI-196")</f>
        <v>as:GENC:6:ed3:SI-196</v>
      </c>
    </row>
    <row r="3877" spans="1:7" x14ac:dyDescent="0.2">
      <c r="A3877" s="85"/>
      <c r="B3877" s="25" t="s">
        <v>9575</v>
      </c>
      <c r="C3877" s="25" t="s">
        <v>9576</v>
      </c>
      <c r="D3877" s="25" t="s">
        <v>3162</v>
      </c>
      <c r="E3877" s="26" t="b">
        <v>1</v>
      </c>
      <c r="F3877" s="27" t="str">
        <f>HYPERLINK("http://nsgreg.nga.mil/genc/view?v=121842&amp;gencs=T&amp;end_month=12&amp;end_day=31&amp;end_year=2014","Črenšovci")</f>
        <v>Črenšovci</v>
      </c>
      <c r="G3877" s="28" t="str">
        <f>HYPERLINK("http://api.nsgreg.nga.mil/geo-division/GENC/6/ed3/SI-015","as:GENC:6:ed3:SI-015")</f>
        <v>as:GENC:6:ed3:SI-015</v>
      </c>
    </row>
    <row r="3878" spans="1:7" x14ac:dyDescent="0.2">
      <c r="A3878" s="85"/>
      <c r="B3878" s="25" t="s">
        <v>9577</v>
      </c>
      <c r="C3878" s="25" t="s">
        <v>9578</v>
      </c>
      <c r="D3878" s="25" t="s">
        <v>3162</v>
      </c>
      <c r="E3878" s="26" t="b">
        <v>1</v>
      </c>
      <c r="F3878" s="27" t="str">
        <f>HYPERLINK("http://nsgreg.nga.mil/genc/view?v=121843&amp;gencs=T&amp;end_month=12&amp;end_day=31&amp;end_year=2014","Črna na Koroškem")</f>
        <v>Črna na Koroškem</v>
      </c>
      <c r="G3878" s="28" t="str">
        <f>HYPERLINK("http://api.nsgreg.nga.mil/geo-division/GENC/6/ed3/SI-016","as:GENC:6:ed3:SI-016")</f>
        <v>as:GENC:6:ed3:SI-016</v>
      </c>
    </row>
    <row r="3879" spans="1:7" x14ac:dyDescent="0.2">
      <c r="A3879" s="85"/>
      <c r="B3879" s="25" t="s">
        <v>9579</v>
      </c>
      <c r="C3879" s="25" t="s">
        <v>9580</v>
      </c>
      <c r="D3879" s="25" t="s">
        <v>3162</v>
      </c>
      <c r="E3879" s="26" t="b">
        <v>1</v>
      </c>
      <c r="F3879" s="27" t="str">
        <f>HYPERLINK("http://nsgreg.nga.mil/genc/view?v=121844&amp;gencs=T&amp;end_month=12&amp;end_day=31&amp;end_year=2014","Črnomelj")</f>
        <v>Črnomelj</v>
      </c>
      <c r="G3879" s="28" t="str">
        <f>HYPERLINK("http://api.nsgreg.nga.mil/geo-division/GENC/6/ed3/SI-017","as:GENC:6:ed3:SI-017")</f>
        <v>as:GENC:6:ed3:SI-017</v>
      </c>
    </row>
    <row r="3880" spans="1:7" x14ac:dyDescent="0.2">
      <c r="A3880" s="85"/>
      <c r="B3880" s="25" t="s">
        <v>9247</v>
      </c>
      <c r="C3880" s="25" t="s">
        <v>9248</v>
      </c>
      <c r="D3880" s="25" t="s">
        <v>3162</v>
      </c>
      <c r="E3880" s="26" t="b">
        <v>1</v>
      </c>
      <c r="F3880" s="27" t="str">
        <f>HYPERLINK("http://nsgreg.nga.mil/genc/view?v=121845&amp;gencs=T&amp;end_month=12&amp;end_day=31&amp;end_year=2014","Destrnik")</f>
        <v>Destrnik</v>
      </c>
      <c r="G3880" s="28" t="str">
        <f>HYPERLINK("http://api.nsgreg.nga.mil/geo-division/GENC/6/ed3/SI-018","as:GENC:6:ed3:SI-018")</f>
        <v>as:GENC:6:ed3:SI-018</v>
      </c>
    </row>
    <row r="3881" spans="1:7" x14ac:dyDescent="0.2">
      <c r="A3881" s="85"/>
      <c r="B3881" s="25" t="s">
        <v>9249</v>
      </c>
      <c r="C3881" s="25" t="s">
        <v>9250</v>
      </c>
      <c r="D3881" s="25" t="s">
        <v>3162</v>
      </c>
      <c r="E3881" s="26" t="b">
        <v>1</v>
      </c>
      <c r="F3881" s="27" t="str">
        <f>HYPERLINK("http://nsgreg.nga.mil/genc/view?v=121846&amp;gencs=T&amp;end_month=12&amp;end_day=31&amp;end_year=2014","Divača")</f>
        <v>Divača</v>
      </c>
      <c r="G3881" s="28" t="str">
        <f>HYPERLINK("http://api.nsgreg.nga.mil/geo-division/GENC/6/ed3/SI-019","as:GENC:6:ed3:SI-019")</f>
        <v>as:GENC:6:ed3:SI-019</v>
      </c>
    </row>
    <row r="3882" spans="1:7" x14ac:dyDescent="0.2">
      <c r="A3882" s="85"/>
      <c r="B3882" s="25" t="s">
        <v>9251</v>
      </c>
      <c r="C3882" s="25" t="s">
        <v>9252</v>
      </c>
      <c r="D3882" s="25" t="s">
        <v>3162</v>
      </c>
      <c r="E3882" s="26" t="b">
        <v>1</v>
      </c>
      <c r="F3882" s="27" t="str">
        <f>HYPERLINK("http://nsgreg.nga.mil/genc/view?v=121980&amp;gencs=T&amp;end_month=12&amp;end_day=31&amp;end_year=2014","Dobje")</f>
        <v>Dobje</v>
      </c>
      <c r="G3882" s="28" t="str">
        <f>HYPERLINK("http://api.nsgreg.nga.mil/geo-division/GENC/6/ed3/SI-154","as:GENC:6:ed3:SI-154")</f>
        <v>as:GENC:6:ed3:SI-154</v>
      </c>
    </row>
    <row r="3883" spans="1:7" x14ac:dyDescent="0.2">
      <c r="A3883" s="85"/>
      <c r="B3883" s="25" t="s">
        <v>9253</v>
      </c>
      <c r="C3883" s="25" t="s">
        <v>9254</v>
      </c>
      <c r="D3883" s="25" t="s">
        <v>3162</v>
      </c>
      <c r="E3883" s="26" t="b">
        <v>1</v>
      </c>
      <c r="F3883" s="27" t="str">
        <f>HYPERLINK("http://nsgreg.nga.mil/genc/view?v=121847&amp;gencs=T&amp;end_month=12&amp;end_day=31&amp;end_year=2014","Dobrepolje")</f>
        <v>Dobrepolje</v>
      </c>
      <c r="G3883" s="28" t="str">
        <f>HYPERLINK("http://api.nsgreg.nga.mil/geo-division/GENC/6/ed3/SI-020","as:GENC:6:ed3:SI-020")</f>
        <v>as:GENC:6:ed3:SI-020</v>
      </c>
    </row>
    <row r="3884" spans="1:7" x14ac:dyDescent="0.2">
      <c r="A3884" s="85"/>
      <c r="B3884" s="25" t="s">
        <v>9255</v>
      </c>
      <c r="C3884" s="25" t="s">
        <v>9256</v>
      </c>
      <c r="D3884" s="25" t="s">
        <v>3162</v>
      </c>
      <c r="E3884" s="26" t="b">
        <v>1</v>
      </c>
      <c r="F3884" s="27" t="str">
        <f>HYPERLINK("http://nsgreg.nga.mil/genc/view?v=121981&amp;gencs=T&amp;end_month=12&amp;end_day=31&amp;end_year=2014","Dobrna")</f>
        <v>Dobrna</v>
      </c>
      <c r="G3884" s="28" t="str">
        <f>HYPERLINK("http://api.nsgreg.nga.mil/geo-division/GENC/6/ed3/SI-155","as:GENC:6:ed3:SI-155")</f>
        <v>as:GENC:6:ed3:SI-155</v>
      </c>
    </row>
    <row r="3885" spans="1:7" x14ac:dyDescent="0.2">
      <c r="A3885" s="85"/>
      <c r="B3885" s="25" t="s">
        <v>9257</v>
      </c>
      <c r="C3885" s="25" t="s">
        <v>9258</v>
      </c>
      <c r="D3885" s="25" t="s">
        <v>3162</v>
      </c>
      <c r="E3885" s="26" t="b">
        <v>1</v>
      </c>
      <c r="F3885" s="27" t="str">
        <f>HYPERLINK("http://nsgreg.nga.mil/genc/view?v=213468&amp;end_month=12&amp;end_day=31&amp;end_year=2014","Dobrova-Polhov Gradec")</f>
        <v>Dobrova-Polhov Gradec</v>
      </c>
      <c r="G3885" s="28" t="str">
        <f>HYPERLINK("http://api.nsgreg.nga.mil/geo-division/GENC/6/ed3/SI-021","as:GENC:6:ed3:SI-021")</f>
        <v>as:GENC:6:ed3:SI-021</v>
      </c>
    </row>
    <row r="3886" spans="1:7" x14ac:dyDescent="0.2">
      <c r="A3886" s="85"/>
      <c r="B3886" s="25" t="s">
        <v>9259</v>
      </c>
      <c r="C3886" s="25" t="s">
        <v>9260</v>
      </c>
      <c r="D3886" s="25" t="s">
        <v>3162</v>
      </c>
      <c r="E3886" s="26" t="b">
        <v>1</v>
      </c>
      <c r="F3886" s="27" t="str">
        <f>HYPERLINK("http://nsgreg.nga.mil/genc/view?v=213482&amp;end_month=12&amp;end_day=31&amp;end_year=2014","Dobrovnik")</f>
        <v>Dobrovnik</v>
      </c>
      <c r="G3886" s="28" t="str">
        <f>HYPERLINK("http://api.nsgreg.nga.mil/geo-division/GENC/6/ed3/SI-156","as:GENC:6:ed3:SI-156")</f>
        <v>as:GENC:6:ed3:SI-156</v>
      </c>
    </row>
    <row r="3887" spans="1:7" x14ac:dyDescent="0.2">
      <c r="A3887" s="85"/>
      <c r="B3887" s="25" t="s">
        <v>9263</v>
      </c>
      <c r="C3887" s="25" t="s">
        <v>9264</v>
      </c>
      <c r="D3887" s="25" t="s">
        <v>3162</v>
      </c>
      <c r="E3887" s="26" t="b">
        <v>1</v>
      </c>
      <c r="F3887" s="27" t="str">
        <f>HYPERLINK("http://nsgreg.nga.mil/genc/view?v=121983&amp;gencs=T&amp;end_month=12&amp;end_day=31&amp;end_year=2014","Dolenjske Toplice")</f>
        <v>Dolenjske Toplice</v>
      </c>
      <c r="G3887" s="28" t="str">
        <f>HYPERLINK("http://api.nsgreg.nga.mil/geo-division/GENC/6/ed3/SI-157","as:GENC:6:ed3:SI-157")</f>
        <v>as:GENC:6:ed3:SI-157</v>
      </c>
    </row>
    <row r="3888" spans="1:7" x14ac:dyDescent="0.2">
      <c r="A3888" s="85"/>
      <c r="B3888" s="25" t="s">
        <v>9261</v>
      </c>
      <c r="C3888" s="25" t="s">
        <v>9262</v>
      </c>
      <c r="D3888" s="25" t="s">
        <v>3162</v>
      </c>
      <c r="E3888" s="26" t="b">
        <v>1</v>
      </c>
      <c r="F3888" s="27" t="str">
        <f>HYPERLINK("http://nsgreg.nga.mil/genc/view?v=121849&amp;gencs=T&amp;end_month=12&amp;end_day=31&amp;end_year=2014","Dol pri Ljubljani")</f>
        <v>Dol pri Ljubljani</v>
      </c>
      <c r="G3888" s="28" t="str">
        <f>HYPERLINK("http://api.nsgreg.nga.mil/geo-division/GENC/6/ed3/SI-022","as:GENC:6:ed3:SI-022")</f>
        <v>as:GENC:6:ed3:SI-022</v>
      </c>
    </row>
    <row r="3889" spans="1:7" x14ac:dyDescent="0.2">
      <c r="A3889" s="85"/>
      <c r="B3889" s="25" t="s">
        <v>9265</v>
      </c>
      <c r="C3889" s="25" t="s">
        <v>9266</v>
      </c>
      <c r="D3889" s="25" t="s">
        <v>3162</v>
      </c>
      <c r="E3889" s="26" t="b">
        <v>1</v>
      </c>
      <c r="F3889" s="27" t="str">
        <f>HYPERLINK("http://nsgreg.nga.mil/genc/view?v=121850&amp;gencs=T&amp;end_month=12&amp;end_day=31&amp;end_year=2014","Domžale")</f>
        <v>Domžale</v>
      </c>
      <c r="G3889" s="28" t="str">
        <f>HYPERLINK("http://api.nsgreg.nga.mil/geo-division/GENC/6/ed3/SI-023","as:GENC:6:ed3:SI-023")</f>
        <v>as:GENC:6:ed3:SI-023</v>
      </c>
    </row>
    <row r="3890" spans="1:7" x14ac:dyDescent="0.2">
      <c r="A3890" s="85"/>
      <c r="B3890" s="25" t="s">
        <v>9267</v>
      </c>
      <c r="C3890" s="25" t="s">
        <v>9268</v>
      </c>
      <c r="D3890" s="25" t="s">
        <v>3162</v>
      </c>
      <c r="E3890" s="26" t="b">
        <v>1</v>
      </c>
      <c r="F3890" s="27" t="str">
        <f>HYPERLINK("http://nsgreg.nga.mil/genc/view?v=121851&amp;gencs=T&amp;end_month=12&amp;end_day=31&amp;end_year=2014","Dornava")</f>
        <v>Dornava</v>
      </c>
      <c r="G3890" s="28" t="str">
        <f>HYPERLINK("http://api.nsgreg.nga.mil/geo-division/GENC/6/ed3/SI-024","as:GENC:6:ed3:SI-024")</f>
        <v>as:GENC:6:ed3:SI-024</v>
      </c>
    </row>
    <row r="3891" spans="1:7" x14ac:dyDescent="0.2">
      <c r="A3891" s="85"/>
      <c r="B3891" s="25" t="s">
        <v>9269</v>
      </c>
      <c r="C3891" s="25" t="s">
        <v>9270</v>
      </c>
      <c r="D3891" s="25" t="s">
        <v>3162</v>
      </c>
      <c r="E3891" s="26" t="b">
        <v>1</v>
      </c>
      <c r="F3891" s="27" t="str">
        <f>HYPERLINK("http://nsgreg.nga.mil/genc/view?v=121852&amp;gencs=T&amp;end_month=12&amp;end_day=31&amp;end_year=2014","Dravograd")</f>
        <v>Dravograd</v>
      </c>
      <c r="G3891" s="28" t="str">
        <f>HYPERLINK("http://api.nsgreg.nga.mil/geo-division/GENC/6/ed3/SI-025","as:GENC:6:ed3:SI-025")</f>
        <v>as:GENC:6:ed3:SI-025</v>
      </c>
    </row>
    <row r="3892" spans="1:7" x14ac:dyDescent="0.2">
      <c r="A3892" s="85"/>
      <c r="B3892" s="25" t="s">
        <v>9271</v>
      </c>
      <c r="C3892" s="25" t="s">
        <v>9272</v>
      </c>
      <c r="D3892" s="25" t="s">
        <v>3162</v>
      </c>
      <c r="E3892" s="26" t="b">
        <v>1</v>
      </c>
      <c r="F3892" s="27" t="str">
        <f>HYPERLINK("http://nsgreg.nga.mil/genc/view?v=121853&amp;gencs=T&amp;end_month=12&amp;end_day=31&amp;end_year=2014","Duplek")</f>
        <v>Duplek</v>
      </c>
      <c r="G3892" s="28" t="str">
        <f>HYPERLINK("http://api.nsgreg.nga.mil/geo-division/GENC/6/ed3/SI-026","as:GENC:6:ed3:SI-026")</f>
        <v>as:GENC:6:ed3:SI-026</v>
      </c>
    </row>
    <row r="3893" spans="1:7" x14ac:dyDescent="0.2">
      <c r="A3893" s="85"/>
      <c r="B3893" s="25" t="s">
        <v>9273</v>
      </c>
      <c r="C3893" s="25" t="s">
        <v>13644</v>
      </c>
      <c r="D3893" s="25" t="s">
        <v>3162</v>
      </c>
      <c r="E3893" s="26" t="b">
        <v>1</v>
      </c>
      <c r="F3893" s="27" t="str">
        <f>HYPERLINK("http://nsgreg.nga.mil/genc/view?v=121854&amp;gencs=T&amp;end_month=12&amp;end_day=31&amp;end_year=2014","Gorenja Vas-Poljane")</f>
        <v>Gorenja Vas-Poljane</v>
      </c>
      <c r="G3893" s="28" t="str">
        <f>HYPERLINK("http://api.nsgreg.nga.mil/geo-division/GENC/6/ed3/SI-027","as:GENC:6:ed3:SI-027")</f>
        <v>as:GENC:6:ed3:SI-027</v>
      </c>
    </row>
    <row r="3894" spans="1:7" x14ac:dyDescent="0.2">
      <c r="A3894" s="85"/>
      <c r="B3894" s="25" t="s">
        <v>9275</v>
      </c>
      <c r="C3894" s="25" t="s">
        <v>9276</v>
      </c>
      <c r="D3894" s="25" t="s">
        <v>3162</v>
      </c>
      <c r="E3894" s="26" t="b">
        <v>1</v>
      </c>
      <c r="F3894" s="27" t="str">
        <f>HYPERLINK("http://nsgreg.nga.mil/genc/view?v=121855&amp;gencs=T&amp;end_month=12&amp;end_day=31&amp;end_year=2014","Gorišnica")</f>
        <v>Gorišnica</v>
      </c>
      <c r="G3894" s="28" t="str">
        <f>HYPERLINK("http://api.nsgreg.nga.mil/geo-division/GENC/6/ed3/SI-028","as:GENC:6:ed3:SI-028")</f>
        <v>as:GENC:6:ed3:SI-028</v>
      </c>
    </row>
    <row r="3895" spans="1:7" x14ac:dyDescent="0.2">
      <c r="A3895" s="85"/>
      <c r="B3895" s="25" t="s">
        <v>9277</v>
      </c>
      <c r="C3895" s="25" t="s">
        <v>9278</v>
      </c>
      <c r="D3895" s="25" t="s">
        <v>3162</v>
      </c>
      <c r="E3895" s="26" t="b">
        <v>1</v>
      </c>
      <c r="F3895" s="27" t="str">
        <f>HYPERLINK("http://nsgreg.nga.mil/genc/view?v=122033&amp;gencs=T&amp;end_month=12&amp;end_day=31&amp;end_year=2014","Gorje")</f>
        <v>Gorje</v>
      </c>
      <c r="G3895" s="28" t="str">
        <f>HYPERLINK("http://api.nsgreg.nga.mil/geo-division/GENC/6/ed3/SI-207","as:GENC:6:ed3:SI-207")</f>
        <v>as:GENC:6:ed3:SI-207</v>
      </c>
    </row>
    <row r="3896" spans="1:7" x14ac:dyDescent="0.2">
      <c r="A3896" s="85"/>
      <c r="B3896" s="25" t="s">
        <v>9279</v>
      </c>
      <c r="C3896" s="25" t="s">
        <v>9280</v>
      </c>
      <c r="D3896" s="25" t="s">
        <v>3162</v>
      </c>
      <c r="E3896" s="26" t="b">
        <v>1</v>
      </c>
      <c r="F3896" s="27" t="str">
        <f>HYPERLINK("http://nsgreg.nga.mil/genc/view?v=121856&amp;gencs=T&amp;end_month=12&amp;end_day=31&amp;end_year=2014","Gornja Radgona")</f>
        <v>Gornja Radgona</v>
      </c>
      <c r="G3896" s="28" t="str">
        <f>HYPERLINK("http://api.nsgreg.nga.mil/geo-division/GENC/6/ed3/SI-029","as:GENC:6:ed3:SI-029")</f>
        <v>as:GENC:6:ed3:SI-029</v>
      </c>
    </row>
    <row r="3897" spans="1:7" x14ac:dyDescent="0.2">
      <c r="A3897" s="85"/>
      <c r="B3897" s="25" t="s">
        <v>9281</v>
      </c>
      <c r="C3897" s="25" t="s">
        <v>9282</v>
      </c>
      <c r="D3897" s="25" t="s">
        <v>3162</v>
      </c>
      <c r="E3897" s="26" t="b">
        <v>1</v>
      </c>
      <c r="F3897" s="27" t="str">
        <f>HYPERLINK("http://nsgreg.nga.mil/genc/view?v=121857&amp;gencs=T&amp;end_month=12&amp;end_day=31&amp;end_year=2014","Gornji Grad")</f>
        <v>Gornji Grad</v>
      </c>
      <c r="G3897" s="28" t="str">
        <f>HYPERLINK("http://api.nsgreg.nga.mil/geo-division/GENC/6/ed3/SI-030","as:GENC:6:ed3:SI-030")</f>
        <v>as:GENC:6:ed3:SI-030</v>
      </c>
    </row>
    <row r="3898" spans="1:7" x14ac:dyDescent="0.2">
      <c r="A3898" s="85"/>
      <c r="B3898" s="25" t="s">
        <v>9283</v>
      </c>
      <c r="C3898" s="25" t="s">
        <v>9284</v>
      </c>
      <c r="D3898" s="25" t="s">
        <v>3162</v>
      </c>
      <c r="E3898" s="26" t="b">
        <v>1</v>
      </c>
      <c r="F3898" s="27" t="str">
        <f>HYPERLINK("http://nsgreg.nga.mil/genc/view?v=121858&amp;gencs=T&amp;end_month=12&amp;end_day=31&amp;end_year=2014","Gornji Petrovci")</f>
        <v>Gornji Petrovci</v>
      </c>
      <c r="G3898" s="28" t="str">
        <f>HYPERLINK("http://api.nsgreg.nga.mil/geo-division/GENC/6/ed3/SI-031","as:GENC:6:ed3:SI-031")</f>
        <v>as:GENC:6:ed3:SI-031</v>
      </c>
    </row>
    <row r="3899" spans="1:7" x14ac:dyDescent="0.2">
      <c r="A3899" s="85"/>
      <c r="B3899" s="25" t="s">
        <v>9285</v>
      </c>
      <c r="C3899" s="25" t="s">
        <v>9286</v>
      </c>
      <c r="D3899" s="25" t="s">
        <v>3162</v>
      </c>
      <c r="E3899" s="26" t="b">
        <v>1</v>
      </c>
      <c r="F3899" s="27" t="str">
        <f>HYPERLINK("http://nsgreg.nga.mil/genc/view?v=121984&amp;gencs=T&amp;end_month=12&amp;end_day=31&amp;end_year=2014","Grad")</f>
        <v>Grad</v>
      </c>
      <c r="G3899" s="28" t="str">
        <f>HYPERLINK("http://api.nsgreg.nga.mil/geo-division/GENC/6/ed3/SI-158","as:GENC:6:ed3:SI-158")</f>
        <v>as:GENC:6:ed3:SI-158</v>
      </c>
    </row>
    <row r="3900" spans="1:7" x14ac:dyDescent="0.2">
      <c r="A3900" s="85"/>
      <c r="B3900" s="25" t="s">
        <v>9287</v>
      </c>
      <c r="C3900" s="25" t="s">
        <v>9288</v>
      </c>
      <c r="D3900" s="25" t="s">
        <v>3162</v>
      </c>
      <c r="E3900" s="26" t="b">
        <v>1</v>
      </c>
      <c r="F3900" s="27" t="str">
        <f>HYPERLINK("http://nsgreg.nga.mil/genc/view?v=121859&amp;gencs=T&amp;end_month=12&amp;end_day=31&amp;end_year=2014","Grosuplje")</f>
        <v>Grosuplje</v>
      </c>
      <c r="G3900" s="28" t="str">
        <f>HYPERLINK("http://api.nsgreg.nga.mil/geo-division/GENC/6/ed3/SI-032","as:GENC:6:ed3:SI-032")</f>
        <v>as:GENC:6:ed3:SI-032</v>
      </c>
    </row>
    <row r="3901" spans="1:7" x14ac:dyDescent="0.2">
      <c r="A3901" s="85"/>
      <c r="B3901" s="25" t="s">
        <v>9289</v>
      </c>
      <c r="C3901" s="25" t="s">
        <v>9290</v>
      </c>
      <c r="D3901" s="25" t="s">
        <v>3162</v>
      </c>
      <c r="E3901" s="26" t="b">
        <v>1</v>
      </c>
      <c r="F3901" s="27" t="str">
        <f>HYPERLINK("http://nsgreg.nga.mil/genc/view?v=121985&amp;gencs=T&amp;end_month=12&amp;end_day=31&amp;end_year=2014","Hajdina")</f>
        <v>Hajdina</v>
      </c>
      <c r="G3901" s="28" t="str">
        <f>HYPERLINK("http://api.nsgreg.nga.mil/geo-division/GENC/6/ed3/SI-159","as:GENC:6:ed3:SI-159")</f>
        <v>as:GENC:6:ed3:SI-159</v>
      </c>
    </row>
    <row r="3902" spans="1:7" x14ac:dyDescent="0.2">
      <c r="A3902" s="85"/>
      <c r="B3902" s="25" t="s">
        <v>9295</v>
      </c>
      <c r="C3902" s="25" t="s">
        <v>9296</v>
      </c>
      <c r="D3902" s="25" t="s">
        <v>3162</v>
      </c>
      <c r="E3902" s="26" t="b">
        <v>1</v>
      </c>
      <c r="F3902" s="27" t="str">
        <f>HYPERLINK("http://nsgreg.nga.mil/genc/view?v=121986&amp;gencs=T&amp;end_month=12&amp;end_day=31&amp;end_year=2014","Hoče-Slivnica")</f>
        <v>Hoče-Slivnica</v>
      </c>
      <c r="G3902" s="28" t="str">
        <f>HYPERLINK("http://api.nsgreg.nga.mil/geo-division/GENC/6/ed3/SI-160","as:GENC:6:ed3:SI-160")</f>
        <v>as:GENC:6:ed3:SI-160</v>
      </c>
    </row>
    <row r="3903" spans="1:7" x14ac:dyDescent="0.2">
      <c r="A3903" s="85"/>
      <c r="B3903" s="25" t="s">
        <v>9291</v>
      </c>
      <c r="C3903" s="25" t="s">
        <v>9292</v>
      </c>
      <c r="D3903" s="25" t="s">
        <v>3162</v>
      </c>
      <c r="E3903" s="26" t="b">
        <v>1</v>
      </c>
      <c r="F3903" s="27" t="str">
        <f>HYPERLINK("http://nsgreg.nga.mil/genc/view?v=213483&amp;end_month=12&amp;end_day=31&amp;end_year=2014","Hodoš")</f>
        <v>Hodoš</v>
      </c>
      <c r="G3903" s="28" t="str">
        <f>HYPERLINK("http://api.nsgreg.nga.mil/geo-division/GENC/6/ed3/SI-161","as:GENC:6:ed3:SI-161")</f>
        <v>as:GENC:6:ed3:SI-161</v>
      </c>
    </row>
    <row r="3904" spans="1:7" x14ac:dyDescent="0.2">
      <c r="A3904" s="85"/>
      <c r="B3904" s="25" t="s">
        <v>9293</v>
      </c>
      <c r="C3904" s="25" t="s">
        <v>9294</v>
      </c>
      <c r="D3904" s="25" t="s">
        <v>3162</v>
      </c>
      <c r="E3904" s="26" t="b">
        <v>1</v>
      </c>
      <c r="F3904" s="27" t="str">
        <f>HYPERLINK("http://nsgreg.nga.mil/genc/view?v=121988&amp;gencs=T&amp;end_month=12&amp;end_day=31&amp;end_year=2014","Horjul")</f>
        <v>Horjul</v>
      </c>
      <c r="G3904" s="28" t="str">
        <f>HYPERLINK("http://api.nsgreg.nga.mil/geo-division/GENC/6/ed3/SI-162","as:GENC:6:ed3:SI-162")</f>
        <v>as:GENC:6:ed3:SI-162</v>
      </c>
    </row>
    <row r="3905" spans="1:7" x14ac:dyDescent="0.2">
      <c r="A3905" s="85"/>
      <c r="B3905" s="25" t="s">
        <v>9297</v>
      </c>
      <c r="C3905" s="25" t="s">
        <v>9298</v>
      </c>
      <c r="D3905" s="25" t="s">
        <v>3162</v>
      </c>
      <c r="E3905" s="26" t="b">
        <v>1</v>
      </c>
      <c r="F3905" s="27" t="str">
        <f>HYPERLINK("http://nsgreg.nga.mil/genc/view?v=121861&amp;gencs=T&amp;end_month=12&amp;end_day=31&amp;end_year=2014","Hrastnik")</f>
        <v>Hrastnik</v>
      </c>
      <c r="G3905" s="28" t="str">
        <f>HYPERLINK("http://api.nsgreg.nga.mil/geo-division/GENC/6/ed3/SI-034","as:GENC:6:ed3:SI-034")</f>
        <v>as:GENC:6:ed3:SI-034</v>
      </c>
    </row>
    <row r="3906" spans="1:7" x14ac:dyDescent="0.2">
      <c r="A3906" s="85"/>
      <c r="B3906" s="25" t="s">
        <v>9299</v>
      </c>
      <c r="C3906" s="25" t="s">
        <v>9300</v>
      </c>
      <c r="D3906" s="25" t="s">
        <v>3162</v>
      </c>
      <c r="E3906" s="26" t="b">
        <v>1</v>
      </c>
      <c r="F3906" s="27" t="str">
        <f>HYPERLINK("http://nsgreg.nga.mil/genc/view?v=121862&amp;gencs=T&amp;end_month=12&amp;end_day=31&amp;end_year=2014","Hrpelje-Kozina")</f>
        <v>Hrpelje-Kozina</v>
      </c>
      <c r="G3906" s="28" t="str">
        <f>HYPERLINK("http://api.nsgreg.nga.mil/geo-division/GENC/6/ed3/SI-035","as:GENC:6:ed3:SI-035")</f>
        <v>as:GENC:6:ed3:SI-035</v>
      </c>
    </row>
    <row r="3907" spans="1:7" x14ac:dyDescent="0.2">
      <c r="A3907" s="85"/>
      <c r="B3907" s="25" t="s">
        <v>9301</v>
      </c>
      <c r="C3907" s="25" t="s">
        <v>9302</v>
      </c>
      <c r="D3907" s="25" t="s">
        <v>3162</v>
      </c>
      <c r="E3907" s="26" t="b">
        <v>1</v>
      </c>
      <c r="F3907" s="27" t="str">
        <f>HYPERLINK("http://nsgreg.nga.mil/genc/view?v=121863&amp;gencs=T&amp;end_month=12&amp;end_day=31&amp;end_year=2014","Idrija")</f>
        <v>Idrija</v>
      </c>
      <c r="G3907" s="28" t="str">
        <f>HYPERLINK("http://api.nsgreg.nga.mil/geo-division/GENC/6/ed3/SI-036","as:GENC:6:ed3:SI-036")</f>
        <v>as:GENC:6:ed3:SI-036</v>
      </c>
    </row>
    <row r="3908" spans="1:7" x14ac:dyDescent="0.2">
      <c r="A3908" s="85"/>
      <c r="B3908" s="25" t="s">
        <v>9303</v>
      </c>
      <c r="C3908" s="25" t="s">
        <v>9304</v>
      </c>
      <c r="D3908" s="25" t="s">
        <v>3162</v>
      </c>
      <c r="E3908" s="26" t="b">
        <v>1</v>
      </c>
      <c r="F3908" s="27" t="str">
        <f>HYPERLINK("http://nsgreg.nga.mil/genc/view?v=121864&amp;gencs=T&amp;end_month=12&amp;end_day=31&amp;end_year=2014","Ig")</f>
        <v>Ig</v>
      </c>
      <c r="G3908" s="28" t="str">
        <f>HYPERLINK("http://api.nsgreg.nga.mil/geo-division/GENC/6/ed3/SI-037","as:GENC:6:ed3:SI-037")</f>
        <v>as:GENC:6:ed3:SI-037</v>
      </c>
    </row>
    <row r="3909" spans="1:7" x14ac:dyDescent="0.2">
      <c r="A3909" s="85"/>
      <c r="B3909" s="25" t="s">
        <v>9305</v>
      </c>
      <c r="C3909" s="25" t="s">
        <v>9306</v>
      </c>
      <c r="D3909" s="25" t="s">
        <v>3162</v>
      </c>
      <c r="E3909" s="26" t="b">
        <v>1</v>
      </c>
      <c r="F3909" s="27" t="str">
        <f>HYPERLINK("http://nsgreg.nga.mil/genc/view?v=121865&amp;gencs=T&amp;end_month=12&amp;end_day=31&amp;end_year=2014","Ilirska Bistrica")</f>
        <v>Ilirska Bistrica</v>
      </c>
      <c r="G3909" s="28" t="str">
        <f>HYPERLINK("http://api.nsgreg.nga.mil/geo-division/GENC/6/ed3/SI-038","as:GENC:6:ed3:SI-038")</f>
        <v>as:GENC:6:ed3:SI-038</v>
      </c>
    </row>
    <row r="3910" spans="1:7" x14ac:dyDescent="0.2">
      <c r="A3910" s="85"/>
      <c r="B3910" s="25" t="s">
        <v>9307</v>
      </c>
      <c r="C3910" s="25" t="s">
        <v>9308</v>
      </c>
      <c r="D3910" s="25" t="s">
        <v>3162</v>
      </c>
      <c r="E3910" s="26" t="b">
        <v>1</v>
      </c>
      <c r="F3910" s="27" t="str">
        <f>HYPERLINK("http://nsgreg.nga.mil/genc/view?v=121866&amp;gencs=T&amp;end_month=12&amp;end_day=31&amp;end_year=2014","Ivančna Gorica")</f>
        <v>Ivančna Gorica</v>
      </c>
      <c r="G3910" s="28" t="str">
        <f>HYPERLINK("http://api.nsgreg.nga.mil/geo-division/GENC/6/ed3/SI-039","as:GENC:6:ed3:SI-039")</f>
        <v>as:GENC:6:ed3:SI-039</v>
      </c>
    </row>
    <row r="3911" spans="1:7" x14ac:dyDescent="0.2">
      <c r="A3911" s="85"/>
      <c r="B3911" s="25" t="s">
        <v>9309</v>
      </c>
      <c r="C3911" s="25" t="s">
        <v>9310</v>
      </c>
      <c r="D3911" s="25" t="s">
        <v>3162</v>
      </c>
      <c r="E3911" s="26" t="b">
        <v>1</v>
      </c>
      <c r="F3911" s="27" t="str">
        <f>HYPERLINK("http://nsgreg.nga.mil/genc/view?v=213469&amp;end_month=12&amp;end_day=31&amp;end_year=2014","Izola")</f>
        <v>Izola</v>
      </c>
      <c r="G3911" s="28" t="str">
        <f>HYPERLINK("http://api.nsgreg.nga.mil/geo-division/GENC/6/ed3/SI-040","as:GENC:6:ed3:SI-040")</f>
        <v>as:GENC:6:ed3:SI-040</v>
      </c>
    </row>
    <row r="3912" spans="1:7" x14ac:dyDescent="0.2">
      <c r="A3912" s="85"/>
      <c r="B3912" s="25" t="s">
        <v>9311</v>
      </c>
      <c r="C3912" s="25" t="s">
        <v>9312</v>
      </c>
      <c r="D3912" s="25" t="s">
        <v>3162</v>
      </c>
      <c r="E3912" s="26" t="b">
        <v>1</v>
      </c>
      <c r="F3912" s="27" t="str">
        <f>HYPERLINK("http://nsgreg.nga.mil/genc/view?v=121868&amp;gencs=T&amp;end_month=12&amp;end_day=31&amp;end_year=2014","Jesenice")</f>
        <v>Jesenice</v>
      </c>
      <c r="G3912" s="28" t="str">
        <f>HYPERLINK("http://api.nsgreg.nga.mil/geo-division/GENC/6/ed3/SI-041","as:GENC:6:ed3:SI-041")</f>
        <v>as:GENC:6:ed3:SI-041</v>
      </c>
    </row>
    <row r="3913" spans="1:7" x14ac:dyDescent="0.2">
      <c r="A3913" s="85"/>
      <c r="B3913" s="25" t="s">
        <v>9313</v>
      </c>
      <c r="C3913" s="25" t="s">
        <v>9314</v>
      </c>
      <c r="D3913" s="25" t="s">
        <v>3162</v>
      </c>
      <c r="E3913" s="26" t="b">
        <v>1</v>
      </c>
      <c r="F3913" s="27" t="str">
        <f>HYPERLINK("http://nsgreg.nga.mil/genc/view?v=121989&amp;gencs=T&amp;end_month=12&amp;end_day=31&amp;end_year=2014","Jezersko")</f>
        <v>Jezersko</v>
      </c>
      <c r="G3913" s="28" t="str">
        <f>HYPERLINK("http://api.nsgreg.nga.mil/geo-division/GENC/6/ed3/SI-163","as:GENC:6:ed3:SI-163")</f>
        <v>as:GENC:6:ed3:SI-163</v>
      </c>
    </row>
    <row r="3914" spans="1:7" x14ac:dyDescent="0.2">
      <c r="A3914" s="85"/>
      <c r="B3914" s="25" t="s">
        <v>9315</v>
      </c>
      <c r="C3914" s="25" t="s">
        <v>9316</v>
      </c>
      <c r="D3914" s="25" t="s">
        <v>3162</v>
      </c>
      <c r="E3914" s="26" t="b">
        <v>1</v>
      </c>
      <c r="F3914" s="27" t="str">
        <f>HYPERLINK("http://nsgreg.nga.mil/genc/view?v=121869&amp;gencs=T&amp;end_month=12&amp;end_day=31&amp;end_year=2014","Juršinci")</f>
        <v>Juršinci</v>
      </c>
      <c r="G3914" s="28" t="str">
        <f>HYPERLINK("http://api.nsgreg.nga.mil/geo-division/GENC/6/ed3/SI-042","as:GENC:6:ed3:SI-042")</f>
        <v>as:GENC:6:ed3:SI-042</v>
      </c>
    </row>
    <row r="3915" spans="1:7" x14ac:dyDescent="0.2">
      <c r="A3915" s="85"/>
      <c r="B3915" s="25" t="s">
        <v>9317</v>
      </c>
      <c r="C3915" s="25" t="s">
        <v>9318</v>
      </c>
      <c r="D3915" s="25" t="s">
        <v>3162</v>
      </c>
      <c r="E3915" s="26" t="b">
        <v>1</v>
      </c>
      <c r="F3915" s="27" t="str">
        <f>HYPERLINK("http://nsgreg.nga.mil/genc/view?v=121870&amp;gencs=T&amp;end_month=12&amp;end_day=31&amp;end_year=2014","Kamnik")</f>
        <v>Kamnik</v>
      </c>
      <c r="G3915" s="28" t="str">
        <f>HYPERLINK("http://api.nsgreg.nga.mil/geo-division/GENC/6/ed3/SI-043","as:GENC:6:ed3:SI-043")</f>
        <v>as:GENC:6:ed3:SI-043</v>
      </c>
    </row>
    <row r="3916" spans="1:7" x14ac:dyDescent="0.2">
      <c r="A3916" s="85"/>
      <c r="B3916" s="25" t="s">
        <v>9319</v>
      </c>
      <c r="C3916" s="25" t="s">
        <v>9320</v>
      </c>
      <c r="D3916" s="25" t="s">
        <v>3162</v>
      </c>
      <c r="E3916" s="26" t="b">
        <v>1</v>
      </c>
      <c r="F3916" s="27" t="str">
        <f>HYPERLINK("http://nsgreg.nga.mil/genc/view?v=121871&amp;gencs=T&amp;end_month=12&amp;end_day=31&amp;end_year=2014","Kanal")</f>
        <v>Kanal</v>
      </c>
      <c r="G3916" s="28" t="str">
        <f>HYPERLINK("http://api.nsgreg.nga.mil/geo-division/GENC/6/ed3/SI-044","as:GENC:6:ed3:SI-044")</f>
        <v>as:GENC:6:ed3:SI-044</v>
      </c>
    </row>
    <row r="3917" spans="1:7" x14ac:dyDescent="0.2">
      <c r="A3917" s="85"/>
      <c r="B3917" s="25" t="s">
        <v>9321</v>
      </c>
      <c r="C3917" s="25" t="s">
        <v>9322</v>
      </c>
      <c r="D3917" s="25" t="s">
        <v>3162</v>
      </c>
      <c r="E3917" s="26" t="b">
        <v>1</v>
      </c>
      <c r="F3917" s="27" t="str">
        <f>HYPERLINK("http://nsgreg.nga.mil/genc/view?v=121872&amp;gencs=T&amp;end_month=12&amp;end_day=31&amp;end_year=2014","Kidričevo")</f>
        <v>Kidričevo</v>
      </c>
      <c r="G3917" s="28" t="str">
        <f>HYPERLINK("http://api.nsgreg.nga.mil/geo-division/GENC/6/ed3/SI-045","as:GENC:6:ed3:SI-045")</f>
        <v>as:GENC:6:ed3:SI-045</v>
      </c>
    </row>
    <row r="3918" spans="1:7" x14ac:dyDescent="0.2">
      <c r="A3918" s="85"/>
      <c r="B3918" s="25" t="s">
        <v>9323</v>
      </c>
      <c r="C3918" s="25" t="s">
        <v>9324</v>
      </c>
      <c r="D3918" s="25" t="s">
        <v>3162</v>
      </c>
      <c r="E3918" s="26" t="b">
        <v>1</v>
      </c>
      <c r="F3918" s="27" t="str">
        <f>HYPERLINK("http://nsgreg.nga.mil/genc/view?v=121873&amp;gencs=T&amp;end_month=12&amp;end_day=31&amp;end_year=2014","Kobarid")</f>
        <v>Kobarid</v>
      </c>
      <c r="G3918" s="28" t="str">
        <f>HYPERLINK("http://api.nsgreg.nga.mil/geo-division/GENC/6/ed3/SI-046","as:GENC:6:ed3:SI-046")</f>
        <v>as:GENC:6:ed3:SI-046</v>
      </c>
    </row>
    <row r="3919" spans="1:7" x14ac:dyDescent="0.2">
      <c r="A3919" s="85"/>
      <c r="B3919" s="25" t="s">
        <v>9325</v>
      </c>
      <c r="C3919" s="25" t="s">
        <v>9326</v>
      </c>
      <c r="D3919" s="25" t="s">
        <v>3162</v>
      </c>
      <c r="E3919" s="26" t="b">
        <v>1</v>
      </c>
      <c r="F3919" s="27" t="str">
        <f>HYPERLINK("http://nsgreg.nga.mil/genc/view?v=121874&amp;gencs=T&amp;end_month=12&amp;end_day=31&amp;end_year=2014","Kobilje")</f>
        <v>Kobilje</v>
      </c>
      <c r="G3919" s="28" t="str">
        <f>HYPERLINK("http://api.nsgreg.nga.mil/geo-division/GENC/6/ed3/SI-047","as:GENC:6:ed3:SI-047")</f>
        <v>as:GENC:6:ed3:SI-047</v>
      </c>
    </row>
    <row r="3920" spans="1:7" x14ac:dyDescent="0.2">
      <c r="A3920" s="85"/>
      <c r="B3920" s="25" t="s">
        <v>9339</v>
      </c>
      <c r="C3920" s="25" t="s">
        <v>9340</v>
      </c>
      <c r="D3920" s="25" t="s">
        <v>3162</v>
      </c>
      <c r="E3920" s="26" t="b">
        <v>1</v>
      </c>
      <c r="F3920" s="27" t="str">
        <f>HYPERLINK("http://nsgreg.nga.mil/genc/view?v=121875&amp;gencs=T&amp;end_month=12&amp;end_day=31&amp;end_year=2014","Kočevje")</f>
        <v>Kočevje</v>
      </c>
      <c r="G3920" s="28" t="str">
        <f>HYPERLINK("http://api.nsgreg.nga.mil/geo-division/GENC/6/ed3/SI-048","as:GENC:6:ed3:SI-048")</f>
        <v>as:GENC:6:ed3:SI-048</v>
      </c>
    </row>
    <row r="3921" spans="1:7" x14ac:dyDescent="0.2">
      <c r="A3921" s="85"/>
      <c r="B3921" s="25" t="s">
        <v>9327</v>
      </c>
      <c r="C3921" s="25" t="s">
        <v>9328</v>
      </c>
      <c r="D3921" s="25" t="s">
        <v>3162</v>
      </c>
      <c r="E3921" s="26" t="b">
        <v>1</v>
      </c>
      <c r="F3921" s="27" t="str">
        <f>HYPERLINK("http://nsgreg.nga.mil/genc/view?v=121876&amp;gencs=T&amp;end_month=12&amp;end_day=31&amp;end_year=2014","Komen")</f>
        <v>Komen</v>
      </c>
      <c r="G3921" s="28" t="str">
        <f>HYPERLINK("http://api.nsgreg.nga.mil/geo-division/GENC/6/ed3/SI-049","as:GENC:6:ed3:SI-049")</f>
        <v>as:GENC:6:ed3:SI-049</v>
      </c>
    </row>
    <row r="3922" spans="1:7" x14ac:dyDescent="0.2">
      <c r="A3922" s="85"/>
      <c r="B3922" s="25" t="s">
        <v>9329</v>
      </c>
      <c r="C3922" s="25" t="s">
        <v>9330</v>
      </c>
      <c r="D3922" s="25" t="s">
        <v>3162</v>
      </c>
      <c r="E3922" s="26" t="b">
        <v>1</v>
      </c>
      <c r="F3922" s="27" t="str">
        <f>HYPERLINK("http://nsgreg.nga.mil/genc/view?v=121990&amp;gencs=T&amp;end_month=12&amp;end_day=31&amp;end_year=2014","Komenda")</f>
        <v>Komenda</v>
      </c>
      <c r="G3922" s="28" t="str">
        <f>HYPERLINK("http://api.nsgreg.nga.mil/geo-division/GENC/6/ed3/SI-164","as:GENC:6:ed3:SI-164")</f>
        <v>as:GENC:6:ed3:SI-164</v>
      </c>
    </row>
    <row r="3923" spans="1:7" x14ac:dyDescent="0.2">
      <c r="A3923" s="85"/>
      <c r="B3923" s="25" t="s">
        <v>9331</v>
      </c>
      <c r="C3923" s="25" t="s">
        <v>9332</v>
      </c>
      <c r="D3923" s="25" t="s">
        <v>13645</v>
      </c>
      <c r="E3923" s="26" t="b">
        <v>1</v>
      </c>
      <c r="F3923" s="27" t="str">
        <f>HYPERLINK("http://nsgreg.nga.mil/genc/view?v=213470&amp;end_month=12&amp;end_day=31&amp;end_year=2014","Koper")</f>
        <v>Koper</v>
      </c>
      <c r="G3923" s="28" t="str">
        <f>HYPERLINK("http://api.nsgreg.nga.mil/geo-division/GENC/6/ed3/SI-050","as:GENC:6:ed3:SI-050")</f>
        <v>as:GENC:6:ed3:SI-050</v>
      </c>
    </row>
    <row r="3924" spans="1:7" x14ac:dyDescent="0.2">
      <c r="A3924" s="85"/>
      <c r="B3924" s="25" t="s">
        <v>9333</v>
      </c>
      <c r="C3924" s="25" t="s">
        <v>13646</v>
      </c>
      <c r="D3924" s="25" t="s">
        <v>3162</v>
      </c>
      <c r="E3924" s="26" t="b">
        <v>1</v>
      </c>
      <c r="F3924" s="27" t="str">
        <f>HYPERLINK("http://nsgreg.nga.mil/genc/view?v=213484&amp;end_month=12&amp;end_day=31&amp;end_year=2014","Kostanjevica na Krki")</f>
        <v>Kostanjevica na Krki</v>
      </c>
      <c r="G3924" s="28" t="str">
        <f>HYPERLINK("http://api.nsgreg.nga.mil/geo-division/GENC/6/ed3/SI-197","as:GENC:6:ed3:SI-197")</f>
        <v>as:GENC:6:ed3:SI-197</v>
      </c>
    </row>
    <row r="3925" spans="1:7" x14ac:dyDescent="0.2">
      <c r="A3925" s="85"/>
      <c r="B3925" s="25" t="s">
        <v>9335</v>
      </c>
      <c r="C3925" s="25" t="s">
        <v>9336</v>
      </c>
      <c r="D3925" s="25" t="s">
        <v>3162</v>
      </c>
      <c r="E3925" s="26" t="b">
        <v>1</v>
      </c>
      <c r="F3925" s="27" t="str">
        <f>HYPERLINK("http://nsgreg.nga.mil/genc/view?v=121991&amp;gencs=T&amp;end_month=12&amp;end_day=31&amp;end_year=2014","Kostel")</f>
        <v>Kostel</v>
      </c>
      <c r="G3925" s="28" t="str">
        <f>HYPERLINK("http://api.nsgreg.nga.mil/geo-division/GENC/6/ed3/SI-165","as:GENC:6:ed3:SI-165")</f>
        <v>as:GENC:6:ed3:SI-165</v>
      </c>
    </row>
    <row r="3926" spans="1:7" x14ac:dyDescent="0.2">
      <c r="A3926" s="85"/>
      <c r="B3926" s="25" t="s">
        <v>9337</v>
      </c>
      <c r="C3926" s="25" t="s">
        <v>9338</v>
      </c>
      <c r="D3926" s="25" t="s">
        <v>3162</v>
      </c>
      <c r="E3926" s="26" t="b">
        <v>1</v>
      </c>
      <c r="F3926" s="27" t="str">
        <f>HYPERLINK("http://nsgreg.nga.mil/genc/view?v=121878&amp;gencs=T&amp;end_month=12&amp;end_day=31&amp;end_year=2014","Kozje")</f>
        <v>Kozje</v>
      </c>
      <c r="G3926" s="28" t="str">
        <f>HYPERLINK("http://api.nsgreg.nga.mil/geo-division/GENC/6/ed3/SI-051","as:GENC:6:ed3:SI-051")</f>
        <v>as:GENC:6:ed3:SI-051</v>
      </c>
    </row>
    <row r="3927" spans="1:7" x14ac:dyDescent="0.2">
      <c r="A3927" s="85"/>
      <c r="B3927" s="25" t="s">
        <v>9341</v>
      </c>
      <c r="C3927" s="25" t="s">
        <v>9342</v>
      </c>
      <c r="D3927" s="25" t="s">
        <v>3162</v>
      </c>
      <c r="E3927" s="26" t="b">
        <v>1</v>
      </c>
      <c r="F3927" s="27" t="str">
        <f>HYPERLINK("http://nsgreg.nga.mil/genc/view?v=121879&amp;gencs=T&amp;end_month=12&amp;end_day=31&amp;end_year=2014","Kranj")</f>
        <v>Kranj</v>
      </c>
      <c r="G3927" s="28" t="str">
        <f>HYPERLINK("http://api.nsgreg.nga.mil/geo-division/GENC/6/ed3/SI-052","as:GENC:6:ed3:SI-052")</f>
        <v>as:GENC:6:ed3:SI-052</v>
      </c>
    </row>
    <row r="3928" spans="1:7" x14ac:dyDescent="0.2">
      <c r="A3928" s="85"/>
      <c r="B3928" s="25" t="s">
        <v>9343</v>
      </c>
      <c r="C3928" s="25" t="s">
        <v>9344</v>
      </c>
      <c r="D3928" s="25" t="s">
        <v>3162</v>
      </c>
      <c r="E3928" s="26" t="b">
        <v>1</v>
      </c>
      <c r="F3928" s="27" t="str">
        <f>HYPERLINK("http://nsgreg.nga.mil/genc/view?v=121880&amp;gencs=T&amp;end_month=12&amp;end_day=31&amp;end_year=2014","Kranjska Gora")</f>
        <v>Kranjska Gora</v>
      </c>
      <c r="G3928" s="28" t="str">
        <f>HYPERLINK("http://api.nsgreg.nga.mil/geo-division/GENC/6/ed3/SI-053","as:GENC:6:ed3:SI-053")</f>
        <v>as:GENC:6:ed3:SI-053</v>
      </c>
    </row>
    <row r="3929" spans="1:7" x14ac:dyDescent="0.2">
      <c r="A3929" s="85"/>
      <c r="B3929" s="25" t="s">
        <v>9345</v>
      </c>
      <c r="C3929" s="25" t="s">
        <v>9346</v>
      </c>
      <c r="D3929" s="25" t="s">
        <v>3162</v>
      </c>
      <c r="E3929" s="26" t="b">
        <v>1</v>
      </c>
      <c r="F3929" s="27" t="str">
        <f>HYPERLINK("http://nsgreg.nga.mil/genc/view?v=121992&amp;gencs=T&amp;end_month=12&amp;end_day=31&amp;end_year=2014","Križevci")</f>
        <v>Križevci</v>
      </c>
      <c r="G3929" s="28" t="str">
        <f>HYPERLINK("http://api.nsgreg.nga.mil/geo-division/GENC/6/ed3/SI-166","as:GENC:6:ed3:SI-166")</f>
        <v>as:GENC:6:ed3:SI-166</v>
      </c>
    </row>
    <row r="3930" spans="1:7" x14ac:dyDescent="0.2">
      <c r="A3930" s="85"/>
      <c r="B3930" s="25" t="s">
        <v>9347</v>
      </c>
      <c r="C3930" s="25" t="s">
        <v>9348</v>
      </c>
      <c r="D3930" s="25" t="s">
        <v>3162</v>
      </c>
      <c r="E3930" s="26" t="b">
        <v>1</v>
      </c>
      <c r="F3930" s="27" t="str">
        <f>HYPERLINK("http://nsgreg.nga.mil/genc/view?v=121881&amp;gencs=T&amp;end_month=12&amp;end_day=31&amp;end_year=2014","Krško")</f>
        <v>Krško</v>
      </c>
      <c r="G3930" s="28" t="str">
        <f>HYPERLINK("http://api.nsgreg.nga.mil/geo-division/GENC/6/ed3/SI-054","as:GENC:6:ed3:SI-054")</f>
        <v>as:GENC:6:ed3:SI-054</v>
      </c>
    </row>
    <row r="3931" spans="1:7" x14ac:dyDescent="0.2">
      <c r="A3931" s="85"/>
      <c r="B3931" s="25" t="s">
        <v>9349</v>
      </c>
      <c r="C3931" s="25" t="s">
        <v>9350</v>
      </c>
      <c r="D3931" s="25" t="s">
        <v>3162</v>
      </c>
      <c r="E3931" s="26" t="b">
        <v>1</v>
      </c>
      <c r="F3931" s="27" t="str">
        <f>HYPERLINK("http://nsgreg.nga.mil/genc/view?v=121882&amp;gencs=T&amp;end_month=12&amp;end_day=31&amp;end_year=2014","Kungota")</f>
        <v>Kungota</v>
      </c>
      <c r="G3931" s="28" t="str">
        <f>HYPERLINK("http://api.nsgreg.nga.mil/geo-division/GENC/6/ed3/SI-055","as:GENC:6:ed3:SI-055")</f>
        <v>as:GENC:6:ed3:SI-055</v>
      </c>
    </row>
    <row r="3932" spans="1:7" x14ac:dyDescent="0.2">
      <c r="A3932" s="85"/>
      <c r="B3932" s="25" t="s">
        <v>9351</v>
      </c>
      <c r="C3932" s="25" t="s">
        <v>9352</v>
      </c>
      <c r="D3932" s="25" t="s">
        <v>3162</v>
      </c>
      <c r="E3932" s="26" t="b">
        <v>1</v>
      </c>
      <c r="F3932" s="27" t="str">
        <f>HYPERLINK("http://nsgreg.nga.mil/genc/view?v=121883&amp;gencs=T&amp;end_month=12&amp;end_day=31&amp;end_year=2014","Kuzma")</f>
        <v>Kuzma</v>
      </c>
      <c r="G3932" s="28" t="str">
        <f>HYPERLINK("http://api.nsgreg.nga.mil/geo-division/GENC/6/ed3/SI-056","as:GENC:6:ed3:SI-056")</f>
        <v>as:GENC:6:ed3:SI-056</v>
      </c>
    </row>
    <row r="3933" spans="1:7" x14ac:dyDescent="0.2">
      <c r="A3933" s="85"/>
      <c r="B3933" s="25" t="s">
        <v>9353</v>
      </c>
      <c r="C3933" s="25" t="s">
        <v>9354</v>
      </c>
      <c r="D3933" s="25" t="s">
        <v>3162</v>
      </c>
      <c r="E3933" s="26" t="b">
        <v>1</v>
      </c>
      <c r="F3933" s="27" t="str">
        <f>HYPERLINK("http://nsgreg.nga.mil/genc/view?v=121884&amp;gencs=T&amp;end_month=12&amp;end_day=31&amp;end_year=2014","Laško")</f>
        <v>Laško</v>
      </c>
      <c r="G3933" s="28" t="str">
        <f>HYPERLINK("http://api.nsgreg.nga.mil/geo-division/GENC/6/ed3/SI-057","as:GENC:6:ed3:SI-057")</f>
        <v>as:GENC:6:ed3:SI-057</v>
      </c>
    </row>
    <row r="3934" spans="1:7" x14ac:dyDescent="0.2">
      <c r="A3934" s="85"/>
      <c r="B3934" s="25" t="s">
        <v>9355</v>
      </c>
      <c r="C3934" s="25" t="s">
        <v>9356</v>
      </c>
      <c r="D3934" s="25" t="s">
        <v>3162</v>
      </c>
      <c r="E3934" s="26" t="b">
        <v>1</v>
      </c>
      <c r="F3934" s="27" t="str">
        <f>HYPERLINK("http://nsgreg.nga.mil/genc/view?v=121885&amp;gencs=T&amp;end_month=12&amp;end_day=31&amp;end_year=2014","Lenart")</f>
        <v>Lenart</v>
      </c>
      <c r="G3934" s="28" t="str">
        <f>HYPERLINK("http://api.nsgreg.nga.mil/geo-division/GENC/6/ed3/SI-058","as:GENC:6:ed3:SI-058")</f>
        <v>as:GENC:6:ed3:SI-058</v>
      </c>
    </row>
    <row r="3935" spans="1:7" x14ac:dyDescent="0.2">
      <c r="A3935" s="85"/>
      <c r="B3935" s="25" t="s">
        <v>9357</v>
      </c>
      <c r="C3935" s="25" t="s">
        <v>9358</v>
      </c>
      <c r="D3935" s="25" t="s">
        <v>3162</v>
      </c>
      <c r="E3935" s="26" t="b">
        <v>1</v>
      </c>
      <c r="F3935" s="27" t="str">
        <f>HYPERLINK("http://nsgreg.nga.mil/genc/view?v=213471&amp;end_month=12&amp;end_day=31&amp;end_year=2014","Lendava")</f>
        <v>Lendava</v>
      </c>
      <c r="G3935" s="28" t="str">
        <f>HYPERLINK("http://api.nsgreg.nga.mil/geo-division/GENC/6/ed3/SI-059","as:GENC:6:ed3:SI-059")</f>
        <v>as:GENC:6:ed3:SI-059</v>
      </c>
    </row>
    <row r="3936" spans="1:7" x14ac:dyDescent="0.2">
      <c r="A3936" s="85"/>
      <c r="B3936" s="25" t="s">
        <v>9359</v>
      </c>
      <c r="C3936" s="25" t="s">
        <v>9360</v>
      </c>
      <c r="D3936" s="25" t="s">
        <v>3162</v>
      </c>
      <c r="E3936" s="26" t="b">
        <v>1</v>
      </c>
      <c r="F3936" s="27" t="str">
        <f>HYPERLINK("http://nsgreg.nga.mil/genc/view?v=121887&amp;gencs=T&amp;end_month=12&amp;end_day=31&amp;end_year=2014","Litija")</f>
        <v>Litija</v>
      </c>
      <c r="G3936" s="28" t="str">
        <f>HYPERLINK("http://api.nsgreg.nga.mil/geo-division/GENC/6/ed3/SI-060","as:GENC:6:ed3:SI-060")</f>
        <v>as:GENC:6:ed3:SI-060</v>
      </c>
    </row>
    <row r="3937" spans="1:7" x14ac:dyDescent="0.2">
      <c r="A3937" s="85"/>
      <c r="B3937" s="25" t="s">
        <v>9361</v>
      </c>
      <c r="C3937" s="25" t="s">
        <v>9362</v>
      </c>
      <c r="D3937" s="25" t="s">
        <v>13645</v>
      </c>
      <c r="E3937" s="26" t="b">
        <v>1</v>
      </c>
      <c r="F3937" s="27" t="str">
        <f>HYPERLINK("http://nsgreg.nga.mil/genc/view?v=213472&amp;end_month=12&amp;end_day=31&amp;end_year=2014","Ljubljana")</f>
        <v>Ljubljana</v>
      </c>
      <c r="G3937" s="28" t="str">
        <f>HYPERLINK("http://api.nsgreg.nga.mil/geo-division/GENC/6/ed3/SI-061","as:GENC:6:ed3:SI-061")</f>
        <v>as:GENC:6:ed3:SI-061</v>
      </c>
    </row>
    <row r="3938" spans="1:7" x14ac:dyDescent="0.2">
      <c r="A3938" s="85"/>
      <c r="B3938" s="25" t="s">
        <v>9363</v>
      </c>
      <c r="C3938" s="25" t="s">
        <v>9364</v>
      </c>
      <c r="D3938" s="25" t="s">
        <v>3162</v>
      </c>
      <c r="E3938" s="26" t="b">
        <v>1</v>
      </c>
      <c r="F3938" s="27" t="str">
        <f>HYPERLINK("http://nsgreg.nga.mil/genc/view?v=121889&amp;gencs=T&amp;end_month=12&amp;end_day=31&amp;end_year=2014","Ljubno")</f>
        <v>Ljubno</v>
      </c>
      <c r="G3938" s="28" t="str">
        <f>HYPERLINK("http://api.nsgreg.nga.mil/geo-division/GENC/6/ed3/SI-062","as:GENC:6:ed3:SI-062")</f>
        <v>as:GENC:6:ed3:SI-062</v>
      </c>
    </row>
    <row r="3939" spans="1:7" x14ac:dyDescent="0.2">
      <c r="A3939" s="85"/>
      <c r="B3939" s="25" t="s">
        <v>9365</v>
      </c>
      <c r="C3939" s="25" t="s">
        <v>9366</v>
      </c>
      <c r="D3939" s="25" t="s">
        <v>3162</v>
      </c>
      <c r="E3939" s="26" t="b">
        <v>1</v>
      </c>
      <c r="F3939" s="27" t="str">
        <f>HYPERLINK("http://nsgreg.nga.mil/genc/view?v=121890&amp;gencs=T&amp;end_month=12&amp;end_day=31&amp;end_year=2014","Ljutomer")</f>
        <v>Ljutomer</v>
      </c>
      <c r="G3939" s="28" t="str">
        <f>HYPERLINK("http://api.nsgreg.nga.mil/geo-division/GENC/6/ed3/SI-063","as:GENC:6:ed3:SI-063")</f>
        <v>as:GENC:6:ed3:SI-063</v>
      </c>
    </row>
    <row r="3940" spans="1:7" x14ac:dyDescent="0.2">
      <c r="A3940" s="85"/>
      <c r="B3940" s="25" t="s">
        <v>9369</v>
      </c>
      <c r="C3940" s="25" t="s">
        <v>9370</v>
      </c>
      <c r="D3940" s="25" t="s">
        <v>3162</v>
      </c>
      <c r="E3940" s="26" t="b">
        <v>1</v>
      </c>
      <c r="F3940" s="27" t="str">
        <f>HYPERLINK("http://nsgreg.nga.mil/genc/view?v=121891&amp;gencs=T&amp;end_month=12&amp;end_day=31&amp;end_year=2014","Logatec")</f>
        <v>Logatec</v>
      </c>
      <c r="G3940" s="28" t="str">
        <f>HYPERLINK("http://api.nsgreg.nga.mil/geo-division/GENC/6/ed3/SI-064","as:GENC:6:ed3:SI-064")</f>
        <v>as:GENC:6:ed3:SI-064</v>
      </c>
    </row>
    <row r="3941" spans="1:7" x14ac:dyDescent="0.2">
      <c r="A3941" s="85"/>
      <c r="B3941" s="25" t="s">
        <v>9367</v>
      </c>
      <c r="C3941" s="25" t="s">
        <v>9368</v>
      </c>
      <c r="D3941" s="25" t="s">
        <v>3162</v>
      </c>
      <c r="E3941" s="26" t="b">
        <v>1</v>
      </c>
      <c r="F3941" s="27" t="str">
        <f>HYPERLINK("http://nsgreg.nga.mil/genc/view?v=122034&amp;gencs=T&amp;end_month=12&amp;end_day=31&amp;end_year=2014","Log-Dragomer")</f>
        <v>Log-Dragomer</v>
      </c>
      <c r="G3941" s="28" t="str">
        <f>HYPERLINK("http://api.nsgreg.nga.mil/geo-division/GENC/6/ed3/SI-208","as:GENC:6:ed3:SI-208")</f>
        <v>as:GENC:6:ed3:SI-208</v>
      </c>
    </row>
    <row r="3942" spans="1:7" x14ac:dyDescent="0.2">
      <c r="A3942" s="85"/>
      <c r="B3942" s="25" t="s">
        <v>9373</v>
      </c>
      <c r="C3942" s="25" t="s">
        <v>9374</v>
      </c>
      <c r="D3942" s="25" t="s">
        <v>3162</v>
      </c>
      <c r="E3942" s="26" t="b">
        <v>1</v>
      </c>
      <c r="F3942" s="27" t="str">
        <f>HYPERLINK("http://nsgreg.nga.mil/genc/view?v=121892&amp;gencs=T&amp;end_month=12&amp;end_day=31&amp;end_year=2014","Loška Dolina")</f>
        <v>Loška Dolina</v>
      </c>
      <c r="G3942" s="28" t="str">
        <f>HYPERLINK("http://api.nsgreg.nga.mil/geo-division/GENC/6/ed3/SI-065","as:GENC:6:ed3:SI-065")</f>
        <v>as:GENC:6:ed3:SI-065</v>
      </c>
    </row>
    <row r="3943" spans="1:7" x14ac:dyDescent="0.2">
      <c r="A3943" s="85"/>
      <c r="B3943" s="25" t="s">
        <v>9375</v>
      </c>
      <c r="C3943" s="25" t="s">
        <v>9376</v>
      </c>
      <c r="D3943" s="25" t="s">
        <v>3162</v>
      </c>
      <c r="E3943" s="26" t="b">
        <v>1</v>
      </c>
      <c r="F3943" s="27" t="str">
        <f>HYPERLINK("http://nsgreg.nga.mil/genc/view?v=121893&amp;gencs=T&amp;end_month=12&amp;end_day=31&amp;end_year=2014","Loški Potok")</f>
        <v>Loški Potok</v>
      </c>
      <c r="G3943" s="28" t="str">
        <f>HYPERLINK("http://api.nsgreg.nga.mil/geo-division/GENC/6/ed3/SI-066","as:GENC:6:ed3:SI-066")</f>
        <v>as:GENC:6:ed3:SI-066</v>
      </c>
    </row>
    <row r="3944" spans="1:7" x14ac:dyDescent="0.2">
      <c r="A3944" s="85"/>
      <c r="B3944" s="25" t="s">
        <v>9371</v>
      </c>
      <c r="C3944" s="25" t="s">
        <v>9372</v>
      </c>
      <c r="D3944" s="25" t="s">
        <v>3162</v>
      </c>
      <c r="E3944" s="26" t="b">
        <v>1</v>
      </c>
      <c r="F3944" s="27" t="str">
        <f>HYPERLINK("http://nsgreg.nga.mil/genc/view?v=121993&amp;gencs=T&amp;end_month=12&amp;end_day=31&amp;end_year=2014","Lovrenc na Pohorju")</f>
        <v>Lovrenc na Pohorju</v>
      </c>
      <c r="G3944" s="28" t="str">
        <f>HYPERLINK("http://api.nsgreg.nga.mil/geo-division/GENC/6/ed3/SI-167","as:GENC:6:ed3:SI-167")</f>
        <v>as:GENC:6:ed3:SI-167</v>
      </c>
    </row>
    <row r="3945" spans="1:7" x14ac:dyDescent="0.2">
      <c r="A3945" s="85"/>
      <c r="B3945" s="25" t="s">
        <v>9379</v>
      </c>
      <c r="C3945" s="25" t="s">
        <v>9380</v>
      </c>
      <c r="D3945" s="25" t="s">
        <v>3162</v>
      </c>
      <c r="E3945" s="26" t="b">
        <v>1</v>
      </c>
      <c r="F3945" s="27" t="str">
        <f>HYPERLINK("http://nsgreg.nga.mil/genc/view?v=121894&amp;gencs=T&amp;end_month=12&amp;end_day=31&amp;end_year=2014","Luče")</f>
        <v>Luče</v>
      </c>
      <c r="G3945" s="28" t="str">
        <f>HYPERLINK("http://api.nsgreg.nga.mil/geo-division/GENC/6/ed3/SI-067","as:GENC:6:ed3:SI-067")</f>
        <v>as:GENC:6:ed3:SI-067</v>
      </c>
    </row>
    <row r="3946" spans="1:7" x14ac:dyDescent="0.2">
      <c r="A3946" s="85"/>
      <c r="B3946" s="25" t="s">
        <v>9377</v>
      </c>
      <c r="C3946" s="25" t="s">
        <v>9378</v>
      </c>
      <c r="D3946" s="25" t="s">
        <v>3162</v>
      </c>
      <c r="E3946" s="26" t="b">
        <v>1</v>
      </c>
      <c r="F3946" s="27" t="str">
        <f>HYPERLINK("http://nsgreg.nga.mil/genc/view?v=121895&amp;gencs=T&amp;end_month=12&amp;end_day=31&amp;end_year=2014","Lukovica")</f>
        <v>Lukovica</v>
      </c>
      <c r="G3946" s="28" t="str">
        <f>HYPERLINK("http://api.nsgreg.nga.mil/geo-division/GENC/6/ed3/SI-068","as:GENC:6:ed3:SI-068")</f>
        <v>as:GENC:6:ed3:SI-068</v>
      </c>
    </row>
    <row r="3947" spans="1:7" x14ac:dyDescent="0.2">
      <c r="A3947" s="85"/>
      <c r="B3947" s="25" t="s">
        <v>9381</v>
      </c>
      <c r="C3947" s="25" t="s">
        <v>9382</v>
      </c>
      <c r="D3947" s="25" t="s">
        <v>3162</v>
      </c>
      <c r="E3947" s="26" t="b">
        <v>1</v>
      </c>
      <c r="F3947" s="27" t="str">
        <f>HYPERLINK("http://nsgreg.nga.mil/genc/view?v=121896&amp;gencs=T&amp;end_month=12&amp;end_day=31&amp;end_year=2014","Majšperk")</f>
        <v>Majšperk</v>
      </c>
      <c r="G3947" s="28" t="str">
        <f>HYPERLINK("http://api.nsgreg.nga.mil/geo-division/GENC/6/ed3/SI-069","as:GENC:6:ed3:SI-069")</f>
        <v>as:GENC:6:ed3:SI-069</v>
      </c>
    </row>
    <row r="3948" spans="1:7" x14ac:dyDescent="0.2">
      <c r="A3948" s="85"/>
      <c r="B3948" s="25" t="s">
        <v>9383</v>
      </c>
      <c r="C3948" s="25" t="s">
        <v>9384</v>
      </c>
      <c r="D3948" s="25" t="s">
        <v>3162</v>
      </c>
      <c r="E3948" s="26" t="b">
        <v>1</v>
      </c>
      <c r="F3948" s="27" t="str">
        <f>HYPERLINK("http://nsgreg.nga.mil/genc/view?v=122024&amp;gencs=T&amp;end_month=12&amp;end_day=31&amp;end_year=2014","Makole")</f>
        <v>Makole</v>
      </c>
      <c r="G3948" s="28" t="str">
        <f>HYPERLINK("http://api.nsgreg.nga.mil/geo-division/GENC/6/ed3/SI-198","as:GENC:6:ed3:SI-198")</f>
        <v>as:GENC:6:ed3:SI-198</v>
      </c>
    </row>
    <row r="3949" spans="1:7" x14ac:dyDescent="0.2">
      <c r="A3949" s="85"/>
      <c r="B3949" s="25" t="s">
        <v>9385</v>
      </c>
      <c r="C3949" s="25" t="s">
        <v>9386</v>
      </c>
      <c r="D3949" s="25" t="s">
        <v>13645</v>
      </c>
      <c r="E3949" s="26" t="b">
        <v>1</v>
      </c>
      <c r="F3949" s="27" t="str">
        <f>HYPERLINK("http://nsgreg.nga.mil/genc/view?v=213473&amp;end_month=12&amp;end_day=31&amp;end_year=2014","Maribor")</f>
        <v>Maribor</v>
      </c>
      <c r="G3949" s="28" t="str">
        <f>HYPERLINK("http://api.nsgreg.nga.mil/geo-division/GENC/6/ed3/SI-070","as:GENC:6:ed3:SI-070")</f>
        <v>as:GENC:6:ed3:SI-070</v>
      </c>
    </row>
    <row r="3950" spans="1:7" x14ac:dyDescent="0.2">
      <c r="A3950" s="85"/>
      <c r="B3950" s="25" t="s">
        <v>9387</v>
      </c>
      <c r="C3950" s="25" t="s">
        <v>9388</v>
      </c>
      <c r="D3950" s="25" t="s">
        <v>3162</v>
      </c>
      <c r="E3950" s="26" t="b">
        <v>1</v>
      </c>
      <c r="F3950" s="27" t="str">
        <f>HYPERLINK("http://nsgreg.nga.mil/genc/view?v=121994&amp;gencs=T&amp;end_month=12&amp;end_day=31&amp;end_year=2014","Markovci")</f>
        <v>Markovci</v>
      </c>
      <c r="G3950" s="28" t="str">
        <f>HYPERLINK("http://api.nsgreg.nga.mil/geo-division/GENC/6/ed3/SI-168","as:GENC:6:ed3:SI-168")</f>
        <v>as:GENC:6:ed3:SI-168</v>
      </c>
    </row>
    <row r="3951" spans="1:7" x14ac:dyDescent="0.2">
      <c r="A3951" s="85"/>
      <c r="B3951" s="25" t="s">
        <v>9389</v>
      </c>
      <c r="C3951" s="25" t="s">
        <v>9390</v>
      </c>
      <c r="D3951" s="25" t="s">
        <v>3162</v>
      </c>
      <c r="E3951" s="26" t="b">
        <v>1</v>
      </c>
      <c r="F3951" s="27" t="str">
        <f>HYPERLINK("http://nsgreg.nga.mil/genc/view?v=121898&amp;gencs=T&amp;end_month=12&amp;end_day=31&amp;end_year=2014","Medvode")</f>
        <v>Medvode</v>
      </c>
      <c r="G3951" s="28" t="str">
        <f>HYPERLINK("http://api.nsgreg.nga.mil/geo-division/GENC/6/ed3/SI-071","as:GENC:6:ed3:SI-071")</f>
        <v>as:GENC:6:ed3:SI-071</v>
      </c>
    </row>
    <row r="3952" spans="1:7" x14ac:dyDescent="0.2">
      <c r="A3952" s="85"/>
      <c r="B3952" s="25" t="s">
        <v>9391</v>
      </c>
      <c r="C3952" s="25" t="s">
        <v>9392</v>
      </c>
      <c r="D3952" s="25" t="s">
        <v>3162</v>
      </c>
      <c r="E3952" s="26" t="b">
        <v>1</v>
      </c>
      <c r="F3952" s="27" t="str">
        <f>HYPERLINK("http://nsgreg.nga.mil/genc/view?v=121899&amp;gencs=T&amp;end_month=12&amp;end_day=31&amp;end_year=2014","Mengeš")</f>
        <v>Mengeš</v>
      </c>
      <c r="G3952" s="28" t="str">
        <f>HYPERLINK("http://api.nsgreg.nga.mil/geo-division/GENC/6/ed3/SI-072","as:GENC:6:ed3:SI-072")</f>
        <v>as:GENC:6:ed3:SI-072</v>
      </c>
    </row>
    <row r="3953" spans="1:7" x14ac:dyDescent="0.2">
      <c r="A3953" s="85"/>
      <c r="B3953" s="25" t="s">
        <v>9393</v>
      </c>
      <c r="C3953" s="25" t="s">
        <v>9394</v>
      </c>
      <c r="D3953" s="25" t="s">
        <v>3162</v>
      </c>
      <c r="E3953" s="26" t="b">
        <v>1</v>
      </c>
      <c r="F3953" s="27" t="str">
        <f>HYPERLINK("http://nsgreg.nga.mil/genc/view?v=121900&amp;gencs=T&amp;end_month=12&amp;end_day=31&amp;end_year=2014","Metlika")</f>
        <v>Metlika</v>
      </c>
      <c r="G3953" s="28" t="str">
        <f>HYPERLINK("http://api.nsgreg.nga.mil/geo-division/GENC/6/ed3/SI-073","as:GENC:6:ed3:SI-073")</f>
        <v>as:GENC:6:ed3:SI-073</v>
      </c>
    </row>
    <row r="3954" spans="1:7" x14ac:dyDescent="0.2">
      <c r="A3954" s="85"/>
      <c r="B3954" s="25" t="s">
        <v>9395</v>
      </c>
      <c r="C3954" s="25" t="s">
        <v>9396</v>
      </c>
      <c r="D3954" s="25" t="s">
        <v>3162</v>
      </c>
      <c r="E3954" s="26" t="b">
        <v>1</v>
      </c>
      <c r="F3954" s="27" t="str">
        <f>HYPERLINK("http://nsgreg.nga.mil/genc/view?v=121901&amp;gencs=T&amp;end_month=12&amp;end_day=31&amp;end_year=2014","Mežica")</f>
        <v>Mežica</v>
      </c>
      <c r="G3954" s="28" t="str">
        <f>HYPERLINK("http://api.nsgreg.nga.mil/geo-division/GENC/6/ed3/SI-074","as:GENC:6:ed3:SI-074")</f>
        <v>as:GENC:6:ed3:SI-074</v>
      </c>
    </row>
    <row r="3955" spans="1:7" x14ac:dyDescent="0.2">
      <c r="A3955" s="85"/>
      <c r="B3955" s="25" t="s">
        <v>9397</v>
      </c>
      <c r="C3955" s="25" t="s">
        <v>9398</v>
      </c>
      <c r="D3955" s="25" t="s">
        <v>3162</v>
      </c>
      <c r="E3955" s="26" t="b">
        <v>1</v>
      </c>
      <c r="F3955" s="27" t="str">
        <f>HYPERLINK("http://nsgreg.nga.mil/genc/view?v=121995&amp;gencs=T&amp;end_month=12&amp;end_day=31&amp;end_year=2014","Miklavž na Dravskem Polju")</f>
        <v>Miklavž na Dravskem Polju</v>
      </c>
      <c r="G3955" s="28" t="str">
        <f>HYPERLINK("http://api.nsgreg.nga.mil/geo-division/GENC/6/ed3/SI-169","as:GENC:6:ed3:SI-169")</f>
        <v>as:GENC:6:ed3:SI-169</v>
      </c>
    </row>
    <row r="3956" spans="1:7" x14ac:dyDescent="0.2">
      <c r="A3956" s="85"/>
      <c r="B3956" s="25" t="s">
        <v>9399</v>
      </c>
      <c r="C3956" s="25" t="s">
        <v>9400</v>
      </c>
      <c r="D3956" s="25" t="s">
        <v>3162</v>
      </c>
      <c r="E3956" s="26" t="b">
        <v>1</v>
      </c>
      <c r="F3956" s="27" t="str">
        <f>HYPERLINK("http://nsgreg.nga.mil/genc/view?v=121902&amp;gencs=T&amp;end_month=12&amp;end_day=31&amp;end_year=2014","Miren-Kostanjevica")</f>
        <v>Miren-Kostanjevica</v>
      </c>
      <c r="G3956" s="28" t="str">
        <f>HYPERLINK("http://api.nsgreg.nga.mil/geo-division/GENC/6/ed3/SI-075","as:GENC:6:ed3:SI-075")</f>
        <v>as:GENC:6:ed3:SI-075</v>
      </c>
    </row>
    <row r="3957" spans="1:7" x14ac:dyDescent="0.2">
      <c r="A3957" s="85"/>
      <c r="B3957" s="25" t="s">
        <v>13647</v>
      </c>
      <c r="C3957" s="25" t="s">
        <v>13648</v>
      </c>
      <c r="D3957" s="25" t="s">
        <v>3162</v>
      </c>
      <c r="E3957" s="26" t="b">
        <v>1</v>
      </c>
      <c r="F3957" s="27" t="str">
        <f>HYPERLINK("http://nsgreg.nga.mil/genc/view?v=122038&amp;gencs=T&amp;end_month=12&amp;end_day=31&amp;end_year=2014","Mirna")</f>
        <v>Mirna</v>
      </c>
      <c r="G3957" s="28" t="str">
        <f>HYPERLINK("http://api.nsgreg.nga.mil/geo-division/GENC/6/ed3/SI-212","as:GENC:6:ed3:SI-212")</f>
        <v>as:GENC:6:ed3:SI-212</v>
      </c>
    </row>
    <row r="3958" spans="1:7" x14ac:dyDescent="0.2">
      <c r="A3958" s="85"/>
      <c r="B3958" s="25" t="s">
        <v>9401</v>
      </c>
      <c r="C3958" s="25" t="s">
        <v>9402</v>
      </c>
      <c r="D3958" s="25" t="s">
        <v>3162</v>
      </c>
      <c r="E3958" s="26" t="b">
        <v>1</v>
      </c>
      <c r="F3958" s="27" t="str">
        <f>HYPERLINK("http://nsgreg.nga.mil/genc/view?v=121996&amp;gencs=T&amp;end_month=12&amp;end_day=31&amp;end_year=2014","Mirna Peč")</f>
        <v>Mirna Peč</v>
      </c>
      <c r="G3958" s="28" t="str">
        <f>HYPERLINK("http://api.nsgreg.nga.mil/geo-division/GENC/6/ed3/SI-170","as:GENC:6:ed3:SI-170")</f>
        <v>as:GENC:6:ed3:SI-170</v>
      </c>
    </row>
    <row r="3959" spans="1:7" x14ac:dyDescent="0.2">
      <c r="A3959" s="85"/>
      <c r="B3959" s="25" t="s">
        <v>9403</v>
      </c>
      <c r="C3959" s="25" t="s">
        <v>9404</v>
      </c>
      <c r="D3959" s="25" t="s">
        <v>3162</v>
      </c>
      <c r="E3959" s="26" t="b">
        <v>1</v>
      </c>
      <c r="F3959" s="27" t="str">
        <f>HYPERLINK("http://nsgreg.nga.mil/genc/view?v=121903&amp;gencs=T&amp;end_month=12&amp;end_day=31&amp;end_year=2014","Mislinja")</f>
        <v>Mislinja</v>
      </c>
      <c r="G3959" s="28" t="str">
        <f>HYPERLINK("http://api.nsgreg.nga.mil/geo-division/GENC/6/ed3/SI-076","as:GENC:6:ed3:SI-076")</f>
        <v>as:GENC:6:ed3:SI-076</v>
      </c>
    </row>
    <row r="3960" spans="1:7" x14ac:dyDescent="0.2">
      <c r="A3960" s="85"/>
      <c r="B3960" s="25" t="s">
        <v>9405</v>
      </c>
      <c r="C3960" s="25" t="s">
        <v>9406</v>
      </c>
      <c r="D3960" s="25" t="s">
        <v>3162</v>
      </c>
      <c r="E3960" s="26" t="b">
        <v>1</v>
      </c>
      <c r="F3960" s="27" t="str">
        <f>HYPERLINK("http://nsgreg.nga.mil/genc/view?v=122025&amp;gencs=T&amp;end_month=12&amp;end_day=31&amp;end_year=2014","Mokronog-Trebelno")</f>
        <v>Mokronog-Trebelno</v>
      </c>
      <c r="G3960" s="28" t="str">
        <f>HYPERLINK("http://api.nsgreg.nga.mil/geo-division/GENC/6/ed3/SI-199","as:GENC:6:ed3:SI-199")</f>
        <v>as:GENC:6:ed3:SI-199</v>
      </c>
    </row>
    <row r="3961" spans="1:7" x14ac:dyDescent="0.2">
      <c r="A3961" s="85"/>
      <c r="B3961" s="25" t="s">
        <v>9409</v>
      </c>
      <c r="C3961" s="25" t="s">
        <v>9410</v>
      </c>
      <c r="D3961" s="25" t="s">
        <v>3162</v>
      </c>
      <c r="E3961" s="26" t="b">
        <v>1</v>
      </c>
      <c r="F3961" s="27" t="str">
        <f>HYPERLINK("http://nsgreg.nga.mil/genc/view?v=121904&amp;gencs=T&amp;end_month=12&amp;end_day=31&amp;end_year=2014","Moravče")</f>
        <v>Moravče</v>
      </c>
      <c r="G3961" s="28" t="str">
        <f>HYPERLINK("http://api.nsgreg.nga.mil/geo-division/GENC/6/ed3/SI-077","as:GENC:6:ed3:SI-077")</f>
        <v>as:GENC:6:ed3:SI-077</v>
      </c>
    </row>
    <row r="3962" spans="1:7" x14ac:dyDescent="0.2">
      <c r="A3962" s="85"/>
      <c r="B3962" s="25" t="s">
        <v>9407</v>
      </c>
      <c r="C3962" s="25" t="s">
        <v>9408</v>
      </c>
      <c r="D3962" s="25" t="s">
        <v>3162</v>
      </c>
      <c r="E3962" s="26" t="b">
        <v>1</v>
      </c>
      <c r="F3962" s="27" t="str">
        <f>HYPERLINK("http://nsgreg.nga.mil/genc/view?v=121905&amp;gencs=T&amp;end_month=12&amp;end_day=31&amp;end_year=2014","Moravske Toplice")</f>
        <v>Moravske Toplice</v>
      </c>
      <c r="G3962" s="28" t="str">
        <f>HYPERLINK("http://api.nsgreg.nga.mil/geo-division/GENC/6/ed3/SI-078","as:GENC:6:ed3:SI-078")</f>
        <v>as:GENC:6:ed3:SI-078</v>
      </c>
    </row>
    <row r="3963" spans="1:7" x14ac:dyDescent="0.2">
      <c r="A3963" s="85"/>
      <c r="B3963" s="25" t="s">
        <v>9411</v>
      </c>
      <c r="C3963" s="25" t="s">
        <v>9412</v>
      </c>
      <c r="D3963" s="25" t="s">
        <v>3162</v>
      </c>
      <c r="E3963" s="26" t="b">
        <v>1</v>
      </c>
      <c r="F3963" s="27" t="str">
        <f>HYPERLINK("http://nsgreg.nga.mil/genc/view?v=121906&amp;gencs=T&amp;end_month=12&amp;end_day=31&amp;end_year=2014","Mozirje")</f>
        <v>Mozirje</v>
      </c>
      <c r="G3963" s="28" t="str">
        <f>HYPERLINK("http://api.nsgreg.nga.mil/geo-division/GENC/6/ed3/SI-079","as:GENC:6:ed3:SI-079")</f>
        <v>as:GENC:6:ed3:SI-079</v>
      </c>
    </row>
    <row r="3964" spans="1:7" x14ac:dyDescent="0.2">
      <c r="A3964" s="85"/>
      <c r="B3964" s="25" t="s">
        <v>9413</v>
      </c>
      <c r="C3964" s="25" t="s">
        <v>9414</v>
      </c>
      <c r="D3964" s="25" t="s">
        <v>13645</v>
      </c>
      <c r="E3964" s="26" t="b">
        <v>1</v>
      </c>
      <c r="F3964" s="27" t="str">
        <f>HYPERLINK("http://nsgreg.nga.mil/genc/view?v=213474&amp;end_month=12&amp;end_day=31&amp;end_year=2014","Murska Sobota")</f>
        <v>Murska Sobota</v>
      </c>
      <c r="G3964" s="28" t="str">
        <f>HYPERLINK("http://api.nsgreg.nga.mil/geo-division/GENC/6/ed3/SI-080","as:GENC:6:ed3:SI-080")</f>
        <v>as:GENC:6:ed3:SI-080</v>
      </c>
    </row>
    <row r="3965" spans="1:7" x14ac:dyDescent="0.2">
      <c r="A3965" s="85"/>
      <c r="B3965" s="25" t="s">
        <v>9415</v>
      </c>
      <c r="C3965" s="25" t="s">
        <v>9416</v>
      </c>
      <c r="D3965" s="25" t="s">
        <v>3162</v>
      </c>
      <c r="E3965" s="26" t="b">
        <v>1</v>
      </c>
      <c r="F3965" s="27" t="str">
        <f>HYPERLINK("http://nsgreg.nga.mil/genc/view?v=121908&amp;gencs=T&amp;end_month=12&amp;end_day=31&amp;end_year=2014","Muta")</f>
        <v>Muta</v>
      </c>
      <c r="G3965" s="28" t="str">
        <f>HYPERLINK("http://api.nsgreg.nga.mil/geo-division/GENC/6/ed3/SI-081","as:GENC:6:ed3:SI-081")</f>
        <v>as:GENC:6:ed3:SI-081</v>
      </c>
    </row>
    <row r="3966" spans="1:7" x14ac:dyDescent="0.2">
      <c r="A3966" s="85"/>
      <c r="B3966" s="25" t="s">
        <v>9417</v>
      </c>
      <c r="C3966" s="25" t="s">
        <v>9418</v>
      </c>
      <c r="D3966" s="25" t="s">
        <v>3162</v>
      </c>
      <c r="E3966" s="26" t="b">
        <v>1</v>
      </c>
      <c r="F3966" s="27" t="str">
        <f>HYPERLINK("http://nsgreg.nga.mil/genc/view?v=121909&amp;gencs=T&amp;end_month=12&amp;end_day=31&amp;end_year=2014","Naklo")</f>
        <v>Naklo</v>
      </c>
      <c r="G3966" s="28" t="str">
        <f>HYPERLINK("http://api.nsgreg.nga.mil/geo-division/GENC/6/ed3/SI-082","as:GENC:6:ed3:SI-082")</f>
        <v>as:GENC:6:ed3:SI-082</v>
      </c>
    </row>
    <row r="3967" spans="1:7" x14ac:dyDescent="0.2">
      <c r="A3967" s="85"/>
      <c r="B3967" s="25" t="s">
        <v>9419</v>
      </c>
      <c r="C3967" s="25" t="s">
        <v>9420</v>
      </c>
      <c r="D3967" s="25" t="s">
        <v>3162</v>
      </c>
      <c r="E3967" s="26" t="b">
        <v>1</v>
      </c>
      <c r="F3967" s="27" t="str">
        <f>HYPERLINK("http://nsgreg.nga.mil/genc/view?v=121910&amp;gencs=T&amp;end_month=12&amp;end_day=31&amp;end_year=2014","Nazarje")</f>
        <v>Nazarje</v>
      </c>
      <c r="G3967" s="28" t="str">
        <f>HYPERLINK("http://api.nsgreg.nga.mil/geo-division/GENC/6/ed3/SI-083","as:GENC:6:ed3:SI-083")</f>
        <v>as:GENC:6:ed3:SI-083</v>
      </c>
    </row>
    <row r="3968" spans="1:7" x14ac:dyDescent="0.2">
      <c r="A3968" s="85"/>
      <c r="B3968" s="25" t="s">
        <v>9421</v>
      </c>
      <c r="C3968" s="25" t="s">
        <v>9422</v>
      </c>
      <c r="D3968" s="25" t="s">
        <v>13645</v>
      </c>
      <c r="E3968" s="26" t="b">
        <v>1</v>
      </c>
      <c r="F3968" s="27" t="str">
        <f>HYPERLINK("http://nsgreg.nga.mil/genc/view?v=213475&amp;end_month=12&amp;end_day=31&amp;end_year=2014","Nova Gorica")</f>
        <v>Nova Gorica</v>
      </c>
      <c r="G3968" s="28" t="str">
        <f>HYPERLINK("http://api.nsgreg.nga.mil/geo-division/GENC/6/ed3/SI-084","as:GENC:6:ed3:SI-084")</f>
        <v>as:GENC:6:ed3:SI-084</v>
      </c>
    </row>
    <row r="3969" spans="1:7" x14ac:dyDescent="0.2">
      <c r="A3969" s="85"/>
      <c r="B3969" s="25" t="s">
        <v>9423</v>
      </c>
      <c r="C3969" s="25" t="s">
        <v>9424</v>
      </c>
      <c r="D3969" s="25" t="s">
        <v>13645</v>
      </c>
      <c r="E3969" s="26" t="b">
        <v>1</v>
      </c>
      <c r="F3969" s="27" t="str">
        <f>HYPERLINK("http://nsgreg.nga.mil/genc/view?v=213476&amp;end_month=12&amp;end_day=31&amp;end_year=2014","Novo Mesto")</f>
        <v>Novo Mesto</v>
      </c>
      <c r="G3969" s="28" t="str">
        <f>HYPERLINK("http://api.nsgreg.nga.mil/geo-division/GENC/6/ed3/SI-085","as:GENC:6:ed3:SI-085")</f>
        <v>as:GENC:6:ed3:SI-085</v>
      </c>
    </row>
    <row r="3970" spans="1:7" x14ac:dyDescent="0.2">
      <c r="A3970" s="85"/>
      <c r="B3970" s="25" t="s">
        <v>9425</v>
      </c>
      <c r="C3970" s="25" t="s">
        <v>9426</v>
      </c>
      <c r="D3970" s="25" t="s">
        <v>3162</v>
      </c>
      <c r="E3970" s="26" t="b">
        <v>1</v>
      </c>
      <c r="F3970" s="27" t="str">
        <f>HYPERLINK("http://nsgreg.nga.mil/genc/view?v=121913&amp;gencs=T&amp;end_month=12&amp;end_day=31&amp;end_year=2014","Odranci")</f>
        <v>Odranci</v>
      </c>
      <c r="G3970" s="28" t="str">
        <f>HYPERLINK("http://api.nsgreg.nga.mil/geo-division/GENC/6/ed3/SI-086","as:GENC:6:ed3:SI-086")</f>
        <v>as:GENC:6:ed3:SI-086</v>
      </c>
    </row>
    <row r="3971" spans="1:7" x14ac:dyDescent="0.2">
      <c r="A3971" s="85"/>
      <c r="B3971" s="25" t="s">
        <v>9427</v>
      </c>
      <c r="C3971" s="25" t="s">
        <v>9428</v>
      </c>
      <c r="D3971" s="25" t="s">
        <v>3162</v>
      </c>
      <c r="E3971" s="26" t="b">
        <v>1</v>
      </c>
      <c r="F3971" s="27" t="str">
        <f>HYPERLINK("http://nsgreg.nga.mil/genc/view?v=121997&amp;gencs=T&amp;end_month=12&amp;end_day=31&amp;end_year=2014","Oplotnica")</f>
        <v>Oplotnica</v>
      </c>
      <c r="G3971" s="28" t="str">
        <f>HYPERLINK("http://api.nsgreg.nga.mil/geo-division/GENC/6/ed3/SI-171","as:GENC:6:ed3:SI-171")</f>
        <v>as:GENC:6:ed3:SI-171</v>
      </c>
    </row>
    <row r="3972" spans="1:7" x14ac:dyDescent="0.2">
      <c r="A3972" s="85"/>
      <c r="B3972" s="25" t="s">
        <v>9429</v>
      </c>
      <c r="C3972" s="25" t="s">
        <v>9430</v>
      </c>
      <c r="D3972" s="25" t="s">
        <v>3162</v>
      </c>
      <c r="E3972" s="26" t="b">
        <v>1</v>
      </c>
      <c r="F3972" s="27" t="str">
        <f>HYPERLINK("http://nsgreg.nga.mil/genc/view?v=121914&amp;gencs=T&amp;end_month=12&amp;end_day=31&amp;end_year=2014","Ormož")</f>
        <v>Ormož</v>
      </c>
      <c r="G3972" s="28" t="str">
        <f>HYPERLINK("http://api.nsgreg.nga.mil/geo-division/GENC/6/ed3/SI-087","as:GENC:6:ed3:SI-087")</f>
        <v>as:GENC:6:ed3:SI-087</v>
      </c>
    </row>
    <row r="3973" spans="1:7" x14ac:dyDescent="0.2">
      <c r="A3973" s="85"/>
      <c r="B3973" s="25" t="s">
        <v>9431</v>
      </c>
      <c r="C3973" s="25" t="s">
        <v>9432</v>
      </c>
      <c r="D3973" s="25" t="s">
        <v>3162</v>
      </c>
      <c r="E3973" s="26" t="b">
        <v>1</v>
      </c>
      <c r="F3973" s="27" t="str">
        <f>HYPERLINK("http://nsgreg.nga.mil/genc/view?v=121915&amp;gencs=T&amp;end_month=12&amp;end_day=31&amp;end_year=2014","Osilnica")</f>
        <v>Osilnica</v>
      </c>
      <c r="G3973" s="28" t="str">
        <f>HYPERLINK("http://api.nsgreg.nga.mil/geo-division/GENC/6/ed3/SI-088","as:GENC:6:ed3:SI-088")</f>
        <v>as:GENC:6:ed3:SI-088</v>
      </c>
    </row>
    <row r="3974" spans="1:7" x14ac:dyDescent="0.2">
      <c r="A3974" s="85"/>
      <c r="B3974" s="25" t="s">
        <v>9433</v>
      </c>
      <c r="C3974" s="25" t="s">
        <v>9434</v>
      </c>
      <c r="D3974" s="25" t="s">
        <v>3162</v>
      </c>
      <c r="E3974" s="26" t="b">
        <v>1</v>
      </c>
      <c r="F3974" s="27" t="str">
        <f>HYPERLINK("http://nsgreg.nga.mil/genc/view?v=121916&amp;gencs=T&amp;end_month=12&amp;end_day=31&amp;end_year=2014","Pesnica")</f>
        <v>Pesnica</v>
      </c>
      <c r="G3974" s="28" t="str">
        <f>HYPERLINK("http://api.nsgreg.nga.mil/geo-division/GENC/6/ed3/SI-089","as:GENC:6:ed3:SI-089")</f>
        <v>as:GENC:6:ed3:SI-089</v>
      </c>
    </row>
    <row r="3975" spans="1:7" x14ac:dyDescent="0.2">
      <c r="A3975" s="85"/>
      <c r="B3975" s="25" t="s">
        <v>9435</v>
      </c>
      <c r="C3975" s="25" t="s">
        <v>9436</v>
      </c>
      <c r="D3975" s="25" t="s">
        <v>3162</v>
      </c>
      <c r="E3975" s="26" t="b">
        <v>1</v>
      </c>
      <c r="F3975" s="27" t="str">
        <f>HYPERLINK("http://nsgreg.nga.mil/genc/view?v=213477&amp;end_month=12&amp;end_day=31&amp;end_year=2014","Piran")</f>
        <v>Piran</v>
      </c>
      <c r="G3975" s="28" t="str">
        <f>HYPERLINK("http://api.nsgreg.nga.mil/geo-division/GENC/6/ed3/SI-090","as:GENC:6:ed3:SI-090")</f>
        <v>as:GENC:6:ed3:SI-090</v>
      </c>
    </row>
    <row r="3976" spans="1:7" x14ac:dyDescent="0.2">
      <c r="A3976" s="85"/>
      <c r="B3976" s="25" t="s">
        <v>9437</v>
      </c>
      <c r="C3976" s="25" t="s">
        <v>9438</v>
      </c>
      <c r="D3976" s="25" t="s">
        <v>3162</v>
      </c>
      <c r="E3976" s="26" t="b">
        <v>1</v>
      </c>
      <c r="F3976" s="27" t="str">
        <f>HYPERLINK("http://nsgreg.nga.mil/genc/view?v=121918&amp;gencs=T&amp;end_month=12&amp;end_day=31&amp;end_year=2014","Pivka")</f>
        <v>Pivka</v>
      </c>
      <c r="G3976" s="28" t="str">
        <f>HYPERLINK("http://api.nsgreg.nga.mil/geo-division/GENC/6/ed3/SI-091","as:GENC:6:ed3:SI-091")</f>
        <v>as:GENC:6:ed3:SI-091</v>
      </c>
    </row>
    <row r="3977" spans="1:7" x14ac:dyDescent="0.2">
      <c r="A3977" s="85"/>
      <c r="B3977" s="25" t="s">
        <v>9443</v>
      </c>
      <c r="C3977" s="25" t="s">
        <v>9444</v>
      </c>
      <c r="D3977" s="25" t="s">
        <v>3162</v>
      </c>
      <c r="E3977" s="26" t="b">
        <v>1</v>
      </c>
      <c r="F3977" s="27" t="str">
        <f>HYPERLINK("http://nsgreg.nga.mil/genc/view?v=121919&amp;gencs=T&amp;end_month=12&amp;end_day=31&amp;end_year=2014","Podčetrtek")</f>
        <v>Podčetrtek</v>
      </c>
      <c r="G3977" s="28" t="str">
        <f>HYPERLINK("http://api.nsgreg.nga.mil/geo-division/GENC/6/ed3/SI-092","as:GENC:6:ed3:SI-092")</f>
        <v>as:GENC:6:ed3:SI-092</v>
      </c>
    </row>
    <row r="3978" spans="1:7" x14ac:dyDescent="0.2">
      <c r="A3978" s="85"/>
      <c r="B3978" s="25" t="s">
        <v>9439</v>
      </c>
      <c r="C3978" s="25" t="s">
        <v>9440</v>
      </c>
      <c r="D3978" s="25" t="s">
        <v>3162</v>
      </c>
      <c r="E3978" s="26" t="b">
        <v>1</v>
      </c>
      <c r="F3978" s="27" t="str">
        <f>HYPERLINK("http://nsgreg.nga.mil/genc/view?v=121998&amp;gencs=T&amp;end_month=12&amp;end_day=31&amp;end_year=2014","Podlehnik")</f>
        <v>Podlehnik</v>
      </c>
      <c r="G3978" s="28" t="str">
        <f>HYPERLINK("http://api.nsgreg.nga.mil/geo-division/GENC/6/ed3/SI-172","as:GENC:6:ed3:SI-172")</f>
        <v>as:GENC:6:ed3:SI-172</v>
      </c>
    </row>
    <row r="3979" spans="1:7" x14ac:dyDescent="0.2">
      <c r="A3979" s="85"/>
      <c r="B3979" s="25" t="s">
        <v>9441</v>
      </c>
      <c r="C3979" s="25" t="s">
        <v>9442</v>
      </c>
      <c r="D3979" s="25" t="s">
        <v>3162</v>
      </c>
      <c r="E3979" s="26" t="b">
        <v>1</v>
      </c>
      <c r="F3979" s="27" t="str">
        <f>HYPERLINK("http://nsgreg.nga.mil/genc/view?v=121920&amp;gencs=T&amp;end_month=12&amp;end_day=31&amp;end_year=2014","Podvelka")</f>
        <v>Podvelka</v>
      </c>
      <c r="G3979" s="28" t="str">
        <f>HYPERLINK("http://api.nsgreg.nga.mil/geo-division/GENC/6/ed3/SI-093","as:GENC:6:ed3:SI-093")</f>
        <v>as:GENC:6:ed3:SI-093</v>
      </c>
    </row>
    <row r="3980" spans="1:7" x14ac:dyDescent="0.2">
      <c r="A3980" s="85"/>
      <c r="B3980" s="25" t="s">
        <v>9445</v>
      </c>
      <c r="C3980" s="25" t="s">
        <v>9446</v>
      </c>
      <c r="D3980" s="25" t="s">
        <v>3162</v>
      </c>
      <c r="E3980" s="26" t="b">
        <v>1</v>
      </c>
      <c r="F3980" s="27" t="str">
        <f>HYPERLINK("http://nsgreg.nga.mil/genc/view?v=122026&amp;gencs=T&amp;end_month=12&amp;end_day=31&amp;end_year=2014","Poljčane")</f>
        <v>Poljčane</v>
      </c>
      <c r="G3980" s="28" t="str">
        <f>HYPERLINK("http://api.nsgreg.nga.mil/geo-division/GENC/6/ed3/SI-200","as:GENC:6:ed3:SI-200")</f>
        <v>as:GENC:6:ed3:SI-200</v>
      </c>
    </row>
    <row r="3981" spans="1:7" x14ac:dyDescent="0.2">
      <c r="A3981" s="85"/>
      <c r="B3981" s="25" t="s">
        <v>9447</v>
      </c>
      <c r="C3981" s="25" t="s">
        <v>9448</v>
      </c>
      <c r="D3981" s="25" t="s">
        <v>3162</v>
      </c>
      <c r="E3981" s="26" t="b">
        <v>1</v>
      </c>
      <c r="F3981" s="27" t="str">
        <f>HYPERLINK("http://nsgreg.nga.mil/genc/view?v=121999&amp;gencs=T&amp;end_month=12&amp;end_day=31&amp;end_year=2014","Polzela")</f>
        <v>Polzela</v>
      </c>
      <c r="G3981" s="28" t="str">
        <f>HYPERLINK("http://api.nsgreg.nga.mil/geo-division/GENC/6/ed3/SI-173","as:GENC:6:ed3:SI-173")</f>
        <v>as:GENC:6:ed3:SI-173</v>
      </c>
    </row>
    <row r="3982" spans="1:7" x14ac:dyDescent="0.2">
      <c r="A3982" s="85"/>
      <c r="B3982" s="25" t="s">
        <v>9449</v>
      </c>
      <c r="C3982" s="25" t="s">
        <v>9450</v>
      </c>
      <c r="D3982" s="25" t="s">
        <v>3162</v>
      </c>
      <c r="E3982" s="26" t="b">
        <v>1</v>
      </c>
      <c r="F3982" s="27" t="str">
        <f>HYPERLINK("http://nsgreg.nga.mil/genc/view?v=121921&amp;gencs=T&amp;end_month=12&amp;end_day=31&amp;end_year=2014","Postojna")</f>
        <v>Postojna</v>
      </c>
      <c r="G3982" s="28" t="str">
        <f>HYPERLINK("http://api.nsgreg.nga.mil/geo-division/GENC/6/ed3/SI-094","as:GENC:6:ed3:SI-094")</f>
        <v>as:GENC:6:ed3:SI-094</v>
      </c>
    </row>
    <row r="3983" spans="1:7" x14ac:dyDescent="0.2">
      <c r="A3983" s="85"/>
      <c r="B3983" s="25" t="s">
        <v>9451</v>
      </c>
      <c r="C3983" s="25" t="s">
        <v>9452</v>
      </c>
      <c r="D3983" s="25" t="s">
        <v>3162</v>
      </c>
      <c r="E3983" s="26" t="b">
        <v>1</v>
      </c>
      <c r="F3983" s="27" t="str">
        <f>HYPERLINK("http://nsgreg.nga.mil/genc/view?v=122000&amp;gencs=T&amp;end_month=12&amp;end_day=31&amp;end_year=2014","Prebold")</f>
        <v>Prebold</v>
      </c>
      <c r="G3983" s="28" t="str">
        <f>HYPERLINK("http://api.nsgreg.nga.mil/geo-division/GENC/6/ed3/SI-174","as:GENC:6:ed3:SI-174")</f>
        <v>as:GENC:6:ed3:SI-174</v>
      </c>
    </row>
    <row r="3984" spans="1:7" x14ac:dyDescent="0.2">
      <c r="A3984" s="85"/>
      <c r="B3984" s="25" t="s">
        <v>9453</v>
      </c>
      <c r="C3984" s="25" t="s">
        <v>9454</v>
      </c>
      <c r="D3984" s="25" t="s">
        <v>3162</v>
      </c>
      <c r="E3984" s="26" t="b">
        <v>1</v>
      </c>
      <c r="F3984" s="27" t="str">
        <f>HYPERLINK("http://nsgreg.nga.mil/genc/view?v=121922&amp;gencs=T&amp;end_month=12&amp;end_day=31&amp;end_year=2014","Preddvor")</f>
        <v>Preddvor</v>
      </c>
      <c r="G3984" s="28" t="str">
        <f>HYPERLINK("http://api.nsgreg.nga.mil/geo-division/GENC/6/ed3/SI-095","as:GENC:6:ed3:SI-095")</f>
        <v>as:GENC:6:ed3:SI-095</v>
      </c>
    </row>
    <row r="3985" spans="1:7" x14ac:dyDescent="0.2">
      <c r="A3985" s="85"/>
      <c r="B3985" s="25" t="s">
        <v>9455</v>
      </c>
      <c r="C3985" s="25" t="s">
        <v>9456</v>
      </c>
      <c r="D3985" s="25" t="s">
        <v>3162</v>
      </c>
      <c r="E3985" s="26" t="b">
        <v>1</v>
      </c>
      <c r="F3985" s="27" t="str">
        <f>HYPERLINK("http://nsgreg.nga.mil/genc/view?v=122001&amp;gencs=T&amp;end_month=12&amp;end_day=31&amp;end_year=2014","Prevalje")</f>
        <v>Prevalje</v>
      </c>
      <c r="G3985" s="28" t="str">
        <f>HYPERLINK("http://api.nsgreg.nga.mil/geo-division/GENC/6/ed3/SI-175","as:GENC:6:ed3:SI-175")</f>
        <v>as:GENC:6:ed3:SI-175</v>
      </c>
    </row>
    <row r="3986" spans="1:7" x14ac:dyDescent="0.2">
      <c r="A3986" s="85"/>
      <c r="B3986" s="25" t="s">
        <v>9457</v>
      </c>
      <c r="C3986" s="25" t="s">
        <v>9458</v>
      </c>
      <c r="D3986" s="25" t="s">
        <v>13645</v>
      </c>
      <c r="E3986" s="26" t="b">
        <v>1</v>
      </c>
      <c r="F3986" s="27" t="str">
        <f>HYPERLINK("http://nsgreg.nga.mil/genc/view?v=213478&amp;end_month=12&amp;end_day=31&amp;end_year=2014","Ptuj")</f>
        <v>Ptuj</v>
      </c>
      <c r="G3986" s="28" t="str">
        <f>HYPERLINK("http://api.nsgreg.nga.mil/geo-division/GENC/6/ed3/SI-096","as:GENC:6:ed3:SI-096")</f>
        <v>as:GENC:6:ed3:SI-096</v>
      </c>
    </row>
    <row r="3987" spans="1:7" x14ac:dyDescent="0.2">
      <c r="A3987" s="85"/>
      <c r="B3987" s="25" t="s">
        <v>9459</v>
      </c>
      <c r="C3987" s="25" t="s">
        <v>9460</v>
      </c>
      <c r="D3987" s="25" t="s">
        <v>3162</v>
      </c>
      <c r="E3987" s="26" t="b">
        <v>1</v>
      </c>
      <c r="F3987" s="27" t="str">
        <f>HYPERLINK("http://nsgreg.nga.mil/genc/view?v=121924&amp;gencs=T&amp;end_month=12&amp;end_day=31&amp;end_year=2014","Puconci")</f>
        <v>Puconci</v>
      </c>
      <c r="G3987" s="28" t="str">
        <f>HYPERLINK("http://api.nsgreg.nga.mil/geo-division/GENC/6/ed3/SI-097","as:GENC:6:ed3:SI-097")</f>
        <v>as:GENC:6:ed3:SI-097</v>
      </c>
    </row>
    <row r="3988" spans="1:7" x14ac:dyDescent="0.2">
      <c r="A3988" s="85"/>
      <c r="B3988" s="25" t="s">
        <v>9473</v>
      </c>
      <c r="C3988" s="25" t="s">
        <v>9474</v>
      </c>
      <c r="D3988" s="25" t="s">
        <v>3162</v>
      </c>
      <c r="E3988" s="26" t="b">
        <v>1</v>
      </c>
      <c r="F3988" s="27" t="str">
        <f>HYPERLINK("http://nsgreg.nga.mil/genc/view?v=121925&amp;gencs=T&amp;end_month=12&amp;end_day=31&amp;end_year=2014","Rače-Fram")</f>
        <v>Rače-Fram</v>
      </c>
      <c r="G3988" s="28" t="str">
        <f>HYPERLINK("http://api.nsgreg.nga.mil/geo-division/GENC/6/ed3/SI-098","as:GENC:6:ed3:SI-098")</f>
        <v>as:GENC:6:ed3:SI-098</v>
      </c>
    </row>
    <row r="3989" spans="1:7" x14ac:dyDescent="0.2">
      <c r="A3989" s="85"/>
      <c r="B3989" s="25" t="s">
        <v>9463</v>
      </c>
      <c r="C3989" s="25" t="s">
        <v>9464</v>
      </c>
      <c r="D3989" s="25" t="s">
        <v>3162</v>
      </c>
      <c r="E3989" s="26" t="b">
        <v>1</v>
      </c>
      <c r="F3989" s="27" t="str">
        <f>HYPERLINK("http://nsgreg.nga.mil/genc/view?v=121926&amp;gencs=T&amp;end_month=12&amp;end_day=31&amp;end_year=2014","Radeče")</f>
        <v>Radeče</v>
      </c>
      <c r="G3989" s="28" t="str">
        <f>HYPERLINK("http://api.nsgreg.nga.mil/geo-division/GENC/6/ed3/SI-099","as:GENC:6:ed3:SI-099")</f>
        <v>as:GENC:6:ed3:SI-099</v>
      </c>
    </row>
    <row r="3990" spans="1:7" x14ac:dyDescent="0.2">
      <c r="A3990" s="85"/>
      <c r="B3990" s="25" t="s">
        <v>9461</v>
      </c>
      <c r="C3990" s="25" t="s">
        <v>9462</v>
      </c>
      <c r="D3990" s="25" t="s">
        <v>3162</v>
      </c>
      <c r="E3990" s="26" t="b">
        <v>1</v>
      </c>
      <c r="F3990" s="27" t="str">
        <f>HYPERLINK("http://nsgreg.nga.mil/genc/view?v=121927&amp;gencs=T&amp;end_month=12&amp;end_day=31&amp;end_year=2014","Radenci")</f>
        <v>Radenci</v>
      </c>
      <c r="G3990" s="28" t="str">
        <f>HYPERLINK("http://api.nsgreg.nga.mil/geo-division/GENC/6/ed3/SI-100","as:GENC:6:ed3:SI-100")</f>
        <v>as:GENC:6:ed3:SI-100</v>
      </c>
    </row>
    <row r="3991" spans="1:7" x14ac:dyDescent="0.2">
      <c r="A3991" s="85"/>
      <c r="B3991" s="25" t="s">
        <v>9465</v>
      </c>
      <c r="C3991" s="25" t="s">
        <v>9466</v>
      </c>
      <c r="D3991" s="25" t="s">
        <v>3162</v>
      </c>
      <c r="E3991" s="26" t="b">
        <v>1</v>
      </c>
      <c r="F3991" s="27" t="str">
        <f>HYPERLINK("http://nsgreg.nga.mil/genc/view?v=121928&amp;gencs=T&amp;end_month=12&amp;end_day=31&amp;end_year=2014","Radlje ob Dravi")</f>
        <v>Radlje ob Dravi</v>
      </c>
      <c r="G3991" s="28" t="str">
        <f>HYPERLINK("http://api.nsgreg.nga.mil/geo-division/GENC/6/ed3/SI-101","as:GENC:6:ed3:SI-101")</f>
        <v>as:GENC:6:ed3:SI-101</v>
      </c>
    </row>
    <row r="3992" spans="1:7" x14ac:dyDescent="0.2">
      <c r="A3992" s="85"/>
      <c r="B3992" s="25" t="s">
        <v>9467</v>
      </c>
      <c r="C3992" s="25" t="s">
        <v>9468</v>
      </c>
      <c r="D3992" s="25" t="s">
        <v>3162</v>
      </c>
      <c r="E3992" s="26" t="b">
        <v>1</v>
      </c>
      <c r="F3992" s="27" t="str">
        <f>HYPERLINK("http://nsgreg.nga.mil/genc/view?v=121929&amp;gencs=T&amp;end_month=12&amp;end_day=31&amp;end_year=2014","Radovljica")</f>
        <v>Radovljica</v>
      </c>
      <c r="G3992" s="28" t="str">
        <f>HYPERLINK("http://api.nsgreg.nga.mil/geo-division/GENC/6/ed3/SI-102","as:GENC:6:ed3:SI-102")</f>
        <v>as:GENC:6:ed3:SI-102</v>
      </c>
    </row>
    <row r="3993" spans="1:7" x14ac:dyDescent="0.2">
      <c r="A3993" s="85"/>
      <c r="B3993" s="25" t="s">
        <v>9469</v>
      </c>
      <c r="C3993" s="25" t="s">
        <v>9470</v>
      </c>
      <c r="D3993" s="25" t="s">
        <v>3162</v>
      </c>
      <c r="E3993" s="26" t="b">
        <v>1</v>
      </c>
      <c r="F3993" s="27" t="str">
        <f>HYPERLINK("http://nsgreg.nga.mil/genc/view?v=121930&amp;gencs=T&amp;end_month=12&amp;end_day=31&amp;end_year=2014","Ravne na Koroškem")</f>
        <v>Ravne na Koroškem</v>
      </c>
      <c r="G3993" s="28" t="str">
        <f>HYPERLINK("http://api.nsgreg.nga.mil/geo-division/GENC/6/ed3/SI-103","as:GENC:6:ed3:SI-103")</f>
        <v>as:GENC:6:ed3:SI-103</v>
      </c>
    </row>
    <row r="3994" spans="1:7" x14ac:dyDescent="0.2">
      <c r="A3994" s="85"/>
      <c r="B3994" s="25" t="s">
        <v>9471</v>
      </c>
      <c r="C3994" s="25" t="s">
        <v>9472</v>
      </c>
      <c r="D3994" s="25" t="s">
        <v>3162</v>
      </c>
      <c r="E3994" s="26" t="b">
        <v>1</v>
      </c>
      <c r="F3994" s="27" t="str">
        <f>HYPERLINK("http://nsgreg.nga.mil/genc/view?v=122002&amp;gencs=T&amp;end_month=12&amp;end_day=31&amp;end_year=2014","Razkrižje")</f>
        <v>Razkrižje</v>
      </c>
      <c r="G3994" s="28" t="str">
        <f>HYPERLINK("http://api.nsgreg.nga.mil/geo-division/GENC/6/ed3/SI-176","as:GENC:6:ed3:SI-176")</f>
        <v>as:GENC:6:ed3:SI-176</v>
      </c>
    </row>
    <row r="3995" spans="1:7" x14ac:dyDescent="0.2">
      <c r="A3995" s="85"/>
      <c r="B3995" s="25" t="s">
        <v>9477</v>
      </c>
      <c r="C3995" s="25" t="s">
        <v>9478</v>
      </c>
      <c r="D3995" s="25" t="s">
        <v>3162</v>
      </c>
      <c r="E3995" s="26" t="b">
        <v>1</v>
      </c>
      <c r="F3995" s="27" t="str">
        <f>HYPERLINK("http://nsgreg.nga.mil/genc/view?v=122035&amp;gencs=T&amp;end_month=12&amp;end_day=31&amp;end_year=2014","Rečica ob Savinji")</f>
        <v>Rečica ob Savinji</v>
      </c>
      <c r="G3995" s="28" t="str">
        <f>HYPERLINK("http://api.nsgreg.nga.mil/geo-division/GENC/6/ed3/SI-209","as:GENC:6:ed3:SI-209")</f>
        <v>as:GENC:6:ed3:SI-209</v>
      </c>
    </row>
    <row r="3996" spans="1:7" x14ac:dyDescent="0.2">
      <c r="A3996" s="85"/>
      <c r="B3996" s="25" t="s">
        <v>9475</v>
      </c>
      <c r="C3996" s="25" t="s">
        <v>9476</v>
      </c>
      <c r="D3996" s="25" t="s">
        <v>3162</v>
      </c>
      <c r="E3996" s="26" t="b">
        <v>1</v>
      </c>
      <c r="F3996" s="27" t="str">
        <f>HYPERLINK("http://nsgreg.nga.mil/genc/view?v=122027&amp;gencs=T&amp;end_month=12&amp;end_day=31&amp;end_year=2014","Renče-Vogrsko")</f>
        <v>Renče-Vogrsko</v>
      </c>
      <c r="G3996" s="28" t="str">
        <f>HYPERLINK("http://api.nsgreg.nga.mil/geo-division/GENC/6/ed3/SI-201","as:GENC:6:ed3:SI-201")</f>
        <v>as:GENC:6:ed3:SI-201</v>
      </c>
    </row>
    <row r="3997" spans="1:7" x14ac:dyDescent="0.2">
      <c r="A3997" s="85"/>
      <c r="B3997" s="25" t="s">
        <v>9479</v>
      </c>
      <c r="C3997" s="25" t="s">
        <v>9480</v>
      </c>
      <c r="D3997" s="25" t="s">
        <v>3162</v>
      </c>
      <c r="E3997" s="26" t="b">
        <v>1</v>
      </c>
      <c r="F3997" s="27" t="str">
        <f>HYPERLINK("http://nsgreg.nga.mil/genc/view?v=121931&amp;gencs=T&amp;end_month=12&amp;end_day=31&amp;end_year=2014","Ribnica")</f>
        <v>Ribnica</v>
      </c>
      <c r="G3997" s="28" t="str">
        <f>HYPERLINK("http://api.nsgreg.nga.mil/geo-division/GENC/6/ed3/SI-104","as:GENC:6:ed3:SI-104")</f>
        <v>as:GENC:6:ed3:SI-104</v>
      </c>
    </row>
    <row r="3998" spans="1:7" x14ac:dyDescent="0.2">
      <c r="A3998" s="85"/>
      <c r="B3998" s="25" t="s">
        <v>9481</v>
      </c>
      <c r="C3998" s="25" t="s">
        <v>9482</v>
      </c>
      <c r="D3998" s="25" t="s">
        <v>3162</v>
      </c>
      <c r="E3998" s="26" t="b">
        <v>1</v>
      </c>
      <c r="F3998" s="27" t="str">
        <f>HYPERLINK("http://nsgreg.nga.mil/genc/view?v=122003&amp;gencs=T&amp;end_month=12&amp;end_day=31&amp;end_year=2014","Ribnica na Pohorju")</f>
        <v>Ribnica na Pohorju</v>
      </c>
      <c r="G3998" s="28" t="str">
        <f>HYPERLINK("http://api.nsgreg.nga.mil/geo-division/GENC/6/ed3/SI-177","as:GENC:6:ed3:SI-177")</f>
        <v>as:GENC:6:ed3:SI-177</v>
      </c>
    </row>
    <row r="3999" spans="1:7" x14ac:dyDescent="0.2">
      <c r="A3999" s="85"/>
      <c r="B3999" s="25" t="s">
        <v>9485</v>
      </c>
      <c r="C3999" s="25" t="s">
        <v>9486</v>
      </c>
      <c r="D3999" s="25" t="s">
        <v>3162</v>
      </c>
      <c r="E3999" s="26" t="b">
        <v>1</v>
      </c>
      <c r="F3999" s="27" t="str">
        <f>HYPERLINK("http://nsgreg.nga.mil/genc/view?v=121933&amp;gencs=T&amp;end_month=12&amp;end_day=31&amp;end_year=2014","Rogaška Slatina")</f>
        <v>Rogaška Slatina</v>
      </c>
      <c r="G3999" s="28" t="str">
        <f>HYPERLINK("http://api.nsgreg.nga.mil/geo-division/GENC/6/ed3/SI-106","as:GENC:6:ed3:SI-106")</f>
        <v>as:GENC:6:ed3:SI-106</v>
      </c>
    </row>
    <row r="4000" spans="1:7" x14ac:dyDescent="0.2">
      <c r="A4000" s="85"/>
      <c r="B4000" s="25" t="s">
        <v>9487</v>
      </c>
      <c r="C4000" s="25" t="s">
        <v>9488</v>
      </c>
      <c r="D4000" s="25" t="s">
        <v>3162</v>
      </c>
      <c r="E4000" s="26" t="b">
        <v>1</v>
      </c>
      <c r="F4000" s="27" t="str">
        <f>HYPERLINK("http://nsgreg.nga.mil/genc/view?v=121932&amp;gencs=T&amp;end_month=12&amp;end_day=31&amp;end_year=2014","Rogašovci")</f>
        <v>Rogašovci</v>
      </c>
      <c r="G4000" s="28" t="str">
        <f>HYPERLINK("http://api.nsgreg.nga.mil/geo-division/GENC/6/ed3/SI-105","as:GENC:6:ed3:SI-105")</f>
        <v>as:GENC:6:ed3:SI-105</v>
      </c>
    </row>
    <row r="4001" spans="1:7" x14ac:dyDescent="0.2">
      <c r="A4001" s="85"/>
      <c r="B4001" s="25" t="s">
        <v>9483</v>
      </c>
      <c r="C4001" s="25" t="s">
        <v>9484</v>
      </c>
      <c r="D4001" s="25" t="s">
        <v>3162</v>
      </c>
      <c r="E4001" s="26" t="b">
        <v>1</v>
      </c>
      <c r="F4001" s="27" t="str">
        <f>HYPERLINK("http://nsgreg.nga.mil/genc/view?v=121934&amp;gencs=T&amp;end_month=12&amp;end_day=31&amp;end_year=2014","Rogatec")</f>
        <v>Rogatec</v>
      </c>
      <c r="G4001" s="28" t="str">
        <f>HYPERLINK("http://api.nsgreg.nga.mil/geo-division/GENC/6/ed3/SI-107","as:GENC:6:ed3:SI-107")</f>
        <v>as:GENC:6:ed3:SI-107</v>
      </c>
    </row>
    <row r="4002" spans="1:7" x14ac:dyDescent="0.2">
      <c r="A4002" s="85"/>
      <c r="B4002" s="25" t="s">
        <v>9489</v>
      </c>
      <c r="C4002" s="25" t="s">
        <v>9490</v>
      </c>
      <c r="D4002" s="25" t="s">
        <v>3162</v>
      </c>
      <c r="E4002" s="26" t="b">
        <v>1</v>
      </c>
      <c r="F4002" s="27" t="str">
        <f>HYPERLINK("http://nsgreg.nga.mil/genc/view?v=121935&amp;gencs=T&amp;end_month=12&amp;end_day=31&amp;end_year=2014","Ruše")</f>
        <v>Ruše</v>
      </c>
      <c r="G4002" s="28" t="str">
        <f>HYPERLINK("http://api.nsgreg.nga.mil/geo-division/GENC/6/ed3/SI-108","as:GENC:6:ed3:SI-108")</f>
        <v>as:GENC:6:ed3:SI-108</v>
      </c>
    </row>
    <row r="4003" spans="1:7" x14ac:dyDescent="0.2">
      <c r="A4003" s="85"/>
      <c r="B4003" s="25" t="s">
        <v>9581</v>
      </c>
      <c r="C4003" s="25" t="s">
        <v>9582</v>
      </c>
      <c r="D4003" s="25" t="s">
        <v>3162</v>
      </c>
      <c r="E4003" s="26" t="b">
        <v>1</v>
      </c>
      <c r="F4003" s="27" t="str">
        <f>HYPERLINK("http://nsgreg.nga.mil/genc/view?v=121860&amp;gencs=T&amp;end_month=12&amp;end_day=31&amp;end_year=2014","Šalovci")</f>
        <v>Šalovci</v>
      </c>
      <c r="G4003" s="28" t="str">
        <f>HYPERLINK("http://api.nsgreg.nga.mil/geo-division/GENC/6/ed3/SI-033","as:GENC:6:ed3:SI-033")</f>
        <v>as:GENC:6:ed3:SI-033</v>
      </c>
    </row>
    <row r="4004" spans="1:7" x14ac:dyDescent="0.2">
      <c r="A4004" s="85"/>
      <c r="B4004" s="25" t="s">
        <v>9491</v>
      </c>
      <c r="C4004" s="25" t="s">
        <v>9492</v>
      </c>
      <c r="D4004" s="25" t="s">
        <v>3162</v>
      </c>
      <c r="E4004" s="26" t="b">
        <v>1</v>
      </c>
      <c r="F4004" s="27" t="str">
        <f>HYPERLINK("http://nsgreg.nga.mil/genc/view?v=122004&amp;gencs=T&amp;end_month=12&amp;end_day=31&amp;end_year=2014","Selnica ob Dravi")</f>
        <v>Selnica ob Dravi</v>
      </c>
      <c r="G4004" s="28" t="str">
        <f>HYPERLINK("http://api.nsgreg.nga.mil/geo-division/GENC/6/ed3/SI-178","as:GENC:6:ed3:SI-178")</f>
        <v>as:GENC:6:ed3:SI-178</v>
      </c>
    </row>
    <row r="4005" spans="1:7" x14ac:dyDescent="0.2">
      <c r="A4005" s="85"/>
      <c r="B4005" s="25" t="s">
        <v>9493</v>
      </c>
      <c r="C4005" s="25" t="s">
        <v>9494</v>
      </c>
      <c r="D4005" s="25" t="s">
        <v>3162</v>
      </c>
      <c r="E4005" s="26" t="b">
        <v>1</v>
      </c>
      <c r="F4005" s="27" t="str">
        <f>HYPERLINK("http://nsgreg.nga.mil/genc/view?v=121936&amp;gencs=T&amp;end_month=12&amp;end_day=31&amp;end_year=2014","Semič")</f>
        <v>Semič</v>
      </c>
      <c r="G4005" s="28" t="str">
        <f>HYPERLINK("http://api.nsgreg.nga.mil/geo-division/GENC/6/ed3/SI-109","as:GENC:6:ed3:SI-109")</f>
        <v>as:GENC:6:ed3:SI-109</v>
      </c>
    </row>
    <row r="4006" spans="1:7" x14ac:dyDescent="0.2">
      <c r="A4006" s="85"/>
      <c r="B4006" s="25" t="s">
        <v>9583</v>
      </c>
      <c r="C4006" s="25" t="s">
        <v>9584</v>
      </c>
      <c r="D4006" s="25" t="s">
        <v>3162</v>
      </c>
      <c r="E4006" s="26" t="b">
        <v>1</v>
      </c>
      <c r="F4006" s="27" t="str">
        <f>HYPERLINK("http://nsgreg.nga.mil/genc/view?v=122009&amp;gencs=T&amp;end_month=12&amp;end_day=31&amp;end_year=2014","Šempeter-Vrtojba")</f>
        <v>Šempeter-Vrtojba</v>
      </c>
      <c r="G4006" s="28" t="str">
        <f>HYPERLINK("http://api.nsgreg.nga.mil/geo-division/GENC/6/ed3/SI-183","as:GENC:6:ed3:SI-183")</f>
        <v>as:GENC:6:ed3:SI-183</v>
      </c>
    </row>
    <row r="4007" spans="1:7" x14ac:dyDescent="0.2">
      <c r="A4007" s="85"/>
      <c r="B4007" s="25" t="s">
        <v>9593</v>
      </c>
      <c r="C4007" s="25" t="s">
        <v>9594</v>
      </c>
      <c r="D4007" s="25" t="s">
        <v>3162</v>
      </c>
      <c r="E4007" s="26" t="b">
        <v>1</v>
      </c>
      <c r="F4007" s="27" t="str">
        <f>HYPERLINK("http://nsgreg.nga.mil/genc/view?v=121944&amp;gencs=T&amp;end_month=12&amp;end_day=31&amp;end_year=2014","Šenčur")</f>
        <v>Šenčur</v>
      </c>
      <c r="G4007" s="28" t="str">
        <f>HYPERLINK("http://api.nsgreg.nga.mil/geo-division/GENC/6/ed3/SI-117","as:GENC:6:ed3:SI-117")</f>
        <v>as:GENC:6:ed3:SI-117</v>
      </c>
    </row>
    <row r="4008" spans="1:7" x14ac:dyDescent="0.2">
      <c r="A4008" s="85"/>
      <c r="B4008" s="25" t="s">
        <v>9585</v>
      </c>
      <c r="C4008" s="25" t="s">
        <v>9586</v>
      </c>
      <c r="D4008" s="25" t="s">
        <v>3162</v>
      </c>
      <c r="E4008" s="26" t="b">
        <v>1</v>
      </c>
      <c r="F4008" s="27" t="str">
        <f>HYPERLINK("http://nsgreg.nga.mil/genc/view?v=121945&amp;gencs=T&amp;end_month=12&amp;end_day=31&amp;end_year=2014","Šentilj")</f>
        <v>Šentilj</v>
      </c>
      <c r="G4008" s="28" t="str">
        <f>HYPERLINK("http://api.nsgreg.nga.mil/geo-division/GENC/6/ed3/SI-118","as:GENC:6:ed3:SI-118")</f>
        <v>as:GENC:6:ed3:SI-118</v>
      </c>
    </row>
    <row r="4009" spans="1:7" x14ac:dyDescent="0.2">
      <c r="A4009" s="85"/>
      <c r="B4009" s="25" t="s">
        <v>9587</v>
      </c>
      <c r="C4009" s="25" t="s">
        <v>9588</v>
      </c>
      <c r="D4009" s="25" t="s">
        <v>3162</v>
      </c>
      <c r="E4009" s="26" t="b">
        <v>1</v>
      </c>
      <c r="F4009" s="27" t="str">
        <f>HYPERLINK("http://nsgreg.nga.mil/genc/view?v=121946&amp;gencs=T&amp;end_month=12&amp;end_day=31&amp;end_year=2014","Šentjernej")</f>
        <v>Šentjernej</v>
      </c>
      <c r="G4009" s="28" t="str">
        <f>HYPERLINK("http://api.nsgreg.nga.mil/geo-division/GENC/6/ed3/SI-119","as:GENC:6:ed3:SI-119")</f>
        <v>as:GENC:6:ed3:SI-119</v>
      </c>
    </row>
    <row r="4010" spans="1:7" x14ac:dyDescent="0.2">
      <c r="A4010" s="85"/>
      <c r="B4010" s="25" t="s">
        <v>9589</v>
      </c>
      <c r="C4010" s="25" t="s">
        <v>9590</v>
      </c>
      <c r="D4010" s="25" t="s">
        <v>3162</v>
      </c>
      <c r="E4010" s="26" t="b">
        <v>1</v>
      </c>
      <c r="F4010" s="27" t="str">
        <f>HYPERLINK("http://nsgreg.nga.mil/genc/view?v=121947&amp;gencs=T&amp;end_month=12&amp;end_day=31&amp;end_year=2014","Šentjur")</f>
        <v>Šentjur</v>
      </c>
      <c r="G4010" s="28" t="str">
        <f>HYPERLINK("http://api.nsgreg.nga.mil/geo-division/GENC/6/ed3/SI-120","as:GENC:6:ed3:SI-120")</f>
        <v>as:GENC:6:ed3:SI-120</v>
      </c>
    </row>
    <row r="4011" spans="1:7" x14ac:dyDescent="0.2">
      <c r="A4011" s="85"/>
      <c r="B4011" s="25" t="s">
        <v>9591</v>
      </c>
      <c r="C4011" s="25" t="s">
        <v>9592</v>
      </c>
      <c r="D4011" s="25" t="s">
        <v>3162</v>
      </c>
      <c r="E4011" s="26" t="b">
        <v>1</v>
      </c>
      <c r="F4011" s="27" t="str">
        <f>HYPERLINK("http://nsgreg.nga.mil/genc/view?v=122037&amp;gencs=T&amp;end_month=12&amp;end_day=31&amp;end_year=2014","Šentrupert")</f>
        <v>Šentrupert</v>
      </c>
      <c r="G4011" s="28" t="str">
        <f>HYPERLINK("http://api.nsgreg.nga.mil/geo-division/GENC/6/ed3/SI-211","as:GENC:6:ed3:SI-211")</f>
        <v>as:GENC:6:ed3:SI-211</v>
      </c>
    </row>
    <row r="4012" spans="1:7" x14ac:dyDescent="0.2">
      <c r="A4012" s="85"/>
      <c r="B4012" s="25" t="s">
        <v>9495</v>
      </c>
      <c r="C4012" s="25" t="s">
        <v>9496</v>
      </c>
      <c r="D4012" s="25" t="s">
        <v>3162</v>
      </c>
      <c r="E4012" s="26" t="b">
        <v>1</v>
      </c>
      <c r="F4012" s="27" t="str">
        <f>HYPERLINK("http://nsgreg.nga.mil/genc/view?v=121937&amp;gencs=T&amp;end_month=12&amp;end_day=31&amp;end_year=2014","Sevnica")</f>
        <v>Sevnica</v>
      </c>
      <c r="G4012" s="28" t="str">
        <f>HYPERLINK("http://api.nsgreg.nga.mil/geo-division/GENC/6/ed3/SI-110","as:GENC:6:ed3:SI-110")</f>
        <v>as:GENC:6:ed3:SI-110</v>
      </c>
    </row>
    <row r="4013" spans="1:7" x14ac:dyDescent="0.2">
      <c r="A4013" s="85"/>
      <c r="B4013" s="25" t="s">
        <v>9497</v>
      </c>
      <c r="C4013" s="25" t="s">
        <v>9498</v>
      </c>
      <c r="D4013" s="25" t="s">
        <v>3162</v>
      </c>
      <c r="E4013" s="26" t="b">
        <v>1</v>
      </c>
      <c r="F4013" s="27" t="str">
        <f>HYPERLINK("http://nsgreg.nga.mil/genc/view?v=121938&amp;gencs=T&amp;end_month=12&amp;end_day=31&amp;end_year=2014","Sežana")</f>
        <v>Sežana</v>
      </c>
      <c r="G4013" s="28" t="str">
        <f>HYPERLINK("http://api.nsgreg.nga.mil/geo-division/GENC/6/ed3/SI-111","as:GENC:6:ed3:SI-111")</f>
        <v>as:GENC:6:ed3:SI-111</v>
      </c>
    </row>
    <row r="4014" spans="1:7" x14ac:dyDescent="0.2">
      <c r="A4014" s="85"/>
      <c r="B4014" s="25" t="s">
        <v>9595</v>
      </c>
      <c r="C4014" s="25" t="s">
        <v>9596</v>
      </c>
      <c r="D4014" s="25" t="s">
        <v>3162</v>
      </c>
      <c r="E4014" s="26" t="b">
        <v>1</v>
      </c>
      <c r="F4014" s="27" t="str">
        <f>HYPERLINK("http://nsgreg.nga.mil/genc/view?v=121948&amp;gencs=T&amp;end_month=12&amp;end_day=31&amp;end_year=2014","Škocjan")</f>
        <v>Škocjan</v>
      </c>
      <c r="G4014" s="28" t="str">
        <f>HYPERLINK("http://api.nsgreg.nga.mil/geo-division/GENC/6/ed3/SI-121","as:GENC:6:ed3:SI-121")</f>
        <v>as:GENC:6:ed3:SI-121</v>
      </c>
    </row>
    <row r="4015" spans="1:7" x14ac:dyDescent="0.2">
      <c r="A4015" s="85"/>
      <c r="B4015" s="25" t="s">
        <v>9597</v>
      </c>
      <c r="C4015" s="25" t="s">
        <v>9598</v>
      </c>
      <c r="D4015" s="25" t="s">
        <v>3162</v>
      </c>
      <c r="E4015" s="26" t="b">
        <v>1</v>
      </c>
      <c r="F4015" s="27" t="str">
        <f>HYPERLINK("http://nsgreg.nga.mil/genc/view?v=121949&amp;gencs=T&amp;end_month=12&amp;end_day=31&amp;end_year=2014","Škofja Loka")</f>
        <v>Škofja Loka</v>
      </c>
      <c r="G4015" s="28" t="str">
        <f>HYPERLINK("http://api.nsgreg.nga.mil/geo-division/GENC/6/ed3/SI-122","as:GENC:6:ed3:SI-122")</f>
        <v>as:GENC:6:ed3:SI-122</v>
      </c>
    </row>
    <row r="4016" spans="1:7" x14ac:dyDescent="0.2">
      <c r="A4016" s="85"/>
      <c r="B4016" s="25" t="s">
        <v>9599</v>
      </c>
      <c r="C4016" s="25" t="s">
        <v>9600</v>
      </c>
      <c r="D4016" s="25" t="s">
        <v>3162</v>
      </c>
      <c r="E4016" s="26" t="b">
        <v>1</v>
      </c>
      <c r="F4016" s="27" t="str">
        <f>HYPERLINK("http://nsgreg.nga.mil/genc/view?v=121950&amp;gencs=T&amp;end_month=12&amp;end_day=31&amp;end_year=2014","Škofljica")</f>
        <v>Škofljica</v>
      </c>
      <c r="G4016" s="28" t="str">
        <f>HYPERLINK("http://api.nsgreg.nga.mil/geo-division/GENC/6/ed3/SI-123","as:GENC:6:ed3:SI-123")</f>
        <v>as:GENC:6:ed3:SI-123</v>
      </c>
    </row>
    <row r="4017" spans="1:7" x14ac:dyDescent="0.2">
      <c r="A4017" s="85"/>
      <c r="B4017" s="25" t="s">
        <v>9499</v>
      </c>
      <c r="C4017" s="25" t="s">
        <v>9500</v>
      </c>
      <c r="D4017" s="25" t="s">
        <v>13645</v>
      </c>
      <c r="E4017" s="26" t="b">
        <v>1</v>
      </c>
      <c r="F4017" s="27" t="str">
        <f>HYPERLINK("http://nsgreg.nga.mil/genc/view?v=213479&amp;end_month=12&amp;end_day=31&amp;end_year=2014","Slovenj Gradec")</f>
        <v>Slovenj Gradec</v>
      </c>
      <c r="G4017" s="28" t="str">
        <f>HYPERLINK("http://api.nsgreg.nga.mil/geo-division/GENC/6/ed3/SI-112","as:GENC:6:ed3:SI-112")</f>
        <v>as:GENC:6:ed3:SI-112</v>
      </c>
    </row>
    <row r="4018" spans="1:7" x14ac:dyDescent="0.2">
      <c r="A4018" s="85"/>
      <c r="B4018" s="25" t="s">
        <v>9501</v>
      </c>
      <c r="C4018" s="25" t="s">
        <v>9502</v>
      </c>
      <c r="D4018" s="25" t="s">
        <v>3162</v>
      </c>
      <c r="E4018" s="26" t="b">
        <v>1</v>
      </c>
      <c r="F4018" s="27" t="str">
        <f>HYPERLINK("http://nsgreg.nga.mil/genc/view?v=121940&amp;gencs=T&amp;end_month=12&amp;end_day=31&amp;end_year=2014","Slovenska Bistrica")</f>
        <v>Slovenska Bistrica</v>
      </c>
      <c r="G4018" s="28" t="str">
        <f>HYPERLINK("http://api.nsgreg.nga.mil/geo-division/GENC/6/ed3/SI-113","as:GENC:6:ed3:SI-113")</f>
        <v>as:GENC:6:ed3:SI-113</v>
      </c>
    </row>
    <row r="4019" spans="1:7" x14ac:dyDescent="0.2">
      <c r="A4019" s="85"/>
      <c r="B4019" s="25" t="s">
        <v>9503</v>
      </c>
      <c r="C4019" s="25" t="s">
        <v>9504</v>
      </c>
      <c r="D4019" s="25" t="s">
        <v>3162</v>
      </c>
      <c r="E4019" s="26" t="b">
        <v>1</v>
      </c>
      <c r="F4019" s="27" t="str">
        <f>HYPERLINK("http://nsgreg.nga.mil/genc/view?v=121941&amp;gencs=T&amp;end_month=12&amp;end_day=31&amp;end_year=2014","Slovenske Konjice")</f>
        <v>Slovenske Konjice</v>
      </c>
      <c r="G4019" s="28" t="str">
        <f>HYPERLINK("http://api.nsgreg.nga.mil/geo-division/GENC/6/ed3/SI-114","as:GENC:6:ed3:SI-114")</f>
        <v>as:GENC:6:ed3:SI-114</v>
      </c>
    </row>
    <row r="4020" spans="1:7" x14ac:dyDescent="0.2">
      <c r="A4020" s="85"/>
      <c r="B4020" s="25" t="s">
        <v>9601</v>
      </c>
      <c r="C4020" s="25" t="s">
        <v>9602</v>
      </c>
      <c r="D4020" s="25" t="s">
        <v>3162</v>
      </c>
      <c r="E4020" s="26" t="b">
        <v>1</v>
      </c>
      <c r="F4020" s="27" t="str">
        <f>HYPERLINK("http://nsgreg.nga.mil/genc/view?v=121951&amp;gencs=T&amp;end_month=12&amp;end_day=31&amp;end_year=2014","Šmarje pri Jelšah")</f>
        <v>Šmarje pri Jelšah</v>
      </c>
      <c r="G4020" s="28" t="str">
        <f>HYPERLINK("http://api.nsgreg.nga.mil/geo-division/GENC/6/ed3/SI-124","as:GENC:6:ed3:SI-124")</f>
        <v>as:GENC:6:ed3:SI-124</v>
      </c>
    </row>
    <row r="4021" spans="1:7" x14ac:dyDescent="0.2">
      <c r="A4021" s="85"/>
      <c r="B4021" s="25" t="s">
        <v>9603</v>
      </c>
      <c r="C4021" s="25" t="s">
        <v>9604</v>
      </c>
      <c r="D4021" s="25" t="s">
        <v>3162</v>
      </c>
      <c r="E4021" s="26" t="b">
        <v>1</v>
      </c>
      <c r="F4021" s="27" t="str">
        <f>HYPERLINK("http://nsgreg.nga.mil/genc/view?v=122032&amp;gencs=T&amp;end_month=12&amp;end_day=31&amp;end_year=2014","Šmarješke Toplice")</f>
        <v>Šmarješke Toplice</v>
      </c>
      <c r="G4021" s="28" t="str">
        <f>HYPERLINK("http://api.nsgreg.nga.mil/geo-division/GENC/6/ed3/SI-206","as:GENC:6:ed3:SI-206")</f>
        <v>as:GENC:6:ed3:SI-206</v>
      </c>
    </row>
    <row r="4022" spans="1:7" x14ac:dyDescent="0.2">
      <c r="A4022" s="85"/>
      <c r="B4022" s="25" t="s">
        <v>9605</v>
      </c>
      <c r="C4022" s="25" t="s">
        <v>9606</v>
      </c>
      <c r="D4022" s="25" t="s">
        <v>3162</v>
      </c>
      <c r="E4022" s="26" t="b">
        <v>1</v>
      </c>
      <c r="F4022" s="27" t="str">
        <f>HYPERLINK("http://nsgreg.nga.mil/genc/view?v=121952&amp;gencs=T&amp;end_month=12&amp;end_day=31&amp;end_year=2014","Šmartno ob Paki")</f>
        <v>Šmartno ob Paki</v>
      </c>
      <c r="G4022" s="28" t="str">
        <f>HYPERLINK("http://api.nsgreg.nga.mil/geo-division/GENC/6/ed3/SI-125","as:GENC:6:ed3:SI-125")</f>
        <v>as:GENC:6:ed3:SI-125</v>
      </c>
    </row>
    <row r="4023" spans="1:7" x14ac:dyDescent="0.2">
      <c r="A4023" s="85"/>
      <c r="B4023" s="25" t="s">
        <v>13649</v>
      </c>
      <c r="C4023" s="25" t="s">
        <v>13650</v>
      </c>
      <c r="D4023" s="25" t="s">
        <v>3162</v>
      </c>
      <c r="E4023" s="26" t="b">
        <v>1</v>
      </c>
      <c r="F4023" s="27" t="str">
        <f>HYPERLINK("http://nsgreg.nga.mil/genc/view?v=122020&amp;gencs=T&amp;end_month=12&amp;end_day=31&amp;end_year=2014","Šmartno pri Litiji")</f>
        <v>Šmartno pri Litiji</v>
      </c>
      <c r="G4023" s="28" t="str">
        <f>HYPERLINK("http://api.nsgreg.nga.mil/geo-division/GENC/6/ed3/SI-194","as:GENC:6:ed3:SI-194")</f>
        <v>as:GENC:6:ed3:SI-194</v>
      </c>
    </row>
    <row r="4024" spans="1:7" x14ac:dyDescent="0.2">
      <c r="A4024" s="85"/>
      <c r="B4024" s="25" t="s">
        <v>9505</v>
      </c>
      <c r="C4024" s="25" t="s">
        <v>9506</v>
      </c>
      <c r="D4024" s="25" t="s">
        <v>3162</v>
      </c>
      <c r="E4024" s="26" t="b">
        <v>1</v>
      </c>
      <c r="F4024" s="27" t="str">
        <f>HYPERLINK("http://nsgreg.nga.mil/genc/view?v=122005&amp;gencs=T&amp;end_month=12&amp;end_day=31&amp;end_year=2014","Sodražica")</f>
        <v>Sodražica</v>
      </c>
      <c r="G4024" s="28" t="str">
        <f>HYPERLINK("http://api.nsgreg.nga.mil/geo-division/GENC/6/ed3/SI-179","as:GENC:6:ed3:SI-179")</f>
        <v>as:GENC:6:ed3:SI-179</v>
      </c>
    </row>
    <row r="4025" spans="1:7" x14ac:dyDescent="0.2">
      <c r="A4025" s="85"/>
      <c r="B4025" s="25" t="s">
        <v>9507</v>
      </c>
      <c r="C4025" s="25" t="s">
        <v>9508</v>
      </c>
      <c r="D4025" s="25" t="s">
        <v>3162</v>
      </c>
      <c r="E4025" s="26" t="b">
        <v>1</v>
      </c>
      <c r="F4025" s="27" t="str">
        <f>HYPERLINK("http://nsgreg.nga.mil/genc/view?v=122006&amp;gencs=T&amp;end_month=12&amp;end_day=31&amp;end_year=2014","Solčava")</f>
        <v>Solčava</v>
      </c>
      <c r="G4025" s="28" t="str">
        <f>HYPERLINK("http://api.nsgreg.nga.mil/geo-division/GENC/6/ed3/SI-180","as:GENC:6:ed3:SI-180")</f>
        <v>as:GENC:6:ed3:SI-180</v>
      </c>
    </row>
    <row r="4026" spans="1:7" x14ac:dyDescent="0.2">
      <c r="A4026" s="85"/>
      <c r="B4026" s="25" t="s">
        <v>9607</v>
      </c>
      <c r="C4026" s="25" t="s">
        <v>9608</v>
      </c>
      <c r="D4026" s="25" t="s">
        <v>3162</v>
      </c>
      <c r="E4026" s="26" t="b">
        <v>1</v>
      </c>
      <c r="F4026" s="27" t="str">
        <f>HYPERLINK("http://nsgreg.nga.mil/genc/view?v=121953&amp;gencs=T&amp;end_month=12&amp;end_day=31&amp;end_year=2014","Šoštanj")</f>
        <v>Šoštanj</v>
      </c>
      <c r="G4026" s="28" t="str">
        <f>HYPERLINK("http://api.nsgreg.nga.mil/geo-division/GENC/6/ed3/SI-126","as:GENC:6:ed3:SI-126")</f>
        <v>as:GENC:6:ed3:SI-126</v>
      </c>
    </row>
    <row r="4027" spans="1:7" x14ac:dyDescent="0.2">
      <c r="A4027" s="85"/>
      <c r="B4027" s="25" t="s">
        <v>9509</v>
      </c>
      <c r="C4027" s="25" t="s">
        <v>9510</v>
      </c>
      <c r="D4027" s="25" t="s">
        <v>3162</v>
      </c>
      <c r="E4027" s="26" t="b">
        <v>1</v>
      </c>
      <c r="F4027" s="27" t="str">
        <f>HYPERLINK("http://nsgreg.nga.mil/genc/view?v=122028&amp;gencs=T&amp;end_month=12&amp;end_day=31&amp;end_year=2014","Središče ob Dravi")</f>
        <v>Središče ob Dravi</v>
      </c>
      <c r="G4027" s="28" t="str">
        <f>HYPERLINK("http://api.nsgreg.nga.mil/geo-division/GENC/6/ed3/SI-202","as:GENC:6:ed3:SI-202")</f>
        <v>as:GENC:6:ed3:SI-202</v>
      </c>
    </row>
    <row r="4028" spans="1:7" x14ac:dyDescent="0.2">
      <c r="A4028" s="85"/>
      <c r="B4028" s="25" t="s">
        <v>9511</v>
      </c>
      <c r="C4028" s="25" t="s">
        <v>9512</v>
      </c>
      <c r="D4028" s="25" t="s">
        <v>3162</v>
      </c>
      <c r="E4028" s="26" t="b">
        <v>1</v>
      </c>
      <c r="F4028" s="27" t="str">
        <f>HYPERLINK("http://nsgreg.nga.mil/genc/view?v=121942&amp;gencs=T&amp;end_month=12&amp;end_day=31&amp;end_year=2014","Starše")</f>
        <v>Starše</v>
      </c>
      <c r="G4028" s="28" t="str">
        <f>HYPERLINK("http://api.nsgreg.nga.mil/geo-division/GENC/6/ed3/SI-115","as:GENC:6:ed3:SI-115")</f>
        <v>as:GENC:6:ed3:SI-115</v>
      </c>
    </row>
    <row r="4029" spans="1:7" x14ac:dyDescent="0.2">
      <c r="A4029" s="85"/>
      <c r="B4029" s="25" t="s">
        <v>9609</v>
      </c>
      <c r="C4029" s="25" t="s">
        <v>9610</v>
      </c>
      <c r="D4029" s="25" t="s">
        <v>3162</v>
      </c>
      <c r="E4029" s="26" t="b">
        <v>1</v>
      </c>
      <c r="F4029" s="27" t="str">
        <f>HYPERLINK("http://nsgreg.nga.mil/genc/view?v=121954&amp;gencs=T&amp;end_month=12&amp;end_day=31&amp;end_year=2014","Štore")</f>
        <v>Štore</v>
      </c>
      <c r="G4029" s="28" t="str">
        <f>HYPERLINK("http://api.nsgreg.nga.mil/geo-division/GENC/6/ed3/SI-127","as:GENC:6:ed3:SI-127")</f>
        <v>as:GENC:6:ed3:SI-127</v>
      </c>
    </row>
    <row r="4030" spans="1:7" x14ac:dyDescent="0.2">
      <c r="A4030" s="85"/>
      <c r="B4030" s="25" t="s">
        <v>9513</v>
      </c>
      <c r="C4030" s="25" t="s">
        <v>9514</v>
      </c>
      <c r="D4030" s="25" t="s">
        <v>3162</v>
      </c>
      <c r="E4030" s="26" t="b">
        <v>1</v>
      </c>
      <c r="F4030" s="27" t="str">
        <f>HYPERLINK("http://nsgreg.nga.mil/genc/view?v=122029&amp;gencs=T&amp;end_month=12&amp;end_day=31&amp;end_year=2014","Straža")</f>
        <v>Straža</v>
      </c>
      <c r="G4030" s="28" t="str">
        <f>HYPERLINK("http://api.nsgreg.nga.mil/geo-division/GENC/6/ed3/SI-203","as:GENC:6:ed3:SI-203")</f>
        <v>as:GENC:6:ed3:SI-203</v>
      </c>
    </row>
    <row r="4031" spans="1:7" x14ac:dyDescent="0.2">
      <c r="A4031" s="85"/>
      <c r="B4031" s="25" t="s">
        <v>9515</v>
      </c>
      <c r="C4031" s="25" t="s">
        <v>9516</v>
      </c>
      <c r="D4031" s="25" t="s">
        <v>3162</v>
      </c>
      <c r="E4031" s="26" t="b">
        <v>1</v>
      </c>
      <c r="F4031" s="27" t="str">
        <f>HYPERLINK("http://nsgreg.nga.mil/genc/view?v=122007&amp;gencs=T&amp;end_month=12&amp;end_day=31&amp;end_year=2014","Sveta Ana")</f>
        <v>Sveta Ana</v>
      </c>
      <c r="G4031" s="28" t="str">
        <f>HYPERLINK("http://api.nsgreg.nga.mil/geo-division/GENC/6/ed3/SI-181","as:GENC:6:ed3:SI-181")</f>
        <v>as:GENC:6:ed3:SI-181</v>
      </c>
    </row>
    <row r="4032" spans="1:7" x14ac:dyDescent="0.2">
      <c r="A4032" s="85"/>
      <c r="B4032" s="25" t="s">
        <v>9517</v>
      </c>
      <c r="C4032" s="25" t="s">
        <v>9518</v>
      </c>
      <c r="D4032" s="25" t="s">
        <v>3162</v>
      </c>
      <c r="E4032" s="26" t="b">
        <v>1</v>
      </c>
      <c r="F4032" s="27" t="str">
        <f>HYPERLINK("http://nsgreg.nga.mil/genc/view?v=122030&amp;gencs=T&amp;end_month=12&amp;end_day=31&amp;end_year=2014","Sveta Trojica v Slovenskih Goricah")</f>
        <v>Sveta Trojica v Slovenskih Goricah</v>
      </c>
      <c r="G4032" s="28" t="str">
        <f>HYPERLINK("http://api.nsgreg.nga.mil/geo-division/GENC/6/ed3/SI-204","as:GENC:6:ed3:SI-204")</f>
        <v>as:GENC:6:ed3:SI-204</v>
      </c>
    </row>
    <row r="4033" spans="1:7" x14ac:dyDescent="0.2">
      <c r="A4033" s="85"/>
      <c r="B4033" s="25" t="s">
        <v>9519</v>
      </c>
      <c r="C4033" s="25" t="s">
        <v>9520</v>
      </c>
      <c r="D4033" s="25" t="s">
        <v>3162</v>
      </c>
      <c r="E4033" s="26" t="b">
        <v>1</v>
      </c>
      <c r="F4033" s="27" t="str">
        <f>HYPERLINK("http://nsgreg.nga.mil/genc/view?v=122008&amp;gencs=T&amp;end_month=12&amp;end_day=31&amp;end_year=2014","Sveti Andraž v Slovenskih Goricah")</f>
        <v>Sveti Andraž v Slovenskih Goricah</v>
      </c>
      <c r="G4033" s="28" t="str">
        <f>HYPERLINK("http://api.nsgreg.nga.mil/geo-division/GENC/6/ed3/SI-182","as:GENC:6:ed3:SI-182")</f>
        <v>as:GENC:6:ed3:SI-182</v>
      </c>
    </row>
    <row r="4034" spans="1:7" x14ac:dyDescent="0.2">
      <c r="A4034" s="85"/>
      <c r="B4034" s="25" t="s">
        <v>9521</v>
      </c>
      <c r="C4034" s="25" t="s">
        <v>13651</v>
      </c>
      <c r="D4034" s="25" t="s">
        <v>3162</v>
      </c>
      <c r="E4034" s="26" t="b">
        <v>1</v>
      </c>
      <c r="F4034" s="27" t="str">
        <f>HYPERLINK("http://nsgreg.nga.mil/genc/view?v=213480&amp;end_month=12&amp;end_day=31&amp;end_year=2014","Sveti Jurij ob Ščavnici")</f>
        <v>Sveti Jurij ob Ščavnici</v>
      </c>
      <c r="G4034" s="28" t="str">
        <f>HYPERLINK("http://api.nsgreg.nga.mil/geo-division/GENC/6/ed3/SI-116","as:GENC:6:ed3:SI-116")</f>
        <v>as:GENC:6:ed3:SI-116</v>
      </c>
    </row>
    <row r="4035" spans="1:7" x14ac:dyDescent="0.2">
      <c r="A4035" s="85"/>
      <c r="B4035" s="25" t="s">
        <v>9523</v>
      </c>
      <c r="C4035" s="25" t="s">
        <v>9524</v>
      </c>
      <c r="D4035" s="25" t="s">
        <v>3162</v>
      </c>
      <c r="E4035" s="26" t="b">
        <v>1</v>
      </c>
      <c r="F4035" s="27" t="str">
        <f>HYPERLINK("http://nsgreg.nga.mil/genc/view?v=122036&amp;gencs=T&amp;end_month=12&amp;end_day=31&amp;end_year=2014","Sveti Jurij v Slovenskih Goricah")</f>
        <v>Sveti Jurij v Slovenskih Goricah</v>
      </c>
      <c r="G4035" s="28" t="str">
        <f>HYPERLINK("http://api.nsgreg.nga.mil/geo-division/GENC/6/ed3/SI-210","as:GENC:6:ed3:SI-210")</f>
        <v>as:GENC:6:ed3:SI-210</v>
      </c>
    </row>
    <row r="4036" spans="1:7" x14ac:dyDescent="0.2">
      <c r="A4036" s="85"/>
      <c r="B4036" s="25" t="s">
        <v>9525</v>
      </c>
      <c r="C4036" s="25" t="s">
        <v>9526</v>
      </c>
      <c r="D4036" s="25" t="s">
        <v>3162</v>
      </c>
      <c r="E4036" s="26" t="b">
        <v>1</v>
      </c>
      <c r="F4036" s="27" t="str">
        <f>HYPERLINK("http://nsgreg.nga.mil/genc/view?v=122031&amp;gencs=T&amp;end_month=12&amp;end_day=31&amp;end_year=2014","Sveti Tomaž")</f>
        <v>Sveti Tomaž</v>
      </c>
      <c r="G4036" s="28" t="str">
        <f>HYPERLINK("http://api.nsgreg.nga.mil/geo-division/GENC/6/ed3/SI-205","as:GENC:6:ed3:SI-205")</f>
        <v>as:GENC:6:ed3:SI-205</v>
      </c>
    </row>
    <row r="4037" spans="1:7" x14ac:dyDescent="0.2">
      <c r="A4037" s="85"/>
      <c r="B4037" s="25" t="s">
        <v>9527</v>
      </c>
      <c r="C4037" s="25" t="s">
        <v>9528</v>
      </c>
      <c r="D4037" s="25" t="s">
        <v>3162</v>
      </c>
      <c r="E4037" s="26" t="b">
        <v>1</v>
      </c>
      <c r="F4037" s="27" t="str">
        <f>HYPERLINK("http://nsgreg.nga.mil/genc/view?v=122010&amp;gencs=T&amp;end_month=12&amp;end_day=31&amp;end_year=2014","Tabor")</f>
        <v>Tabor</v>
      </c>
      <c r="G4037" s="28" t="str">
        <f>HYPERLINK("http://api.nsgreg.nga.mil/geo-division/GENC/6/ed3/SI-184","as:GENC:6:ed3:SI-184")</f>
        <v>as:GENC:6:ed3:SI-184</v>
      </c>
    </row>
    <row r="4038" spans="1:7" x14ac:dyDescent="0.2">
      <c r="A4038" s="85"/>
      <c r="B4038" s="25" t="s">
        <v>9529</v>
      </c>
      <c r="C4038" s="25" t="s">
        <v>9530</v>
      </c>
      <c r="D4038" s="25" t="s">
        <v>3162</v>
      </c>
      <c r="E4038" s="26" t="b">
        <v>1</v>
      </c>
      <c r="F4038" s="27" t="str">
        <f>HYPERLINK("http://nsgreg.nga.mil/genc/view?v=121837&amp;gencs=T&amp;end_month=12&amp;end_day=31&amp;end_year=2014","Tišina")</f>
        <v>Tišina</v>
      </c>
      <c r="G4038" s="28" t="str">
        <f>HYPERLINK("http://api.nsgreg.nga.mil/geo-division/GENC/6/ed3/SI-010","as:GENC:6:ed3:SI-010")</f>
        <v>as:GENC:6:ed3:SI-010</v>
      </c>
    </row>
    <row r="4039" spans="1:7" x14ac:dyDescent="0.2">
      <c r="A4039" s="85"/>
      <c r="B4039" s="25" t="s">
        <v>9531</v>
      </c>
      <c r="C4039" s="25" t="s">
        <v>9532</v>
      </c>
      <c r="D4039" s="25" t="s">
        <v>3162</v>
      </c>
      <c r="E4039" s="26" t="b">
        <v>1</v>
      </c>
      <c r="F4039" s="27" t="str">
        <f>HYPERLINK("http://nsgreg.nga.mil/genc/view?v=121955&amp;gencs=T&amp;end_month=12&amp;end_day=31&amp;end_year=2014","Tolmin")</f>
        <v>Tolmin</v>
      </c>
      <c r="G4039" s="28" t="str">
        <f>HYPERLINK("http://api.nsgreg.nga.mil/geo-division/GENC/6/ed3/SI-128","as:GENC:6:ed3:SI-128")</f>
        <v>as:GENC:6:ed3:SI-128</v>
      </c>
    </row>
    <row r="4040" spans="1:7" x14ac:dyDescent="0.2">
      <c r="A4040" s="85"/>
      <c r="B4040" s="25" t="s">
        <v>9533</v>
      </c>
      <c r="C4040" s="25" t="s">
        <v>9534</v>
      </c>
      <c r="D4040" s="25" t="s">
        <v>3162</v>
      </c>
      <c r="E4040" s="26" t="b">
        <v>1</v>
      </c>
      <c r="F4040" s="27" t="str">
        <f>HYPERLINK("http://nsgreg.nga.mil/genc/view?v=121956&amp;gencs=T&amp;end_month=12&amp;end_day=31&amp;end_year=2014","Trbovlje")</f>
        <v>Trbovlje</v>
      </c>
      <c r="G4040" s="28" t="str">
        <f>HYPERLINK("http://api.nsgreg.nga.mil/geo-division/GENC/6/ed3/SI-129","as:GENC:6:ed3:SI-129")</f>
        <v>as:GENC:6:ed3:SI-129</v>
      </c>
    </row>
    <row r="4041" spans="1:7" x14ac:dyDescent="0.2">
      <c r="A4041" s="85"/>
      <c r="B4041" s="25" t="s">
        <v>9535</v>
      </c>
      <c r="C4041" s="25" t="s">
        <v>9536</v>
      </c>
      <c r="D4041" s="25" t="s">
        <v>3162</v>
      </c>
      <c r="E4041" s="26" t="b">
        <v>1</v>
      </c>
      <c r="F4041" s="27" t="str">
        <f>HYPERLINK("http://nsgreg.nga.mil/genc/view?v=121957&amp;gencs=T&amp;end_month=12&amp;end_day=31&amp;end_year=2014","Trebnje")</f>
        <v>Trebnje</v>
      </c>
      <c r="G4041" s="28" t="str">
        <f>HYPERLINK("http://api.nsgreg.nga.mil/geo-division/GENC/6/ed3/SI-130","as:GENC:6:ed3:SI-130")</f>
        <v>as:GENC:6:ed3:SI-130</v>
      </c>
    </row>
    <row r="4042" spans="1:7" x14ac:dyDescent="0.2">
      <c r="A4042" s="85"/>
      <c r="B4042" s="25" t="s">
        <v>9537</v>
      </c>
      <c r="C4042" s="25" t="s">
        <v>9538</v>
      </c>
      <c r="D4042" s="25" t="s">
        <v>3162</v>
      </c>
      <c r="E4042" s="26" t="b">
        <v>1</v>
      </c>
      <c r="F4042" s="27" t="str">
        <f>HYPERLINK("http://nsgreg.nga.mil/genc/view?v=122011&amp;gencs=T&amp;end_month=12&amp;end_day=31&amp;end_year=2014","Trnovska Vas")</f>
        <v>Trnovska Vas</v>
      </c>
      <c r="G4042" s="28" t="str">
        <f>HYPERLINK("http://api.nsgreg.nga.mil/geo-division/GENC/6/ed3/SI-185","as:GENC:6:ed3:SI-185")</f>
        <v>as:GENC:6:ed3:SI-185</v>
      </c>
    </row>
    <row r="4043" spans="1:7" x14ac:dyDescent="0.2">
      <c r="A4043" s="85"/>
      <c r="B4043" s="25" t="s">
        <v>9541</v>
      </c>
      <c r="C4043" s="25" t="s">
        <v>9542</v>
      </c>
      <c r="D4043" s="25" t="s">
        <v>3162</v>
      </c>
      <c r="E4043" s="26" t="b">
        <v>1</v>
      </c>
      <c r="F4043" s="27" t="str">
        <f>HYPERLINK("http://nsgreg.nga.mil/genc/view?v=121958&amp;gencs=T&amp;end_month=12&amp;end_day=31&amp;end_year=2014","Tržič")</f>
        <v>Tržič</v>
      </c>
      <c r="G4043" s="28" t="str">
        <f>HYPERLINK("http://api.nsgreg.nga.mil/geo-division/GENC/6/ed3/SI-131","as:GENC:6:ed3:SI-131")</f>
        <v>as:GENC:6:ed3:SI-131</v>
      </c>
    </row>
    <row r="4044" spans="1:7" x14ac:dyDescent="0.2">
      <c r="A4044" s="85"/>
      <c r="B4044" s="25" t="s">
        <v>9539</v>
      </c>
      <c r="C4044" s="25" t="s">
        <v>9540</v>
      </c>
      <c r="D4044" s="25" t="s">
        <v>3162</v>
      </c>
      <c r="E4044" s="26" t="b">
        <v>1</v>
      </c>
      <c r="F4044" s="27" t="str">
        <f>HYPERLINK("http://nsgreg.nga.mil/genc/view?v=122012&amp;gencs=T&amp;end_month=12&amp;end_day=31&amp;end_year=2014","Trzin")</f>
        <v>Trzin</v>
      </c>
      <c r="G4044" s="28" t="str">
        <f>HYPERLINK("http://api.nsgreg.nga.mil/geo-division/GENC/6/ed3/SI-186","as:GENC:6:ed3:SI-186")</f>
        <v>as:GENC:6:ed3:SI-186</v>
      </c>
    </row>
    <row r="4045" spans="1:7" x14ac:dyDescent="0.2">
      <c r="A4045" s="85"/>
      <c r="B4045" s="25" t="s">
        <v>9543</v>
      </c>
      <c r="C4045" s="25" t="s">
        <v>9544</v>
      </c>
      <c r="D4045" s="25" t="s">
        <v>3162</v>
      </c>
      <c r="E4045" s="26" t="b">
        <v>1</v>
      </c>
      <c r="F4045" s="27" t="str">
        <f>HYPERLINK("http://nsgreg.nga.mil/genc/view?v=121959&amp;gencs=T&amp;end_month=12&amp;end_day=31&amp;end_year=2014","Turnišče")</f>
        <v>Turnišče</v>
      </c>
      <c r="G4045" s="28" t="str">
        <f>HYPERLINK("http://api.nsgreg.nga.mil/geo-division/GENC/6/ed3/SI-132","as:GENC:6:ed3:SI-132")</f>
        <v>as:GENC:6:ed3:SI-132</v>
      </c>
    </row>
    <row r="4046" spans="1:7" x14ac:dyDescent="0.2">
      <c r="A4046" s="85"/>
      <c r="B4046" s="25" t="s">
        <v>9545</v>
      </c>
      <c r="C4046" s="25" t="s">
        <v>9546</v>
      </c>
      <c r="D4046" s="25" t="s">
        <v>13645</v>
      </c>
      <c r="E4046" s="26" t="b">
        <v>1</v>
      </c>
      <c r="F4046" s="27" t="str">
        <f>HYPERLINK("http://nsgreg.nga.mil/genc/view?v=213481&amp;end_month=12&amp;end_day=31&amp;end_year=2014","Velenje")</f>
        <v>Velenje</v>
      </c>
      <c r="G4046" s="28" t="str">
        <f>HYPERLINK("http://api.nsgreg.nga.mil/geo-division/GENC/6/ed3/SI-133","as:GENC:6:ed3:SI-133")</f>
        <v>as:GENC:6:ed3:SI-133</v>
      </c>
    </row>
    <row r="4047" spans="1:7" x14ac:dyDescent="0.2">
      <c r="A4047" s="85"/>
      <c r="B4047" s="25" t="s">
        <v>9547</v>
      </c>
      <c r="C4047" s="25" t="s">
        <v>9548</v>
      </c>
      <c r="D4047" s="25" t="s">
        <v>3162</v>
      </c>
      <c r="E4047" s="26" t="b">
        <v>1</v>
      </c>
      <c r="F4047" s="27" t="str">
        <f>HYPERLINK("http://nsgreg.nga.mil/genc/view?v=122013&amp;gencs=T&amp;end_month=12&amp;end_day=31&amp;end_year=2014","Velika Polana")</f>
        <v>Velika Polana</v>
      </c>
      <c r="G4047" s="28" t="str">
        <f>HYPERLINK("http://api.nsgreg.nga.mil/geo-division/GENC/6/ed3/SI-187","as:GENC:6:ed3:SI-187")</f>
        <v>as:GENC:6:ed3:SI-187</v>
      </c>
    </row>
    <row r="4048" spans="1:7" x14ac:dyDescent="0.2">
      <c r="A4048" s="85"/>
      <c r="B4048" s="25" t="s">
        <v>9549</v>
      </c>
      <c r="C4048" s="25" t="s">
        <v>9550</v>
      </c>
      <c r="D4048" s="25" t="s">
        <v>3162</v>
      </c>
      <c r="E4048" s="26" t="b">
        <v>1</v>
      </c>
      <c r="F4048" s="27" t="str">
        <f>HYPERLINK("http://nsgreg.nga.mil/genc/view?v=121961&amp;gencs=T&amp;end_month=12&amp;end_day=31&amp;end_year=2014","Velike Lašče")</f>
        <v>Velike Lašče</v>
      </c>
      <c r="G4048" s="28" t="str">
        <f>HYPERLINK("http://api.nsgreg.nga.mil/geo-division/GENC/6/ed3/SI-134","as:GENC:6:ed3:SI-134")</f>
        <v>as:GENC:6:ed3:SI-134</v>
      </c>
    </row>
    <row r="4049" spans="1:7" x14ac:dyDescent="0.2">
      <c r="A4049" s="85"/>
      <c r="B4049" s="25" t="s">
        <v>9551</v>
      </c>
      <c r="C4049" s="25" t="s">
        <v>9552</v>
      </c>
      <c r="D4049" s="25" t="s">
        <v>3162</v>
      </c>
      <c r="E4049" s="26" t="b">
        <v>1</v>
      </c>
      <c r="F4049" s="27" t="str">
        <f>HYPERLINK("http://nsgreg.nga.mil/genc/view?v=122014&amp;gencs=T&amp;end_month=12&amp;end_day=31&amp;end_year=2014","Veržej")</f>
        <v>Veržej</v>
      </c>
      <c r="G4049" s="28" t="str">
        <f>HYPERLINK("http://api.nsgreg.nga.mil/geo-division/GENC/6/ed3/SI-188","as:GENC:6:ed3:SI-188")</f>
        <v>as:GENC:6:ed3:SI-188</v>
      </c>
    </row>
    <row r="4050" spans="1:7" x14ac:dyDescent="0.2">
      <c r="A4050" s="85"/>
      <c r="B4050" s="25" t="s">
        <v>9553</v>
      </c>
      <c r="C4050" s="25" t="s">
        <v>9554</v>
      </c>
      <c r="D4050" s="25" t="s">
        <v>3162</v>
      </c>
      <c r="E4050" s="26" t="b">
        <v>1</v>
      </c>
      <c r="F4050" s="27" t="str">
        <f>HYPERLINK("http://nsgreg.nga.mil/genc/view?v=121962&amp;gencs=T&amp;end_month=12&amp;end_day=31&amp;end_year=2014","Videm")</f>
        <v>Videm</v>
      </c>
      <c r="G4050" s="28" t="str">
        <f>HYPERLINK("http://api.nsgreg.nga.mil/geo-division/GENC/6/ed3/SI-135","as:GENC:6:ed3:SI-135")</f>
        <v>as:GENC:6:ed3:SI-135</v>
      </c>
    </row>
    <row r="4051" spans="1:7" x14ac:dyDescent="0.2">
      <c r="A4051" s="85"/>
      <c r="B4051" s="25" t="s">
        <v>9555</v>
      </c>
      <c r="C4051" s="25" t="s">
        <v>9556</v>
      </c>
      <c r="D4051" s="25" t="s">
        <v>3162</v>
      </c>
      <c r="E4051" s="26" t="b">
        <v>1</v>
      </c>
      <c r="F4051" s="27" t="str">
        <f>HYPERLINK("http://nsgreg.nga.mil/genc/view?v=121963&amp;gencs=T&amp;end_month=12&amp;end_day=31&amp;end_year=2014","Vipava")</f>
        <v>Vipava</v>
      </c>
      <c r="G4051" s="28" t="str">
        <f>HYPERLINK("http://api.nsgreg.nga.mil/geo-division/GENC/6/ed3/SI-136","as:GENC:6:ed3:SI-136")</f>
        <v>as:GENC:6:ed3:SI-136</v>
      </c>
    </row>
    <row r="4052" spans="1:7" x14ac:dyDescent="0.2">
      <c r="A4052" s="85"/>
      <c r="B4052" s="25" t="s">
        <v>9557</v>
      </c>
      <c r="C4052" s="25" t="s">
        <v>9558</v>
      </c>
      <c r="D4052" s="25" t="s">
        <v>3162</v>
      </c>
      <c r="E4052" s="26" t="b">
        <v>1</v>
      </c>
      <c r="F4052" s="27" t="str">
        <f>HYPERLINK("http://nsgreg.nga.mil/genc/view?v=121964&amp;gencs=T&amp;end_month=12&amp;end_day=31&amp;end_year=2014","Vitanje")</f>
        <v>Vitanje</v>
      </c>
      <c r="G4052" s="28" t="str">
        <f>HYPERLINK("http://api.nsgreg.nga.mil/geo-division/GENC/6/ed3/SI-137","as:GENC:6:ed3:SI-137")</f>
        <v>as:GENC:6:ed3:SI-137</v>
      </c>
    </row>
    <row r="4053" spans="1:7" x14ac:dyDescent="0.2">
      <c r="A4053" s="85"/>
      <c r="B4053" s="25" t="s">
        <v>9559</v>
      </c>
      <c r="C4053" s="25" t="s">
        <v>9560</v>
      </c>
      <c r="D4053" s="25" t="s">
        <v>3162</v>
      </c>
      <c r="E4053" s="26" t="b">
        <v>1</v>
      </c>
      <c r="F4053" s="27" t="str">
        <f>HYPERLINK("http://nsgreg.nga.mil/genc/view?v=121965&amp;gencs=T&amp;end_month=12&amp;end_day=31&amp;end_year=2014","Vodice")</f>
        <v>Vodice</v>
      </c>
      <c r="G4053" s="28" t="str">
        <f>HYPERLINK("http://api.nsgreg.nga.mil/geo-division/GENC/6/ed3/SI-138","as:GENC:6:ed3:SI-138")</f>
        <v>as:GENC:6:ed3:SI-138</v>
      </c>
    </row>
    <row r="4054" spans="1:7" x14ac:dyDescent="0.2">
      <c r="A4054" s="85"/>
      <c r="B4054" s="25" t="s">
        <v>9561</v>
      </c>
      <c r="C4054" s="25" t="s">
        <v>9562</v>
      </c>
      <c r="D4054" s="25" t="s">
        <v>3162</v>
      </c>
      <c r="E4054" s="26" t="b">
        <v>1</v>
      </c>
      <c r="F4054" s="27" t="str">
        <f>HYPERLINK("http://nsgreg.nga.mil/genc/view?v=121966&amp;gencs=T&amp;end_month=12&amp;end_day=31&amp;end_year=2014","Vojnik")</f>
        <v>Vojnik</v>
      </c>
      <c r="G4054" s="28" t="str">
        <f>HYPERLINK("http://api.nsgreg.nga.mil/geo-division/GENC/6/ed3/SI-139","as:GENC:6:ed3:SI-139")</f>
        <v>as:GENC:6:ed3:SI-139</v>
      </c>
    </row>
    <row r="4055" spans="1:7" x14ac:dyDescent="0.2">
      <c r="A4055" s="85"/>
      <c r="B4055" s="25" t="s">
        <v>9563</v>
      </c>
      <c r="C4055" s="25" t="s">
        <v>9564</v>
      </c>
      <c r="D4055" s="25" t="s">
        <v>3162</v>
      </c>
      <c r="E4055" s="26" t="b">
        <v>1</v>
      </c>
      <c r="F4055" s="27" t="str">
        <f>HYPERLINK("http://nsgreg.nga.mil/genc/view?v=122015&amp;gencs=T&amp;end_month=12&amp;end_day=31&amp;end_year=2014","Vransko")</f>
        <v>Vransko</v>
      </c>
      <c r="G4055" s="28" t="str">
        <f>HYPERLINK("http://api.nsgreg.nga.mil/geo-division/GENC/6/ed3/SI-189","as:GENC:6:ed3:SI-189")</f>
        <v>as:GENC:6:ed3:SI-189</v>
      </c>
    </row>
    <row r="4056" spans="1:7" x14ac:dyDescent="0.2">
      <c r="A4056" s="85"/>
      <c r="B4056" s="25" t="s">
        <v>9565</v>
      </c>
      <c r="C4056" s="25" t="s">
        <v>9566</v>
      </c>
      <c r="D4056" s="25" t="s">
        <v>3162</v>
      </c>
      <c r="E4056" s="26" t="b">
        <v>1</v>
      </c>
      <c r="F4056" s="27" t="str">
        <f>HYPERLINK("http://nsgreg.nga.mil/genc/view?v=121967&amp;gencs=T&amp;end_month=12&amp;end_day=31&amp;end_year=2014","Vrhnika")</f>
        <v>Vrhnika</v>
      </c>
      <c r="G4056" s="28" t="str">
        <f>HYPERLINK("http://api.nsgreg.nga.mil/geo-division/GENC/6/ed3/SI-140","as:GENC:6:ed3:SI-140")</f>
        <v>as:GENC:6:ed3:SI-140</v>
      </c>
    </row>
    <row r="4057" spans="1:7" x14ac:dyDescent="0.2">
      <c r="A4057" s="85"/>
      <c r="B4057" s="25" t="s">
        <v>9567</v>
      </c>
      <c r="C4057" s="25" t="s">
        <v>9568</v>
      </c>
      <c r="D4057" s="25" t="s">
        <v>3162</v>
      </c>
      <c r="E4057" s="26" t="b">
        <v>1</v>
      </c>
      <c r="F4057" s="27" t="str">
        <f>HYPERLINK("http://nsgreg.nga.mil/genc/view?v=121968&amp;gencs=T&amp;end_month=12&amp;end_day=31&amp;end_year=2014","Vuzenica")</f>
        <v>Vuzenica</v>
      </c>
      <c r="G4057" s="28" t="str">
        <f>HYPERLINK("http://api.nsgreg.nga.mil/geo-division/GENC/6/ed3/SI-141","as:GENC:6:ed3:SI-141")</f>
        <v>as:GENC:6:ed3:SI-141</v>
      </c>
    </row>
    <row r="4058" spans="1:7" x14ac:dyDescent="0.2">
      <c r="A4058" s="85"/>
      <c r="B4058" s="25" t="s">
        <v>9569</v>
      </c>
      <c r="C4058" s="25" t="s">
        <v>9570</v>
      </c>
      <c r="D4058" s="25" t="s">
        <v>3162</v>
      </c>
      <c r="E4058" s="26" t="b">
        <v>1</v>
      </c>
      <c r="F4058" s="27" t="str">
        <f>HYPERLINK("http://nsgreg.nga.mil/genc/view?v=121969&amp;gencs=T&amp;end_month=12&amp;end_day=31&amp;end_year=2014","Zagorje ob Savi")</f>
        <v>Zagorje ob Savi</v>
      </c>
      <c r="G4058" s="28" t="str">
        <f>HYPERLINK("http://api.nsgreg.nga.mil/geo-division/GENC/6/ed3/SI-142","as:GENC:6:ed3:SI-142")</f>
        <v>as:GENC:6:ed3:SI-142</v>
      </c>
    </row>
    <row r="4059" spans="1:7" x14ac:dyDescent="0.2">
      <c r="A4059" s="85"/>
      <c r="B4059" s="25" t="s">
        <v>9611</v>
      </c>
      <c r="C4059" s="25" t="s">
        <v>9612</v>
      </c>
      <c r="D4059" s="25" t="s">
        <v>3162</v>
      </c>
      <c r="E4059" s="26" t="b">
        <v>1</v>
      </c>
      <c r="F4059" s="27" t="str">
        <f>HYPERLINK("http://nsgreg.nga.mil/genc/view?v=122016&amp;gencs=T&amp;end_month=12&amp;end_day=31&amp;end_year=2014","Žalec")</f>
        <v>Žalec</v>
      </c>
      <c r="G4059" s="28" t="str">
        <f>HYPERLINK("http://api.nsgreg.nga.mil/geo-division/GENC/6/ed3/SI-190","as:GENC:6:ed3:SI-190")</f>
        <v>as:GENC:6:ed3:SI-190</v>
      </c>
    </row>
    <row r="4060" spans="1:7" x14ac:dyDescent="0.2">
      <c r="A4060" s="85"/>
      <c r="B4060" s="25" t="s">
        <v>9571</v>
      </c>
      <c r="C4060" s="25" t="s">
        <v>9572</v>
      </c>
      <c r="D4060" s="25" t="s">
        <v>3162</v>
      </c>
      <c r="E4060" s="26" t="b">
        <v>1</v>
      </c>
      <c r="F4060" s="27" t="str">
        <f>HYPERLINK("http://nsgreg.nga.mil/genc/view?v=121970&amp;gencs=T&amp;end_month=12&amp;end_day=31&amp;end_year=2014","Zavrč")</f>
        <v>Zavrč</v>
      </c>
      <c r="G4060" s="28" t="str">
        <f>HYPERLINK("http://api.nsgreg.nga.mil/geo-division/GENC/6/ed3/SI-143","as:GENC:6:ed3:SI-143")</f>
        <v>as:GENC:6:ed3:SI-143</v>
      </c>
    </row>
    <row r="4061" spans="1:7" x14ac:dyDescent="0.2">
      <c r="A4061" s="85"/>
      <c r="B4061" s="25" t="s">
        <v>9613</v>
      </c>
      <c r="C4061" s="25" t="s">
        <v>9614</v>
      </c>
      <c r="D4061" s="25" t="s">
        <v>3162</v>
      </c>
      <c r="E4061" s="26" t="b">
        <v>1</v>
      </c>
      <c r="F4061" s="27" t="str">
        <f>HYPERLINK("http://nsgreg.nga.mil/genc/view?v=121972&amp;gencs=T&amp;end_month=12&amp;end_day=31&amp;end_year=2014","Železniki")</f>
        <v>Železniki</v>
      </c>
      <c r="G4061" s="28" t="str">
        <f>HYPERLINK("http://api.nsgreg.nga.mil/geo-division/GENC/6/ed3/SI-146","as:GENC:6:ed3:SI-146")</f>
        <v>as:GENC:6:ed3:SI-146</v>
      </c>
    </row>
    <row r="4062" spans="1:7" x14ac:dyDescent="0.2">
      <c r="A4062" s="85"/>
      <c r="B4062" s="25" t="s">
        <v>9615</v>
      </c>
      <c r="C4062" s="25" t="s">
        <v>9616</v>
      </c>
      <c r="D4062" s="25" t="s">
        <v>3162</v>
      </c>
      <c r="E4062" s="26" t="b">
        <v>1</v>
      </c>
      <c r="F4062" s="27" t="str">
        <f>HYPERLINK("http://nsgreg.nga.mil/genc/view?v=122017&amp;gencs=T&amp;end_month=12&amp;end_day=31&amp;end_year=2014","Žetale")</f>
        <v>Žetale</v>
      </c>
      <c r="G4062" s="28" t="str">
        <f>HYPERLINK("http://api.nsgreg.nga.mil/geo-division/GENC/6/ed3/SI-191","as:GENC:6:ed3:SI-191")</f>
        <v>as:GENC:6:ed3:SI-191</v>
      </c>
    </row>
    <row r="4063" spans="1:7" x14ac:dyDescent="0.2">
      <c r="A4063" s="85"/>
      <c r="B4063" s="25" t="s">
        <v>9617</v>
      </c>
      <c r="C4063" s="25" t="s">
        <v>9618</v>
      </c>
      <c r="D4063" s="25" t="s">
        <v>3162</v>
      </c>
      <c r="E4063" s="26" t="b">
        <v>1</v>
      </c>
      <c r="F4063" s="27" t="str">
        <f>HYPERLINK("http://nsgreg.nga.mil/genc/view?v=121973&amp;gencs=T&amp;end_month=12&amp;end_day=31&amp;end_year=2014","Žiri")</f>
        <v>Žiri</v>
      </c>
      <c r="G4063" s="28" t="str">
        <f>HYPERLINK("http://api.nsgreg.nga.mil/geo-division/GENC/6/ed3/SI-147","as:GENC:6:ed3:SI-147")</f>
        <v>as:GENC:6:ed3:SI-147</v>
      </c>
    </row>
    <row r="4064" spans="1:7" x14ac:dyDescent="0.2">
      <c r="A4064" s="85"/>
      <c r="B4064" s="25" t="s">
        <v>9619</v>
      </c>
      <c r="C4064" s="25" t="s">
        <v>9620</v>
      </c>
      <c r="D4064" s="25" t="s">
        <v>3162</v>
      </c>
      <c r="E4064" s="26" t="b">
        <v>1</v>
      </c>
      <c r="F4064" s="27" t="str">
        <f>HYPERLINK("http://nsgreg.nga.mil/genc/view?v=122018&amp;gencs=T&amp;end_month=12&amp;end_day=31&amp;end_year=2014","Žirovnica")</f>
        <v>Žirovnica</v>
      </c>
      <c r="G4064" s="28" t="str">
        <f>HYPERLINK("http://api.nsgreg.nga.mil/geo-division/GENC/6/ed3/SI-192","as:GENC:6:ed3:SI-192")</f>
        <v>as:GENC:6:ed3:SI-192</v>
      </c>
    </row>
    <row r="4065" spans="1:7" x14ac:dyDescent="0.2">
      <c r="A4065" s="85"/>
      <c r="B4065" s="25" t="s">
        <v>9573</v>
      </c>
      <c r="C4065" s="25" t="s">
        <v>9574</v>
      </c>
      <c r="D4065" s="25" t="s">
        <v>3162</v>
      </c>
      <c r="E4065" s="26" t="b">
        <v>1</v>
      </c>
      <c r="F4065" s="27" t="str">
        <f>HYPERLINK("http://nsgreg.nga.mil/genc/view?v=121971&amp;gencs=T&amp;end_month=12&amp;end_day=31&amp;end_year=2014","Zreče")</f>
        <v>Zreče</v>
      </c>
      <c r="G4065" s="28" t="str">
        <f>HYPERLINK("http://api.nsgreg.nga.mil/geo-division/GENC/6/ed3/SI-144","as:GENC:6:ed3:SI-144")</f>
        <v>as:GENC:6:ed3:SI-144</v>
      </c>
    </row>
    <row r="4066" spans="1:7" x14ac:dyDescent="0.2">
      <c r="A4066" s="86"/>
      <c r="B4066" s="29" t="s">
        <v>9621</v>
      </c>
      <c r="C4066" s="29" t="s">
        <v>9622</v>
      </c>
      <c r="D4066" s="29" t="s">
        <v>3162</v>
      </c>
      <c r="E4066" s="30" t="b">
        <v>1</v>
      </c>
      <c r="F4066" s="31" t="str">
        <f>HYPERLINK("http://nsgreg.nga.mil/genc/view?v=122019&amp;gencs=T&amp;end_month=12&amp;end_day=31&amp;end_year=2014","Žužemberk")</f>
        <v>Žužemberk</v>
      </c>
      <c r="G4066" s="32" t="str">
        <f>HYPERLINK("http://api.nsgreg.nga.mil/geo-division/GENC/6/ed3/SI-193","as:GENC:6:ed3:SI-193")</f>
        <v>as:GENC:6:ed3:SI-193</v>
      </c>
    </row>
    <row r="4067" spans="1:7" x14ac:dyDescent="0.2">
      <c r="A4067" s="84" t="str">
        <f>HYPERLINK("[#]Codes_for_GE_Names!A233:I233","SOLOMON ISLANDS")</f>
        <v>SOLOMON ISLANDS</v>
      </c>
      <c r="B4067" s="33" t="s">
        <v>9625</v>
      </c>
      <c r="C4067" s="33" t="s">
        <v>2720</v>
      </c>
      <c r="D4067" s="33" t="s">
        <v>1719</v>
      </c>
      <c r="E4067" s="34" t="b">
        <v>1</v>
      </c>
      <c r="F4067" s="35" t="str">
        <f>HYPERLINK("http://nsgreg.nga.mil/genc/view?v=121747&amp;gencs=T&amp;end_month=12&amp;end_day=31&amp;end_year=2014","Central")</f>
        <v>Central</v>
      </c>
      <c r="G4067" s="36" t="str">
        <f>HYPERLINK("http://api.nsgreg.nga.mil/geo-division/GENC/6/ed3/SB-CE","as:GENC:6:ed3:SB-CE")</f>
        <v>as:GENC:6:ed3:SB-CE</v>
      </c>
    </row>
    <row r="4068" spans="1:7" x14ac:dyDescent="0.2">
      <c r="A4068" s="85"/>
      <c r="B4068" s="25" t="s">
        <v>9626</v>
      </c>
      <c r="C4068" s="25" t="s">
        <v>8907</v>
      </c>
      <c r="D4068" s="25" t="s">
        <v>1719</v>
      </c>
      <c r="E4068" s="26" t="b">
        <v>1</v>
      </c>
      <c r="F4068" s="27" t="str">
        <f>HYPERLINK("http://nsgreg.nga.mil/genc/view?v=121748&amp;gencs=T&amp;end_month=12&amp;end_day=31&amp;end_year=2014","Choiseul")</f>
        <v>Choiseul</v>
      </c>
      <c r="G4068" s="28" t="str">
        <f>HYPERLINK("http://api.nsgreg.nga.mil/geo-division/GENC/6/ed3/SB-CH","as:GENC:6:ed3:SB-CH")</f>
        <v>as:GENC:6:ed3:SB-CH</v>
      </c>
    </row>
    <row r="4069" spans="1:7" x14ac:dyDescent="0.2">
      <c r="A4069" s="85"/>
      <c r="B4069" s="25" t="s">
        <v>9627</v>
      </c>
      <c r="C4069" s="25" t="s">
        <v>9628</v>
      </c>
      <c r="D4069" s="25" t="s">
        <v>1719</v>
      </c>
      <c r="E4069" s="26" t="b">
        <v>1</v>
      </c>
      <c r="F4069" s="27" t="str">
        <f>HYPERLINK("http://nsgreg.nga.mil/genc/view?v=121750&amp;gencs=T&amp;end_month=12&amp;end_day=31&amp;end_year=2014","Guadalcanal")</f>
        <v>Guadalcanal</v>
      </c>
      <c r="G4069" s="28" t="str">
        <f>HYPERLINK("http://api.nsgreg.nga.mil/geo-division/GENC/6/ed3/SB-GU","as:GENC:6:ed3:SB-GU")</f>
        <v>as:GENC:6:ed3:SB-GU</v>
      </c>
    </row>
    <row r="4070" spans="1:7" x14ac:dyDescent="0.2">
      <c r="A4070" s="85"/>
      <c r="B4070" s="25" t="s">
        <v>9623</v>
      </c>
      <c r="C4070" s="25" t="s">
        <v>13652</v>
      </c>
      <c r="D4070" s="25" t="s">
        <v>2046</v>
      </c>
      <c r="E4070" s="26" t="b">
        <v>1</v>
      </c>
      <c r="F4070" s="27" t="str">
        <f>HYPERLINK("http://nsgreg.nga.mil/genc/view?v=213399&amp;end_month=12&amp;end_day=31&amp;end_year=2014","Honiara")</f>
        <v>Honiara</v>
      </c>
      <c r="G4070" s="28" t="str">
        <f>HYPERLINK("http://api.nsgreg.nga.mil/geo-division/GENC/6/ed3/SB-CT","as:GENC:6:ed3:SB-CT")</f>
        <v>as:GENC:6:ed3:SB-CT</v>
      </c>
    </row>
    <row r="4071" spans="1:7" x14ac:dyDescent="0.2">
      <c r="A4071" s="85"/>
      <c r="B4071" s="25" t="s">
        <v>9629</v>
      </c>
      <c r="C4071" s="25" t="s">
        <v>9630</v>
      </c>
      <c r="D4071" s="25" t="s">
        <v>1719</v>
      </c>
      <c r="E4071" s="26" t="b">
        <v>1</v>
      </c>
      <c r="F4071" s="27" t="str">
        <f>HYPERLINK("http://nsgreg.nga.mil/genc/view?v=121751&amp;gencs=T&amp;end_month=12&amp;end_day=31&amp;end_year=2014","Isabel")</f>
        <v>Isabel</v>
      </c>
      <c r="G4071" s="28" t="str">
        <f>HYPERLINK("http://api.nsgreg.nga.mil/geo-division/GENC/6/ed3/SB-IS","as:GENC:6:ed3:SB-IS")</f>
        <v>as:GENC:6:ed3:SB-IS</v>
      </c>
    </row>
    <row r="4072" spans="1:7" x14ac:dyDescent="0.2">
      <c r="A4072" s="85"/>
      <c r="B4072" s="25" t="s">
        <v>9631</v>
      </c>
      <c r="C4072" s="25" t="s">
        <v>13653</v>
      </c>
      <c r="D4072" s="25" t="s">
        <v>1719</v>
      </c>
      <c r="E4072" s="26" t="b">
        <v>1</v>
      </c>
      <c r="F4072" s="27" t="str">
        <f>HYPERLINK("http://nsgreg.nga.mil/genc/view?v=213400&amp;end_month=12&amp;end_day=31&amp;end_year=2014","Makira and Ulawa")</f>
        <v>Makira and Ulawa</v>
      </c>
      <c r="G4072" s="28" t="str">
        <f>HYPERLINK("http://api.nsgreg.nga.mil/geo-division/GENC/6/ed3/SB-MK","as:GENC:6:ed3:SB-MK")</f>
        <v>as:GENC:6:ed3:SB-MK</v>
      </c>
    </row>
    <row r="4073" spans="1:7" x14ac:dyDescent="0.2">
      <c r="A4073" s="85"/>
      <c r="B4073" s="25" t="s">
        <v>9633</v>
      </c>
      <c r="C4073" s="25" t="s">
        <v>9634</v>
      </c>
      <c r="D4073" s="25" t="s">
        <v>1719</v>
      </c>
      <c r="E4073" s="26" t="b">
        <v>1</v>
      </c>
      <c r="F4073" s="27" t="str">
        <f>HYPERLINK("http://nsgreg.nga.mil/genc/view?v=121753&amp;gencs=T&amp;end_month=12&amp;end_day=31&amp;end_year=2014","Malaita")</f>
        <v>Malaita</v>
      </c>
      <c r="G4073" s="28" t="str">
        <f>HYPERLINK("http://api.nsgreg.nga.mil/geo-division/GENC/6/ed3/SB-ML","as:GENC:6:ed3:SB-ML")</f>
        <v>as:GENC:6:ed3:SB-ML</v>
      </c>
    </row>
    <row r="4074" spans="1:7" x14ac:dyDescent="0.2">
      <c r="A4074" s="85"/>
      <c r="B4074" s="25" t="s">
        <v>9635</v>
      </c>
      <c r="C4074" s="25" t="s">
        <v>9636</v>
      </c>
      <c r="D4074" s="25" t="s">
        <v>1719</v>
      </c>
      <c r="E4074" s="26" t="b">
        <v>1</v>
      </c>
      <c r="F4074" s="27" t="str">
        <f>HYPERLINK("http://nsgreg.nga.mil/genc/view?v=121754&amp;gencs=T&amp;end_month=12&amp;end_day=31&amp;end_year=2014","Rennell and Bellona")</f>
        <v>Rennell and Bellona</v>
      </c>
      <c r="G4074" s="28" t="str">
        <f>HYPERLINK("http://api.nsgreg.nga.mil/geo-division/GENC/6/ed3/SB-RB","as:GENC:6:ed3:SB-RB")</f>
        <v>as:GENC:6:ed3:SB-RB</v>
      </c>
    </row>
    <row r="4075" spans="1:7" x14ac:dyDescent="0.2">
      <c r="A4075" s="85"/>
      <c r="B4075" s="25" t="s">
        <v>9637</v>
      </c>
      <c r="C4075" s="25" t="s">
        <v>9638</v>
      </c>
      <c r="D4075" s="25" t="s">
        <v>1719</v>
      </c>
      <c r="E4075" s="26" t="b">
        <v>1</v>
      </c>
      <c r="F4075" s="27" t="str">
        <f>HYPERLINK("http://nsgreg.nga.mil/genc/view?v=121755&amp;gencs=T&amp;end_month=12&amp;end_day=31&amp;end_year=2014","Temotu")</f>
        <v>Temotu</v>
      </c>
      <c r="G4075" s="28" t="str">
        <f>HYPERLINK("http://api.nsgreg.nga.mil/geo-division/GENC/6/ed3/SB-TE","as:GENC:6:ed3:SB-TE")</f>
        <v>as:GENC:6:ed3:SB-TE</v>
      </c>
    </row>
    <row r="4076" spans="1:7" x14ac:dyDescent="0.2">
      <c r="A4076" s="86"/>
      <c r="B4076" s="29" t="s">
        <v>9639</v>
      </c>
      <c r="C4076" s="29" t="s">
        <v>4197</v>
      </c>
      <c r="D4076" s="29" t="s">
        <v>1719</v>
      </c>
      <c r="E4076" s="30" t="b">
        <v>1</v>
      </c>
      <c r="F4076" s="31" t="str">
        <f>HYPERLINK("http://nsgreg.nga.mil/genc/view?v=121756&amp;gencs=T&amp;end_month=12&amp;end_day=31&amp;end_year=2014","Western")</f>
        <v>Western</v>
      </c>
      <c r="G4076" s="32" t="str">
        <f>HYPERLINK("http://api.nsgreg.nga.mil/geo-division/GENC/6/ed3/SB-WE","as:GENC:6:ed3:SB-WE")</f>
        <v>as:GENC:6:ed3:SB-WE</v>
      </c>
    </row>
    <row r="4077" spans="1:7" x14ac:dyDescent="0.2">
      <c r="A4077" s="84" t="str">
        <f>HYPERLINK("[#]Codes_for_GE_Names!A234:I234","SOMALIA")</f>
        <v>SOMALIA</v>
      </c>
      <c r="B4077" s="33" t="s">
        <v>9640</v>
      </c>
      <c r="C4077" s="33" t="s">
        <v>9641</v>
      </c>
      <c r="D4077" s="33" t="s">
        <v>2087</v>
      </c>
      <c r="E4077" s="34" t="b">
        <v>1</v>
      </c>
      <c r="F4077" s="35" t="str">
        <f>HYPERLINK("http://nsgreg.nga.mil/genc/view?v=213495&amp;end_month=12&amp;end_day=31&amp;end_year=2014","Awdal")</f>
        <v>Awdal</v>
      </c>
      <c r="G4077" s="36" t="str">
        <f>HYPERLINK("http://api.nsgreg.nga.mil/geo-division/GENC/6/ed3/SO-AW","as:GENC:6:ed3:SO-AW")</f>
        <v>as:GENC:6:ed3:SO-AW</v>
      </c>
    </row>
    <row r="4078" spans="1:7" x14ac:dyDescent="0.2">
      <c r="A4078" s="85"/>
      <c r="B4078" s="25" t="s">
        <v>9642</v>
      </c>
      <c r="C4078" s="25" t="s">
        <v>9643</v>
      </c>
      <c r="D4078" s="25" t="s">
        <v>2087</v>
      </c>
      <c r="E4078" s="26" t="b">
        <v>1</v>
      </c>
      <c r="F4078" s="27" t="str">
        <f>HYPERLINK("http://nsgreg.nga.mil/genc/view?v=213496&amp;end_month=12&amp;end_day=31&amp;end_year=2014","Bakool")</f>
        <v>Bakool</v>
      </c>
      <c r="G4078" s="28" t="str">
        <f>HYPERLINK("http://api.nsgreg.nga.mil/geo-division/GENC/6/ed3/SO-BK","as:GENC:6:ed3:SO-BK")</f>
        <v>as:GENC:6:ed3:SO-BK</v>
      </c>
    </row>
    <row r="4079" spans="1:7" x14ac:dyDescent="0.2">
      <c r="A4079" s="85"/>
      <c r="B4079" s="25" t="s">
        <v>9644</v>
      </c>
      <c r="C4079" s="25" t="s">
        <v>9645</v>
      </c>
      <c r="D4079" s="25" t="s">
        <v>2087</v>
      </c>
      <c r="E4079" s="26" t="b">
        <v>1</v>
      </c>
      <c r="F4079" s="27" t="str">
        <f>HYPERLINK("http://nsgreg.nga.mil/genc/view?v=213497&amp;end_month=12&amp;end_day=31&amp;end_year=2014","Banaadir")</f>
        <v>Banaadir</v>
      </c>
      <c r="G4079" s="28" t="str">
        <f>HYPERLINK("http://api.nsgreg.nga.mil/geo-division/GENC/6/ed3/SO-BN","as:GENC:6:ed3:SO-BN")</f>
        <v>as:GENC:6:ed3:SO-BN</v>
      </c>
    </row>
    <row r="4080" spans="1:7" x14ac:dyDescent="0.2">
      <c r="A4080" s="85"/>
      <c r="B4080" s="25" t="s">
        <v>9646</v>
      </c>
      <c r="C4080" s="25" t="s">
        <v>5469</v>
      </c>
      <c r="D4080" s="25" t="s">
        <v>2087</v>
      </c>
      <c r="E4080" s="26" t="b">
        <v>1</v>
      </c>
      <c r="F4080" s="27" t="str">
        <f>HYPERLINK("http://nsgreg.nga.mil/genc/view?v=213498&amp;end_month=12&amp;end_day=31&amp;end_year=2014","Bari")</f>
        <v>Bari</v>
      </c>
      <c r="G4080" s="28" t="str">
        <f>HYPERLINK("http://api.nsgreg.nga.mil/geo-division/GENC/6/ed3/SO-BR","as:GENC:6:ed3:SO-BR")</f>
        <v>as:GENC:6:ed3:SO-BR</v>
      </c>
    </row>
    <row r="4081" spans="1:7" x14ac:dyDescent="0.2">
      <c r="A4081" s="85"/>
      <c r="B4081" s="25" t="s">
        <v>9647</v>
      </c>
      <c r="C4081" s="25" t="s">
        <v>9648</v>
      </c>
      <c r="D4081" s="25" t="s">
        <v>2087</v>
      </c>
      <c r="E4081" s="26" t="b">
        <v>1</v>
      </c>
      <c r="F4081" s="27" t="str">
        <f>HYPERLINK("http://nsgreg.nga.mil/genc/view?v=213499&amp;end_month=12&amp;end_day=31&amp;end_year=2014","Bay")</f>
        <v>Bay</v>
      </c>
      <c r="G4081" s="28" t="str">
        <f>HYPERLINK("http://api.nsgreg.nga.mil/geo-division/GENC/6/ed3/SO-BY","as:GENC:6:ed3:SO-BY")</f>
        <v>as:GENC:6:ed3:SO-BY</v>
      </c>
    </row>
    <row r="4082" spans="1:7" x14ac:dyDescent="0.2">
      <c r="A4082" s="85"/>
      <c r="B4082" s="25" t="s">
        <v>9649</v>
      </c>
      <c r="C4082" s="25" t="s">
        <v>9650</v>
      </c>
      <c r="D4082" s="25" t="s">
        <v>2087</v>
      </c>
      <c r="E4082" s="26" t="b">
        <v>1</v>
      </c>
      <c r="F4082" s="27" t="str">
        <f>HYPERLINK("http://nsgreg.nga.mil/genc/view?v=213500&amp;end_month=12&amp;end_day=31&amp;end_year=2014","Galguduud")</f>
        <v>Galguduud</v>
      </c>
      <c r="G4082" s="28" t="str">
        <f>HYPERLINK("http://api.nsgreg.nga.mil/geo-division/GENC/6/ed3/SO-GA","as:GENC:6:ed3:SO-GA")</f>
        <v>as:GENC:6:ed3:SO-GA</v>
      </c>
    </row>
    <row r="4083" spans="1:7" x14ac:dyDescent="0.2">
      <c r="A4083" s="85"/>
      <c r="B4083" s="25" t="s">
        <v>9651</v>
      </c>
      <c r="C4083" s="25" t="s">
        <v>9652</v>
      </c>
      <c r="D4083" s="25" t="s">
        <v>2087</v>
      </c>
      <c r="E4083" s="26" t="b">
        <v>1</v>
      </c>
      <c r="F4083" s="27" t="str">
        <f>HYPERLINK("http://nsgreg.nga.mil/genc/view?v=213501&amp;end_month=12&amp;end_day=31&amp;end_year=2014","Gedo")</f>
        <v>Gedo</v>
      </c>
      <c r="G4083" s="28" t="str">
        <f>HYPERLINK("http://api.nsgreg.nga.mil/geo-division/GENC/6/ed3/SO-GE","as:GENC:6:ed3:SO-GE")</f>
        <v>as:GENC:6:ed3:SO-GE</v>
      </c>
    </row>
    <row r="4084" spans="1:7" x14ac:dyDescent="0.2">
      <c r="A4084" s="85"/>
      <c r="B4084" s="25" t="s">
        <v>9653</v>
      </c>
      <c r="C4084" s="25" t="s">
        <v>9654</v>
      </c>
      <c r="D4084" s="25" t="s">
        <v>2087</v>
      </c>
      <c r="E4084" s="26" t="b">
        <v>1</v>
      </c>
      <c r="F4084" s="27" t="str">
        <f>HYPERLINK("http://nsgreg.nga.mil/genc/view?v=213502&amp;end_month=12&amp;end_day=31&amp;end_year=2014","Hiiraan")</f>
        <v>Hiiraan</v>
      </c>
      <c r="G4084" s="28" t="str">
        <f>HYPERLINK("http://api.nsgreg.nga.mil/geo-division/GENC/6/ed3/SO-HI","as:GENC:6:ed3:SO-HI")</f>
        <v>as:GENC:6:ed3:SO-HI</v>
      </c>
    </row>
    <row r="4085" spans="1:7" x14ac:dyDescent="0.2">
      <c r="A4085" s="85"/>
      <c r="B4085" s="25" t="s">
        <v>9655</v>
      </c>
      <c r="C4085" s="25" t="s">
        <v>9656</v>
      </c>
      <c r="D4085" s="25" t="s">
        <v>2087</v>
      </c>
      <c r="E4085" s="26" t="b">
        <v>1</v>
      </c>
      <c r="F4085" s="27" t="str">
        <f>HYPERLINK("http://nsgreg.nga.mil/genc/view?v=213503&amp;end_month=12&amp;end_day=31&amp;end_year=2014","Jubbada Dhexe")</f>
        <v>Jubbada Dhexe</v>
      </c>
      <c r="G4085" s="28" t="str">
        <f>HYPERLINK("http://api.nsgreg.nga.mil/geo-division/GENC/6/ed3/SO-JD","as:GENC:6:ed3:SO-JD")</f>
        <v>as:GENC:6:ed3:SO-JD</v>
      </c>
    </row>
    <row r="4086" spans="1:7" x14ac:dyDescent="0.2">
      <c r="A4086" s="85"/>
      <c r="B4086" s="25" t="s">
        <v>9657</v>
      </c>
      <c r="C4086" s="25" t="s">
        <v>9658</v>
      </c>
      <c r="D4086" s="25" t="s">
        <v>2087</v>
      </c>
      <c r="E4086" s="26" t="b">
        <v>1</v>
      </c>
      <c r="F4086" s="27" t="str">
        <f>HYPERLINK("http://nsgreg.nga.mil/genc/view?v=213504&amp;end_month=12&amp;end_day=31&amp;end_year=2014","Jubbada Hoose")</f>
        <v>Jubbada Hoose</v>
      </c>
      <c r="G4086" s="28" t="str">
        <f>HYPERLINK("http://api.nsgreg.nga.mil/geo-division/GENC/6/ed3/SO-JH","as:GENC:6:ed3:SO-JH")</f>
        <v>as:GENC:6:ed3:SO-JH</v>
      </c>
    </row>
    <row r="4087" spans="1:7" x14ac:dyDescent="0.2">
      <c r="A4087" s="85"/>
      <c r="B4087" s="25" t="s">
        <v>9659</v>
      </c>
      <c r="C4087" s="25" t="s">
        <v>9660</v>
      </c>
      <c r="D4087" s="25" t="s">
        <v>2087</v>
      </c>
      <c r="E4087" s="26" t="b">
        <v>1</v>
      </c>
      <c r="F4087" s="27" t="str">
        <f>HYPERLINK("http://nsgreg.nga.mil/genc/view?v=213505&amp;end_month=12&amp;end_day=31&amp;end_year=2014","Mudug")</f>
        <v>Mudug</v>
      </c>
      <c r="G4087" s="28" t="str">
        <f>HYPERLINK("http://api.nsgreg.nga.mil/geo-division/GENC/6/ed3/SO-MU","as:GENC:6:ed3:SO-MU")</f>
        <v>as:GENC:6:ed3:SO-MU</v>
      </c>
    </row>
    <row r="4088" spans="1:7" x14ac:dyDescent="0.2">
      <c r="A4088" s="85"/>
      <c r="B4088" s="25" t="s">
        <v>9661</v>
      </c>
      <c r="C4088" s="25" t="s">
        <v>9662</v>
      </c>
      <c r="D4088" s="25" t="s">
        <v>2087</v>
      </c>
      <c r="E4088" s="26" t="b">
        <v>1</v>
      </c>
      <c r="F4088" s="27" t="str">
        <f>HYPERLINK("http://nsgreg.nga.mil/genc/view?v=213506&amp;end_month=12&amp;end_day=31&amp;end_year=2014","Nugaal")</f>
        <v>Nugaal</v>
      </c>
      <c r="G4088" s="28" t="str">
        <f>HYPERLINK("http://api.nsgreg.nga.mil/geo-division/GENC/6/ed3/SO-NU","as:GENC:6:ed3:SO-NU")</f>
        <v>as:GENC:6:ed3:SO-NU</v>
      </c>
    </row>
    <row r="4089" spans="1:7" x14ac:dyDescent="0.2">
      <c r="A4089" s="85"/>
      <c r="B4089" s="25" t="s">
        <v>9663</v>
      </c>
      <c r="C4089" s="25" t="s">
        <v>9664</v>
      </c>
      <c r="D4089" s="25" t="s">
        <v>2087</v>
      </c>
      <c r="E4089" s="26" t="b">
        <v>1</v>
      </c>
      <c r="F4089" s="27" t="str">
        <f>HYPERLINK("http://nsgreg.nga.mil/genc/view?v=213507&amp;end_month=12&amp;end_day=31&amp;end_year=2014","Sanaag")</f>
        <v>Sanaag</v>
      </c>
      <c r="G4089" s="28" t="str">
        <f>HYPERLINK("http://api.nsgreg.nga.mil/geo-division/GENC/6/ed3/SO-SA","as:GENC:6:ed3:SO-SA")</f>
        <v>as:GENC:6:ed3:SO-SA</v>
      </c>
    </row>
    <row r="4090" spans="1:7" x14ac:dyDescent="0.2">
      <c r="A4090" s="85"/>
      <c r="B4090" s="25" t="s">
        <v>9665</v>
      </c>
      <c r="C4090" s="25" t="s">
        <v>9666</v>
      </c>
      <c r="D4090" s="25" t="s">
        <v>2087</v>
      </c>
      <c r="E4090" s="26" t="b">
        <v>1</v>
      </c>
      <c r="F4090" s="27" t="str">
        <f>HYPERLINK("http://nsgreg.nga.mil/genc/view?v=213508&amp;end_month=12&amp;end_day=31&amp;end_year=2014","Shabeellaha Dhexe")</f>
        <v>Shabeellaha Dhexe</v>
      </c>
      <c r="G4090" s="28" t="str">
        <f>HYPERLINK("http://api.nsgreg.nga.mil/geo-division/GENC/6/ed3/SO-SD","as:GENC:6:ed3:SO-SD")</f>
        <v>as:GENC:6:ed3:SO-SD</v>
      </c>
    </row>
    <row r="4091" spans="1:7" x14ac:dyDescent="0.2">
      <c r="A4091" s="85"/>
      <c r="B4091" s="25" t="s">
        <v>9667</v>
      </c>
      <c r="C4091" s="25" t="s">
        <v>9668</v>
      </c>
      <c r="D4091" s="25" t="s">
        <v>2087</v>
      </c>
      <c r="E4091" s="26" t="b">
        <v>1</v>
      </c>
      <c r="F4091" s="27" t="str">
        <f>HYPERLINK("http://nsgreg.nga.mil/genc/view?v=213509&amp;end_month=12&amp;end_day=31&amp;end_year=2014","Shabeellaha Hoose")</f>
        <v>Shabeellaha Hoose</v>
      </c>
      <c r="G4091" s="28" t="str">
        <f>HYPERLINK("http://api.nsgreg.nga.mil/geo-division/GENC/6/ed3/SO-SH","as:GENC:6:ed3:SO-SH")</f>
        <v>as:GENC:6:ed3:SO-SH</v>
      </c>
    </row>
    <row r="4092" spans="1:7" x14ac:dyDescent="0.2">
      <c r="A4092" s="85"/>
      <c r="B4092" s="25" t="s">
        <v>9669</v>
      </c>
      <c r="C4092" s="25" t="s">
        <v>9670</v>
      </c>
      <c r="D4092" s="25" t="s">
        <v>2087</v>
      </c>
      <c r="E4092" s="26" t="b">
        <v>1</v>
      </c>
      <c r="F4092" s="27" t="str">
        <f>HYPERLINK("http://nsgreg.nga.mil/genc/view?v=213510&amp;end_month=12&amp;end_day=31&amp;end_year=2014","Sool")</f>
        <v>Sool</v>
      </c>
      <c r="G4092" s="28" t="str">
        <f>HYPERLINK("http://api.nsgreg.nga.mil/geo-division/GENC/6/ed3/SO-SO","as:GENC:6:ed3:SO-SO")</f>
        <v>as:GENC:6:ed3:SO-SO</v>
      </c>
    </row>
    <row r="4093" spans="1:7" x14ac:dyDescent="0.2">
      <c r="A4093" s="85"/>
      <c r="B4093" s="25" t="s">
        <v>9671</v>
      </c>
      <c r="C4093" s="25" t="s">
        <v>9672</v>
      </c>
      <c r="D4093" s="25" t="s">
        <v>2087</v>
      </c>
      <c r="E4093" s="26" t="b">
        <v>1</v>
      </c>
      <c r="F4093" s="27" t="str">
        <f>HYPERLINK("http://nsgreg.nga.mil/genc/view?v=213511&amp;end_month=12&amp;end_day=31&amp;end_year=2014","Togdheer")</f>
        <v>Togdheer</v>
      </c>
      <c r="G4093" s="28" t="str">
        <f>HYPERLINK("http://api.nsgreg.nga.mil/geo-division/GENC/6/ed3/SO-TO","as:GENC:6:ed3:SO-TO")</f>
        <v>as:GENC:6:ed3:SO-TO</v>
      </c>
    </row>
    <row r="4094" spans="1:7" x14ac:dyDescent="0.2">
      <c r="A4094" s="86"/>
      <c r="B4094" s="29" t="s">
        <v>9673</v>
      </c>
      <c r="C4094" s="29" t="s">
        <v>9674</v>
      </c>
      <c r="D4094" s="29" t="s">
        <v>2087</v>
      </c>
      <c r="E4094" s="30" t="b">
        <v>1</v>
      </c>
      <c r="F4094" s="31" t="str">
        <f>HYPERLINK("http://nsgreg.nga.mil/genc/view?v=213512&amp;end_month=12&amp;end_day=31&amp;end_year=2014","Woqooyi Galbeed")</f>
        <v>Woqooyi Galbeed</v>
      </c>
      <c r="G4094" s="32" t="str">
        <f>HYPERLINK("http://api.nsgreg.nga.mil/geo-division/GENC/6/ed3/SO-WO","as:GENC:6:ed3:SO-WO")</f>
        <v>as:GENC:6:ed3:SO-WO</v>
      </c>
    </row>
    <row r="4095" spans="1:7" x14ac:dyDescent="0.2">
      <c r="A4095" s="84" t="str">
        <f>HYPERLINK("[#]Codes_for_GE_Names!A235:I235","SOUTH AFRICA")</f>
        <v>SOUTH AFRICA</v>
      </c>
      <c r="B4095" s="33" t="s">
        <v>9677</v>
      </c>
      <c r="C4095" s="33" t="s">
        <v>9678</v>
      </c>
      <c r="D4095" s="33" t="s">
        <v>1719</v>
      </c>
      <c r="E4095" s="34" t="b">
        <v>1</v>
      </c>
      <c r="F4095" s="35" t="str">
        <f>HYPERLINK("http://nsgreg.nga.mil/genc/view?v=213786&amp;end_month=12&amp;end_day=31&amp;end_year=2014","Eastern Cape")</f>
        <v>Eastern Cape</v>
      </c>
      <c r="G4095" s="36" t="str">
        <f>HYPERLINK("http://api.nsgreg.nga.mil/geo-division/GENC/6/ed3/ZA-EC","as:GENC:6:ed3:ZA-EC")</f>
        <v>as:GENC:6:ed3:ZA-EC</v>
      </c>
    </row>
    <row r="4096" spans="1:7" x14ac:dyDescent="0.2">
      <c r="A4096" s="85"/>
      <c r="B4096" s="25" t="s">
        <v>9679</v>
      </c>
      <c r="C4096" s="25" t="s">
        <v>9682</v>
      </c>
      <c r="D4096" s="25" t="s">
        <v>1719</v>
      </c>
      <c r="E4096" s="26" t="b">
        <v>1</v>
      </c>
      <c r="F4096" s="27" t="str">
        <f>HYPERLINK("http://nsgreg.nga.mil/genc/view?v=213787&amp;end_month=12&amp;end_day=31&amp;end_year=2014","Free State")</f>
        <v>Free State</v>
      </c>
      <c r="G4096" s="28" t="str">
        <f>HYPERLINK("http://api.nsgreg.nga.mil/geo-division/GENC/6/ed3/ZA-FS","as:GENC:6:ed3:ZA-FS")</f>
        <v>as:GENC:6:ed3:ZA-FS</v>
      </c>
    </row>
    <row r="4097" spans="1:7" x14ac:dyDescent="0.2">
      <c r="A4097" s="85"/>
      <c r="B4097" s="25" t="s">
        <v>9689</v>
      </c>
      <c r="C4097" s="25" t="s">
        <v>9690</v>
      </c>
      <c r="D4097" s="25" t="s">
        <v>1719</v>
      </c>
      <c r="E4097" s="26" t="b">
        <v>1</v>
      </c>
      <c r="F4097" s="27" t="str">
        <f>HYPERLINK("http://nsgreg.nga.mil/genc/view?v=213788&amp;end_month=12&amp;end_day=31&amp;end_year=2014","Gauteng")</f>
        <v>Gauteng</v>
      </c>
      <c r="G4097" s="28" t="str">
        <f>HYPERLINK("http://api.nsgreg.nga.mil/geo-division/GENC/6/ed3/ZA-GT","as:GENC:6:ed3:ZA-GT")</f>
        <v>as:GENC:6:ed3:ZA-GT</v>
      </c>
    </row>
    <row r="4098" spans="1:7" x14ac:dyDescent="0.2">
      <c r="A4098" s="85"/>
      <c r="B4098" s="25" t="s">
        <v>9687</v>
      </c>
      <c r="C4098" s="25" t="s">
        <v>9710</v>
      </c>
      <c r="D4098" s="25" t="s">
        <v>1719</v>
      </c>
      <c r="E4098" s="26" t="b">
        <v>1</v>
      </c>
      <c r="F4098" s="27" t="str">
        <f>HYPERLINK("http://nsgreg.nga.mil/genc/view?v=213792&amp;end_month=12&amp;end_day=31&amp;end_year=2014","KwaZulu-Natal")</f>
        <v>KwaZulu-Natal</v>
      </c>
      <c r="G4098" s="28" t="str">
        <f>HYPERLINK("http://api.nsgreg.nga.mil/geo-division/GENC/6/ed3/ZA-NL","as:GENC:6:ed3:ZA-NL")</f>
        <v>as:GENC:6:ed3:ZA-NL</v>
      </c>
    </row>
    <row r="4099" spans="1:7" x14ac:dyDescent="0.2">
      <c r="A4099" s="85"/>
      <c r="B4099" s="25" t="s">
        <v>9716</v>
      </c>
      <c r="C4099" s="25" t="s">
        <v>9717</v>
      </c>
      <c r="D4099" s="25" t="s">
        <v>1719</v>
      </c>
      <c r="E4099" s="26" t="b">
        <v>1</v>
      </c>
      <c r="F4099" s="27" t="str">
        <f>HYPERLINK("http://nsgreg.nga.mil/genc/view?v=213789&amp;end_month=12&amp;end_day=31&amp;end_year=2014","Limpopo")</f>
        <v>Limpopo</v>
      </c>
      <c r="G4099" s="28" t="str">
        <f>HYPERLINK("http://api.nsgreg.nga.mil/geo-division/GENC/6/ed3/ZA-LP","as:GENC:6:ed3:ZA-LP")</f>
        <v>as:GENC:6:ed3:ZA-LP</v>
      </c>
    </row>
    <row r="4100" spans="1:7" x14ac:dyDescent="0.2">
      <c r="A4100" s="85"/>
      <c r="B4100" s="25" t="s">
        <v>9721</v>
      </c>
      <c r="C4100" s="25" t="s">
        <v>9722</v>
      </c>
      <c r="D4100" s="25" t="s">
        <v>1719</v>
      </c>
      <c r="E4100" s="26" t="b">
        <v>1</v>
      </c>
      <c r="F4100" s="27" t="str">
        <f>HYPERLINK("http://nsgreg.nga.mil/genc/view?v=213790&amp;end_month=12&amp;end_day=31&amp;end_year=2014","Mpumalanga")</f>
        <v>Mpumalanga</v>
      </c>
      <c r="G4100" s="28" t="str">
        <f>HYPERLINK("http://api.nsgreg.nga.mil/geo-division/GENC/6/ed3/ZA-MP","as:GENC:6:ed3:ZA-MP")</f>
        <v>as:GENC:6:ed3:ZA-MP</v>
      </c>
    </row>
    <row r="4101" spans="1:7" x14ac:dyDescent="0.2">
      <c r="A4101" s="85"/>
      <c r="B4101" s="25" t="s">
        <v>9700</v>
      </c>
      <c r="C4101" s="25" t="s">
        <v>9727</v>
      </c>
      <c r="D4101" s="25" t="s">
        <v>1719</v>
      </c>
      <c r="E4101" s="26" t="b">
        <v>1</v>
      </c>
      <c r="F4101" s="27" t="str">
        <f>HYPERLINK("http://nsgreg.nga.mil/genc/view?v=213791&amp;end_month=12&amp;end_day=31&amp;end_year=2014","Northern Cape")</f>
        <v>Northern Cape</v>
      </c>
      <c r="G4101" s="28" t="str">
        <f>HYPERLINK("http://api.nsgreg.nga.mil/geo-division/GENC/6/ed3/ZA-NC","as:GENC:6:ed3:ZA-NC")</f>
        <v>as:GENC:6:ed3:ZA-NC</v>
      </c>
    </row>
    <row r="4102" spans="1:7" x14ac:dyDescent="0.2">
      <c r="A4102" s="85"/>
      <c r="B4102" s="25" t="s">
        <v>9675</v>
      </c>
      <c r="C4102" s="25" t="s">
        <v>9184</v>
      </c>
      <c r="D4102" s="25" t="s">
        <v>1719</v>
      </c>
      <c r="E4102" s="26" t="b">
        <v>1</v>
      </c>
      <c r="F4102" s="27" t="str">
        <f>HYPERLINK("http://nsgreg.nga.mil/genc/view?v=213793&amp;end_month=12&amp;end_day=31&amp;end_year=2014","North West")</f>
        <v>North West</v>
      </c>
      <c r="G4102" s="28" t="str">
        <f>HYPERLINK("http://api.nsgreg.nga.mil/geo-division/GENC/6/ed3/ZA-NW","as:GENC:6:ed3:ZA-NW")</f>
        <v>as:GENC:6:ed3:ZA-NW</v>
      </c>
    </row>
    <row r="4103" spans="1:7" x14ac:dyDescent="0.2">
      <c r="A4103" s="86"/>
      <c r="B4103" s="29" t="s">
        <v>9693</v>
      </c>
      <c r="C4103" s="29" t="s">
        <v>9737</v>
      </c>
      <c r="D4103" s="29" t="s">
        <v>1719</v>
      </c>
      <c r="E4103" s="30" t="b">
        <v>1</v>
      </c>
      <c r="F4103" s="31" t="str">
        <f>HYPERLINK("http://nsgreg.nga.mil/genc/view?v=213794&amp;end_month=12&amp;end_day=31&amp;end_year=2014","Western Cape")</f>
        <v>Western Cape</v>
      </c>
      <c r="G4103" s="32" t="str">
        <f>HYPERLINK("http://api.nsgreg.nga.mil/geo-division/GENC/6/ed3/ZA-WC","as:GENC:6:ed3:ZA-WC")</f>
        <v>as:GENC:6:ed3:ZA-WC</v>
      </c>
    </row>
    <row r="4104" spans="1:7" x14ac:dyDescent="0.2">
      <c r="A4104" s="84" t="str">
        <f>HYPERLINK("[#]Codes_for_GE_Names!A237:I237","SOUTH SUDAN")</f>
        <v>SOUTH SUDAN</v>
      </c>
      <c r="B4104" s="33" t="s">
        <v>9746</v>
      </c>
      <c r="C4104" s="33" t="s">
        <v>9747</v>
      </c>
      <c r="D4104" s="33" t="s">
        <v>2113</v>
      </c>
      <c r="E4104" s="34" t="b">
        <v>1</v>
      </c>
      <c r="F4104" s="35" t="str">
        <f>HYPERLINK("http://nsgreg.nga.mil/genc/view?v=122104&amp;gencs=T&amp;end_month=12&amp;end_day=31&amp;end_year=2014","Central Equatoria")</f>
        <v>Central Equatoria</v>
      </c>
      <c r="G4104" s="36" t="str">
        <f>HYPERLINK("http://api.nsgreg.nga.mil/geo-division/GENC/6/ed3/SS-EC","as:GENC:6:ed3:SS-EC")</f>
        <v>as:GENC:6:ed3:SS-EC</v>
      </c>
    </row>
    <row r="4105" spans="1:7" x14ac:dyDescent="0.2">
      <c r="A4105" s="85"/>
      <c r="B4105" s="25" t="s">
        <v>9748</v>
      </c>
      <c r="C4105" s="25" t="s">
        <v>9749</v>
      </c>
      <c r="D4105" s="25" t="s">
        <v>2113</v>
      </c>
      <c r="E4105" s="26" t="b">
        <v>1</v>
      </c>
      <c r="F4105" s="27" t="str">
        <f>HYPERLINK("http://nsgreg.nga.mil/genc/view?v=122105&amp;gencs=T&amp;end_month=12&amp;end_day=31&amp;end_year=2014","Eastern Equatoria")</f>
        <v>Eastern Equatoria</v>
      </c>
      <c r="G4105" s="28" t="str">
        <f>HYPERLINK("http://api.nsgreg.nga.mil/geo-division/GENC/6/ed3/SS-EE","as:GENC:6:ed3:SS-EE")</f>
        <v>as:GENC:6:ed3:SS-EE</v>
      </c>
    </row>
    <row r="4106" spans="1:7" x14ac:dyDescent="0.2">
      <c r="A4106" s="85"/>
      <c r="B4106" s="25" t="s">
        <v>9750</v>
      </c>
      <c r="C4106" s="25" t="s">
        <v>9751</v>
      </c>
      <c r="D4106" s="25" t="s">
        <v>2113</v>
      </c>
      <c r="E4106" s="26" t="b">
        <v>1</v>
      </c>
      <c r="F4106" s="27" t="str">
        <f>HYPERLINK("http://nsgreg.nga.mil/genc/view?v=122107&amp;gencs=T&amp;end_month=12&amp;end_day=31&amp;end_year=2014","Jonglei")</f>
        <v>Jonglei</v>
      </c>
      <c r="G4106" s="28" t="str">
        <f>HYPERLINK("http://api.nsgreg.nga.mil/geo-division/GENC/6/ed3/SS-JG","as:GENC:6:ed3:SS-JG")</f>
        <v>as:GENC:6:ed3:SS-JG</v>
      </c>
    </row>
    <row r="4107" spans="1:7" x14ac:dyDescent="0.2">
      <c r="A4107" s="85"/>
      <c r="B4107" s="25" t="s">
        <v>9752</v>
      </c>
      <c r="C4107" s="25" t="s">
        <v>9753</v>
      </c>
      <c r="D4107" s="25" t="s">
        <v>2113</v>
      </c>
      <c r="E4107" s="26" t="b">
        <v>1</v>
      </c>
      <c r="F4107" s="27" t="str">
        <f>HYPERLINK("http://nsgreg.nga.mil/genc/view?v=122108&amp;gencs=T&amp;end_month=12&amp;end_day=31&amp;end_year=2014","Lakes")</f>
        <v>Lakes</v>
      </c>
      <c r="G4107" s="28" t="str">
        <f>HYPERLINK("http://api.nsgreg.nga.mil/geo-division/GENC/6/ed3/SS-LK","as:GENC:6:ed3:SS-LK")</f>
        <v>as:GENC:6:ed3:SS-LK</v>
      </c>
    </row>
    <row r="4108" spans="1:7" x14ac:dyDescent="0.2">
      <c r="A4108" s="85"/>
      <c r="B4108" s="25" t="s">
        <v>9754</v>
      </c>
      <c r="C4108" s="25" t="s">
        <v>13654</v>
      </c>
      <c r="D4108" s="25" t="s">
        <v>2113</v>
      </c>
      <c r="E4108" s="26" t="b">
        <v>1</v>
      </c>
      <c r="F4108" s="27" t="str">
        <f>HYPERLINK("http://nsgreg.nga.mil/genc/view?v=122102&amp;gencs=T&amp;end_month=12&amp;end_day=31&amp;end_year=2014","Northern Bahr el Ghazal")</f>
        <v>Northern Bahr el Ghazal</v>
      </c>
      <c r="G4108" s="28" t="str">
        <f>HYPERLINK("http://api.nsgreg.nga.mil/geo-division/GENC/6/ed3/SS-BN","as:GENC:6:ed3:SS-BN")</f>
        <v>as:GENC:6:ed3:SS-BN</v>
      </c>
    </row>
    <row r="4109" spans="1:7" x14ac:dyDescent="0.2">
      <c r="A4109" s="85"/>
      <c r="B4109" s="25" t="s">
        <v>9756</v>
      </c>
      <c r="C4109" s="25" t="s">
        <v>9757</v>
      </c>
      <c r="D4109" s="25" t="s">
        <v>2113</v>
      </c>
      <c r="E4109" s="26" t="b">
        <v>1</v>
      </c>
      <c r="F4109" s="27" t="str">
        <f>HYPERLINK("http://nsgreg.nga.mil/genc/view?v=122110&amp;gencs=T&amp;end_month=12&amp;end_day=31&amp;end_year=2014","Unity")</f>
        <v>Unity</v>
      </c>
      <c r="G4109" s="28" t="str">
        <f>HYPERLINK("http://api.nsgreg.nga.mil/geo-division/GENC/6/ed3/SS-UY","as:GENC:6:ed3:SS-UY")</f>
        <v>as:GENC:6:ed3:SS-UY</v>
      </c>
    </row>
    <row r="4110" spans="1:7" x14ac:dyDescent="0.2">
      <c r="A4110" s="85"/>
      <c r="B4110" s="25" t="s">
        <v>9758</v>
      </c>
      <c r="C4110" s="25" t="s">
        <v>9759</v>
      </c>
      <c r="D4110" s="25" t="s">
        <v>2113</v>
      </c>
      <c r="E4110" s="26" t="b">
        <v>1</v>
      </c>
      <c r="F4110" s="27" t="str">
        <f>HYPERLINK("http://nsgreg.nga.mil/genc/view?v=122109&amp;gencs=T&amp;end_month=12&amp;end_day=31&amp;end_year=2014","Upper Nile")</f>
        <v>Upper Nile</v>
      </c>
      <c r="G4110" s="28" t="str">
        <f>HYPERLINK("http://api.nsgreg.nga.mil/geo-division/GENC/6/ed3/SS-NU","as:GENC:6:ed3:SS-NU")</f>
        <v>as:GENC:6:ed3:SS-NU</v>
      </c>
    </row>
    <row r="4111" spans="1:7" x14ac:dyDescent="0.2">
      <c r="A4111" s="85"/>
      <c r="B4111" s="25" t="s">
        <v>9760</v>
      </c>
      <c r="C4111" s="25" t="s">
        <v>9761</v>
      </c>
      <c r="D4111" s="25" t="s">
        <v>2113</v>
      </c>
      <c r="E4111" s="26" t="b">
        <v>1</v>
      </c>
      <c r="F4111" s="27" t="str">
        <f>HYPERLINK("http://nsgreg.nga.mil/genc/view?v=122111&amp;gencs=T&amp;end_month=12&amp;end_day=31&amp;end_year=2014","Warrap")</f>
        <v>Warrap</v>
      </c>
      <c r="G4111" s="28" t="str">
        <f>HYPERLINK("http://api.nsgreg.nga.mil/geo-division/GENC/6/ed3/SS-WR","as:GENC:6:ed3:SS-WR")</f>
        <v>as:GENC:6:ed3:SS-WR</v>
      </c>
    </row>
    <row r="4112" spans="1:7" x14ac:dyDescent="0.2">
      <c r="A4112" s="85"/>
      <c r="B4112" s="25" t="s">
        <v>9762</v>
      </c>
      <c r="C4112" s="25" t="s">
        <v>13655</v>
      </c>
      <c r="D4112" s="25" t="s">
        <v>2113</v>
      </c>
      <c r="E4112" s="26" t="b">
        <v>1</v>
      </c>
      <c r="F4112" s="27" t="str">
        <f>HYPERLINK("http://nsgreg.nga.mil/genc/view?v=122103&amp;gencs=T&amp;end_month=12&amp;end_day=31&amp;end_year=2014","Western Bahr el Ghazal")</f>
        <v>Western Bahr el Ghazal</v>
      </c>
      <c r="G4112" s="28" t="str">
        <f>HYPERLINK("http://api.nsgreg.nga.mil/geo-division/GENC/6/ed3/SS-BW","as:GENC:6:ed3:SS-BW")</f>
        <v>as:GENC:6:ed3:SS-BW</v>
      </c>
    </row>
    <row r="4113" spans="1:7" x14ac:dyDescent="0.2">
      <c r="A4113" s="86"/>
      <c r="B4113" s="29" t="s">
        <v>9764</v>
      </c>
      <c r="C4113" s="29" t="s">
        <v>9765</v>
      </c>
      <c r="D4113" s="29" t="s">
        <v>2113</v>
      </c>
      <c r="E4113" s="30" t="b">
        <v>1</v>
      </c>
      <c r="F4113" s="31" t="str">
        <f>HYPERLINK("http://nsgreg.nga.mil/genc/view?v=122106&amp;gencs=T&amp;end_month=12&amp;end_day=31&amp;end_year=2014","Western Equatoria")</f>
        <v>Western Equatoria</v>
      </c>
      <c r="G4113" s="32" t="str">
        <f>HYPERLINK("http://api.nsgreg.nga.mil/geo-division/GENC/6/ed3/SS-EW","as:GENC:6:ed3:SS-EW")</f>
        <v>as:GENC:6:ed3:SS-EW</v>
      </c>
    </row>
    <row r="4114" spans="1:7" x14ac:dyDescent="0.2">
      <c r="A4114" s="84" t="str">
        <f>HYPERLINK("[#]Codes_for_GE_Names!A238:I238","SPAIN")</f>
        <v>SPAIN</v>
      </c>
      <c r="B4114" s="33" t="s">
        <v>9766</v>
      </c>
      <c r="C4114" s="33" t="s">
        <v>9767</v>
      </c>
      <c r="D4114" s="41" t="s">
        <v>1719</v>
      </c>
      <c r="E4114" s="42" t="b">
        <v>0</v>
      </c>
      <c r="F4114" s="35" t="str">
        <f>HYPERLINK("http://nsgreg.nga.mil/genc/view?v=211605&amp;end_month=12&amp;end_day=31&amp;end_year=2014","A Coruña")</f>
        <v>A Coruña</v>
      </c>
      <c r="G4114" s="36" t="str">
        <f>HYPERLINK("http://api.nsgreg.nga.mil/geo-division/GENC/6/ed3/ES-C","as:GENC:6:ed3:ES-C")</f>
        <v>as:GENC:6:ed3:ES-C</v>
      </c>
    </row>
    <row r="4115" spans="1:7" x14ac:dyDescent="0.2">
      <c r="A4115" s="85"/>
      <c r="B4115" s="25" t="s">
        <v>9778</v>
      </c>
      <c r="C4115" s="25" t="s">
        <v>9918</v>
      </c>
      <c r="D4115" s="37" t="s">
        <v>1719</v>
      </c>
      <c r="E4115" s="38" t="b">
        <v>0</v>
      </c>
      <c r="F4115" s="27" t="str">
        <f>HYPERLINK("http://nsgreg.nga.mil/genc/view?v=211630&amp;end_month=12&amp;end_day=31&amp;end_year=2014","Álava")</f>
        <v>Álava</v>
      </c>
      <c r="G4115" s="28" t="str">
        <f>HYPERLINK("http://api.nsgreg.nga.mil/geo-division/GENC/6/ed3/ES-VI","as:GENC:6:ed3:ES-VI")</f>
        <v>as:GENC:6:ed3:ES-VI</v>
      </c>
    </row>
    <row r="4116" spans="1:7" x14ac:dyDescent="0.2">
      <c r="A4116" s="85"/>
      <c r="B4116" s="25" t="s">
        <v>9770</v>
      </c>
      <c r="C4116" s="25" t="s">
        <v>9771</v>
      </c>
      <c r="D4116" s="37" t="s">
        <v>1719</v>
      </c>
      <c r="E4116" s="38" t="b">
        <v>0</v>
      </c>
      <c r="F4116" s="27" t="str">
        <f>HYPERLINK("http://nsgreg.nga.mil/genc/view?v=118959&amp;gencs=T&amp;end_month=12&amp;end_day=31&amp;end_year=2014","Albacete")</f>
        <v>Albacete</v>
      </c>
      <c r="G4116" s="28" t="str">
        <f>HYPERLINK("http://api.nsgreg.nga.mil/geo-division/GENC/6/ed3/ES-AB","as:GENC:6:ed3:ES-AB")</f>
        <v>as:GENC:6:ed3:ES-AB</v>
      </c>
    </row>
    <row r="4117" spans="1:7" x14ac:dyDescent="0.2">
      <c r="A4117" s="85"/>
      <c r="B4117" s="25" t="s">
        <v>9768</v>
      </c>
      <c r="C4117" s="25" t="s">
        <v>9772</v>
      </c>
      <c r="D4117" s="37" t="s">
        <v>1719</v>
      </c>
      <c r="E4117" s="38" t="b">
        <v>0</v>
      </c>
      <c r="F4117" s="27" t="str">
        <f>HYPERLINK("http://nsgreg.nga.mil/genc/view?v=211599&amp;end_month=12&amp;end_day=31&amp;end_year=2014","Alicante")</f>
        <v>Alicante</v>
      </c>
      <c r="G4117" s="28" t="str">
        <f>HYPERLINK("http://api.nsgreg.nga.mil/geo-division/GENC/6/ed3/ES-A","as:GENC:6:ed3:ES-A")</f>
        <v>as:GENC:6:ed3:ES-A</v>
      </c>
    </row>
    <row r="4118" spans="1:7" x14ac:dyDescent="0.2">
      <c r="A4118" s="85"/>
      <c r="B4118" s="25" t="s">
        <v>9773</v>
      </c>
      <c r="C4118" s="25" t="s">
        <v>9774</v>
      </c>
      <c r="D4118" s="37" t="s">
        <v>1719</v>
      </c>
      <c r="E4118" s="38" t="b">
        <v>0</v>
      </c>
      <c r="F4118" s="27" t="str">
        <f>HYPERLINK("http://nsgreg.nga.mil/genc/view?v=118960&amp;gencs=T&amp;end_month=12&amp;end_day=31&amp;end_year=2014","Almería")</f>
        <v>Almería</v>
      </c>
      <c r="G4118" s="28" t="str">
        <f>HYPERLINK("http://api.nsgreg.nga.mil/geo-division/GENC/6/ed3/ES-AL","as:GENC:6:ed3:ES-AL")</f>
        <v>as:GENC:6:ed3:ES-AL</v>
      </c>
    </row>
    <row r="4119" spans="1:7" x14ac:dyDescent="0.2">
      <c r="A4119" s="85"/>
      <c r="B4119" s="25" t="s">
        <v>9775</v>
      </c>
      <c r="C4119" s="25" t="s">
        <v>13656</v>
      </c>
      <c r="D4119" s="25" t="s">
        <v>9777</v>
      </c>
      <c r="E4119" s="26" t="b">
        <v>1</v>
      </c>
      <c r="F4119" s="27" t="str">
        <f>HYPERLINK("http://nsgreg.nga.mil/genc/view?v=211600&amp;end_month=12&amp;end_day=31&amp;end_year=2014","Andalusia")</f>
        <v>Andalusia</v>
      </c>
      <c r="G4119" s="28" t="str">
        <f>HYPERLINK("http://api.nsgreg.nga.mil/geo-division/GENC/6/ed3/ES-AN","as:GENC:6:ed3:ES-AN")</f>
        <v>as:GENC:6:ed3:ES-AN</v>
      </c>
    </row>
    <row r="4120" spans="1:7" x14ac:dyDescent="0.2">
      <c r="A4120" s="85"/>
      <c r="B4120" s="25" t="s">
        <v>9780</v>
      </c>
      <c r="C4120" s="25" t="s">
        <v>13657</v>
      </c>
      <c r="D4120" s="25" t="s">
        <v>9777</v>
      </c>
      <c r="E4120" s="26" t="b">
        <v>1</v>
      </c>
      <c r="F4120" s="27" t="str">
        <f>HYPERLINK("http://nsgreg.nga.mil/genc/view?v=211601&amp;end_month=12&amp;end_day=31&amp;end_year=2014","Aragon")</f>
        <v>Aragon</v>
      </c>
      <c r="G4120" s="28" t="str">
        <f>HYPERLINK("http://api.nsgreg.nga.mil/geo-division/GENC/6/ed3/ES-AR","as:GENC:6:ed3:ES-AR")</f>
        <v>as:GENC:6:ed3:ES-AR</v>
      </c>
    </row>
    <row r="4121" spans="1:7" x14ac:dyDescent="0.2">
      <c r="A4121" s="85"/>
      <c r="B4121" s="25" t="s">
        <v>9784</v>
      </c>
      <c r="C4121" s="25" t="s">
        <v>9783</v>
      </c>
      <c r="D4121" s="25" t="s">
        <v>9777</v>
      </c>
      <c r="E4121" s="26" t="b">
        <v>1</v>
      </c>
      <c r="F4121" s="27" t="str">
        <f>HYPERLINK("http://nsgreg.nga.mil/genc/view?v=211602&amp;end_month=12&amp;end_day=31&amp;end_year=2014","Asturias")</f>
        <v>Asturias</v>
      </c>
      <c r="G4121" s="28" t="str">
        <f>HYPERLINK("http://api.nsgreg.nga.mil/geo-division/GENC/6/ed3/ES-AS","as:GENC:6:ed3:ES-AS")</f>
        <v>as:GENC:6:ed3:ES-AS</v>
      </c>
    </row>
    <row r="4122" spans="1:7" x14ac:dyDescent="0.2">
      <c r="A4122" s="85"/>
      <c r="B4122" s="25" t="s">
        <v>9782</v>
      </c>
      <c r="C4122" s="25" t="s">
        <v>9783</v>
      </c>
      <c r="D4122" s="37" t="s">
        <v>1719</v>
      </c>
      <c r="E4122" s="38" t="b">
        <v>0</v>
      </c>
      <c r="F4122" s="27" t="str">
        <f>HYPERLINK("http://nsgreg.nga.mil/genc/view?v=119004&amp;gencs=T&amp;end_month=12&amp;end_day=31&amp;end_year=2014","Asturias")</f>
        <v>Asturias</v>
      </c>
      <c r="G4122" s="28" t="str">
        <f>HYPERLINK("http://api.nsgreg.nga.mil/geo-division/GENC/6/ed3/ES-O","as:GENC:6:ed3:ES-O")</f>
        <v>as:GENC:6:ed3:ES-O</v>
      </c>
    </row>
    <row r="4123" spans="1:7" x14ac:dyDescent="0.2">
      <c r="A4123" s="85"/>
      <c r="B4123" s="25" t="s">
        <v>9919</v>
      </c>
      <c r="C4123" s="25" t="s">
        <v>9920</v>
      </c>
      <c r="D4123" s="37" t="s">
        <v>1719</v>
      </c>
      <c r="E4123" s="38" t="b">
        <v>0</v>
      </c>
      <c r="F4123" s="27" t="str">
        <f>HYPERLINK("http://nsgreg.nga.mil/genc/view?v=118964&amp;gencs=T&amp;end_month=12&amp;end_day=31&amp;end_year=2014","Ávila")</f>
        <v>Ávila</v>
      </c>
      <c r="G4123" s="28" t="str">
        <f>HYPERLINK("http://api.nsgreg.nga.mil/geo-division/GENC/6/ed3/ES-AV","as:GENC:6:ed3:ES-AV")</f>
        <v>as:GENC:6:ed3:ES-AV</v>
      </c>
    </row>
    <row r="4124" spans="1:7" x14ac:dyDescent="0.2">
      <c r="A4124" s="85"/>
      <c r="B4124" s="25" t="s">
        <v>9786</v>
      </c>
      <c r="C4124" s="25" t="s">
        <v>9787</v>
      </c>
      <c r="D4124" s="37" t="s">
        <v>1719</v>
      </c>
      <c r="E4124" s="38" t="b">
        <v>0</v>
      </c>
      <c r="F4124" s="27" t="str">
        <f>HYPERLINK("http://nsgreg.nga.mil/genc/view?v=118966&amp;gencs=T&amp;end_month=12&amp;end_day=31&amp;end_year=2014","Badajoz")</f>
        <v>Badajoz</v>
      </c>
      <c r="G4124" s="28" t="str">
        <f>HYPERLINK("http://api.nsgreg.nga.mil/geo-division/GENC/6/ed3/ES-BA","as:GENC:6:ed3:ES-BA")</f>
        <v>as:GENC:6:ed3:ES-BA</v>
      </c>
    </row>
    <row r="4125" spans="1:7" x14ac:dyDescent="0.2">
      <c r="A4125" s="85"/>
      <c r="B4125" s="25" t="s">
        <v>9788</v>
      </c>
      <c r="C4125" s="25" t="s">
        <v>13658</v>
      </c>
      <c r="D4125" s="37" t="s">
        <v>1719</v>
      </c>
      <c r="E4125" s="38" t="b">
        <v>0</v>
      </c>
      <c r="F4125" s="27" t="str">
        <f>HYPERLINK("http://nsgreg.nga.mil/genc/view?v=211623&amp;end_month=12&amp;end_day=31&amp;end_year=2014","Baleares")</f>
        <v>Baleares</v>
      </c>
      <c r="G4125" s="28" t="str">
        <f>HYPERLINK("http://api.nsgreg.nga.mil/geo-division/GENC/6/ed3/ES-PM","as:GENC:6:ed3:ES-PM")</f>
        <v>as:GENC:6:ed3:ES-PM</v>
      </c>
    </row>
    <row r="4126" spans="1:7" x14ac:dyDescent="0.2">
      <c r="A4126" s="85"/>
      <c r="B4126" s="25" t="s">
        <v>9840</v>
      </c>
      <c r="C4126" s="25" t="s">
        <v>13659</v>
      </c>
      <c r="D4126" s="25" t="s">
        <v>9777</v>
      </c>
      <c r="E4126" s="26" t="b">
        <v>1</v>
      </c>
      <c r="F4126" s="27" t="str">
        <f>HYPERLINK("http://nsgreg.nga.mil/genc/view?v=211614&amp;end_month=12&amp;end_day=31&amp;end_year=2014","Balearic Islands")</f>
        <v>Balearic Islands</v>
      </c>
      <c r="G4126" s="28" t="str">
        <f>HYPERLINK("http://api.nsgreg.nga.mil/geo-division/GENC/6/ed3/ES-IB","as:GENC:6:ed3:ES-IB")</f>
        <v>as:GENC:6:ed3:ES-IB</v>
      </c>
    </row>
    <row r="4127" spans="1:7" x14ac:dyDescent="0.2">
      <c r="A4127" s="85"/>
      <c r="B4127" s="25" t="s">
        <v>9790</v>
      </c>
      <c r="C4127" s="25" t="s">
        <v>9791</v>
      </c>
      <c r="D4127" s="37" t="s">
        <v>1719</v>
      </c>
      <c r="E4127" s="38" t="b">
        <v>0</v>
      </c>
      <c r="F4127" s="27" t="str">
        <f>HYPERLINK("http://nsgreg.nga.mil/genc/view?v=211603&amp;end_month=12&amp;end_day=31&amp;end_year=2014","Barcelona")</f>
        <v>Barcelona</v>
      </c>
      <c r="G4127" s="28" t="str">
        <f>HYPERLINK("http://api.nsgreg.nga.mil/geo-division/GENC/6/ed3/ES-B","as:GENC:6:ed3:ES-B")</f>
        <v>as:GENC:6:ed3:ES-B</v>
      </c>
    </row>
    <row r="4128" spans="1:7" x14ac:dyDescent="0.2">
      <c r="A4128" s="85"/>
      <c r="B4128" s="25" t="s">
        <v>9822</v>
      </c>
      <c r="C4128" s="25" t="s">
        <v>13660</v>
      </c>
      <c r="D4128" s="25" t="s">
        <v>9777</v>
      </c>
      <c r="E4128" s="26" t="b">
        <v>1</v>
      </c>
      <c r="F4128" s="27" t="str">
        <f>HYPERLINK("http://nsgreg.nga.mil/genc/view?v=211625&amp;end_month=12&amp;end_day=31&amp;end_year=2014","Basque Country")</f>
        <v>Basque Country</v>
      </c>
      <c r="G4128" s="28" t="str">
        <f>HYPERLINK("http://api.nsgreg.nga.mil/geo-division/GENC/6/ed3/ES-PV","as:GENC:6:ed3:ES-PV")</f>
        <v>as:GENC:6:ed3:ES-PV</v>
      </c>
    </row>
    <row r="4129" spans="1:7" x14ac:dyDescent="0.2">
      <c r="A4129" s="85"/>
      <c r="B4129" s="25" t="s">
        <v>9794</v>
      </c>
      <c r="C4129" s="25" t="s">
        <v>9795</v>
      </c>
      <c r="D4129" s="37" t="s">
        <v>1719</v>
      </c>
      <c r="E4129" s="38" t="b">
        <v>0</v>
      </c>
      <c r="F4129" s="27" t="str">
        <f>HYPERLINK("http://nsgreg.nga.mil/genc/view?v=118968&amp;gencs=T&amp;end_month=12&amp;end_day=31&amp;end_year=2014","Burgos")</f>
        <v>Burgos</v>
      </c>
      <c r="G4129" s="28" t="str">
        <f>HYPERLINK("http://api.nsgreg.nga.mil/geo-division/GENC/6/ed3/ES-BU","as:GENC:6:ed3:ES-BU")</f>
        <v>as:GENC:6:ed3:ES-BU</v>
      </c>
    </row>
    <row r="4130" spans="1:7" x14ac:dyDescent="0.2">
      <c r="A4130" s="85"/>
      <c r="B4130" s="25" t="s">
        <v>9817</v>
      </c>
      <c r="C4130" s="25" t="s">
        <v>9818</v>
      </c>
      <c r="D4130" s="37" t="s">
        <v>1719</v>
      </c>
      <c r="E4130" s="38" t="b">
        <v>0</v>
      </c>
      <c r="F4130" s="27" t="str">
        <f>HYPERLINK("http://nsgreg.nga.mil/genc/view?v=118972&amp;gencs=T&amp;end_month=12&amp;end_day=31&amp;end_year=2014","Cáceres")</f>
        <v>Cáceres</v>
      </c>
      <c r="G4130" s="28" t="str">
        <f>HYPERLINK("http://api.nsgreg.nga.mil/geo-division/GENC/6/ed3/ES-CC","as:GENC:6:ed3:ES-CC")</f>
        <v>as:GENC:6:ed3:ES-CC</v>
      </c>
    </row>
    <row r="4131" spans="1:7" x14ac:dyDescent="0.2">
      <c r="A4131" s="85"/>
      <c r="B4131" s="25" t="s">
        <v>9819</v>
      </c>
      <c r="C4131" s="25" t="s">
        <v>9820</v>
      </c>
      <c r="D4131" s="37" t="s">
        <v>1719</v>
      </c>
      <c r="E4131" s="38" t="b">
        <v>0</v>
      </c>
      <c r="F4131" s="27" t="str">
        <f>HYPERLINK("http://nsgreg.nga.mil/genc/view?v=118970&amp;gencs=T&amp;end_month=12&amp;end_day=31&amp;end_year=2014","Cádiz")</f>
        <v>Cádiz</v>
      </c>
      <c r="G4131" s="28" t="str">
        <f>HYPERLINK("http://api.nsgreg.nga.mil/geo-division/GENC/6/ed3/ES-CA","as:GENC:6:ed3:ES-CA")</f>
        <v>as:GENC:6:ed3:ES-CA</v>
      </c>
    </row>
    <row r="4132" spans="1:7" x14ac:dyDescent="0.2">
      <c r="A4132" s="85"/>
      <c r="B4132" s="25" t="s">
        <v>9796</v>
      </c>
      <c r="C4132" s="25" t="s">
        <v>13661</v>
      </c>
      <c r="D4132" s="25" t="s">
        <v>9777</v>
      </c>
      <c r="E4132" s="26" t="b">
        <v>1</v>
      </c>
      <c r="F4132" s="27" t="str">
        <f>HYPERLINK("http://nsgreg.nga.mil/genc/view?v=211609&amp;end_month=12&amp;end_day=31&amp;end_year=2014","Canary Islands")</f>
        <v>Canary Islands</v>
      </c>
      <c r="G4132" s="28" t="str">
        <f>HYPERLINK("http://api.nsgreg.nga.mil/geo-division/GENC/6/ed3/ES-CN","as:GENC:6:ed3:ES-CN")</f>
        <v>as:GENC:6:ed3:ES-CN</v>
      </c>
    </row>
    <row r="4133" spans="1:7" x14ac:dyDescent="0.2">
      <c r="A4133" s="85"/>
      <c r="B4133" s="25" t="s">
        <v>9798</v>
      </c>
      <c r="C4133" s="25" t="s">
        <v>9799</v>
      </c>
      <c r="D4133" s="25" t="s">
        <v>9777</v>
      </c>
      <c r="E4133" s="26" t="b">
        <v>1</v>
      </c>
      <c r="F4133" s="27" t="str">
        <f>HYPERLINK("http://nsgreg.nga.mil/genc/view?v=118971&amp;gencs=T&amp;end_month=12&amp;end_day=31&amp;end_year=2014","Cantabria")</f>
        <v>Cantabria</v>
      </c>
      <c r="G4133" s="28" t="str">
        <f>HYPERLINK("http://api.nsgreg.nga.mil/geo-division/GENC/6/ed3/ES-CB","as:GENC:6:ed3:ES-CB")</f>
        <v>as:GENC:6:ed3:ES-CB</v>
      </c>
    </row>
    <row r="4134" spans="1:7" x14ac:dyDescent="0.2">
      <c r="A4134" s="85"/>
      <c r="B4134" s="25" t="s">
        <v>9800</v>
      </c>
      <c r="C4134" s="25" t="s">
        <v>9799</v>
      </c>
      <c r="D4134" s="37" t="s">
        <v>1719</v>
      </c>
      <c r="E4134" s="38" t="b">
        <v>0</v>
      </c>
      <c r="F4134" s="27" t="str">
        <f>HYPERLINK("http://nsgreg.nga.mil/genc/view?v=119011&amp;gencs=T&amp;end_month=12&amp;end_day=31&amp;end_year=2014","Cantabria")</f>
        <v>Cantabria</v>
      </c>
      <c r="G4134" s="28" t="str">
        <f>HYPERLINK("http://api.nsgreg.nga.mil/geo-division/GENC/6/ed3/ES-S","as:GENC:6:ed3:ES-S")</f>
        <v>as:GENC:6:ed3:ES-S</v>
      </c>
    </row>
    <row r="4135" spans="1:7" x14ac:dyDescent="0.2">
      <c r="A4135" s="85"/>
      <c r="B4135" s="25" t="s">
        <v>9801</v>
      </c>
      <c r="C4135" s="25" t="s">
        <v>9803</v>
      </c>
      <c r="D4135" s="37" t="s">
        <v>1719</v>
      </c>
      <c r="E4135" s="38" t="b">
        <v>0</v>
      </c>
      <c r="F4135" s="27" t="str">
        <f>HYPERLINK("http://nsgreg.nga.mil/genc/view?v=211610&amp;end_month=12&amp;end_day=31&amp;end_year=2014","Castellón")</f>
        <v>Castellón</v>
      </c>
      <c r="G4135" s="28" t="str">
        <f>HYPERLINK("http://api.nsgreg.nga.mil/geo-division/GENC/6/ed3/ES-CS","as:GENC:6:ed3:ES-CS")</f>
        <v>as:GENC:6:ed3:ES-CS</v>
      </c>
    </row>
    <row r="4136" spans="1:7" x14ac:dyDescent="0.2">
      <c r="A4136" s="85"/>
      <c r="B4136" s="25" t="s">
        <v>9806</v>
      </c>
      <c r="C4136" s="25" t="s">
        <v>13662</v>
      </c>
      <c r="D4136" s="25" t="s">
        <v>9777</v>
      </c>
      <c r="E4136" s="26" t="b">
        <v>1</v>
      </c>
      <c r="F4136" s="27" t="str">
        <f>HYPERLINK("http://nsgreg.nga.mil/genc/view?v=211608&amp;end_month=12&amp;end_day=31&amp;end_year=2014","Castille-La Mancha")</f>
        <v>Castille-La Mancha</v>
      </c>
      <c r="G4136" s="28" t="str">
        <f>HYPERLINK("http://api.nsgreg.nga.mil/geo-division/GENC/6/ed3/ES-CM","as:GENC:6:ed3:ES-CM")</f>
        <v>as:GENC:6:ed3:ES-CM</v>
      </c>
    </row>
    <row r="4137" spans="1:7" x14ac:dyDescent="0.2">
      <c r="A4137" s="85"/>
      <c r="B4137" s="25" t="s">
        <v>9804</v>
      </c>
      <c r="C4137" s="25" t="s">
        <v>13663</v>
      </c>
      <c r="D4137" s="25" t="s">
        <v>9777</v>
      </c>
      <c r="E4137" s="26" t="b">
        <v>1</v>
      </c>
      <c r="F4137" s="27" t="str">
        <f>HYPERLINK("http://nsgreg.nga.mil/genc/view?v=211607&amp;end_month=12&amp;end_day=31&amp;end_year=2014","Castille-Leon")</f>
        <v>Castille-Leon</v>
      </c>
      <c r="G4137" s="28" t="str">
        <f>HYPERLINK("http://api.nsgreg.nga.mil/geo-division/GENC/6/ed3/ES-CL","as:GENC:6:ed3:ES-CL")</f>
        <v>as:GENC:6:ed3:ES-CL</v>
      </c>
    </row>
    <row r="4138" spans="1:7" x14ac:dyDescent="0.2">
      <c r="A4138" s="85"/>
      <c r="B4138" s="25" t="s">
        <v>9808</v>
      </c>
      <c r="C4138" s="25" t="s">
        <v>13664</v>
      </c>
      <c r="D4138" s="25" t="s">
        <v>9777</v>
      </c>
      <c r="E4138" s="26" t="b">
        <v>1</v>
      </c>
      <c r="F4138" s="27" t="str">
        <f>HYPERLINK("http://nsgreg.nga.mil/genc/view?v=211611&amp;end_month=12&amp;end_day=31&amp;end_year=2014","Catalonia")</f>
        <v>Catalonia</v>
      </c>
      <c r="G4138" s="28" t="str">
        <f>HYPERLINK("http://api.nsgreg.nga.mil/geo-division/GENC/6/ed3/ES-CT","as:GENC:6:ed3:ES-CT")</f>
        <v>as:GENC:6:ed3:ES-CT</v>
      </c>
    </row>
    <row r="4139" spans="1:7" x14ac:dyDescent="0.2">
      <c r="A4139" s="85"/>
      <c r="B4139" s="25" t="s">
        <v>9810</v>
      </c>
      <c r="C4139" s="25" t="s">
        <v>9811</v>
      </c>
      <c r="D4139" s="25" t="s">
        <v>8770</v>
      </c>
      <c r="E4139" s="26" t="b">
        <v>1</v>
      </c>
      <c r="F4139" s="27" t="str">
        <f>HYPERLINK("http://nsgreg.nga.mil/genc/view?v=211606&amp;end_month=12&amp;end_day=31&amp;end_year=2014","Ceuta")</f>
        <v>Ceuta</v>
      </c>
      <c r="G4139" s="28" t="str">
        <f>HYPERLINK("http://api.nsgreg.nga.mil/geo-division/GENC/6/ed3/ES-CE","as:GENC:6:ed3:ES-CE")</f>
        <v>as:GENC:6:ed3:ES-CE</v>
      </c>
    </row>
    <row r="4140" spans="1:7" x14ac:dyDescent="0.2">
      <c r="A4140" s="85"/>
      <c r="B4140" s="25" t="s">
        <v>9813</v>
      </c>
      <c r="C4140" s="25" t="s">
        <v>9814</v>
      </c>
      <c r="D4140" s="37" t="s">
        <v>1719</v>
      </c>
      <c r="E4140" s="38" t="b">
        <v>0</v>
      </c>
      <c r="F4140" s="27" t="str">
        <f>HYPERLINK("http://nsgreg.nga.mil/genc/view?v=118978&amp;gencs=T&amp;end_month=12&amp;end_day=31&amp;end_year=2014","Ciudad Real")</f>
        <v>Ciudad Real</v>
      </c>
      <c r="G4140" s="28" t="str">
        <f>HYPERLINK("http://api.nsgreg.nga.mil/geo-division/GENC/6/ed3/ES-CR","as:GENC:6:ed3:ES-CR")</f>
        <v>as:GENC:6:ed3:ES-CR</v>
      </c>
    </row>
    <row r="4141" spans="1:7" x14ac:dyDescent="0.2">
      <c r="A4141" s="85"/>
      <c r="B4141" s="25" t="s">
        <v>9821</v>
      </c>
      <c r="C4141" s="25" t="s">
        <v>2050</v>
      </c>
      <c r="D4141" s="37" t="s">
        <v>1719</v>
      </c>
      <c r="E4141" s="38" t="b">
        <v>0</v>
      </c>
      <c r="F4141" s="27" t="str">
        <f>HYPERLINK("http://nsgreg.nga.mil/genc/view?v=118977&amp;gencs=T&amp;end_month=12&amp;end_day=31&amp;end_year=2014","Córdoba")</f>
        <v>Córdoba</v>
      </c>
      <c r="G4141" s="28" t="str">
        <f>HYPERLINK("http://api.nsgreg.nga.mil/geo-division/GENC/6/ed3/ES-CO","as:GENC:6:ed3:ES-CO")</f>
        <v>as:GENC:6:ed3:ES-CO</v>
      </c>
    </row>
    <row r="4142" spans="1:7" x14ac:dyDescent="0.2">
      <c r="A4142" s="85"/>
      <c r="B4142" s="25" t="s">
        <v>9815</v>
      </c>
      <c r="C4142" s="25" t="s">
        <v>9816</v>
      </c>
      <c r="D4142" s="37" t="s">
        <v>1719</v>
      </c>
      <c r="E4142" s="38" t="b">
        <v>0</v>
      </c>
      <c r="F4142" s="27" t="str">
        <f>HYPERLINK("http://nsgreg.nga.mil/genc/view?v=118981&amp;gencs=T&amp;end_month=12&amp;end_day=31&amp;end_year=2014","Cuenca")</f>
        <v>Cuenca</v>
      </c>
      <c r="G4142" s="28" t="str">
        <f>HYPERLINK("http://api.nsgreg.nga.mil/geo-division/GENC/6/ed3/ES-CU","as:GENC:6:ed3:ES-CU")</f>
        <v>as:GENC:6:ed3:ES-CU</v>
      </c>
    </row>
    <row r="4143" spans="1:7" x14ac:dyDescent="0.2">
      <c r="A4143" s="85"/>
      <c r="B4143" s="25" t="s">
        <v>9824</v>
      </c>
      <c r="C4143" s="25" t="s">
        <v>9825</v>
      </c>
      <c r="D4143" s="25" t="s">
        <v>9777</v>
      </c>
      <c r="E4143" s="26" t="b">
        <v>1</v>
      </c>
      <c r="F4143" s="27" t="str">
        <f>HYPERLINK("http://nsgreg.nga.mil/genc/view?v=118982&amp;gencs=T&amp;end_month=12&amp;end_day=31&amp;end_year=2014","Extremadura")</f>
        <v>Extremadura</v>
      </c>
      <c r="G4143" s="28" t="str">
        <f>HYPERLINK("http://api.nsgreg.nga.mil/geo-division/GENC/6/ed3/ES-EX","as:GENC:6:ed3:ES-EX")</f>
        <v>as:GENC:6:ed3:ES-EX</v>
      </c>
    </row>
    <row r="4144" spans="1:7" x14ac:dyDescent="0.2">
      <c r="A4144" s="85"/>
      <c r="B4144" s="25" t="s">
        <v>9826</v>
      </c>
      <c r="C4144" s="25" t="s">
        <v>9827</v>
      </c>
      <c r="D4144" s="25" t="s">
        <v>9777</v>
      </c>
      <c r="E4144" s="26" t="b">
        <v>1</v>
      </c>
      <c r="F4144" s="27" t="str">
        <f>HYPERLINK("http://nsgreg.nga.mil/genc/view?v=211612&amp;end_month=12&amp;end_day=31&amp;end_year=2014","Galicia")</f>
        <v>Galicia</v>
      </c>
      <c r="G4144" s="28" t="str">
        <f>HYPERLINK("http://api.nsgreg.nga.mil/geo-division/GENC/6/ed3/ES-GA","as:GENC:6:ed3:ES-GA")</f>
        <v>as:GENC:6:ed3:ES-GA</v>
      </c>
    </row>
    <row r="4145" spans="1:7" x14ac:dyDescent="0.2">
      <c r="A4145" s="85"/>
      <c r="B4145" s="25" t="s">
        <v>9830</v>
      </c>
      <c r="C4145" s="25" t="s">
        <v>13665</v>
      </c>
      <c r="D4145" s="37" t="s">
        <v>1719</v>
      </c>
      <c r="E4145" s="38" t="b">
        <v>0</v>
      </c>
      <c r="F4145" s="27" t="str">
        <f>HYPERLINK("http://nsgreg.nga.mil/genc/view?v=211613&amp;end_month=12&amp;end_day=31&amp;end_year=2014","Gerona")</f>
        <v>Gerona</v>
      </c>
      <c r="G4145" s="28" t="str">
        <f>HYPERLINK("http://api.nsgreg.nga.mil/geo-division/GENC/6/ed3/ES-GI","as:GENC:6:ed3:ES-GI")</f>
        <v>as:GENC:6:ed3:ES-GI</v>
      </c>
    </row>
    <row r="4146" spans="1:7" x14ac:dyDescent="0.2">
      <c r="A4146" s="85"/>
      <c r="B4146" s="25" t="s">
        <v>9832</v>
      </c>
      <c r="C4146" s="25" t="s">
        <v>7791</v>
      </c>
      <c r="D4146" s="37" t="s">
        <v>1719</v>
      </c>
      <c r="E4146" s="38" t="b">
        <v>0</v>
      </c>
      <c r="F4146" s="27" t="str">
        <f>HYPERLINK("http://nsgreg.nga.mil/genc/view?v=118986&amp;gencs=T&amp;end_month=12&amp;end_day=31&amp;end_year=2014","Granada")</f>
        <v>Granada</v>
      </c>
      <c r="G4146" s="28" t="str">
        <f>HYPERLINK("http://api.nsgreg.nga.mil/geo-division/GENC/6/ed3/ES-GR","as:GENC:6:ed3:ES-GR")</f>
        <v>as:GENC:6:ed3:ES-GR</v>
      </c>
    </row>
    <row r="4147" spans="1:7" x14ac:dyDescent="0.2">
      <c r="A4147" s="85"/>
      <c r="B4147" s="25" t="s">
        <v>9833</v>
      </c>
      <c r="C4147" s="25" t="s">
        <v>9834</v>
      </c>
      <c r="D4147" s="37" t="s">
        <v>1719</v>
      </c>
      <c r="E4147" s="38" t="b">
        <v>0</v>
      </c>
      <c r="F4147" s="27" t="str">
        <f>HYPERLINK("http://nsgreg.nga.mil/genc/view?v=118987&amp;gencs=T&amp;end_month=12&amp;end_day=31&amp;end_year=2014","Guadalajara")</f>
        <v>Guadalajara</v>
      </c>
      <c r="G4147" s="28" t="str">
        <f>HYPERLINK("http://api.nsgreg.nga.mil/geo-division/GENC/6/ed3/ES-GU","as:GENC:6:ed3:ES-GU")</f>
        <v>as:GENC:6:ed3:ES-GU</v>
      </c>
    </row>
    <row r="4148" spans="1:7" x14ac:dyDescent="0.2">
      <c r="A4148" s="85"/>
      <c r="B4148" s="25" t="s">
        <v>9828</v>
      </c>
      <c r="C4148" s="25" t="s">
        <v>9835</v>
      </c>
      <c r="D4148" s="37" t="s">
        <v>1719</v>
      </c>
      <c r="E4148" s="38" t="b">
        <v>0</v>
      </c>
      <c r="F4148" s="27" t="str">
        <f>HYPERLINK("http://nsgreg.nga.mil/genc/view?v=211626&amp;end_month=12&amp;end_day=31&amp;end_year=2014","Guipúzcoa")</f>
        <v>Guipúzcoa</v>
      </c>
      <c r="G4148" s="28" t="str">
        <f>HYPERLINK("http://api.nsgreg.nga.mil/geo-division/GENC/6/ed3/ES-SS","as:GENC:6:ed3:ES-SS")</f>
        <v>as:GENC:6:ed3:ES-SS</v>
      </c>
    </row>
    <row r="4149" spans="1:7" x14ac:dyDescent="0.2">
      <c r="A4149" s="85"/>
      <c r="B4149" s="25" t="s">
        <v>9836</v>
      </c>
      <c r="C4149" s="25" t="s">
        <v>9837</v>
      </c>
      <c r="D4149" s="37" t="s">
        <v>1719</v>
      </c>
      <c r="E4149" s="38" t="b">
        <v>0</v>
      </c>
      <c r="F4149" s="27" t="str">
        <f>HYPERLINK("http://nsgreg.nga.mil/genc/view?v=118988&amp;gencs=T&amp;end_month=12&amp;end_day=31&amp;end_year=2014","Huelva")</f>
        <v>Huelva</v>
      </c>
      <c r="G4149" s="28" t="str">
        <f>HYPERLINK("http://api.nsgreg.nga.mil/geo-division/GENC/6/ed3/ES-H","as:GENC:6:ed3:ES-H")</f>
        <v>as:GENC:6:ed3:ES-H</v>
      </c>
    </row>
    <row r="4150" spans="1:7" x14ac:dyDescent="0.2">
      <c r="A4150" s="85"/>
      <c r="B4150" s="25" t="s">
        <v>9838</v>
      </c>
      <c r="C4150" s="25" t="s">
        <v>9839</v>
      </c>
      <c r="D4150" s="37" t="s">
        <v>1719</v>
      </c>
      <c r="E4150" s="38" t="b">
        <v>0</v>
      </c>
      <c r="F4150" s="27" t="str">
        <f>HYPERLINK("http://nsgreg.nga.mil/genc/view?v=118989&amp;gencs=T&amp;end_month=12&amp;end_day=31&amp;end_year=2014","Huesca")</f>
        <v>Huesca</v>
      </c>
      <c r="G4150" s="28" t="str">
        <f>HYPERLINK("http://api.nsgreg.nga.mil/geo-division/GENC/6/ed3/ES-HU","as:GENC:6:ed3:ES-HU")</f>
        <v>as:GENC:6:ed3:ES-HU</v>
      </c>
    </row>
    <row r="4151" spans="1:7" x14ac:dyDescent="0.2">
      <c r="A4151" s="85"/>
      <c r="B4151" s="25" t="s">
        <v>9842</v>
      </c>
      <c r="C4151" s="25" t="s">
        <v>9843</v>
      </c>
      <c r="D4151" s="37" t="s">
        <v>1719</v>
      </c>
      <c r="E4151" s="38" t="b">
        <v>0</v>
      </c>
      <c r="F4151" s="27" t="str">
        <f>HYPERLINK("http://nsgreg.nga.mil/genc/view?v=118991&amp;gencs=T&amp;end_month=12&amp;end_day=31&amp;end_year=2014","Jaén")</f>
        <v>Jaén</v>
      </c>
      <c r="G4151" s="28" t="str">
        <f>HYPERLINK("http://api.nsgreg.nga.mil/geo-division/GENC/6/ed3/ES-J","as:GENC:6:ed3:ES-J")</f>
        <v>as:GENC:6:ed3:ES-J</v>
      </c>
    </row>
    <row r="4152" spans="1:7" x14ac:dyDescent="0.2">
      <c r="A4152" s="85"/>
      <c r="B4152" s="25" t="s">
        <v>9845</v>
      </c>
      <c r="C4152" s="25" t="s">
        <v>2060</v>
      </c>
      <c r="D4152" s="25" t="s">
        <v>9777</v>
      </c>
      <c r="E4152" s="26" t="b">
        <v>1</v>
      </c>
      <c r="F4152" s="27" t="str">
        <f>HYPERLINK("http://nsgreg.nga.mil/genc/view?v=119010&amp;gencs=T&amp;end_month=12&amp;end_day=31&amp;end_year=2014","La Rioja")</f>
        <v>La Rioja</v>
      </c>
      <c r="G4152" s="28" t="str">
        <f>HYPERLINK("http://api.nsgreg.nga.mil/geo-division/GENC/6/ed3/ES-RI","as:GENC:6:ed3:ES-RI")</f>
        <v>as:GENC:6:ed3:ES-RI</v>
      </c>
    </row>
    <row r="4153" spans="1:7" x14ac:dyDescent="0.2">
      <c r="A4153" s="85"/>
      <c r="B4153" s="25" t="s">
        <v>9844</v>
      </c>
      <c r="C4153" s="25" t="s">
        <v>2060</v>
      </c>
      <c r="D4153" s="37" t="s">
        <v>1719</v>
      </c>
      <c r="E4153" s="38" t="b">
        <v>0</v>
      </c>
      <c r="F4153" s="27" t="str">
        <f>HYPERLINK("http://nsgreg.nga.mil/genc/view?v=118994&amp;gencs=T&amp;end_month=12&amp;end_day=31&amp;end_year=2014","La Rioja")</f>
        <v>La Rioja</v>
      </c>
      <c r="G4153" s="28" t="str">
        <f>HYPERLINK("http://api.nsgreg.nga.mil/geo-division/GENC/6/ed3/ES-LO","as:GENC:6:ed3:ES-LO")</f>
        <v>as:GENC:6:ed3:ES-LO</v>
      </c>
    </row>
    <row r="4154" spans="1:7" x14ac:dyDescent="0.2">
      <c r="A4154" s="85"/>
      <c r="B4154" s="25" t="s">
        <v>9846</v>
      </c>
      <c r="C4154" s="25" t="s">
        <v>9847</v>
      </c>
      <c r="D4154" s="37" t="s">
        <v>1719</v>
      </c>
      <c r="E4154" s="38" t="b">
        <v>0</v>
      </c>
      <c r="F4154" s="27" t="str">
        <f>HYPERLINK("http://nsgreg.nga.mil/genc/view?v=118984&amp;gencs=T&amp;end_month=12&amp;end_day=31&amp;end_year=2014","Las Palmas")</f>
        <v>Las Palmas</v>
      </c>
      <c r="G4154" s="28" t="str">
        <f>HYPERLINK("http://api.nsgreg.nga.mil/geo-division/GENC/6/ed3/ES-GC","as:GENC:6:ed3:ES-GC")</f>
        <v>as:GENC:6:ed3:ES-GC</v>
      </c>
    </row>
    <row r="4155" spans="1:7" x14ac:dyDescent="0.2">
      <c r="A4155" s="85"/>
      <c r="B4155" s="25" t="s">
        <v>9848</v>
      </c>
      <c r="C4155" s="25" t="s">
        <v>7795</v>
      </c>
      <c r="D4155" s="37" t="s">
        <v>1719</v>
      </c>
      <c r="E4155" s="38" t="b">
        <v>0</v>
      </c>
      <c r="F4155" s="27" t="str">
        <f>HYPERLINK("http://nsgreg.nga.mil/genc/view?v=118993&amp;gencs=T&amp;end_month=12&amp;end_day=31&amp;end_year=2014","León")</f>
        <v>León</v>
      </c>
      <c r="G4155" s="28" t="str">
        <f>HYPERLINK("http://api.nsgreg.nga.mil/geo-division/GENC/6/ed3/ES-LE","as:GENC:6:ed3:ES-LE")</f>
        <v>as:GENC:6:ed3:ES-LE</v>
      </c>
    </row>
    <row r="4156" spans="1:7" x14ac:dyDescent="0.2">
      <c r="A4156" s="85"/>
      <c r="B4156" s="25" t="s">
        <v>9849</v>
      </c>
      <c r="C4156" s="25" t="s">
        <v>13666</v>
      </c>
      <c r="D4156" s="37" t="s">
        <v>1719</v>
      </c>
      <c r="E4156" s="38" t="b">
        <v>0</v>
      </c>
      <c r="F4156" s="27" t="str">
        <f>HYPERLINK("http://nsgreg.nga.mil/genc/view?v=211615&amp;end_month=12&amp;end_day=31&amp;end_year=2014","Lérida")</f>
        <v>Lérida</v>
      </c>
      <c r="G4156" s="28" t="str">
        <f>HYPERLINK("http://api.nsgreg.nga.mil/geo-division/GENC/6/ed3/ES-L","as:GENC:6:ed3:ES-L")</f>
        <v>as:GENC:6:ed3:ES-L</v>
      </c>
    </row>
    <row r="4157" spans="1:7" x14ac:dyDescent="0.2">
      <c r="A4157" s="85"/>
      <c r="B4157" s="25" t="s">
        <v>9851</v>
      </c>
      <c r="C4157" s="25" t="s">
        <v>9852</v>
      </c>
      <c r="D4157" s="37" t="s">
        <v>1719</v>
      </c>
      <c r="E4157" s="38" t="b">
        <v>0</v>
      </c>
      <c r="F4157" s="27" t="str">
        <f>HYPERLINK("http://nsgreg.nga.mil/genc/view?v=211616&amp;end_month=12&amp;end_day=31&amp;end_year=2014","Lugo")</f>
        <v>Lugo</v>
      </c>
      <c r="G4157" s="28" t="str">
        <f>HYPERLINK("http://api.nsgreg.nga.mil/geo-division/GENC/6/ed3/ES-LU","as:GENC:6:ed3:ES-LU")</f>
        <v>as:GENC:6:ed3:ES-LU</v>
      </c>
    </row>
    <row r="4158" spans="1:7" x14ac:dyDescent="0.2">
      <c r="A4158" s="85"/>
      <c r="B4158" s="25" t="s">
        <v>9855</v>
      </c>
      <c r="C4158" s="25" t="s">
        <v>9854</v>
      </c>
      <c r="D4158" s="25" t="s">
        <v>9777</v>
      </c>
      <c r="E4158" s="26" t="b">
        <v>1</v>
      </c>
      <c r="F4158" s="27" t="str">
        <f>HYPERLINK("http://nsgreg.nga.mil/genc/view?v=211618&amp;end_month=12&amp;end_day=31&amp;end_year=2014","Madrid")</f>
        <v>Madrid</v>
      </c>
      <c r="G4158" s="28" t="str">
        <f>HYPERLINK("http://api.nsgreg.nga.mil/geo-division/GENC/6/ed3/ES-MD","as:GENC:6:ed3:ES-MD")</f>
        <v>as:GENC:6:ed3:ES-MD</v>
      </c>
    </row>
    <row r="4159" spans="1:7" x14ac:dyDescent="0.2">
      <c r="A4159" s="85"/>
      <c r="B4159" s="25" t="s">
        <v>9853</v>
      </c>
      <c r="C4159" s="25" t="s">
        <v>9854</v>
      </c>
      <c r="D4159" s="37" t="s">
        <v>1719</v>
      </c>
      <c r="E4159" s="38" t="b">
        <v>0</v>
      </c>
      <c r="F4159" s="27" t="str">
        <f>HYPERLINK("http://nsgreg.nga.mil/genc/view?v=118996&amp;gencs=T&amp;end_month=12&amp;end_day=31&amp;end_year=2014","Madrid")</f>
        <v>Madrid</v>
      </c>
      <c r="G4159" s="28" t="str">
        <f>HYPERLINK("http://api.nsgreg.nga.mil/geo-division/GENC/6/ed3/ES-M","as:GENC:6:ed3:ES-M")</f>
        <v>as:GENC:6:ed3:ES-M</v>
      </c>
    </row>
    <row r="4160" spans="1:7" x14ac:dyDescent="0.2">
      <c r="A4160" s="85"/>
      <c r="B4160" s="25" t="s">
        <v>9863</v>
      </c>
      <c r="C4160" s="25" t="s">
        <v>9864</v>
      </c>
      <c r="D4160" s="37" t="s">
        <v>1719</v>
      </c>
      <c r="E4160" s="38" t="b">
        <v>0</v>
      </c>
      <c r="F4160" s="27" t="str">
        <f>HYPERLINK("http://nsgreg.nga.mil/genc/view?v=118997&amp;gencs=T&amp;end_month=12&amp;end_day=31&amp;end_year=2014","Málaga")</f>
        <v>Málaga</v>
      </c>
      <c r="G4160" s="28" t="str">
        <f>HYPERLINK("http://api.nsgreg.nga.mil/geo-division/GENC/6/ed3/ES-MA","as:GENC:6:ed3:ES-MA")</f>
        <v>as:GENC:6:ed3:ES-MA</v>
      </c>
    </row>
    <row r="4161" spans="1:7" x14ac:dyDescent="0.2">
      <c r="A4161" s="85"/>
      <c r="B4161" s="25" t="s">
        <v>9857</v>
      </c>
      <c r="C4161" s="25" t="s">
        <v>9858</v>
      </c>
      <c r="D4161" s="25" t="s">
        <v>8770</v>
      </c>
      <c r="E4161" s="26" t="b">
        <v>1</v>
      </c>
      <c r="F4161" s="27" t="str">
        <f>HYPERLINK("http://nsgreg.nga.mil/genc/view?v=211619&amp;end_month=12&amp;end_day=31&amp;end_year=2014","Melilla")</f>
        <v>Melilla</v>
      </c>
      <c r="G4161" s="28" t="str">
        <f>HYPERLINK("http://api.nsgreg.nga.mil/geo-division/GENC/6/ed3/ES-ML","as:GENC:6:ed3:ES-ML")</f>
        <v>as:GENC:6:ed3:ES-ML</v>
      </c>
    </row>
    <row r="4162" spans="1:7" x14ac:dyDescent="0.2">
      <c r="A4162" s="85"/>
      <c r="B4162" s="25" t="s">
        <v>9861</v>
      </c>
      <c r="C4162" s="25" t="s">
        <v>9860</v>
      </c>
      <c r="D4162" s="25" t="s">
        <v>9777</v>
      </c>
      <c r="E4162" s="26" t="b">
        <v>1</v>
      </c>
      <c r="F4162" s="27" t="str">
        <f>HYPERLINK("http://nsgreg.nga.mil/genc/view?v=211617&amp;end_month=12&amp;end_day=31&amp;end_year=2014","Murcia")</f>
        <v>Murcia</v>
      </c>
      <c r="G4162" s="28" t="str">
        <f>HYPERLINK("http://api.nsgreg.nga.mil/geo-division/GENC/6/ed3/ES-MC","as:GENC:6:ed3:ES-MC")</f>
        <v>as:GENC:6:ed3:ES-MC</v>
      </c>
    </row>
    <row r="4163" spans="1:7" x14ac:dyDescent="0.2">
      <c r="A4163" s="85"/>
      <c r="B4163" s="25" t="s">
        <v>9859</v>
      </c>
      <c r="C4163" s="25" t="s">
        <v>9860</v>
      </c>
      <c r="D4163" s="37" t="s">
        <v>1719</v>
      </c>
      <c r="E4163" s="38" t="b">
        <v>0</v>
      </c>
      <c r="F4163" s="27" t="str">
        <f>HYPERLINK("http://nsgreg.nga.mil/genc/view?v=119001&amp;gencs=T&amp;end_month=12&amp;end_day=31&amp;end_year=2014","Murcia")</f>
        <v>Murcia</v>
      </c>
      <c r="G4163" s="28" t="str">
        <f>HYPERLINK("http://api.nsgreg.nga.mil/geo-division/GENC/6/ed3/ES-MU","as:GENC:6:ed3:ES-MU")</f>
        <v>as:GENC:6:ed3:ES-MU</v>
      </c>
    </row>
    <row r="4164" spans="1:7" x14ac:dyDescent="0.2">
      <c r="A4164" s="85"/>
      <c r="B4164" s="25" t="s">
        <v>9865</v>
      </c>
      <c r="C4164" s="25" t="s">
        <v>9869</v>
      </c>
      <c r="D4164" s="37" t="s">
        <v>1719</v>
      </c>
      <c r="E4164" s="38" t="b">
        <v>0</v>
      </c>
      <c r="F4164" s="27" t="str">
        <f>HYPERLINK("http://nsgreg.nga.mil/genc/view?v=211620&amp;end_month=12&amp;end_day=31&amp;end_year=2014","Navarra")</f>
        <v>Navarra</v>
      </c>
      <c r="G4164" s="28" t="str">
        <f>HYPERLINK("http://api.nsgreg.nga.mil/geo-division/GENC/6/ed3/ES-NA","as:GENC:6:ed3:ES-NA")</f>
        <v>as:GENC:6:ed3:ES-NA</v>
      </c>
    </row>
    <row r="4165" spans="1:7" x14ac:dyDescent="0.2">
      <c r="A4165" s="85"/>
      <c r="B4165" s="25" t="s">
        <v>9867</v>
      </c>
      <c r="C4165" s="25" t="s">
        <v>13667</v>
      </c>
      <c r="D4165" s="25" t="s">
        <v>9777</v>
      </c>
      <c r="E4165" s="26" t="b">
        <v>1</v>
      </c>
      <c r="F4165" s="27" t="str">
        <f>HYPERLINK("http://nsgreg.nga.mil/genc/view?v=211621&amp;end_month=12&amp;end_day=31&amp;end_year=2014","Navarre")</f>
        <v>Navarre</v>
      </c>
      <c r="G4165" s="28" t="str">
        <f>HYPERLINK("http://api.nsgreg.nga.mil/geo-division/GENC/6/ed3/ES-NC","as:GENC:6:ed3:ES-NC")</f>
        <v>as:GENC:6:ed3:ES-NC</v>
      </c>
    </row>
    <row r="4166" spans="1:7" x14ac:dyDescent="0.2">
      <c r="A4166" s="85"/>
      <c r="B4166" s="25" t="s">
        <v>9871</v>
      </c>
      <c r="C4166" s="25" t="s">
        <v>9872</v>
      </c>
      <c r="D4166" s="37" t="s">
        <v>1719</v>
      </c>
      <c r="E4166" s="38" t="b">
        <v>0</v>
      </c>
      <c r="F4166" s="27" t="str">
        <f>HYPERLINK("http://nsgreg.nga.mil/genc/view?v=211622&amp;end_month=12&amp;end_day=31&amp;end_year=2014","Ourense")</f>
        <v>Ourense</v>
      </c>
      <c r="G4166" s="28" t="str">
        <f>HYPERLINK("http://api.nsgreg.nga.mil/geo-division/GENC/6/ed3/ES-OR","as:GENC:6:ed3:ES-OR")</f>
        <v>as:GENC:6:ed3:ES-OR</v>
      </c>
    </row>
    <row r="4167" spans="1:7" x14ac:dyDescent="0.2">
      <c r="A4167" s="85"/>
      <c r="B4167" s="25" t="s">
        <v>9873</v>
      </c>
      <c r="C4167" s="25" t="s">
        <v>9874</v>
      </c>
      <c r="D4167" s="37" t="s">
        <v>1719</v>
      </c>
      <c r="E4167" s="38" t="b">
        <v>0</v>
      </c>
      <c r="F4167" s="27" t="str">
        <f>HYPERLINK("http://nsgreg.nga.mil/genc/view?v=119006&amp;gencs=T&amp;end_month=12&amp;end_day=31&amp;end_year=2014","Palencia")</f>
        <v>Palencia</v>
      </c>
      <c r="G4167" s="28" t="str">
        <f>HYPERLINK("http://api.nsgreg.nga.mil/geo-division/GENC/6/ed3/ES-P","as:GENC:6:ed3:ES-P")</f>
        <v>as:GENC:6:ed3:ES-P</v>
      </c>
    </row>
    <row r="4168" spans="1:7" x14ac:dyDescent="0.2">
      <c r="A4168" s="85"/>
      <c r="B4168" s="25" t="s">
        <v>9876</v>
      </c>
      <c r="C4168" s="25" t="s">
        <v>9877</v>
      </c>
      <c r="D4168" s="37" t="s">
        <v>1719</v>
      </c>
      <c r="E4168" s="38" t="b">
        <v>0</v>
      </c>
      <c r="F4168" s="27" t="str">
        <f>HYPERLINK("http://nsgreg.nga.mil/genc/view?v=211624&amp;end_month=12&amp;end_day=31&amp;end_year=2014","Pontevedra")</f>
        <v>Pontevedra</v>
      </c>
      <c r="G4168" s="28" t="str">
        <f>HYPERLINK("http://api.nsgreg.nga.mil/geo-division/GENC/6/ed3/ES-PO","as:GENC:6:ed3:ES-PO")</f>
        <v>as:GENC:6:ed3:ES-PO</v>
      </c>
    </row>
    <row r="4169" spans="1:7" x14ac:dyDescent="0.2">
      <c r="A4169" s="85"/>
      <c r="B4169" s="25" t="s">
        <v>9878</v>
      </c>
      <c r="C4169" s="25" t="s">
        <v>9879</v>
      </c>
      <c r="D4169" s="37" t="s">
        <v>1719</v>
      </c>
      <c r="E4169" s="38" t="b">
        <v>0</v>
      </c>
      <c r="F4169" s="27" t="str">
        <f>HYPERLINK("http://nsgreg.nga.mil/genc/view?v=119012&amp;gencs=T&amp;end_month=12&amp;end_day=31&amp;end_year=2014","Salamanca")</f>
        <v>Salamanca</v>
      </c>
      <c r="G4169" s="28" t="str">
        <f>HYPERLINK("http://api.nsgreg.nga.mil/geo-division/GENC/6/ed3/ES-SA","as:GENC:6:ed3:ES-SA")</f>
        <v>as:GENC:6:ed3:ES-SA</v>
      </c>
    </row>
    <row r="4170" spans="1:7" x14ac:dyDescent="0.2">
      <c r="A4170" s="85"/>
      <c r="B4170" s="25" t="s">
        <v>9880</v>
      </c>
      <c r="C4170" s="25" t="s">
        <v>9881</v>
      </c>
      <c r="D4170" s="37" t="s">
        <v>1719</v>
      </c>
      <c r="E4170" s="38" t="b">
        <v>0</v>
      </c>
      <c r="F4170" s="27" t="str">
        <f>HYPERLINK("http://nsgreg.nga.mil/genc/view?v=119019&amp;gencs=T&amp;end_month=12&amp;end_day=31&amp;end_year=2014","Santa Cruz de Tenerife")</f>
        <v>Santa Cruz de Tenerife</v>
      </c>
      <c r="G4170" s="28" t="str">
        <f>HYPERLINK("http://api.nsgreg.nga.mil/geo-division/GENC/6/ed3/ES-TF","as:GENC:6:ed3:ES-TF")</f>
        <v>as:GENC:6:ed3:ES-TF</v>
      </c>
    </row>
    <row r="4171" spans="1:7" x14ac:dyDescent="0.2">
      <c r="A4171" s="85"/>
      <c r="B4171" s="25" t="s">
        <v>9882</v>
      </c>
      <c r="C4171" s="25" t="s">
        <v>9883</v>
      </c>
      <c r="D4171" s="37" t="s">
        <v>1719</v>
      </c>
      <c r="E4171" s="38" t="b">
        <v>0</v>
      </c>
      <c r="F4171" s="27" t="str">
        <f>HYPERLINK("http://nsgreg.nga.mil/genc/view?v=119014&amp;gencs=T&amp;end_month=12&amp;end_day=31&amp;end_year=2014","Segovia")</f>
        <v>Segovia</v>
      </c>
      <c r="G4171" s="28" t="str">
        <f>HYPERLINK("http://api.nsgreg.nga.mil/geo-division/GENC/6/ed3/ES-SG","as:GENC:6:ed3:ES-SG")</f>
        <v>as:GENC:6:ed3:ES-SG</v>
      </c>
    </row>
    <row r="4172" spans="1:7" x14ac:dyDescent="0.2">
      <c r="A4172" s="85"/>
      <c r="B4172" s="25" t="s">
        <v>9884</v>
      </c>
      <c r="C4172" s="25" t="s">
        <v>9885</v>
      </c>
      <c r="D4172" s="37" t="s">
        <v>1719</v>
      </c>
      <c r="E4172" s="38" t="b">
        <v>0</v>
      </c>
      <c r="F4172" s="27" t="str">
        <f>HYPERLINK("http://nsgreg.nga.mil/genc/view?v=119013&amp;gencs=T&amp;end_month=12&amp;end_day=31&amp;end_year=2014","Sevilla")</f>
        <v>Sevilla</v>
      </c>
      <c r="G4172" s="28" t="str">
        <f>HYPERLINK("http://api.nsgreg.nga.mil/geo-division/GENC/6/ed3/ES-SE","as:GENC:6:ed3:ES-SE")</f>
        <v>as:GENC:6:ed3:ES-SE</v>
      </c>
    </row>
    <row r="4173" spans="1:7" x14ac:dyDescent="0.2">
      <c r="A4173" s="85"/>
      <c r="B4173" s="25" t="s">
        <v>9886</v>
      </c>
      <c r="C4173" s="25" t="s">
        <v>9887</v>
      </c>
      <c r="D4173" s="37" t="s">
        <v>1719</v>
      </c>
      <c r="E4173" s="38" t="b">
        <v>0</v>
      </c>
      <c r="F4173" s="27" t="str">
        <f>HYPERLINK("http://nsgreg.nga.mil/genc/view?v=119015&amp;gencs=T&amp;end_month=12&amp;end_day=31&amp;end_year=2014","Soria")</f>
        <v>Soria</v>
      </c>
      <c r="G4173" s="28" t="str">
        <f>HYPERLINK("http://api.nsgreg.nga.mil/geo-division/GENC/6/ed3/ES-SO","as:GENC:6:ed3:ES-SO")</f>
        <v>as:GENC:6:ed3:ES-SO</v>
      </c>
    </row>
    <row r="4174" spans="1:7" x14ac:dyDescent="0.2">
      <c r="A4174" s="85"/>
      <c r="B4174" s="25" t="s">
        <v>9888</v>
      </c>
      <c r="C4174" s="25" t="s">
        <v>9889</v>
      </c>
      <c r="D4174" s="37" t="s">
        <v>1719</v>
      </c>
      <c r="E4174" s="38" t="b">
        <v>0</v>
      </c>
      <c r="F4174" s="27" t="str">
        <f>HYPERLINK("http://nsgreg.nga.mil/genc/view?v=211627&amp;end_month=12&amp;end_day=31&amp;end_year=2014","Tarragona")</f>
        <v>Tarragona</v>
      </c>
      <c r="G4174" s="28" t="str">
        <f>HYPERLINK("http://api.nsgreg.nga.mil/geo-division/GENC/6/ed3/ES-T","as:GENC:6:ed3:ES-T")</f>
        <v>as:GENC:6:ed3:ES-T</v>
      </c>
    </row>
    <row r="4175" spans="1:7" x14ac:dyDescent="0.2">
      <c r="A4175" s="85"/>
      <c r="B4175" s="25" t="s">
        <v>9890</v>
      </c>
      <c r="C4175" s="25" t="s">
        <v>9891</v>
      </c>
      <c r="D4175" s="37" t="s">
        <v>1719</v>
      </c>
      <c r="E4175" s="38" t="b">
        <v>0</v>
      </c>
      <c r="F4175" s="27" t="str">
        <f>HYPERLINK("http://nsgreg.nga.mil/genc/view?v=119018&amp;gencs=T&amp;end_month=12&amp;end_day=31&amp;end_year=2014","Teruel")</f>
        <v>Teruel</v>
      </c>
      <c r="G4175" s="28" t="str">
        <f>HYPERLINK("http://api.nsgreg.nga.mil/geo-division/GENC/6/ed3/ES-TE","as:GENC:6:ed3:ES-TE")</f>
        <v>as:GENC:6:ed3:ES-TE</v>
      </c>
    </row>
    <row r="4176" spans="1:7" x14ac:dyDescent="0.2">
      <c r="A4176" s="85"/>
      <c r="B4176" s="25" t="s">
        <v>9892</v>
      </c>
      <c r="C4176" s="25" t="s">
        <v>2587</v>
      </c>
      <c r="D4176" s="37" t="s">
        <v>1719</v>
      </c>
      <c r="E4176" s="38" t="b">
        <v>0</v>
      </c>
      <c r="F4176" s="27" t="str">
        <f>HYPERLINK("http://nsgreg.nga.mil/genc/view?v=119020&amp;gencs=T&amp;end_month=12&amp;end_day=31&amp;end_year=2014","Toledo")</f>
        <v>Toledo</v>
      </c>
      <c r="G4176" s="28" t="str">
        <f>HYPERLINK("http://api.nsgreg.nga.mil/geo-division/GENC/6/ed3/ES-TO","as:GENC:6:ed3:ES-TO")</f>
        <v>as:GENC:6:ed3:ES-TO</v>
      </c>
    </row>
    <row r="4177" spans="1:7" x14ac:dyDescent="0.2">
      <c r="A4177" s="85"/>
      <c r="B4177" s="25" t="s">
        <v>9895</v>
      </c>
      <c r="C4177" s="25" t="s">
        <v>9894</v>
      </c>
      <c r="D4177" s="25" t="s">
        <v>9777</v>
      </c>
      <c r="E4177" s="26" t="b">
        <v>1</v>
      </c>
      <c r="F4177" s="27" t="str">
        <f>HYPERLINK("http://nsgreg.nga.mil/genc/view?v=211629&amp;end_month=12&amp;end_day=31&amp;end_year=2014","Valencia")</f>
        <v>Valencia</v>
      </c>
      <c r="G4177" s="28" t="str">
        <f>HYPERLINK("http://api.nsgreg.nga.mil/geo-division/GENC/6/ed3/ES-VC","as:GENC:6:ed3:ES-VC")</f>
        <v>as:GENC:6:ed3:ES-VC</v>
      </c>
    </row>
    <row r="4178" spans="1:7" x14ac:dyDescent="0.2">
      <c r="A4178" s="85"/>
      <c r="B4178" s="25" t="s">
        <v>9893</v>
      </c>
      <c r="C4178" s="25" t="s">
        <v>9894</v>
      </c>
      <c r="D4178" s="37" t="s">
        <v>1719</v>
      </c>
      <c r="E4178" s="38" t="b">
        <v>0</v>
      </c>
      <c r="F4178" s="27" t="str">
        <f>HYPERLINK("http://nsgreg.nga.mil/genc/view?v=211628&amp;end_month=12&amp;end_day=31&amp;end_year=2014","Valencia")</f>
        <v>Valencia</v>
      </c>
      <c r="G4178" s="28" t="str">
        <f>HYPERLINK("http://api.nsgreg.nga.mil/geo-division/GENC/6/ed3/ES-V","as:GENC:6:ed3:ES-V")</f>
        <v>as:GENC:6:ed3:ES-V</v>
      </c>
    </row>
    <row r="4179" spans="1:7" x14ac:dyDescent="0.2">
      <c r="A4179" s="85"/>
      <c r="B4179" s="25" t="s">
        <v>9898</v>
      </c>
      <c r="C4179" s="25" t="s">
        <v>9899</v>
      </c>
      <c r="D4179" s="37" t="s">
        <v>1719</v>
      </c>
      <c r="E4179" s="38" t="b">
        <v>0</v>
      </c>
      <c r="F4179" s="27" t="str">
        <f>HYPERLINK("http://nsgreg.nga.mil/genc/view?v=119022&amp;gencs=T&amp;end_month=12&amp;end_day=31&amp;end_year=2014","Valladolid")</f>
        <v>Valladolid</v>
      </c>
      <c r="G4179" s="28" t="str">
        <f>HYPERLINK("http://api.nsgreg.nga.mil/geo-division/GENC/6/ed3/ES-VA","as:GENC:6:ed3:ES-VA")</f>
        <v>as:GENC:6:ed3:ES-VA</v>
      </c>
    </row>
    <row r="4180" spans="1:7" x14ac:dyDescent="0.2">
      <c r="A4180" s="85"/>
      <c r="B4180" s="25" t="s">
        <v>9792</v>
      </c>
      <c r="C4180" s="25" t="s">
        <v>9901</v>
      </c>
      <c r="D4180" s="37" t="s">
        <v>1719</v>
      </c>
      <c r="E4180" s="38" t="b">
        <v>0</v>
      </c>
      <c r="F4180" s="27" t="str">
        <f>HYPERLINK("http://nsgreg.nga.mil/genc/view?v=211604&amp;end_month=12&amp;end_day=31&amp;end_year=2014","Vizcaya")</f>
        <v>Vizcaya</v>
      </c>
      <c r="G4180" s="28" t="str">
        <f>HYPERLINK("http://api.nsgreg.nga.mil/geo-division/GENC/6/ed3/ES-BI","as:GENC:6:ed3:ES-BI")</f>
        <v>as:GENC:6:ed3:ES-BI</v>
      </c>
    </row>
    <row r="4181" spans="1:7" x14ac:dyDescent="0.2">
      <c r="A4181" s="85"/>
      <c r="B4181" s="25" t="s">
        <v>9902</v>
      </c>
      <c r="C4181" s="25" t="s">
        <v>9903</v>
      </c>
      <c r="D4181" s="37" t="s">
        <v>1719</v>
      </c>
      <c r="E4181" s="38" t="b">
        <v>0</v>
      </c>
      <c r="F4181" s="27" t="str">
        <f>HYPERLINK("http://nsgreg.nga.mil/genc/view?v=119026&amp;gencs=T&amp;end_month=12&amp;end_day=31&amp;end_year=2014","Zamora")</f>
        <v>Zamora</v>
      </c>
      <c r="G4181" s="28" t="str">
        <f>HYPERLINK("http://api.nsgreg.nga.mil/geo-division/GENC/6/ed3/ES-ZA","as:GENC:6:ed3:ES-ZA")</f>
        <v>as:GENC:6:ed3:ES-ZA</v>
      </c>
    </row>
    <row r="4182" spans="1:7" x14ac:dyDescent="0.2">
      <c r="A4182" s="86"/>
      <c r="B4182" s="29" t="s">
        <v>9904</v>
      </c>
      <c r="C4182" s="29" t="s">
        <v>9905</v>
      </c>
      <c r="D4182" s="39" t="s">
        <v>1719</v>
      </c>
      <c r="E4182" s="40" t="b">
        <v>0</v>
      </c>
      <c r="F4182" s="31" t="str">
        <f>HYPERLINK("http://nsgreg.nga.mil/genc/view?v=119025&amp;gencs=T&amp;end_month=12&amp;end_day=31&amp;end_year=2014","Zaragoza")</f>
        <v>Zaragoza</v>
      </c>
      <c r="G4182" s="32" t="str">
        <f>HYPERLINK("http://api.nsgreg.nga.mil/geo-division/GENC/6/ed3/ES-Z","as:GENC:6:ed3:ES-Z")</f>
        <v>as:GENC:6:ed3:ES-Z</v>
      </c>
    </row>
    <row r="4183" spans="1:7" x14ac:dyDescent="0.2">
      <c r="A4183" s="84" t="str">
        <f>HYPERLINK("[#]Codes_for_GE_Names!A240:I240","SRI LANKA")</f>
        <v>SRI LANKA</v>
      </c>
      <c r="B4183" s="33" t="s">
        <v>9923</v>
      </c>
      <c r="C4183" s="33" t="s">
        <v>13668</v>
      </c>
      <c r="D4183" s="41" t="s">
        <v>1790</v>
      </c>
      <c r="E4183" s="42" t="b">
        <v>0</v>
      </c>
      <c r="F4183" s="35" t="str">
        <f>HYPERLINK("http://nsgreg.nga.mil/genc/view?v=212252&amp;end_month=12&amp;end_day=31&amp;end_year=2014","Ampara")</f>
        <v>Ampara</v>
      </c>
      <c r="G4183" s="36" t="str">
        <f>HYPERLINK("http://api.nsgreg.nga.mil/geo-division/GENC/6/ed3/LK-52","as:GENC:6:ed3:LK-52")</f>
        <v>as:GENC:6:ed3:LK-52</v>
      </c>
    </row>
    <row r="4184" spans="1:7" x14ac:dyDescent="0.2">
      <c r="A4184" s="85"/>
      <c r="B4184" s="25" t="s">
        <v>9926</v>
      </c>
      <c r="C4184" s="25" t="s">
        <v>13669</v>
      </c>
      <c r="D4184" s="37" t="s">
        <v>1790</v>
      </c>
      <c r="E4184" s="38" t="b">
        <v>0</v>
      </c>
      <c r="F4184" s="27" t="str">
        <f>HYPERLINK("http://nsgreg.nga.mil/genc/view?v=212258&amp;end_month=12&amp;end_day=31&amp;end_year=2014","Anuradhapura")</f>
        <v>Anuradhapura</v>
      </c>
      <c r="G4184" s="28" t="str">
        <f>HYPERLINK("http://api.nsgreg.nga.mil/geo-division/GENC/6/ed3/LK-71","as:GENC:6:ed3:LK-71")</f>
        <v>as:GENC:6:ed3:LK-71</v>
      </c>
    </row>
    <row r="4185" spans="1:7" x14ac:dyDescent="0.2">
      <c r="A4185" s="85"/>
      <c r="B4185" s="25" t="s">
        <v>9929</v>
      </c>
      <c r="C4185" s="25" t="s">
        <v>9930</v>
      </c>
      <c r="D4185" s="37" t="s">
        <v>1790</v>
      </c>
      <c r="E4185" s="38" t="b">
        <v>0</v>
      </c>
      <c r="F4185" s="27" t="str">
        <f>HYPERLINK("http://nsgreg.nga.mil/genc/view?v=212261&amp;end_month=12&amp;end_day=31&amp;end_year=2014","Badulla")</f>
        <v>Badulla</v>
      </c>
      <c r="G4185" s="28" t="str">
        <f>HYPERLINK("http://api.nsgreg.nga.mil/geo-division/GENC/6/ed3/LK-81","as:GENC:6:ed3:LK-81")</f>
        <v>as:GENC:6:ed3:LK-81</v>
      </c>
    </row>
    <row r="4186" spans="1:7" x14ac:dyDescent="0.2">
      <c r="A4186" s="85"/>
      <c r="B4186" s="25" t="s">
        <v>9971</v>
      </c>
      <c r="C4186" s="25" t="s">
        <v>13670</v>
      </c>
      <c r="D4186" s="37" t="s">
        <v>1790</v>
      </c>
      <c r="E4186" s="38" t="b">
        <v>0</v>
      </c>
      <c r="F4186" s="27" t="str">
        <f>HYPERLINK("http://nsgreg.nga.mil/genc/view?v=212251&amp;end_month=12&amp;end_day=31&amp;end_year=2014","Batticaloa")</f>
        <v>Batticaloa</v>
      </c>
      <c r="G4186" s="28" t="str">
        <f>HYPERLINK("http://api.nsgreg.nga.mil/geo-division/GENC/6/ed3/LK-51","as:GENC:6:ed3:LK-51")</f>
        <v>as:GENC:6:ed3:LK-51</v>
      </c>
    </row>
    <row r="4187" spans="1:7" x14ac:dyDescent="0.2">
      <c r="A4187" s="85"/>
      <c r="B4187" s="25" t="s">
        <v>9965</v>
      </c>
      <c r="C4187" s="25" t="s">
        <v>2720</v>
      </c>
      <c r="D4187" s="25" t="s">
        <v>1719</v>
      </c>
      <c r="E4187" s="26" t="b">
        <v>1</v>
      </c>
      <c r="F4187" s="27" t="str">
        <f>HYPERLINK("http://nsgreg.nga.mil/genc/view?v=212236&amp;end_month=12&amp;end_day=31&amp;end_year=2014","Central")</f>
        <v>Central</v>
      </c>
      <c r="G4187" s="28" t="str">
        <f>HYPERLINK("http://api.nsgreg.nga.mil/geo-division/GENC/6/ed3/LK-2","as:GENC:6:ed3:LK-2")</f>
        <v>as:GENC:6:ed3:LK-2</v>
      </c>
    </row>
    <row r="4188" spans="1:7" x14ac:dyDescent="0.2">
      <c r="A4188" s="85"/>
      <c r="B4188" s="25" t="s">
        <v>9962</v>
      </c>
      <c r="C4188" s="25" t="s">
        <v>13671</v>
      </c>
      <c r="D4188" s="37" t="s">
        <v>1790</v>
      </c>
      <c r="E4188" s="38" t="b">
        <v>0</v>
      </c>
      <c r="F4188" s="27" t="str">
        <f>HYPERLINK("http://nsgreg.nga.mil/genc/view?v=212233&amp;end_month=12&amp;end_day=31&amp;end_year=2014","Colombo")</f>
        <v>Colombo</v>
      </c>
      <c r="G4188" s="28" t="str">
        <f>HYPERLINK("http://api.nsgreg.nga.mil/geo-division/GENC/6/ed3/LK-11","as:GENC:6:ed3:LK-11")</f>
        <v>as:GENC:6:ed3:LK-11</v>
      </c>
    </row>
    <row r="4189" spans="1:7" x14ac:dyDescent="0.2">
      <c r="A4189" s="85"/>
      <c r="B4189" s="25" t="s">
        <v>9954</v>
      </c>
      <c r="C4189" s="25" t="s">
        <v>4191</v>
      </c>
      <c r="D4189" s="25" t="s">
        <v>1719</v>
      </c>
      <c r="E4189" s="26" t="b">
        <v>1</v>
      </c>
      <c r="F4189" s="27" t="str">
        <f>HYPERLINK("http://nsgreg.nga.mil/genc/view?v=212250&amp;end_month=12&amp;end_day=31&amp;end_year=2014","Eastern")</f>
        <v>Eastern</v>
      </c>
      <c r="G4189" s="28" t="str">
        <f>HYPERLINK("http://api.nsgreg.nga.mil/geo-division/GENC/6/ed3/LK-5","as:GENC:6:ed3:LK-5")</f>
        <v>as:GENC:6:ed3:LK-5</v>
      </c>
    </row>
    <row r="4190" spans="1:7" x14ac:dyDescent="0.2">
      <c r="A4190" s="85"/>
      <c r="B4190" s="25" t="s">
        <v>9939</v>
      </c>
      <c r="C4190" s="25" t="s">
        <v>13672</v>
      </c>
      <c r="D4190" s="37" t="s">
        <v>1790</v>
      </c>
      <c r="E4190" s="38" t="b">
        <v>0</v>
      </c>
      <c r="F4190" s="27" t="str">
        <f>HYPERLINK("http://nsgreg.nga.mil/genc/view?v=212241&amp;end_month=12&amp;end_day=31&amp;end_year=2014","Galle")</f>
        <v>Galle</v>
      </c>
      <c r="G4190" s="28" t="str">
        <f>HYPERLINK("http://api.nsgreg.nga.mil/geo-division/GENC/6/ed3/LK-31","as:GENC:6:ed3:LK-31")</f>
        <v>as:GENC:6:ed3:LK-31</v>
      </c>
    </row>
    <row r="4191" spans="1:7" x14ac:dyDescent="0.2">
      <c r="A4191" s="85"/>
      <c r="B4191" s="25" t="s">
        <v>9937</v>
      </c>
      <c r="C4191" s="25" t="s">
        <v>9938</v>
      </c>
      <c r="D4191" s="37" t="s">
        <v>1790</v>
      </c>
      <c r="E4191" s="38" t="b">
        <v>0</v>
      </c>
      <c r="F4191" s="27" t="str">
        <f>HYPERLINK("http://nsgreg.nga.mil/genc/view?v=212234&amp;end_month=12&amp;end_day=31&amp;end_year=2014","Gampaha")</f>
        <v>Gampaha</v>
      </c>
      <c r="G4191" s="28" t="str">
        <f>HYPERLINK("http://api.nsgreg.nga.mil/geo-division/GENC/6/ed3/LK-12","as:GENC:6:ed3:LK-12")</f>
        <v>as:GENC:6:ed3:LK-12</v>
      </c>
    </row>
    <row r="4192" spans="1:7" x14ac:dyDescent="0.2">
      <c r="A4192" s="85"/>
      <c r="B4192" s="25" t="s">
        <v>9921</v>
      </c>
      <c r="C4192" s="25" t="s">
        <v>13673</v>
      </c>
      <c r="D4192" s="37" t="s">
        <v>1790</v>
      </c>
      <c r="E4192" s="38" t="b">
        <v>0</v>
      </c>
      <c r="F4192" s="27" t="str">
        <f>HYPERLINK("http://nsgreg.nga.mil/genc/view?v=212243&amp;end_month=12&amp;end_day=31&amp;end_year=2014","Hambantota")</f>
        <v>Hambantota</v>
      </c>
      <c r="G4192" s="28" t="str">
        <f>HYPERLINK("http://api.nsgreg.nga.mil/geo-division/GENC/6/ed3/LK-33","as:GENC:6:ed3:LK-33")</f>
        <v>as:GENC:6:ed3:LK-33</v>
      </c>
    </row>
    <row r="4193" spans="1:7" x14ac:dyDescent="0.2">
      <c r="A4193" s="85"/>
      <c r="B4193" s="25" t="s">
        <v>10017</v>
      </c>
      <c r="C4193" s="25" t="s">
        <v>13674</v>
      </c>
      <c r="D4193" s="37" t="s">
        <v>1790</v>
      </c>
      <c r="E4193" s="38" t="b">
        <v>0</v>
      </c>
      <c r="F4193" s="27" t="str">
        <f>HYPERLINK("http://nsgreg.nga.mil/genc/view?v=212245&amp;end_month=12&amp;end_day=31&amp;end_year=2014","Jaffna")</f>
        <v>Jaffna</v>
      </c>
      <c r="G4193" s="28" t="str">
        <f>HYPERLINK("http://api.nsgreg.nga.mil/geo-division/GENC/6/ed3/LK-41","as:GENC:6:ed3:LK-41")</f>
        <v>as:GENC:6:ed3:LK-41</v>
      </c>
    </row>
    <row r="4194" spans="1:7" x14ac:dyDescent="0.2">
      <c r="A4194" s="85"/>
      <c r="B4194" s="25" t="s">
        <v>9945</v>
      </c>
      <c r="C4194" s="25" t="s">
        <v>13675</v>
      </c>
      <c r="D4194" s="37" t="s">
        <v>1790</v>
      </c>
      <c r="E4194" s="38" t="b">
        <v>0</v>
      </c>
      <c r="F4194" s="27" t="str">
        <f>HYPERLINK("http://nsgreg.nga.mil/genc/view?v=212235&amp;end_month=12&amp;end_day=31&amp;end_year=2014","Kalutara")</f>
        <v>Kalutara</v>
      </c>
      <c r="G4194" s="28" t="str">
        <f>HYPERLINK("http://api.nsgreg.nga.mil/geo-division/GENC/6/ed3/LK-13","as:GENC:6:ed3:LK-13")</f>
        <v>as:GENC:6:ed3:LK-13</v>
      </c>
    </row>
    <row r="4195" spans="1:7" x14ac:dyDescent="0.2">
      <c r="A4195" s="85"/>
      <c r="B4195" s="25" t="s">
        <v>9948</v>
      </c>
      <c r="C4195" s="25" t="s">
        <v>13676</v>
      </c>
      <c r="D4195" s="37" t="s">
        <v>1790</v>
      </c>
      <c r="E4195" s="38" t="b">
        <v>0</v>
      </c>
      <c r="F4195" s="27" t="str">
        <f>HYPERLINK("http://nsgreg.nga.mil/genc/view?v=212237&amp;end_month=12&amp;end_day=31&amp;end_year=2014","Kandy")</f>
        <v>Kandy</v>
      </c>
      <c r="G4195" s="28" t="str">
        <f>HYPERLINK("http://api.nsgreg.nga.mil/geo-division/GENC/6/ed3/LK-21","as:GENC:6:ed3:LK-21")</f>
        <v>as:GENC:6:ed3:LK-21</v>
      </c>
    </row>
    <row r="4196" spans="1:7" x14ac:dyDescent="0.2">
      <c r="A4196" s="85"/>
      <c r="B4196" s="25" t="s">
        <v>9950</v>
      </c>
      <c r="C4196" s="25" t="s">
        <v>13677</v>
      </c>
      <c r="D4196" s="37" t="s">
        <v>1790</v>
      </c>
      <c r="E4196" s="38" t="b">
        <v>0</v>
      </c>
      <c r="F4196" s="27" t="str">
        <f>HYPERLINK("http://nsgreg.nga.mil/genc/view?v=212265&amp;end_month=12&amp;end_day=31&amp;end_year=2014","Kegalla")</f>
        <v>Kegalla</v>
      </c>
      <c r="G4196" s="28" t="str">
        <f>HYPERLINK("http://api.nsgreg.nga.mil/geo-division/GENC/6/ed3/LK-92","as:GENC:6:ed3:LK-92")</f>
        <v>as:GENC:6:ed3:LK-92</v>
      </c>
    </row>
    <row r="4197" spans="1:7" x14ac:dyDescent="0.2">
      <c r="A4197" s="85"/>
      <c r="B4197" s="25" t="s">
        <v>9952</v>
      </c>
      <c r="C4197" s="25" t="s">
        <v>13678</v>
      </c>
      <c r="D4197" s="37" t="s">
        <v>1790</v>
      </c>
      <c r="E4197" s="38" t="b">
        <v>0</v>
      </c>
      <c r="F4197" s="27" t="str">
        <f>HYPERLINK("http://nsgreg.nga.mil/genc/view?v=212246&amp;end_month=12&amp;end_day=31&amp;end_year=2014","Kilinochchi")</f>
        <v>Kilinochchi</v>
      </c>
      <c r="G4197" s="28" t="str">
        <f>HYPERLINK("http://api.nsgreg.nga.mil/geo-division/GENC/6/ed3/LK-42","as:GENC:6:ed3:LK-42")</f>
        <v>as:GENC:6:ed3:LK-42</v>
      </c>
    </row>
    <row r="4198" spans="1:7" x14ac:dyDescent="0.2">
      <c r="A4198" s="85"/>
      <c r="B4198" s="25" t="s">
        <v>9957</v>
      </c>
      <c r="C4198" s="25" t="s">
        <v>13679</v>
      </c>
      <c r="D4198" s="37" t="s">
        <v>1790</v>
      </c>
      <c r="E4198" s="38" t="b">
        <v>0</v>
      </c>
      <c r="F4198" s="27" t="str">
        <f>HYPERLINK("http://nsgreg.nga.mil/genc/view?v=212255&amp;end_month=12&amp;end_day=31&amp;end_year=2014","Kurunegala")</f>
        <v>Kurunegala</v>
      </c>
      <c r="G4198" s="28" t="str">
        <f>HYPERLINK("http://api.nsgreg.nga.mil/geo-division/GENC/6/ed3/LK-61","as:GENC:6:ed3:LK-61")</f>
        <v>as:GENC:6:ed3:LK-61</v>
      </c>
    </row>
    <row r="4199" spans="1:7" x14ac:dyDescent="0.2">
      <c r="A4199" s="85"/>
      <c r="B4199" s="25" t="s">
        <v>9968</v>
      </c>
      <c r="C4199" s="25" t="s">
        <v>13680</v>
      </c>
      <c r="D4199" s="37" t="s">
        <v>1790</v>
      </c>
      <c r="E4199" s="38" t="b">
        <v>0</v>
      </c>
      <c r="F4199" s="27" t="str">
        <f>HYPERLINK("http://nsgreg.nga.mil/genc/view?v=212247&amp;end_month=12&amp;end_day=31&amp;end_year=2014","Mannar")</f>
        <v>Mannar</v>
      </c>
      <c r="G4199" s="28" t="str">
        <f>HYPERLINK("http://api.nsgreg.nga.mil/geo-division/GENC/6/ed3/LK-43","as:GENC:6:ed3:LK-43")</f>
        <v>as:GENC:6:ed3:LK-43</v>
      </c>
    </row>
    <row r="4200" spans="1:7" x14ac:dyDescent="0.2">
      <c r="A4200" s="85"/>
      <c r="B4200" s="25" t="s">
        <v>9979</v>
      </c>
      <c r="C4200" s="25" t="s">
        <v>13681</v>
      </c>
      <c r="D4200" s="37" t="s">
        <v>1790</v>
      </c>
      <c r="E4200" s="38" t="b">
        <v>0</v>
      </c>
      <c r="F4200" s="27" t="str">
        <f>HYPERLINK("http://nsgreg.nga.mil/genc/view?v=212238&amp;end_month=12&amp;end_day=31&amp;end_year=2014","Matale")</f>
        <v>Matale</v>
      </c>
      <c r="G4200" s="28" t="str">
        <f>HYPERLINK("http://api.nsgreg.nga.mil/geo-division/GENC/6/ed3/LK-22","as:GENC:6:ed3:LK-22")</f>
        <v>as:GENC:6:ed3:LK-22</v>
      </c>
    </row>
    <row r="4201" spans="1:7" x14ac:dyDescent="0.2">
      <c r="A4201" s="85"/>
      <c r="B4201" s="25" t="s">
        <v>9981</v>
      </c>
      <c r="C4201" s="25" t="s">
        <v>13682</v>
      </c>
      <c r="D4201" s="37" t="s">
        <v>1790</v>
      </c>
      <c r="E4201" s="38" t="b">
        <v>0</v>
      </c>
      <c r="F4201" s="27" t="str">
        <f>HYPERLINK("http://nsgreg.nga.mil/genc/view?v=212242&amp;end_month=12&amp;end_day=31&amp;end_year=2014","Matara")</f>
        <v>Matara</v>
      </c>
      <c r="G4201" s="28" t="str">
        <f>HYPERLINK("http://api.nsgreg.nga.mil/geo-division/GENC/6/ed3/LK-32","as:GENC:6:ed3:LK-32")</f>
        <v>as:GENC:6:ed3:LK-32</v>
      </c>
    </row>
    <row r="4202" spans="1:7" x14ac:dyDescent="0.2">
      <c r="A4202" s="85"/>
      <c r="B4202" s="25" t="s">
        <v>9985</v>
      </c>
      <c r="C4202" s="25" t="s">
        <v>13683</v>
      </c>
      <c r="D4202" s="37" t="s">
        <v>1790</v>
      </c>
      <c r="E4202" s="38" t="b">
        <v>0</v>
      </c>
      <c r="F4202" s="27" t="str">
        <f>HYPERLINK("http://nsgreg.nga.mil/genc/view?v=212262&amp;end_month=12&amp;end_day=31&amp;end_year=2014","Monaragala")</f>
        <v>Monaragala</v>
      </c>
      <c r="G4202" s="28" t="str">
        <f>HYPERLINK("http://api.nsgreg.nga.mil/geo-division/GENC/6/ed3/LK-82","as:GENC:6:ed3:LK-82")</f>
        <v>as:GENC:6:ed3:LK-82</v>
      </c>
    </row>
    <row r="4203" spans="1:7" x14ac:dyDescent="0.2">
      <c r="A4203" s="85"/>
      <c r="B4203" s="25" t="s">
        <v>9976</v>
      </c>
      <c r="C4203" s="25" t="s">
        <v>13684</v>
      </c>
      <c r="D4203" s="37" t="s">
        <v>1790</v>
      </c>
      <c r="E4203" s="38" t="b">
        <v>0</v>
      </c>
      <c r="F4203" s="27" t="str">
        <f>HYPERLINK("http://nsgreg.nga.mil/genc/view?v=212249&amp;end_month=12&amp;end_day=31&amp;end_year=2014","Mullaittivu")</f>
        <v>Mullaittivu</v>
      </c>
      <c r="G4203" s="28" t="str">
        <f>HYPERLINK("http://api.nsgreg.nga.mil/geo-division/GENC/6/ed3/LK-45","as:GENC:6:ed3:LK-45")</f>
        <v>as:GENC:6:ed3:LK-45</v>
      </c>
    </row>
    <row r="4204" spans="1:7" x14ac:dyDescent="0.2">
      <c r="A4204" s="85"/>
      <c r="B4204" s="25" t="s">
        <v>10005</v>
      </c>
      <c r="C4204" s="25" t="s">
        <v>6831</v>
      </c>
      <c r="D4204" s="25" t="s">
        <v>1719</v>
      </c>
      <c r="E4204" s="26" t="b">
        <v>1</v>
      </c>
      <c r="F4204" s="27" t="str">
        <f>HYPERLINK("http://nsgreg.nga.mil/genc/view?v=212244&amp;end_month=12&amp;end_day=31&amp;end_year=2014","North Central")</f>
        <v>North Central</v>
      </c>
      <c r="G4204" s="28" t="str">
        <f>HYPERLINK("http://api.nsgreg.nga.mil/geo-division/GENC/6/ed3/LK-4","as:GENC:6:ed3:LK-4")</f>
        <v>as:GENC:6:ed3:LK-4</v>
      </c>
    </row>
    <row r="4205" spans="1:7" x14ac:dyDescent="0.2">
      <c r="A4205" s="85"/>
      <c r="B4205" s="25" t="s">
        <v>10007</v>
      </c>
      <c r="C4205" s="25" t="s">
        <v>4193</v>
      </c>
      <c r="D4205" s="25" t="s">
        <v>1719</v>
      </c>
      <c r="E4205" s="26" t="b">
        <v>1</v>
      </c>
      <c r="F4205" s="27" t="str">
        <f>HYPERLINK("http://nsgreg.nga.mil/genc/view?v=212257&amp;end_month=12&amp;end_day=31&amp;end_year=2014","Northern")</f>
        <v>Northern</v>
      </c>
      <c r="G4205" s="28" t="str">
        <f>HYPERLINK("http://api.nsgreg.nga.mil/geo-division/GENC/6/ed3/LK-7","as:GENC:6:ed3:LK-7")</f>
        <v>as:GENC:6:ed3:LK-7</v>
      </c>
    </row>
    <row r="4206" spans="1:7" x14ac:dyDescent="0.2">
      <c r="A4206" s="85"/>
      <c r="B4206" s="25" t="s">
        <v>10012</v>
      </c>
      <c r="C4206" s="25" t="s">
        <v>13685</v>
      </c>
      <c r="D4206" s="25" t="s">
        <v>1719</v>
      </c>
      <c r="E4206" s="26" t="b">
        <v>1</v>
      </c>
      <c r="F4206" s="27" t="str">
        <f>HYPERLINK("http://nsgreg.nga.mil/genc/view?v=212254&amp;end_month=12&amp;end_day=31&amp;end_year=2014","North Western")</f>
        <v>North Western</v>
      </c>
      <c r="G4206" s="28" t="str">
        <f>HYPERLINK("http://api.nsgreg.nga.mil/geo-division/GENC/6/ed3/LK-6","as:GENC:6:ed3:LK-6")</f>
        <v>as:GENC:6:ed3:LK-6</v>
      </c>
    </row>
    <row r="4207" spans="1:7" x14ac:dyDescent="0.2">
      <c r="A4207" s="85"/>
      <c r="B4207" s="25" t="s">
        <v>9988</v>
      </c>
      <c r="C4207" s="25" t="s">
        <v>13686</v>
      </c>
      <c r="D4207" s="37" t="s">
        <v>1790</v>
      </c>
      <c r="E4207" s="38" t="b">
        <v>0</v>
      </c>
      <c r="F4207" s="27" t="str">
        <f>HYPERLINK("http://nsgreg.nga.mil/genc/view?v=212239&amp;end_month=12&amp;end_day=31&amp;end_year=2014","Nuwara Eliya")</f>
        <v>Nuwara Eliya</v>
      </c>
      <c r="G4207" s="28" t="str">
        <f>HYPERLINK("http://api.nsgreg.nga.mil/geo-division/GENC/6/ed3/LK-23","as:GENC:6:ed3:LK-23")</f>
        <v>as:GENC:6:ed3:LK-23</v>
      </c>
    </row>
    <row r="4208" spans="1:7" x14ac:dyDescent="0.2">
      <c r="A4208" s="85"/>
      <c r="B4208" s="25" t="s">
        <v>9996</v>
      </c>
      <c r="C4208" s="25" t="s">
        <v>13687</v>
      </c>
      <c r="D4208" s="37" t="s">
        <v>1790</v>
      </c>
      <c r="E4208" s="38" t="b">
        <v>0</v>
      </c>
      <c r="F4208" s="27" t="str">
        <f>HYPERLINK("http://nsgreg.nga.mil/genc/view?v=212259&amp;end_month=12&amp;end_day=31&amp;end_year=2014","Polonnaruwa")</f>
        <v>Polonnaruwa</v>
      </c>
      <c r="G4208" s="28" t="str">
        <f>HYPERLINK("http://api.nsgreg.nga.mil/geo-division/GENC/6/ed3/LK-72","as:GENC:6:ed3:LK-72")</f>
        <v>as:GENC:6:ed3:LK-72</v>
      </c>
    </row>
    <row r="4209" spans="1:7" x14ac:dyDescent="0.2">
      <c r="A4209" s="85"/>
      <c r="B4209" s="25" t="s">
        <v>9993</v>
      </c>
      <c r="C4209" s="25" t="s">
        <v>13688</v>
      </c>
      <c r="D4209" s="37" t="s">
        <v>1790</v>
      </c>
      <c r="E4209" s="38" t="b">
        <v>0</v>
      </c>
      <c r="F4209" s="27" t="str">
        <f>HYPERLINK("http://nsgreg.nga.mil/genc/view?v=212256&amp;end_month=12&amp;end_day=31&amp;end_year=2014","Puttalam")</f>
        <v>Puttalam</v>
      </c>
      <c r="G4209" s="28" t="str">
        <f>HYPERLINK("http://api.nsgreg.nga.mil/geo-division/GENC/6/ed3/LK-62","as:GENC:6:ed3:LK-62")</f>
        <v>as:GENC:6:ed3:LK-62</v>
      </c>
    </row>
    <row r="4210" spans="1:7" x14ac:dyDescent="0.2">
      <c r="A4210" s="85"/>
      <c r="B4210" s="25" t="s">
        <v>9942</v>
      </c>
      <c r="C4210" s="25" t="s">
        <v>9999</v>
      </c>
      <c r="D4210" s="37" t="s">
        <v>1790</v>
      </c>
      <c r="E4210" s="38" t="b">
        <v>0</v>
      </c>
      <c r="F4210" s="27" t="str">
        <f>HYPERLINK("http://nsgreg.nga.mil/genc/view?v=212264&amp;end_month=12&amp;end_day=31&amp;end_year=2014","Ratnapura")</f>
        <v>Ratnapura</v>
      </c>
      <c r="G4210" s="28" t="str">
        <f>HYPERLINK("http://api.nsgreg.nga.mil/geo-division/GENC/6/ed3/LK-91","as:GENC:6:ed3:LK-91")</f>
        <v>as:GENC:6:ed3:LK-91</v>
      </c>
    </row>
    <row r="4211" spans="1:7" x14ac:dyDescent="0.2">
      <c r="A4211" s="85"/>
      <c r="B4211" s="25" t="s">
        <v>9933</v>
      </c>
      <c r="C4211" s="25" t="s">
        <v>13689</v>
      </c>
      <c r="D4211" s="25" t="s">
        <v>1719</v>
      </c>
      <c r="E4211" s="26" t="b">
        <v>1</v>
      </c>
      <c r="F4211" s="27" t="str">
        <f>HYPERLINK("http://nsgreg.nga.mil/genc/view?v=212263&amp;end_month=12&amp;end_day=31&amp;end_year=2014","Sabaragamuwa")</f>
        <v>Sabaragamuwa</v>
      </c>
      <c r="G4211" s="28" t="str">
        <f>HYPERLINK("http://api.nsgreg.nga.mil/geo-division/GENC/6/ed3/LK-9","as:GENC:6:ed3:LK-9")</f>
        <v>as:GENC:6:ed3:LK-9</v>
      </c>
    </row>
    <row r="4212" spans="1:7" x14ac:dyDescent="0.2">
      <c r="A4212" s="85"/>
      <c r="B4212" s="25" t="s">
        <v>9935</v>
      </c>
      <c r="C4212" s="25" t="s">
        <v>2736</v>
      </c>
      <c r="D4212" s="25" t="s">
        <v>1719</v>
      </c>
      <c r="E4212" s="26" t="b">
        <v>1</v>
      </c>
      <c r="F4212" s="27" t="str">
        <f>HYPERLINK("http://nsgreg.nga.mil/genc/view?v=212240&amp;end_month=12&amp;end_day=31&amp;end_year=2014","Southern")</f>
        <v>Southern</v>
      </c>
      <c r="G4212" s="28" t="str">
        <f>HYPERLINK("http://api.nsgreg.nga.mil/geo-division/GENC/6/ed3/LK-3","as:GENC:6:ed3:LK-3")</f>
        <v>as:GENC:6:ed3:LK-3</v>
      </c>
    </row>
    <row r="4213" spans="1:7" x14ac:dyDescent="0.2">
      <c r="A4213" s="85"/>
      <c r="B4213" s="25" t="s">
        <v>10001</v>
      </c>
      <c r="C4213" s="25" t="s">
        <v>13690</v>
      </c>
      <c r="D4213" s="37" t="s">
        <v>1790</v>
      </c>
      <c r="E4213" s="38" t="b">
        <v>0</v>
      </c>
      <c r="F4213" s="27" t="str">
        <f>HYPERLINK("http://nsgreg.nga.mil/genc/view?v=212253&amp;end_month=12&amp;end_day=31&amp;end_year=2014","Trincomalee")</f>
        <v>Trincomalee</v>
      </c>
      <c r="G4213" s="28" t="str">
        <f>HYPERLINK("http://api.nsgreg.nga.mil/geo-division/GENC/6/ed3/LK-53","as:GENC:6:ed3:LK-53")</f>
        <v>as:GENC:6:ed3:LK-53</v>
      </c>
    </row>
    <row r="4214" spans="1:7" x14ac:dyDescent="0.2">
      <c r="A4214" s="85"/>
      <c r="B4214" s="25" t="s">
        <v>10020</v>
      </c>
      <c r="C4214" s="25" t="s">
        <v>13691</v>
      </c>
      <c r="D4214" s="25" t="s">
        <v>1719</v>
      </c>
      <c r="E4214" s="26" t="b">
        <v>1</v>
      </c>
      <c r="F4214" s="27" t="str">
        <f>HYPERLINK("http://nsgreg.nga.mil/genc/view?v=212260&amp;end_month=12&amp;end_day=31&amp;end_year=2014","Uva")</f>
        <v>Uva</v>
      </c>
      <c r="G4214" s="28" t="str">
        <f>HYPERLINK("http://api.nsgreg.nga.mil/geo-division/GENC/6/ed3/LK-8","as:GENC:6:ed3:LK-8")</f>
        <v>as:GENC:6:ed3:LK-8</v>
      </c>
    </row>
    <row r="4215" spans="1:7" x14ac:dyDescent="0.2">
      <c r="A4215" s="85"/>
      <c r="B4215" s="25" t="s">
        <v>10009</v>
      </c>
      <c r="C4215" s="25" t="s">
        <v>13692</v>
      </c>
      <c r="D4215" s="37" t="s">
        <v>1790</v>
      </c>
      <c r="E4215" s="38" t="b">
        <v>0</v>
      </c>
      <c r="F4215" s="27" t="str">
        <f>HYPERLINK("http://nsgreg.nga.mil/genc/view?v=212248&amp;end_month=12&amp;end_day=31&amp;end_year=2014","Vavuniya")</f>
        <v>Vavuniya</v>
      </c>
      <c r="G4215" s="28" t="str">
        <f>HYPERLINK("http://api.nsgreg.nga.mil/geo-division/GENC/6/ed3/LK-44","as:GENC:6:ed3:LK-44")</f>
        <v>as:GENC:6:ed3:LK-44</v>
      </c>
    </row>
    <row r="4216" spans="1:7" x14ac:dyDescent="0.2">
      <c r="A4216" s="86"/>
      <c r="B4216" s="29" t="s">
        <v>9931</v>
      </c>
      <c r="C4216" s="29" t="s">
        <v>4197</v>
      </c>
      <c r="D4216" s="29" t="s">
        <v>1719</v>
      </c>
      <c r="E4216" s="30" t="b">
        <v>1</v>
      </c>
      <c r="F4216" s="31" t="str">
        <f>HYPERLINK("http://nsgreg.nga.mil/genc/view?v=212232&amp;end_month=12&amp;end_day=31&amp;end_year=2014","Western")</f>
        <v>Western</v>
      </c>
      <c r="G4216" s="32" t="str">
        <f>HYPERLINK("http://api.nsgreg.nga.mil/geo-division/GENC/6/ed3/LK-1","as:GENC:6:ed3:LK-1")</f>
        <v>as:GENC:6:ed3:LK-1</v>
      </c>
    </row>
    <row r="4217" spans="1:7" x14ac:dyDescent="0.2">
      <c r="A4217" s="84" t="str">
        <f>HYPERLINK("[#]Codes_for_GE_Names!A241:I241","SUDAN")</f>
        <v>SUDAN</v>
      </c>
      <c r="B4217" s="33" t="s">
        <v>10023</v>
      </c>
      <c r="C4217" s="33" t="s">
        <v>4002</v>
      </c>
      <c r="D4217" s="33" t="s">
        <v>2113</v>
      </c>
      <c r="E4217" s="34" t="b">
        <v>1</v>
      </c>
      <c r="F4217" s="35" t="str">
        <f>HYPERLINK("http://nsgreg.nga.mil/genc/view?v=213442&amp;end_month=12&amp;end_day=31&amp;end_year=2014","Al Baḩr al Aḩmar")</f>
        <v>Al Baḩr al Aḩmar</v>
      </c>
      <c r="G4217" s="36" t="str">
        <f>HYPERLINK("http://api.nsgreg.nga.mil/geo-division/GENC/6/ed3/SD-RS","as:GENC:6:ed3:SD-RS")</f>
        <v>as:GENC:6:ed3:SD-RS</v>
      </c>
    </row>
    <row r="4218" spans="1:7" x14ac:dyDescent="0.2">
      <c r="A4218" s="85"/>
      <c r="B4218" s="25" t="s">
        <v>10025</v>
      </c>
      <c r="C4218" s="25" t="s">
        <v>10026</v>
      </c>
      <c r="D4218" s="25" t="s">
        <v>2113</v>
      </c>
      <c r="E4218" s="26" t="b">
        <v>1</v>
      </c>
      <c r="F4218" s="27" t="str">
        <f>HYPERLINK("http://nsgreg.nga.mil/genc/view?v=213432&amp;end_month=12&amp;end_day=31&amp;end_year=2014","Al Jazīrah")</f>
        <v>Al Jazīrah</v>
      </c>
      <c r="G4218" s="28" t="str">
        <f>HYPERLINK("http://api.nsgreg.nga.mil/geo-division/GENC/6/ed3/SD-GZ","as:GENC:6:ed3:SD-GZ")</f>
        <v>as:GENC:6:ed3:SD-GZ</v>
      </c>
    </row>
    <row r="4219" spans="1:7" x14ac:dyDescent="0.2">
      <c r="A4219" s="85"/>
      <c r="B4219" s="25" t="s">
        <v>10027</v>
      </c>
      <c r="C4219" s="25" t="s">
        <v>10028</v>
      </c>
      <c r="D4219" s="25" t="s">
        <v>2113</v>
      </c>
      <c r="E4219" s="26" t="b">
        <v>1</v>
      </c>
      <c r="F4219" s="27" t="str">
        <f>HYPERLINK("http://nsgreg.nga.mil/genc/view?v=213434&amp;end_month=12&amp;end_day=31&amp;end_year=2014","Al Kharţūm")</f>
        <v>Al Kharţūm</v>
      </c>
      <c r="G4219" s="28" t="str">
        <f>HYPERLINK("http://api.nsgreg.nga.mil/geo-division/GENC/6/ed3/SD-KH","as:GENC:6:ed3:SD-KH")</f>
        <v>as:GENC:6:ed3:SD-KH</v>
      </c>
    </row>
    <row r="4220" spans="1:7" x14ac:dyDescent="0.2">
      <c r="A4220" s="85"/>
      <c r="B4220" s="25" t="s">
        <v>10029</v>
      </c>
      <c r="C4220" s="25" t="s">
        <v>13693</v>
      </c>
      <c r="D4220" s="25" t="s">
        <v>2113</v>
      </c>
      <c r="E4220" s="26" t="b">
        <v>1</v>
      </c>
      <c r="F4220" s="27" t="str">
        <f>HYPERLINK("http://nsgreg.nga.mil/genc/view?v=213431&amp;end_month=12&amp;end_day=31&amp;end_year=2014","Al Qaḑārif")</f>
        <v>Al Qaḑārif</v>
      </c>
      <c r="G4220" s="28" t="str">
        <f>HYPERLINK("http://api.nsgreg.nga.mil/geo-division/GENC/6/ed3/SD-GD","as:GENC:6:ed3:SD-GD")</f>
        <v>as:GENC:6:ed3:SD-GD</v>
      </c>
    </row>
    <row r="4221" spans="1:7" x14ac:dyDescent="0.2">
      <c r="A4221" s="85"/>
      <c r="B4221" s="25" t="s">
        <v>10033</v>
      </c>
      <c r="C4221" s="25" t="s">
        <v>13694</v>
      </c>
      <c r="D4221" s="25" t="s">
        <v>2113</v>
      </c>
      <c r="E4221" s="26" t="b">
        <v>1</v>
      </c>
      <c r="F4221" s="27" t="str">
        <f>HYPERLINK("http://nsgreg.nga.mil/genc/view?v=213441&amp;end_month=12&amp;end_day=31&amp;end_year=2014","An Nīl al Abyaḑ")</f>
        <v>An Nīl al Abyaḑ</v>
      </c>
      <c r="G4221" s="28" t="str">
        <f>HYPERLINK("http://api.nsgreg.nga.mil/geo-division/GENC/6/ed3/SD-NW","as:GENC:6:ed3:SD-NW")</f>
        <v>as:GENC:6:ed3:SD-NW</v>
      </c>
    </row>
    <row r="4222" spans="1:7" x14ac:dyDescent="0.2">
      <c r="A4222" s="85"/>
      <c r="B4222" s="25" t="s">
        <v>10035</v>
      </c>
      <c r="C4222" s="25" t="s">
        <v>10036</v>
      </c>
      <c r="D4222" s="25" t="s">
        <v>2113</v>
      </c>
      <c r="E4222" s="26" t="b">
        <v>1</v>
      </c>
      <c r="F4222" s="27" t="str">
        <f>HYPERLINK("http://nsgreg.nga.mil/genc/view?v=213438&amp;end_month=12&amp;end_day=31&amp;end_year=2014","An Nīl al Azraq")</f>
        <v>An Nīl al Azraq</v>
      </c>
      <c r="G4222" s="28" t="str">
        <f>HYPERLINK("http://api.nsgreg.nga.mil/geo-division/GENC/6/ed3/SD-NB","as:GENC:6:ed3:SD-NB")</f>
        <v>as:GENC:6:ed3:SD-NB</v>
      </c>
    </row>
    <row r="4223" spans="1:7" x14ac:dyDescent="0.2">
      <c r="A4223" s="85"/>
      <c r="B4223" s="25" t="s">
        <v>10037</v>
      </c>
      <c r="C4223" s="25" t="s">
        <v>13695</v>
      </c>
      <c r="D4223" s="25" t="s">
        <v>2113</v>
      </c>
      <c r="E4223" s="26" t="b">
        <v>1</v>
      </c>
      <c r="F4223" s="27" t="str">
        <f>HYPERLINK("http://nsgreg.nga.mil/genc/view?v=213439&amp;end_month=12&amp;end_day=31&amp;end_year=2014","Ash Shimālīyah")</f>
        <v>Ash Shimālīyah</v>
      </c>
      <c r="G4223" s="28" t="str">
        <f>HYPERLINK("http://api.nsgreg.nga.mil/geo-division/GENC/6/ed3/SD-NO","as:GENC:6:ed3:SD-NO")</f>
        <v>as:GENC:6:ed3:SD-NO</v>
      </c>
    </row>
    <row r="4224" spans="1:7" x14ac:dyDescent="0.2">
      <c r="A4224" s="85"/>
      <c r="B4224" s="25" t="s">
        <v>10045</v>
      </c>
      <c r="C4224" s="25" t="s">
        <v>10046</v>
      </c>
      <c r="D4224" s="25" t="s">
        <v>2113</v>
      </c>
      <c r="E4224" s="26" t="b">
        <v>1</v>
      </c>
      <c r="F4224" s="27" t="str">
        <f>HYPERLINK("http://nsgreg.nga.mil/genc/view?v=213430&amp;end_month=12&amp;end_day=31&amp;end_year=2014","Gharb Dārfūr")</f>
        <v>Gharb Dārfūr</v>
      </c>
      <c r="G4224" s="28" t="str">
        <f>HYPERLINK("http://api.nsgreg.nga.mil/geo-division/GENC/6/ed3/SD-DW","as:GENC:6:ed3:SD-DW")</f>
        <v>as:GENC:6:ed3:SD-DW</v>
      </c>
    </row>
    <row r="4225" spans="1:7" x14ac:dyDescent="0.2">
      <c r="A4225" s="85"/>
      <c r="B4225" s="25" t="s">
        <v>13696</v>
      </c>
      <c r="C4225" s="25" t="s">
        <v>13697</v>
      </c>
      <c r="D4225" s="25" t="s">
        <v>2113</v>
      </c>
      <c r="E4225" s="26" t="b">
        <v>1</v>
      </c>
      <c r="F4225" s="27" t="str">
        <f>HYPERLINK("http://nsgreg.nga.mil/genc/view?v=213437&amp;end_month=12&amp;end_day=31&amp;end_year=2014","Gharb Kurdufān")</f>
        <v>Gharb Kurdufān</v>
      </c>
      <c r="G4225" s="28" t="str">
        <f>HYPERLINK("http://api.nsgreg.nga.mil/geo-division/GENC/6/ed3/SD-KW","as:GENC:6:ed3:SD-KW")</f>
        <v>as:GENC:6:ed3:SD-KW</v>
      </c>
    </row>
    <row r="4226" spans="1:7" x14ac:dyDescent="0.2">
      <c r="A4226" s="85"/>
      <c r="B4226" s="25" t="s">
        <v>10047</v>
      </c>
      <c r="C4226" s="25" t="s">
        <v>10048</v>
      </c>
      <c r="D4226" s="25" t="s">
        <v>2113</v>
      </c>
      <c r="E4226" s="26" t="b">
        <v>1</v>
      </c>
      <c r="F4226" s="27" t="str">
        <f>HYPERLINK("http://nsgreg.nga.mil/genc/view?v=213429&amp;end_month=12&amp;end_day=31&amp;end_year=2014","Janūb Dārfūr")</f>
        <v>Janūb Dārfūr</v>
      </c>
      <c r="G4226" s="28" t="str">
        <f>HYPERLINK("http://api.nsgreg.nga.mil/geo-division/GENC/6/ed3/SD-DS","as:GENC:6:ed3:SD-DS")</f>
        <v>as:GENC:6:ed3:SD-DS</v>
      </c>
    </row>
    <row r="4227" spans="1:7" x14ac:dyDescent="0.2">
      <c r="A4227" s="85"/>
      <c r="B4227" s="25" t="s">
        <v>10049</v>
      </c>
      <c r="C4227" s="25" t="s">
        <v>10050</v>
      </c>
      <c r="D4227" s="25" t="s">
        <v>2113</v>
      </c>
      <c r="E4227" s="26" t="b">
        <v>1</v>
      </c>
      <c r="F4227" s="27" t="str">
        <f>HYPERLINK("http://nsgreg.nga.mil/genc/view?v=213436&amp;end_month=12&amp;end_day=31&amp;end_year=2014","Janūb Kurdufān")</f>
        <v>Janūb Kurdufān</v>
      </c>
      <c r="G4227" s="28" t="str">
        <f>HYPERLINK("http://api.nsgreg.nga.mil/geo-division/GENC/6/ed3/SD-KS","as:GENC:6:ed3:SD-KS")</f>
        <v>as:GENC:6:ed3:SD-KS</v>
      </c>
    </row>
    <row r="4228" spans="1:7" x14ac:dyDescent="0.2">
      <c r="A4228" s="85"/>
      <c r="B4228" s="25" t="s">
        <v>10051</v>
      </c>
      <c r="C4228" s="25" t="s">
        <v>10053</v>
      </c>
      <c r="D4228" s="25" t="s">
        <v>2113</v>
      </c>
      <c r="E4228" s="26" t="b">
        <v>1</v>
      </c>
      <c r="F4228" s="27" t="str">
        <f>HYPERLINK("http://nsgreg.nga.mil/genc/view?v=213433&amp;end_month=12&amp;end_day=31&amp;end_year=2014","Kassalā")</f>
        <v>Kassalā</v>
      </c>
      <c r="G4228" s="28" t="str">
        <f>HYPERLINK("http://api.nsgreg.nga.mil/geo-division/GENC/6/ed3/SD-KA","as:GENC:6:ed3:SD-KA")</f>
        <v>as:GENC:6:ed3:SD-KA</v>
      </c>
    </row>
    <row r="4229" spans="1:7" x14ac:dyDescent="0.2">
      <c r="A4229" s="85"/>
      <c r="B4229" s="25" t="s">
        <v>10031</v>
      </c>
      <c r="C4229" s="25" t="s">
        <v>13698</v>
      </c>
      <c r="D4229" s="25" t="s">
        <v>2113</v>
      </c>
      <c r="E4229" s="26" t="b">
        <v>1</v>
      </c>
      <c r="F4229" s="27" t="str">
        <f>HYPERLINK("http://nsgreg.nga.mil/genc/view?v=213440&amp;end_month=12&amp;end_day=31&amp;end_year=2014","Nahr an Nīl")</f>
        <v>Nahr an Nīl</v>
      </c>
      <c r="G4229" s="28" t="str">
        <f>HYPERLINK("http://api.nsgreg.nga.mil/geo-division/GENC/6/ed3/SD-NR","as:GENC:6:ed3:SD-NR")</f>
        <v>as:GENC:6:ed3:SD-NR</v>
      </c>
    </row>
    <row r="4230" spans="1:7" x14ac:dyDescent="0.2">
      <c r="A4230" s="85"/>
      <c r="B4230" s="25" t="s">
        <v>10041</v>
      </c>
      <c r="C4230" s="25" t="s">
        <v>10065</v>
      </c>
      <c r="D4230" s="25" t="s">
        <v>2113</v>
      </c>
      <c r="E4230" s="26" t="b">
        <v>1</v>
      </c>
      <c r="F4230" s="27" t="str">
        <f>HYPERLINK("http://nsgreg.nga.mil/genc/view?v=213427&amp;end_month=12&amp;end_day=31&amp;end_year=2014","Sharq Dārfūr")</f>
        <v>Sharq Dārfūr</v>
      </c>
      <c r="G4230" s="28" t="str">
        <f>HYPERLINK("http://api.nsgreg.nga.mil/geo-division/GENC/6/ed3/SD-DE","as:GENC:6:ed3:SD-DE")</f>
        <v>as:GENC:6:ed3:SD-DE</v>
      </c>
    </row>
    <row r="4231" spans="1:7" x14ac:dyDescent="0.2">
      <c r="A4231" s="85"/>
      <c r="B4231" s="25" t="s">
        <v>10055</v>
      </c>
      <c r="C4231" s="25" t="s">
        <v>13699</v>
      </c>
      <c r="D4231" s="25" t="s">
        <v>2113</v>
      </c>
      <c r="E4231" s="26" t="b">
        <v>1</v>
      </c>
      <c r="F4231" s="27" t="str">
        <f>HYPERLINK("http://nsgreg.nga.mil/genc/view?v=213428&amp;end_month=12&amp;end_day=31&amp;end_year=2014","Shimāl Dārfūr")</f>
        <v>Shimāl Dārfūr</v>
      </c>
      <c r="G4231" s="28" t="str">
        <f>HYPERLINK("http://api.nsgreg.nga.mil/geo-division/GENC/6/ed3/SD-DN","as:GENC:6:ed3:SD-DN")</f>
        <v>as:GENC:6:ed3:SD-DN</v>
      </c>
    </row>
    <row r="4232" spans="1:7" x14ac:dyDescent="0.2">
      <c r="A4232" s="85"/>
      <c r="B4232" s="25" t="s">
        <v>10057</v>
      </c>
      <c r="C4232" s="25" t="s">
        <v>13700</v>
      </c>
      <c r="D4232" s="25" t="s">
        <v>2113</v>
      </c>
      <c r="E4232" s="26" t="b">
        <v>1</v>
      </c>
      <c r="F4232" s="27" t="str">
        <f>HYPERLINK("http://nsgreg.nga.mil/genc/view?v=213435&amp;end_month=12&amp;end_day=31&amp;end_year=2014","Shimāl Kurdufān")</f>
        <v>Shimāl Kurdufān</v>
      </c>
      <c r="G4232" s="28" t="str">
        <f>HYPERLINK("http://api.nsgreg.nga.mil/geo-division/GENC/6/ed3/SD-KN","as:GENC:6:ed3:SD-KN")</f>
        <v>as:GENC:6:ed3:SD-KN</v>
      </c>
    </row>
    <row r="4233" spans="1:7" x14ac:dyDescent="0.2">
      <c r="A4233" s="85"/>
      <c r="B4233" s="25" t="s">
        <v>10061</v>
      </c>
      <c r="C4233" s="25" t="s">
        <v>10066</v>
      </c>
      <c r="D4233" s="25" t="s">
        <v>2113</v>
      </c>
      <c r="E4233" s="26" t="b">
        <v>1</v>
      </c>
      <c r="F4233" s="27" t="str">
        <f>HYPERLINK("http://nsgreg.nga.mil/genc/view?v=213443&amp;end_month=12&amp;end_day=31&amp;end_year=2014","Sinnār")</f>
        <v>Sinnār</v>
      </c>
      <c r="G4233" s="28" t="str">
        <f>HYPERLINK("http://api.nsgreg.nga.mil/geo-division/GENC/6/ed3/SD-SI","as:GENC:6:ed3:SD-SI")</f>
        <v>as:GENC:6:ed3:SD-SI</v>
      </c>
    </row>
    <row r="4234" spans="1:7" x14ac:dyDescent="0.2">
      <c r="A4234" s="86"/>
      <c r="B4234" s="29" t="s">
        <v>10039</v>
      </c>
      <c r="C4234" s="29" t="s">
        <v>13701</v>
      </c>
      <c r="D4234" s="29" t="s">
        <v>2113</v>
      </c>
      <c r="E4234" s="30" t="b">
        <v>1</v>
      </c>
      <c r="F4234" s="31" t="str">
        <f>HYPERLINK("http://nsgreg.nga.mil/genc/view?v=213426&amp;end_month=12&amp;end_day=31&amp;end_year=2014","Wasaţ Dārfūr")</f>
        <v>Wasaţ Dārfūr</v>
      </c>
      <c r="G4234" s="32" t="str">
        <f>HYPERLINK("http://api.nsgreg.nga.mil/geo-division/GENC/6/ed3/SD-DC","as:GENC:6:ed3:SD-DC")</f>
        <v>as:GENC:6:ed3:SD-DC</v>
      </c>
    </row>
    <row r="4235" spans="1:7" x14ac:dyDescent="0.2">
      <c r="A4235" s="84" t="str">
        <f>HYPERLINK("[#]Codes_for_GE_Names!A242:I242","SURINAME")</f>
        <v>SURINAME</v>
      </c>
      <c r="B4235" s="33" t="s">
        <v>10072</v>
      </c>
      <c r="C4235" s="33" t="s">
        <v>10073</v>
      </c>
      <c r="D4235" s="33" t="s">
        <v>1790</v>
      </c>
      <c r="E4235" s="34" t="b">
        <v>1</v>
      </c>
      <c r="F4235" s="35" t="str">
        <f>HYPERLINK("http://nsgreg.nga.mil/genc/view?v=122092&amp;gencs=T&amp;end_month=12&amp;end_day=31&amp;end_year=2014","Brokopondo")</f>
        <v>Brokopondo</v>
      </c>
      <c r="G4235" s="36" t="str">
        <f>HYPERLINK("http://api.nsgreg.nga.mil/geo-division/GENC/6/ed3/SR-BR","as:GENC:6:ed3:SR-BR")</f>
        <v>as:GENC:6:ed3:SR-BR</v>
      </c>
    </row>
    <row r="4236" spans="1:7" x14ac:dyDescent="0.2">
      <c r="A4236" s="85"/>
      <c r="B4236" s="25" t="s">
        <v>10074</v>
      </c>
      <c r="C4236" s="25" t="s">
        <v>10075</v>
      </c>
      <c r="D4236" s="25" t="s">
        <v>1790</v>
      </c>
      <c r="E4236" s="26" t="b">
        <v>1</v>
      </c>
      <c r="F4236" s="27" t="str">
        <f>HYPERLINK("http://nsgreg.nga.mil/genc/view?v=122093&amp;gencs=T&amp;end_month=12&amp;end_day=31&amp;end_year=2014","Commewijne")</f>
        <v>Commewijne</v>
      </c>
      <c r="G4236" s="28" t="str">
        <f>HYPERLINK("http://api.nsgreg.nga.mil/geo-division/GENC/6/ed3/SR-CM","as:GENC:6:ed3:SR-CM")</f>
        <v>as:GENC:6:ed3:SR-CM</v>
      </c>
    </row>
    <row r="4237" spans="1:7" x14ac:dyDescent="0.2">
      <c r="A4237" s="85"/>
      <c r="B4237" s="25" t="s">
        <v>10076</v>
      </c>
      <c r="C4237" s="25" t="s">
        <v>10077</v>
      </c>
      <c r="D4237" s="25" t="s">
        <v>1790</v>
      </c>
      <c r="E4237" s="26" t="b">
        <v>1</v>
      </c>
      <c r="F4237" s="27" t="str">
        <f>HYPERLINK("http://nsgreg.nga.mil/genc/view?v=122094&amp;gencs=T&amp;end_month=12&amp;end_day=31&amp;end_year=2014","Coronie")</f>
        <v>Coronie</v>
      </c>
      <c r="G4237" s="28" t="str">
        <f>HYPERLINK("http://api.nsgreg.nga.mil/geo-division/GENC/6/ed3/SR-CR","as:GENC:6:ed3:SR-CR")</f>
        <v>as:GENC:6:ed3:SR-CR</v>
      </c>
    </row>
    <row r="4238" spans="1:7" x14ac:dyDescent="0.2">
      <c r="A4238" s="85"/>
      <c r="B4238" s="25" t="s">
        <v>10078</v>
      </c>
      <c r="C4238" s="25" t="s">
        <v>10079</v>
      </c>
      <c r="D4238" s="25" t="s">
        <v>1790</v>
      </c>
      <c r="E4238" s="26" t="b">
        <v>1</v>
      </c>
      <c r="F4238" s="27" t="str">
        <f>HYPERLINK("http://nsgreg.nga.mil/genc/view?v=122095&amp;gencs=T&amp;end_month=12&amp;end_day=31&amp;end_year=2014","Marowijne")</f>
        <v>Marowijne</v>
      </c>
      <c r="G4238" s="28" t="str">
        <f>HYPERLINK("http://api.nsgreg.nga.mil/geo-division/GENC/6/ed3/SR-MA","as:GENC:6:ed3:SR-MA")</f>
        <v>as:GENC:6:ed3:SR-MA</v>
      </c>
    </row>
    <row r="4239" spans="1:7" x14ac:dyDescent="0.2">
      <c r="A4239" s="85"/>
      <c r="B4239" s="25" t="s">
        <v>10080</v>
      </c>
      <c r="C4239" s="25" t="s">
        <v>10081</v>
      </c>
      <c r="D4239" s="25" t="s">
        <v>1790</v>
      </c>
      <c r="E4239" s="26" t="b">
        <v>1</v>
      </c>
      <c r="F4239" s="27" t="str">
        <f>HYPERLINK("http://nsgreg.nga.mil/genc/view?v=122096&amp;gencs=T&amp;end_month=12&amp;end_day=31&amp;end_year=2014","Nickerie")</f>
        <v>Nickerie</v>
      </c>
      <c r="G4239" s="28" t="str">
        <f>HYPERLINK("http://api.nsgreg.nga.mil/geo-division/GENC/6/ed3/SR-NI","as:GENC:6:ed3:SR-NI")</f>
        <v>as:GENC:6:ed3:SR-NI</v>
      </c>
    </row>
    <row r="4240" spans="1:7" x14ac:dyDescent="0.2">
      <c r="A4240" s="85"/>
      <c r="B4240" s="25" t="s">
        <v>10082</v>
      </c>
      <c r="C4240" s="25" t="s">
        <v>10083</v>
      </c>
      <c r="D4240" s="25" t="s">
        <v>1790</v>
      </c>
      <c r="E4240" s="26" t="b">
        <v>1</v>
      </c>
      <c r="F4240" s="27" t="str">
        <f>HYPERLINK("http://nsgreg.nga.mil/genc/view?v=122098&amp;gencs=T&amp;end_month=12&amp;end_day=31&amp;end_year=2014","Para")</f>
        <v>Para</v>
      </c>
      <c r="G4240" s="28" t="str">
        <f>HYPERLINK("http://api.nsgreg.nga.mil/geo-division/GENC/6/ed3/SR-PR","as:GENC:6:ed3:SR-PR")</f>
        <v>as:GENC:6:ed3:SR-PR</v>
      </c>
    </row>
    <row r="4241" spans="1:7" x14ac:dyDescent="0.2">
      <c r="A4241" s="85"/>
      <c r="B4241" s="25" t="s">
        <v>10084</v>
      </c>
      <c r="C4241" s="25" t="s">
        <v>10085</v>
      </c>
      <c r="D4241" s="25" t="s">
        <v>1790</v>
      </c>
      <c r="E4241" s="26" t="b">
        <v>1</v>
      </c>
      <c r="F4241" s="27" t="str">
        <f>HYPERLINK("http://nsgreg.nga.mil/genc/view?v=122097&amp;gencs=T&amp;end_month=12&amp;end_day=31&amp;end_year=2014","Paramaribo")</f>
        <v>Paramaribo</v>
      </c>
      <c r="G4241" s="28" t="str">
        <f>HYPERLINK("http://api.nsgreg.nga.mil/geo-division/GENC/6/ed3/SR-PM","as:GENC:6:ed3:SR-PM")</f>
        <v>as:GENC:6:ed3:SR-PM</v>
      </c>
    </row>
    <row r="4242" spans="1:7" x14ac:dyDescent="0.2">
      <c r="A4242" s="85"/>
      <c r="B4242" s="25" t="s">
        <v>10086</v>
      </c>
      <c r="C4242" s="25" t="s">
        <v>10087</v>
      </c>
      <c r="D4242" s="25" t="s">
        <v>1790</v>
      </c>
      <c r="E4242" s="26" t="b">
        <v>1</v>
      </c>
      <c r="F4242" s="27" t="str">
        <f>HYPERLINK("http://nsgreg.nga.mil/genc/view?v=122099&amp;gencs=T&amp;end_month=12&amp;end_day=31&amp;end_year=2014","Saramacca")</f>
        <v>Saramacca</v>
      </c>
      <c r="G4242" s="28" t="str">
        <f>HYPERLINK("http://api.nsgreg.nga.mil/geo-division/GENC/6/ed3/SR-SA","as:GENC:6:ed3:SR-SA")</f>
        <v>as:GENC:6:ed3:SR-SA</v>
      </c>
    </row>
    <row r="4243" spans="1:7" x14ac:dyDescent="0.2">
      <c r="A4243" s="85"/>
      <c r="B4243" s="25" t="s">
        <v>10088</v>
      </c>
      <c r="C4243" s="25" t="s">
        <v>10089</v>
      </c>
      <c r="D4243" s="25" t="s">
        <v>1790</v>
      </c>
      <c r="E4243" s="26" t="b">
        <v>1</v>
      </c>
      <c r="F4243" s="27" t="str">
        <f>HYPERLINK("http://nsgreg.nga.mil/genc/view?v=122100&amp;gencs=T&amp;end_month=12&amp;end_day=31&amp;end_year=2014","Sipaliwini")</f>
        <v>Sipaliwini</v>
      </c>
      <c r="G4243" s="28" t="str">
        <f>HYPERLINK("http://api.nsgreg.nga.mil/geo-division/GENC/6/ed3/SR-SI","as:GENC:6:ed3:SR-SI")</f>
        <v>as:GENC:6:ed3:SR-SI</v>
      </c>
    </row>
    <row r="4244" spans="1:7" x14ac:dyDescent="0.2">
      <c r="A4244" s="86"/>
      <c r="B4244" s="29" t="s">
        <v>10090</v>
      </c>
      <c r="C4244" s="29" t="s">
        <v>10091</v>
      </c>
      <c r="D4244" s="29" t="s">
        <v>1790</v>
      </c>
      <c r="E4244" s="30" t="b">
        <v>1</v>
      </c>
      <c r="F4244" s="31" t="str">
        <f>HYPERLINK("http://nsgreg.nga.mil/genc/view?v=122101&amp;gencs=T&amp;end_month=12&amp;end_day=31&amp;end_year=2014","Wanica")</f>
        <v>Wanica</v>
      </c>
      <c r="G4244" s="32" t="str">
        <f>HYPERLINK("http://api.nsgreg.nga.mil/geo-division/GENC/6/ed3/SR-WA","as:GENC:6:ed3:SR-WA")</f>
        <v>as:GENC:6:ed3:SR-WA</v>
      </c>
    </row>
    <row r="4245" spans="1:7" x14ac:dyDescent="0.2">
      <c r="A4245" s="84" t="str">
        <f>HYPERLINK("[#]Codes_for_GE_Names!A244:I244","SWAZILAND")</f>
        <v>SWAZILAND</v>
      </c>
      <c r="B4245" s="33" t="s">
        <v>10092</v>
      </c>
      <c r="C4245" s="33" t="s">
        <v>10093</v>
      </c>
      <c r="D4245" s="33" t="s">
        <v>1790</v>
      </c>
      <c r="E4245" s="34" t="b">
        <v>1</v>
      </c>
      <c r="F4245" s="35" t="str">
        <f>HYPERLINK("http://nsgreg.nga.mil/genc/view?v=213529&amp;end_month=12&amp;end_day=31&amp;end_year=2014","Hhohho")</f>
        <v>Hhohho</v>
      </c>
      <c r="G4245" s="36" t="str">
        <f>HYPERLINK("http://api.nsgreg.nga.mil/geo-division/GENC/6/ed3/SZ-HH","as:GENC:6:ed3:SZ-HH")</f>
        <v>as:GENC:6:ed3:SZ-HH</v>
      </c>
    </row>
    <row r="4246" spans="1:7" x14ac:dyDescent="0.2">
      <c r="A4246" s="85"/>
      <c r="B4246" s="25" t="s">
        <v>10094</v>
      </c>
      <c r="C4246" s="25" t="s">
        <v>10095</v>
      </c>
      <c r="D4246" s="25" t="s">
        <v>1790</v>
      </c>
      <c r="E4246" s="26" t="b">
        <v>1</v>
      </c>
      <c r="F4246" s="27" t="str">
        <f>HYPERLINK("http://nsgreg.nga.mil/genc/view?v=213530&amp;end_month=12&amp;end_day=31&amp;end_year=2014","Lubombo")</f>
        <v>Lubombo</v>
      </c>
      <c r="G4246" s="28" t="str">
        <f>HYPERLINK("http://api.nsgreg.nga.mil/geo-division/GENC/6/ed3/SZ-LU","as:GENC:6:ed3:SZ-LU")</f>
        <v>as:GENC:6:ed3:SZ-LU</v>
      </c>
    </row>
    <row r="4247" spans="1:7" x14ac:dyDescent="0.2">
      <c r="A4247" s="85"/>
      <c r="B4247" s="25" t="s">
        <v>10096</v>
      </c>
      <c r="C4247" s="25" t="s">
        <v>10097</v>
      </c>
      <c r="D4247" s="25" t="s">
        <v>1790</v>
      </c>
      <c r="E4247" s="26" t="b">
        <v>1</v>
      </c>
      <c r="F4247" s="27" t="str">
        <f>HYPERLINK("http://nsgreg.nga.mil/genc/view?v=213531&amp;end_month=12&amp;end_day=31&amp;end_year=2014","Manzini")</f>
        <v>Manzini</v>
      </c>
      <c r="G4247" s="28" t="str">
        <f>HYPERLINK("http://api.nsgreg.nga.mil/geo-division/GENC/6/ed3/SZ-MA","as:GENC:6:ed3:SZ-MA")</f>
        <v>as:GENC:6:ed3:SZ-MA</v>
      </c>
    </row>
    <row r="4248" spans="1:7" x14ac:dyDescent="0.2">
      <c r="A4248" s="86"/>
      <c r="B4248" s="29" t="s">
        <v>10098</v>
      </c>
      <c r="C4248" s="29" t="s">
        <v>10099</v>
      </c>
      <c r="D4248" s="29" t="s">
        <v>1790</v>
      </c>
      <c r="E4248" s="30" t="b">
        <v>1</v>
      </c>
      <c r="F4248" s="31" t="str">
        <f>HYPERLINK("http://nsgreg.nga.mil/genc/view?v=213532&amp;end_month=12&amp;end_day=31&amp;end_year=2014","Shiselweni")</f>
        <v>Shiselweni</v>
      </c>
      <c r="G4248" s="32" t="str">
        <f>HYPERLINK("http://api.nsgreg.nga.mil/geo-division/GENC/6/ed3/SZ-SH","as:GENC:6:ed3:SZ-SH")</f>
        <v>as:GENC:6:ed3:SZ-SH</v>
      </c>
    </row>
    <row r="4249" spans="1:7" x14ac:dyDescent="0.2">
      <c r="A4249" s="84" t="str">
        <f>HYPERLINK("[#]Codes_for_GE_Names!A245:I245","SWEDEN")</f>
        <v>SWEDEN</v>
      </c>
      <c r="B4249" s="33" t="s">
        <v>10100</v>
      </c>
      <c r="C4249" s="33" t="s">
        <v>13702</v>
      </c>
      <c r="D4249" s="33" t="s">
        <v>1788</v>
      </c>
      <c r="E4249" s="34" t="b">
        <v>1</v>
      </c>
      <c r="F4249" s="35" t="str">
        <f>HYPERLINK("http://nsgreg.nga.mil/genc/view?v=213454&amp;end_month=12&amp;end_day=31&amp;end_year=2014","Blekinge")</f>
        <v>Blekinge</v>
      </c>
      <c r="G4249" s="36" t="str">
        <f>HYPERLINK("http://api.nsgreg.nga.mil/geo-division/GENC/6/ed3/SE-K","as:GENC:6:ed3:SE-K")</f>
        <v>as:GENC:6:ed3:SE-K</v>
      </c>
    </row>
    <row r="4250" spans="1:7" x14ac:dyDescent="0.2">
      <c r="A4250" s="85"/>
      <c r="B4250" s="25" t="s">
        <v>10102</v>
      </c>
      <c r="C4250" s="25" t="s">
        <v>13703</v>
      </c>
      <c r="D4250" s="25" t="s">
        <v>1788</v>
      </c>
      <c r="E4250" s="26" t="b">
        <v>1</v>
      </c>
      <c r="F4250" s="27" t="str">
        <f>HYPERLINK("http://nsgreg.nga.mil/genc/view?v=213461&amp;end_month=12&amp;end_day=31&amp;end_year=2014","Dalarna")</f>
        <v>Dalarna</v>
      </c>
      <c r="G4250" s="28" t="str">
        <f>HYPERLINK("http://api.nsgreg.nga.mil/geo-division/GENC/6/ed3/SE-W","as:GENC:6:ed3:SE-W")</f>
        <v>as:GENC:6:ed3:SE-W</v>
      </c>
    </row>
    <row r="4251" spans="1:7" x14ac:dyDescent="0.2">
      <c r="A4251" s="85"/>
      <c r="B4251" s="25" t="s">
        <v>10106</v>
      </c>
      <c r="C4251" s="25" t="s">
        <v>13704</v>
      </c>
      <c r="D4251" s="25" t="s">
        <v>1788</v>
      </c>
      <c r="E4251" s="26" t="b">
        <v>1</v>
      </c>
      <c r="F4251" s="27" t="str">
        <f>HYPERLINK("http://nsgreg.nga.mil/genc/view?v=213462&amp;end_month=12&amp;end_day=31&amp;end_year=2014","Gävleborg")</f>
        <v>Gävleborg</v>
      </c>
      <c r="G4251" s="28" t="str">
        <f>HYPERLINK("http://api.nsgreg.nga.mil/geo-division/GENC/6/ed3/SE-X","as:GENC:6:ed3:SE-X")</f>
        <v>as:GENC:6:ed3:SE-X</v>
      </c>
    </row>
    <row r="4252" spans="1:7" x14ac:dyDescent="0.2">
      <c r="A4252" s="85"/>
      <c r="B4252" s="25" t="s">
        <v>10104</v>
      </c>
      <c r="C4252" s="25" t="s">
        <v>13705</v>
      </c>
      <c r="D4252" s="25" t="s">
        <v>1788</v>
      </c>
      <c r="E4252" s="26" t="b">
        <v>1</v>
      </c>
      <c r="F4252" s="27" t="str">
        <f>HYPERLINK("http://nsgreg.nga.mil/genc/view?v=213453&amp;end_month=12&amp;end_day=31&amp;end_year=2014","Gotland")</f>
        <v>Gotland</v>
      </c>
      <c r="G4252" s="28" t="str">
        <f>HYPERLINK("http://api.nsgreg.nga.mil/geo-division/GENC/6/ed3/SE-I","as:GENC:6:ed3:SE-I")</f>
        <v>as:GENC:6:ed3:SE-I</v>
      </c>
    </row>
    <row r="4253" spans="1:7" x14ac:dyDescent="0.2">
      <c r="A4253" s="85"/>
      <c r="B4253" s="25" t="s">
        <v>10108</v>
      </c>
      <c r="C4253" s="25" t="s">
        <v>13706</v>
      </c>
      <c r="D4253" s="25" t="s">
        <v>1788</v>
      </c>
      <c r="E4253" s="26" t="b">
        <v>1</v>
      </c>
      <c r="F4253" s="27" t="str">
        <f>HYPERLINK("http://nsgreg.nga.mil/genc/view?v=213456&amp;end_month=12&amp;end_day=31&amp;end_year=2014","Halland")</f>
        <v>Halland</v>
      </c>
      <c r="G4253" s="28" t="str">
        <f>HYPERLINK("http://api.nsgreg.nga.mil/geo-division/GENC/6/ed3/SE-N","as:GENC:6:ed3:SE-N")</f>
        <v>as:GENC:6:ed3:SE-N</v>
      </c>
    </row>
    <row r="4254" spans="1:7" x14ac:dyDescent="0.2">
      <c r="A4254" s="85"/>
      <c r="B4254" s="25" t="s">
        <v>10110</v>
      </c>
      <c r="C4254" s="25" t="s">
        <v>13707</v>
      </c>
      <c r="D4254" s="25" t="s">
        <v>1788</v>
      </c>
      <c r="E4254" s="26" t="b">
        <v>1</v>
      </c>
      <c r="F4254" s="27" t="str">
        <f>HYPERLINK("http://nsgreg.nga.mil/genc/view?v=213464&amp;end_month=12&amp;end_day=31&amp;end_year=2014","Jämtland")</f>
        <v>Jämtland</v>
      </c>
      <c r="G4254" s="28" t="str">
        <f>HYPERLINK("http://api.nsgreg.nga.mil/geo-division/GENC/6/ed3/SE-Z","as:GENC:6:ed3:SE-Z")</f>
        <v>as:GENC:6:ed3:SE-Z</v>
      </c>
    </row>
    <row r="4255" spans="1:7" x14ac:dyDescent="0.2">
      <c r="A4255" s="85"/>
      <c r="B4255" s="25" t="s">
        <v>10112</v>
      </c>
      <c r="C4255" s="25" t="s">
        <v>13708</v>
      </c>
      <c r="D4255" s="25" t="s">
        <v>1788</v>
      </c>
      <c r="E4255" s="26" t="b">
        <v>1</v>
      </c>
      <c r="F4255" s="27" t="str">
        <f>HYPERLINK("http://nsgreg.nga.mil/genc/view?v=213450&amp;end_month=12&amp;end_day=31&amp;end_year=2014","Jönköping")</f>
        <v>Jönköping</v>
      </c>
      <c r="G4255" s="28" t="str">
        <f>HYPERLINK("http://api.nsgreg.nga.mil/geo-division/GENC/6/ed3/SE-F","as:GENC:6:ed3:SE-F")</f>
        <v>as:GENC:6:ed3:SE-F</v>
      </c>
    </row>
    <row r="4256" spans="1:7" x14ac:dyDescent="0.2">
      <c r="A4256" s="85"/>
      <c r="B4256" s="25" t="s">
        <v>10114</v>
      </c>
      <c r="C4256" s="25" t="s">
        <v>13709</v>
      </c>
      <c r="D4256" s="25" t="s">
        <v>1788</v>
      </c>
      <c r="E4256" s="26" t="b">
        <v>1</v>
      </c>
      <c r="F4256" s="27" t="str">
        <f>HYPERLINK("http://nsgreg.nga.mil/genc/view?v=213452&amp;end_month=12&amp;end_day=31&amp;end_year=2014","Kalmar")</f>
        <v>Kalmar</v>
      </c>
      <c r="G4256" s="28" t="str">
        <f>HYPERLINK("http://api.nsgreg.nga.mil/geo-division/GENC/6/ed3/SE-H","as:GENC:6:ed3:SE-H")</f>
        <v>as:GENC:6:ed3:SE-H</v>
      </c>
    </row>
    <row r="4257" spans="1:7" x14ac:dyDescent="0.2">
      <c r="A4257" s="85"/>
      <c r="B4257" s="25" t="s">
        <v>10116</v>
      </c>
      <c r="C4257" s="25" t="s">
        <v>13710</v>
      </c>
      <c r="D4257" s="25" t="s">
        <v>1788</v>
      </c>
      <c r="E4257" s="26" t="b">
        <v>1</v>
      </c>
      <c r="F4257" s="27" t="str">
        <f>HYPERLINK("http://nsgreg.nga.mil/genc/view?v=213451&amp;end_month=12&amp;end_day=31&amp;end_year=2014","Kronoberg")</f>
        <v>Kronoberg</v>
      </c>
      <c r="G4257" s="28" t="str">
        <f>HYPERLINK("http://api.nsgreg.nga.mil/geo-division/GENC/6/ed3/SE-G","as:GENC:6:ed3:SE-G")</f>
        <v>as:GENC:6:ed3:SE-G</v>
      </c>
    </row>
    <row r="4258" spans="1:7" x14ac:dyDescent="0.2">
      <c r="A4258" s="85"/>
      <c r="B4258" s="25" t="s">
        <v>10118</v>
      </c>
      <c r="C4258" s="25" t="s">
        <v>13711</v>
      </c>
      <c r="D4258" s="25" t="s">
        <v>1788</v>
      </c>
      <c r="E4258" s="26" t="b">
        <v>1</v>
      </c>
      <c r="F4258" s="27" t="str">
        <f>HYPERLINK("http://nsgreg.nga.mil/genc/view?v=213446&amp;end_month=12&amp;end_day=31&amp;end_year=2014","Norrbotten")</f>
        <v>Norrbotten</v>
      </c>
      <c r="G4258" s="28" t="str">
        <f>HYPERLINK("http://api.nsgreg.nga.mil/geo-division/GENC/6/ed3/SE-BD","as:GENC:6:ed3:SE-BD")</f>
        <v>as:GENC:6:ed3:SE-BD</v>
      </c>
    </row>
    <row r="4259" spans="1:7" x14ac:dyDescent="0.2">
      <c r="A4259" s="85"/>
      <c r="B4259" s="25" t="s">
        <v>10138</v>
      </c>
      <c r="C4259" s="25" t="s">
        <v>13712</v>
      </c>
      <c r="D4259" s="25" t="s">
        <v>1788</v>
      </c>
      <c r="E4259" s="26" t="b">
        <v>1</v>
      </c>
      <c r="F4259" s="27" t="str">
        <f>HYPERLINK("http://nsgreg.nga.mil/genc/view?v=213459&amp;end_month=12&amp;end_day=31&amp;end_year=2014","Örebro")</f>
        <v>Örebro</v>
      </c>
      <c r="G4259" s="28" t="str">
        <f>HYPERLINK("http://api.nsgreg.nga.mil/geo-division/GENC/6/ed3/SE-T","as:GENC:6:ed3:SE-T")</f>
        <v>as:GENC:6:ed3:SE-T</v>
      </c>
    </row>
    <row r="4260" spans="1:7" x14ac:dyDescent="0.2">
      <c r="A4260" s="85"/>
      <c r="B4260" s="25" t="s">
        <v>10140</v>
      </c>
      <c r="C4260" s="25" t="s">
        <v>13713</v>
      </c>
      <c r="D4260" s="25" t="s">
        <v>1788</v>
      </c>
      <c r="E4260" s="26" t="b">
        <v>1</v>
      </c>
      <c r="F4260" s="27" t="str">
        <f>HYPERLINK("http://nsgreg.nga.mil/genc/view?v=213449&amp;end_month=12&amp;end_day=31&amp;end_year=2014","Östergötland")</f>
        <v>Östergötland</v>
      </c>
      <c r="G4260" s="28" t="str">
        <f>HYPERLINK("http://api.nsgreg.nga.mil/geo-division/GENC/6/ed3/SE-E","as:GENC:6:ed3:SE-E")</f>
        <v>as:GENC:6:ed3:SE-E</v>
      </c>
    </row>
    <row r="4261" spans="1:7" x14ac:dyDescent="0.2">
      <c r="A4261" s="85"/>
      <c r="B4261" s="25" t="s">
        <v>10120</v>
      </c>
      <c r="C4261" s="25" t="s">
        <v>13714</v>
      </c>
      <c r="D4261" s="25" t="s">
        <v>1788</v>
      </c>
      <c r="E4261" s="26" t="b">
        <v>1</v>
      </c>
      <c r="F4261" s="27" t="str">
        <f>HYPERLINK("http://nsgreg.nga.mil/genc/view?v=213455&amp;end_month=12&amp;end_day=31&amp;end_year=2014","Skåne")</f>
        <v>Skåne</v>
      </c>
      <c r="G4261" s="28" t="str">
        <f>HYPERLINK("http://api.nsgreg.nga.mil/geo-division/GENC/6/ed3/SE-M","as:GENC:6:ed3:SE-M")</f>
        <v>as:GENC:6:ed3:SE-M</v>
      </c>
    </row>
    <row r="4262" spans="1:7" x14ac:dyDescent="0.2">
      <c r="A4262" s="85"/>
      <c r="B4262" s="25" t="s">
        <v>10124</v>
      </c>
      <c r="C4262" s="25" t="s">
        <v>13715</v>
      </c>
      <c r="D4262" s="25" t="s">
        <v>1788</v>
      </c>
      <c r="E4262" s="26" t="b">
        <v>1</v>
      </c>
      <c r="F4262" s="27" t="str">
        <f>HYPERLINK("http://nsgreg.nga.mil/genc/view?v=213448&amp;end_month=12&amp;end_day=31&amp;end_year=2014","Södermanland")</f>
        <v>Södermanland</v>
      </c>
      <c r="G4262" s="28" t="str">
        <f>HYPERLINK("http://api.nsgreg.nga.mil/geo-division/GENC/6/ed3/SE-D","as:GENC:6:ed3:SE-D")</f>
        <v>as:GENC:6:ed3:SE-D</v>
      </c>
    </row>
    <row r="4263" spans="1:7" x14ac:dyDescent="0.2">
      <c r="A4263" s="85"/>
      <c r="B4263" s="25" t="s">
        <v>10122</v>
      </c>
      <c r="C4263" s="25" t="s">
        <v>13716</v>
      </c>
      <c r="D4263" s="25" t="s">
        <v>1788</v>
      </c>
      <c r="E4263" s="26" t="b">
        <v>1</v>
      </c>
      <c r="F4263" s="27" t="str">
        <f>HYPERLINK("http://nsgreg.nga.mil/genc/view?v=213444&amp;end_month=12&amp;end_day=31&amp;end_year=2014","Stockholm")</f>
        <v>Stockholm</v>
      </c>
      <c r="G4263" s="28" t="str">
        <f>HYPERLINK("http://api.nsgreg.nga.mil/geo-division/GENC/6/ed3/SE-AB","as:GENC:6:ed3:SE-AB")</f>
        <v>as:GENC:6:ed3:SE-AB</v>
      </c>
    </row>
    <row r="4264" spans="1:7" x14ac:dyDescent="0.2">
      <c r="A4264" s="85"/>
      <c r="B4264" s="25" t="s">
        <v>10126</v>
      </c>
      <c r="C4264" s="25" t="s">
        <v>13717</v>
      </c>
      <c r="D4264" s="25" t="s">
        <v>1788</v>
      </c>
      <c r="E4264" s="26" t="b">
        <v>1</v>
      </c>
      <c r="F4264" s="27" t="str">
        <f>HYPERLINK("http://nsgreg.nga.mil/genc/view?v=213447&amp;end_month=12&amp;end_day=31&amp;end_year=2014","Uppsala")</f>
        <v>Uppsala</v>
      </c>
      <c r="G4264" s="28" t="str">
        <f>HYPERLINK("http://api.nsgreg.nga.mil/geo-division/GENC/6/ed3/SE-C","as:GENC:6:ed3:SE-C")</f>
        <v>as:GENC:6:ed3:SE-C</v>
      </c>
    </row>
    <row r="4265" spans="1:7" x14ac:dyDescent="0.2">
      <c r="A4265" s="85"/>
      <c r="B4265" s="25" t="s">
        <v>10128</v>
      </c>
      <c r="C4265" s="25" t="s">
        <v>13718</v>
      </c>
      <c r="D4265" s="25" t="s">
        <v>1788</v>
      </c>
      <c r="E4265" s="26" t="b">
        <v>1</v>
      </c>
      <c r="F4265" s="27" t="str">
        <f>HYPERLINK("http://nsgreg.nga.mil/genc/view?v=213458&amp;end_month=12&amp;end_day=31&amp;end_year=2014","Värmland")</f>
        <v>Värmland</v>
      </c>
      <c r="G4265" s="28" t="str">
        <f>HYPERLINK("http://api.nsgreg.nga.mil/geo-division/GENC/6/ed3/SE-S","as:GENC:6:ed3:SE-S")</f>
        <v>as:GENC:6:ed3:SE-S</v>
      </c>
    </row>
    <row r="4266" spans="1:7" x14ac:dyDescent="0.2">
      <c r="A4266" s="85"/>
      <c r="B4266" s="25" t="s">
        <v>10130</v>
      </c>
      <c r="C4266" s="25" t="s">
        <v>13719</v>
      </c>
      <c r="D4266" s="25" t="s">
        <v>1788</v>
      </c>
      <c r="E4266" s="26" t="b">
        <v>1</v>
      </c>
      <c r="F4266" s="27" t="str">
        <f>HYPERLINK("http://nsgreg.nga.mil/genc/view?v=213445&amp;end_month=12&amp;end_day=31&amp;end_year=2014","Västerbotten")</f>
        <v>Västerbotten</v>
      </c>
      <c r="G4266" s="28" t="str">
        <f>HYPERLINK("http://api.nsgreg.nga.mil/geo-division/GENC/6/ed3/SE-AC","as:GENC:6:ed3:SE-AC")</f>
        <v>as:GENC:6:ed3:SE-AC</v>
      </c>
    </row>
    <row r="4267" spans="1:7" x14ac:dyDescent="0.2">
      <c r="A4267" s="85"/>
      <c r="B4267" s="25" t="s">
        <v>10132</v>
      </c>
      <c r="C4267" s="25" t="s">
        <v>13720</v>
      </c>
      <c r="D4267" s="25" t="s">
        <v>1788</v>
      </c>
      <c r="E4267" s="26" t="b">
        <v>1</v>
      </c>
      <c r="F4267" s="27" t="str">
        <f>HYPERLINK("http://nsgreg.nga.mil/genc/view?v=213463&amp;end_month=12&amp;end_day=31&amp;end_year=2014","Västernorrland")</f>
        <v>Västernorrland</v>
      </c>
      <c r="G4267" s="28" t="str">
        <f>HYPERLINK("http://api.nsgreg.nga.mil/geo-division/GENC/6/ed3/SE-Y","as:GENC:6:ed3:SE-Y")</f>
        <v>as:GENC:6:ed3:SE-Y</v>
      </c>
    </row>
    <row r="4268" spans="1:7" x14ac:dyDescent="0.2">
      <c r="A4268" s="85"/>
      <c r="B4268" s="25" t="s">
        <v>10134</v>
      </c>
      <c r="C4268" s="25" t="s">
        <v>13721</v>
      </c>
      <c r="D4268" s="25" t="s">
        <v>1788</v>
      </c>
      <c r="E4268" s="26" t="b">
        <v>1</v>
      </c>
      <c r="F4268" s="27" t="str">
        <f>HYPERLINK("http://nsgreg.nga.mil/genc/view?v=213460&amp;end_month=12&amp;end_day=31&amp;end_year=2014","Västmanland")</f>
        <v>Västmanland</v>
      </c>
      <c r="G4268" s="28" t="str">
        <f>HYPERLINK("http://api.nsgreg.nga.mil/geo-division/GENC/6/ed3/SE-U","as:GENC:6:ed3:SE-U")</f>
        <v>as:GENC:6:ed3:SE-U</v>
      </c>
    </row>
    <row r="4269" spans="1:7" x14ac:dyDescent="0.2">
      <c r="A4269" s="86"/>
      <c r="B4269" s="29" t="s">
        <v>10136</v>
      </c>
      <c r="C4269" s="29" t="s">
        <v>13722</v>
      </c>
      <c r="D4269" s="29" t="s">
        <v>1788</v>
      </c>
      <c r="E4269" s="30" t="b">
        <v>1</v>
      </c>
      <c r="F4269" s="31" t="str">
        <f>HYPERLINK("http://nsgreg.nga.mil/genc/view?v=213457&amp;end_month=12&amp;end_day=31&amp;end_year=2014","Västra Götaland")</f>
        <v>Västra Götaland</v>
      </c>
      <c r="G4269" s="32" t="str">
        <f>HYPERLINK("http://api.nsgreg.nga.mil/geo-division/GENC/6/ed3/SE-O","as:GENC:6:ed3:SE-O")</f>
        <v>as:GENC:6:ed3:SE-O</v>
      </c>
    </row>
    <row r="4270" spans="1:7" x14ac:dyDescent="0.2">
      <c r="A4270" s="84" t="str">
        <f>HYPERLINK("[#]Codes_for_GE_Names!A246:I246","SWITZERLAND")</f>
        <v>SWITZERLAND</v>
      </c>
      <c r="B4270" s="33" t="s">
        <v>10142</v>
      </c>
      <c r="C4270" s="33" t="s">
        <v>10143</v>
      </c>
      <c r="D4270" s="33" t="s">
        <v>2681</v>
      </c>
      <c r="E4270" s="34" t="b">
        <v>1</v>
      </c>
      <c r="F4270" s="35" t="str">
        <f>HYPERLINK("http://nsgreg.nga.mil/genc/view?v=211440&amp;end_month=12&amp;end_day=31&amp;end_year=2014","Aargau")</f>
        <v>Aargau</v>
      </c>
      <c r="G4270" s="36" t="str">
        <f>HYPERLINK("http://api.nsgreg.nga.mil/geo-division/GENC/6/ed3/CH-AG","as:GENC:6:ed3:CH-AG")</f>
        <v>as:GENC:6:ed3:CH-AG</v>
      </c>
    </row>
    <row r="4271" spans="1:7" x14ac:dyDescent="0.2">
      <c r="A4271" s="85"/>
      <c r="B4271" s="25" t="s">
        <v>10144</v>
      </c>
      <c r="C4271" s="25" t="s">
        <v>10145</v>
      </c>
      <c r="D4271" s="25" t="s">
        <v>2681</v>
      </c>
      <c r="E4271" s="26" t="b">
        <v>1</v>
      </c>
      <c r="F4271" s="27" t="str">
        <f>HYPERLINK("http://nsgreg.nga.mil/genc/view?v=211442&amp;end_month=12&amp;end_day=31&amp;end_year=2014","Appenzell Ausserrhoden")</f>
        <v>Appenzell Ausserrhoden</v>
      </c>
      <c r="G4271" s="28" t="str">
        <f>HYPERLINK("http://api.nsgreg.nga.mil/geo-division/GENC/6/ed3/CH-AR","as:GENC:6:ed3:CH-AR")</f>
        <v>as:GENC:6:ed3:CH-AR</v>
      </c>
    </row>
    <row r="4272" spans="1:7" x14ac:dyDescent="0.2">
      <c r="A4272" s="85"/>
      <c r="B4272" s="25" t="s">
        <v>10146</v>
      </c>
      <c r="C4272" s="25" t="s">
        <v>10147</v>
      </c>
      <c r="D4272" s="25" t="s">
        <v>2681</v>
      </c>
      <c r="E4272" s="26" t="b">
        <v>1</v>
      </c>
      <c r="F4272" s="27" t="str">
        <f>HYPERLINK("http://nsgreg.nga.mil/genc/view?v=211441&amp;end_month=12&amp;end_day=31&amp;end_year=2014","Appenzell Innerrhoden")</f>
        <v>Appenzell Innerrhoden</v>
      </c>
      <c r="G4272" s="28" t="str">
        <f>HYPERLINK("http://api.nsgreg.nga.mil/geo-division/GENC/6/ed3/CH-AI","as:GENC:6:ed3:CH-AI")</f>
        <v>as:GENC:6:ed3:CH-AI</v>
      </c>
    </row>
    <row r="4273" spans="1:7" x14ac:dyDescent="0.2">
      <c r="A4273" s="85"/>
      <c r="B4273" s="25" t="s">
        <v>10148</v>
      </c>
      <c r="C4273" s="25" t="s">
        <v>10149</v>
      </c>
      <c r="D4273" s="25" t="s">
        <v>2681</v>
      </c>
      <c r="E4273" s="26" t="b">
        <v>1</v>
      </c>
      <c r="F4273" s="27" t="str">
        <f>HYPERLINK("http://nsgreg.nga.mil/genc/view?v=211444&amp;end_month=12&amp;end_day=31&amp;end_year=2014","Basel-Landschaft")</f>
        <v>Basel-Landschaft</v>
      </c>
      <c r="G4273" s="28" t="str">
        <f>HYPERLINK("http://api.nsgreg.nga.mil/geo-division/GENC/6/ed3/CH-BL","as:GENC:6:ed3:CH-BL")</f>
        <v>as:GENC:6:ed3:CH-BL</v>
      </c>
    </row>
    <row r="4274" spans="1:7" x14ac:dyDescent="0.2">
      <c r="A4274" s="85"/>
      <c r="B4274" s="25" t="s">
        <v>10150</v>
      </c>
      <c r="C4274" s="25" t="s">
        <v>10151</v>
      </c>
      <c r="D4274" s="25" t="s">
        <v>2681</v>
      </c>
      <c r="E4274" s="26" t="b">
        <v>1</v>
      </c>
      <c r="F4274" s="27" t="str">
        <f>HYPERLINK("http://nsgreg.nga.mil/genc/view?v=211445&amp;end_month=12&amp;end_day=31&amp;end_year=2014","Basel-Stadt")</f>
        <v>Basel-Stadt</v>
      </c>
      <c r="G4274" s="28" t="str">
        <f>HYPERLINK("http://api.nsgreg.nga.mil/geo-division/GENC/6/ed3/CH-BS","as:GENC:6:ed3:CH-BS")</f>
        <v>as:GENC:6:ed3:CH-BS</v>
      </c>
    </row>
    <row r="4275" spans="1:7" x14ac:dyDescent="0.2">
      <c r="A4275" s="85"/>
      <c r="B4275" s="25" t="s">
        <v>10152</v>
      </c>
      <c r="C4275" s="25" t="s">
        <v>10153</v>
      </c>
      <c r="D4275" s="25" t="s">
        <v>2681</v>
      </c>
      <c r="E4275" s="26" t="b">
        <v>1</v>
      </c>
      <c r="F4275" s="27" t="str">
        <f>HYPERLINK("http://nsgreg.nga.mil/genc/view?v=211443&amp;end_month=12&amp;end_day=31&amp;end_year=2014","Bern")</f>
        <v>Bern</v>
      </c>
      <c r="G4275" s="28" t="str">
        <f>HYPERLINK("http://api.nsgreg.nga.mil/geo-division/GENC/6/ed3/CH-BE","as:GENC:6:ed3:CH-BE")</f>
        <v>as:GENC:6:ed3:CH-BE</v>
      </c>
    </row>
    <row r="4276" spans="1:7" x14ac:dyDescent="0.2">
      <c r="A4276" s="85"/>
      <c r="B4276" s="25" t="s">
        <v>10155</v>
      </c>
      <c r="C4276" s="25" t="s">
        <v>10157</v>
      </c>
      <c r="D4276" s="25" t="s">
        <v>2681</v>
      </c>
      <c r="E4276" s="26" t="b">
        <v>1</v>
      </c>
      <c r="F4276" s="27" t="str">
        <f>HYPERLINK("http://nsgreg.nga.mil/genc/view?v=211446&amp;end_month=12&amp;end_day=31&amp;end_year=2014","Fribourg")</f>
        <v>Fribourg</v>
      </c>
      <c r="G4276" s="28" t="str">
        <f>HYPERLINK("http://api.nsgreg.nga.mil/geo-division/GENC/6/ed3/CH-FR","as:GENC:6:ed3:CH-FR")</f>
        <v>as:GENC:6:ed3:CH-FR</v>
      </c>
    </row>
    <row r="4277" spans="1:7" x14ac:dyDescent="0.2">
      <c r="A4277" s="85"/>
      <c r="B4277" s="25" t="s">
        <v>10158</v>
      </c>
      <c r="C4277" s="25" t="s">
        <v>10159</v>
      </c>
      <c r="D4277" s="25" t="s">
        <v>2681</v>
      </c>
      <c r="E4277" s="26" t="b">
        <v>1</v>
      </c>
      <c r="F4277" s="27" t="str">
        <f>HYPERLINK("http://nsgreg.nga.mil/genc/view?v=211447&amp;end_month=12&amp;end_day=31&amp;end_year=2014","Genève")</f>
        <v>Genève</v>
      </c>
      <c r="G4277" s="28" t="str">
        <f>HYPERLINK("http://api.nsgreg.nga.mil/geo-division/GENC/6/ed3/CH-GE","as:GENC:6:ed3:CH-GE")</f>
        <v>as:GENC:6:ed3:CH-GE</v>
      </c>
    </row>
    <row r="4278" spans="1:7" x14ac:dyDescent="0.2">
      <c r="A4278" s="85"/>
      <c r="B4278" s="25" t="s">
        <v>10160</v>
      </c>
      <c r="C4278" s="25" t="s">
        <v>10161</v>
      </c>
      <c r="D4278" s="25" t="s">
        <v>2681</v>
      </c>
      <c r="E4278" s="26" t="b">
        <v>1</v>
      </c>
      <c r="F4278" s="27" t="str">
        <f>HYPERLINK("http://nsgreg.nga.mil/genc/view?v=211448&amp;end_month=12&amp;end_day=31&amp;end_year=2014","Glarus")</f>
        <v>Glarus</v>
      </c>
      <c r="G4278" s="28" t="str">
        <f>HYPERLINK("http://api.nsgreg.nga.mil/geo-division/GENC/6/ed3/CH-GL","as:GENC:6:ed3:CH-GL")</f>
        <v>as:GENC:6:ed3:CH-GL</v>
      </c>
    </row>
    <row r="4279" spans="1:7" x14ac:dyDescent="0.2">
      <c r="A4279" s="85"/>
      <c r="B4279" s="25" t="s">
        <v>10162</v>
      </c>
      <c r="C4279" s="25" t="s">
        <v>10163</v>
      </c>
      <c r="D4279" s="25" t="s">
        <v>2681</v>
      </c>
      <c r="E4279" s="26" t="b">
        <v>1</v>
      </c>
      <c r="F4279" s="27" t="str">
        <f>HYPERLINK("http://nsgreg.nga.mil/genc/view?v=211449&amp;end_month=12&amp;end_day=31&amp;end_year=2014","Graubünden")</f>
        <v>Graubünden</v>
      </c>
      <c r="G4279" s="28" t="str">
        <f>HYPERLINK("http://api.nsgreg.nga.mil/geo-division/GENC/6/ed3/CH-GR","as:GENC:6:ed3:CH-GR")</f>
        <v>as:GENC:6:ed3:CH-GR</v>
      </c>
    </row>
    <row r="4280" spans="1:7" x14ac:dyDescent="0.2">
      <c r="A4280" s="85"/>
      <c r="B4280" s="25" t="s">
        <v>10167</v>
      </c>
      <c r="C4280" s="25" t="s">
        <v>4386</v>
      </c>
      <c r="D4280" s="25" t="s">
        <v>2681</v>
      </c>
      <c r="E4280" s="26" t="b">
        <v>1</v>
      </c>
      <c r="F4280" s="27" t="str">
        <f>HYPERLINK("http://nsgreg.nga.mil/genc/view?v=211450&amp;end_month=12&amp;end_day=31&amp;end_year=2014","Jura")</f>
        <v>Jura</v>
      </c>
      <c r="G4280" s="28" t="str">
        <f>HYPERLINK("http://api.nsgreg.nga.mil/geo-division/GENC/6/ed3/CH-JU","as:GENC:6:ed3:CH-JU")</f>
        <v>as:GENC:6:ed3:CH-JU</v>
      </c>
    </row>
    <row r="4281" spans="1:7" x14ac:dyDescent="0.2">
      <c r="A4281" s="85"/>
      <c r="B4281" s="25" t="s">
        <v>10168</v>
      </c>
      <c r="C4281" s="25" t="s">
        <v>10169</v>
      </c>
      <c r="D4281" s="25" t="s">
        <v>2681</v>
      </c>
      <c r="E4281" s="26" t="b">
        <v>1</v>
      </c>
      <c r="F4281" s="27" t="str">
        <f>HYPERLINK("http://nsgreg.nga.mil/genc/view?v=211451&amp;end_month=12&amp;end_day=31&amp;end_year=2014","Luzern")</f>
        <v>Luzern</v>
      </c>
      <c r="G4281" s="28" t="str">
        <f>HYPERLINK("http://api.nsgreg.nga.mil/geo-division/GENC/6/ed3/CH-LU","as:GENC:6:ed3:CH-LU")</f>
        <v>as:GENC:6:ed3:CH-LU</v>
      </c>
    </row>
    <row r="4282" spans="1:7" x14ac:dyDescent="0.2">
      <c r="A4282" s="85"/>
      <c r="B4282" s="25" t="s">
        <v>10170</v>
      </c>
      <c r="C4282" s="25" t="s">
        <v>10171</v>
      </c>
      <c r="D4282" s="25" t="s">
        <v>2681</v>
      </c>
      <c r="E4282" s="26" t="b">
        <v>1</v>
      </c>
      <c r="F4282" s="27" t="str">
        <f>HYPERLINK("http://nsgreg.nga.mil/genc/view?v=211452&amp;end_month=12&amp;end_day=31&amp;end_year=2014","Neuchâtel")</f>
        <v>Neuchâtel</v>
      </c>
      <c r="G4282" s="28" t="str">
        <f>HYPERLINK("http://api.nsgreg.nga.mil/geo-division/GENC/6/ed3/CH-NE","as:GENC:6:ed3:CH-NE")</f>
        <v>as:GENC:6:ed3:CH-NE</v>
      </c>
    </row>
    <row r="4283" spans="1:7" x14ac:dyDescent="0.2">
      <c r="A4283" s="85"/>
      <c r="B4283" s="25" t="s">
        <v>10172</v>
      </c>
      <c r="C4283" s="25" t="s">
        <v>10173</v>
      </c>
      <c r="D4283" s="25" t="s">
        <v>2681</v>
      </c>
      <c r="E4283" s="26" t="b">
        <v>1</v>
      </c>
      <c r="F4283" s="27" t="str">
        <f>HYPERLINK("http://nsgreg.nga.mil/genc/view?v=211453&amp;end_month=12&amp;end_day=31&amp;end_year=2014","Nidwalden")</f>
        <v>Nidwalden</v>
      </c>
      <c r="G4283" s="28" t="str">
        <f>HYPERLINK("http://api.nsgreg.nga.mil/geo-division/GENC/6/ed3/CH-NW","as:GENC:6:ed3:CH-NW")</f>
        <v>as:GENC:6:ed3:CH-NW</v>
      </c>
    </row>
    <row r="4284" spans="1:7" x14ac:dyDescent="0.2">
      <c r="A4284" s="85"/>
      <c r="B4284" s="25" t="s">
        <v>10174</v>
      </c>
      <c r="C4284" s="25" t="s">
        <v>10175</v>
      </c>
      <c r="D4284" s="25" t="s">
        <v>2681</v>
      </c>
      <c r="E4284" s="26" t="b">
        <v>1</v>
      </c>
      <c r="F4284" s="27" t="str">
        <f>HYPERLINK("http://nsgreg.nga.mil/genc/view?v=211454&amp;end_month=12&amp;end_day=31&amp;end_year=2014","Obwalden")</f>
        <v>Obwalden</v>
      </c>
      <c r="G4284" s="28" t="str">
        <f>HYPERLINK("http://api.nsgreg.nga.mil/geo-division/GENC/6/ed3/CH-OW","as:GENC:6:ed3:CH-OW")</f>
        <v>as:GENC:6:ed3:CH-OW</v>
      </c>
    </row>
    <row r="4285" spans="1:7" x14ac:dyDescent="0.2">
      <c r="A4285" s="85"/>
      <c r="B4285" s="25" t="s">
        <v>10176</v>
      </c>
      <c r="C4285" s="25" t="s">
        <v>10177</v>
      </c>
      <c r="D4285" s="25" t="s">
        <v>2681</v>
      </c>
      <c r="E4285" s="26" t="b">
        <v>1</v>
      </c>
      <c r="F4285" s="27" t="str">
        <f>HYPERLINK("http://nsgreg.nga.mil/genc/view?v=211455&amp;end_month=12&amp;end_day=31&amp;end_year=2014","Sankt Gallen")</f>
        <v>Sankt Gallen</v>
      </c>
      <c r="G4285" s="28" t="str">
        <f>HYPERLINK("http://api.nsgreg.nga.mil/geo-division/GENC/6/ed3/CH-SG","as:GENC:6:ed3:CH-SG")</f>
        <v>as:GENC:6:ed3:CH-SG</v>
      </c>
    </row>
    <row r="4286" spans="1:7" x14ac:dyDescent="0.2">
      <c r="A4286" s="85"/>
      <c r="B4286" s="25" t="s">
        <v>10178</v>
      </c>
      <c r="C4286" s="25" t="s">
        <v>10179</v>
      </c>
      <c r="D4286" s="25" t="s">
        <v>2681</v>
      </c>
      <c r="E4286" s="26" t="b">
        <v>1</v>
      </c>
      <c r="F4286" s="27" t="str">
        <f>HYPERLINK("http://nsgreg.nga.mil/genc/view?v=211456&amp;end_month=12&amp;end_day=31&amp;end_year=2014","Schaffhausen")</f>
        <v>Schaffhausen</v>
      </c>
      <c r="G4286" s="28" t="str">
        <f>HYPERLINK("http://api.nsgreg.nga.mil/geo-division/GENC/6/ed3/CH-SH","as:GENC:6:ed3:CH-SH")</f>
        <v>as:GENC:6:ed3:CH-SH</v>
      </c>
    </row>
    <row r="4287" spans="1:7" x14ac:dyDescent="0.2">
      <c r="A4287" s="85"/>
      <c r="B4287" s="25" t="s">
        <v>10180</v>
      </c>
      <c r="C4287" s="25" t="s">
        <v>10181</v>
      </c>
      <c r="D4287" s="25" t="s">
        <v>2681</v>
      </c>
      <c r="E4287" s="26" t="b">
        <v>1</v>
      </c>
      <c r="F4287" s="27" t="str">
        <f>HYPERLINK("http://nsgreg.nga.mil/genc/view?v=211458&amp;end_month=12&amp;end_day=31&amp;end_year=2014","Schwyz")</f>
        <v>Schwyz</v>
      </c>
      <c r="G4287" s="28" t="str">
        <f>HYPERLINK("http://api.nsgreg.nga.mil/geo-division/GENC/6/ed3/CH-SZ","as:GENC:6:ed3:CH-SZ")</f>
        <v>as:GENC:6:ed3:CH-SZ</v>
      </c>
    </row>
    <row r="4288" spans="1:7" x14ac:dyDescent="0.2">
      <c r="A4288" s="85"/>
      <c r="B4288" s="25" t="s">
        <v>10182</v>
      </c>
      <c r="C4288" s="25" t="s">
        <v>10183</v>
      </c>
      <c r="D4288" s="25" t="s">
        <v>2681</v>
      </c>
      <c r="E4288" s="26" t="b">
        <v>1</v>
      </c>
      <c r="F4288" s="27" t="str">
        <f>HYPERLINK("http://nsgreg.nga.mil/genc/view?v=211457&amp;end_month=12&amp;end_day=31&amp;end_year=2014","Solothurn")</f>
        <v>Solothurn</v>
      </c>
      <c r="G4288" s="28" t="str">
        <f>HYPERLINK("http://api.nsgreg.nga.mil/geo-division/GENC/6/ed3/CH-SO","as:GENC:6:ed3:CH-SO")</f>
        <v>as:GENC:6:ed3:CH-SO</v>
      </c>
    </row>
    <row r="4289" spans="1:7" x14ac:dyDescent="0.2">
      <c r="A4289" s="85"/>
      <c r="B4289" s="25" t="s">
        <v>10184</v>
      </c>
      <c r="C4289" s="25" t="s">
        <v>10185</v>
      </c>
      <c r="D4289" s="25" t="s">
        <v>2681</v>
      </c>
      <c r="E4289" s="26" t="b">
        <v>1</v>
      </c>
      <c r="F4289" s="27" t="str">
        <f>HYPERLINK("http://nsgreg.nga.mil/genc/view?v=211459&amp;end_month=12&amp;end_day=31&amp;end_year=2014","Thurgau")</f>
        <v>Thurgau</v>
      </c>
      <c r="G4289" s="28" t="str">
        <f>HYPERLINK("http://api.nsgreg.nga.mil/geo-division/GENC/6/ed3/CH-TG","as:GENC:6:ed3:CH-TG")</f>
        <v>as:GENC:6:ed3:CH-TG</v>
      </c>
    </row>
    <row r="4290" spans="1:7" x14ac:dyDescent="0.2">
      <c r="A4290" s="85"/>
      <c r="B4290" s="25" t="s">
        <v>10186</v>
      </c>
      <c r="C4290" s="25" t="s">
        <v>10187</v>
      </c>
      <c r="D4290" s="25" t="s">
        <v>2681</v>
      </c>
      <c r="E4290" s="26" t="b">
        <v>1</v>
      </c>
      <c r="F4290" s="27" t="str">
        <f>HYPERLINK("http://nsgreg.nga.mil/genc/view?v=211460&amp;end_month=12&amp;end_day=31&amp;end_year=2014","Ticino")</f>
        <v>Ticino</v>
      </c>
      <c r="G4290" s="28" t="str">
        <f>HYPERLINK("http://api.nsgreg.nga.mil/geo-division/GENC/6/ed3/CH-TI","as:GENC:6:ed3:CH-TI")</f>
        <v>as:GENC:6:ed3:CH-TI</v>
      </c>
    </row>
    <row r="4291" spans="1:7" x14ac:dyDescent="0.2">
      <c r="A4291" s="85"/>
      <c r="B4291" s="25" t="s">
        <v>10188</v>
      </c>
      <c r="C4291" s="25" t="s">
        <v>10189</v>
      </c>
      <c r="D4291" s="25" t="s">
        <v>2681</v>
      </c>
      <c r="E4291" s="26" t="b">
        <v>1</v>
      </c>
      <c r="F4291" s="27" t="str">
        <f>HYPERLINK("http://nsgreg.nga.mil/genc/view?v=211461&amp;end_month=12&amp;end_day=31&amp;end_year=2014","Uri")</f>
        <v>Uri</v>
      </c>
      <c r="G4291" s="28" t="str">
        <f>HYPERLINK("http://api.nsgreg.nga.mil/geo-division/GENC/6/ed3/CH-UR","as:GENC:6:ed3:CH-UR")</f>
        <v>as:GENC:6:ed3:CH-UR</v>
      </c>
    </row>
    <row r="4292" spans="1:7" x14ac:dyDescent="0.2">
      <c r="A4292" s="85"/>
      <c r="B4292" s="25" t="s">
        <v>10190</v>
      </c>
      <c r="C4292" s="25" t="s">
        <v>10191</v>
      </c>
      <c r="D4292" s="25" t="s">
        <v>2681</v>
      </c>
      <c r="E4292" s="26" t="b">
        <v>1</v>
      </c>
      <c r="F4292" s="27" t="str">
        <f>HYPERLINK("http://nsgreg.nga.mil/genc/view?v=211463&amp;end_month=12&amp;end_day=31&amp;end_year=2014","Valais")</f>
        <v>Valais</v>
      </c>
      <c r="G4292" s="28" t="str">
        <f>HYPERLINK("http://api.nsgreg.nga.mil/geo-division/GENC/6/ed3/CH-VS","as:GENC:6:ed3:CH-VS")</f>
        <v>as:GENC:6:ed3:CH-VS</v>
      </c>
    </row>
    <row r="4293" spans="1:7" x14ac:dyDescent="0.2">
      <c r="A4293" s="85"/>
      <c r="B4293" s="25" t="s">
        <v>10192</v>
      </c>
      <c r="C4293" s="25" t="s">
        <v>10193</v>
      </c>
      <c r="D4293" s="25" t="s">
        <v>2681</v>
      </c>
      <c r="E4293" s="26" t="b">
        <v>1</v>
      </c>
      <c r="F4293" s="27" t="str">
        <f>HYPERLINK("http://nsgreg.nga.mil/genc/view?v=211462&amp;end_month=12&amp;end_day=31&amp;end_year=2014","Vaud")</f>
        <v>Vaud</v>
      </c>
      <c r="G4293" s="28" t="str">
        <f>HYPERLINK("http://api.nsgreg.nga.mil/geo-division/GENC/6/ed3/CH-VD","as:GENC:6:ed3:CH-VD")</f>
        <v>as:GENC:6:ed3:CH-VD</v>
      </c>
    </row>
    <row r="4294" spans="1:7" x14ac:dyDescent="0.2">
      <c r="A4294" s="85"/>
      <c r="B4294" s="25" t="s">
        <v>10195</v>
      </c>
      <c r="C4294" s="25" t="s">
        <v>10196</v>
      </c>
      <c r="D4294" s="25" t="s">
        <v>2681</v>
      </c>
      <c r="E4294" s="26" t="b">
        <v>1</v>
      </c>
      <c r="F4294" s="27" t="str">
        <f>HYPERLINK("http://nsgreg.nga.mil/genc/view?v=211464&amp;end_month=12&amp;end_day=31&amp;end_year=2014","Zug")</f>
        <v>Zug</v>
      </c>
      <c r="G4294" s="28" t="str">
        <f>HYPERLINK("http://api.nsgreg.nga.mil/geo-division/GENC/6/ed3/CH-ZG","as:GENC:6:ed3:CH-ZG")</f>
        <v>as:GENC:6:ed3:CH-ZG</v>
      </c>
    </row>
    <row r="4295" spans="1:7" x14ac:dyDescent="0.2">
      <c r="A4295" s="86"/>
      <c r="B4295" s="29" t="s">
        <v>10197</v>
      </c>
      <c r="C4295" s="29" t="s">
        <v>10198</v>
      </c>
      <c r="D4295" s="29" t="s">
        <v>2681</v>
      </c>
      <c r="E4295" s="30" t="b">
        <v>1</v>
      </c>
      <c r="F4295" s="31" t="str">
        <f>HYPERLINK("http://nsgreg.nga.mil/genc/view?v=211465&amp;end_month=12&amp;end_day=31&amp;end_year=2014","Zürich")</f>
        <v>Zürich</v>
      </c>
      <c r="G4295" s="32" t="str">
        <f>HYPERLINK("http://api.nsgreg.nga.mil/geo-division/GENC/6/ed3/CH-ZH","as:GENC:6:ed3:CH-ZH")</f>
        <v>as:GENC:6:ed3:CH-ZH</v>
      </c>
    </row>
    <row r="4296" spans="1:7" x14ac:dyDescent="0.2">
      <c r="A4296" s="84" t="str">
        <f>HYPERLINK("[#]Codes_for_GE_Names!A247:I247","SYRIA")</f>
        <v>SYRIA</v>
      </c>
      <c r="B4296" s="33" t="s">
        <v>10203</v>
      </c>
      <c r="C4296" s="33" t="s">
        <v>10204</v>
      </c>
      <c r="D4296" s="33" t="s">
        <v>2365</v>
      </c>
      <c r="E4296" s="34" t="b">
        <v>1</v>
      </c>
      <c r="F4296" s="35" t="str">
        <f>HYPERLINK("http://nsgreg.nga.mil/genc/view?v=213518&amp;end_month=12&amp;end_day=31&amp;end_year=2014","Al Ḩasakah")</f>
        <v>Al Ḩasakah</v>
      </c>
      <c r="G4296" s="36" t="str">
        <f>HYPERLINK("http://api.nsgreg.nga.mil/geo-division/GENC/6/ed3/SY-HA","as:GENC:6:ed3:SY-HA")</f>
        <v>as:GENC:6:ed3:SY-HA</v>
      </c>
    </row>
    <row r="4297" spans="1:7" x14ac:dyDescent="0.2">
      <c r="A4297" s="85"/>
      <c r="B4297" s="25" t="s">
        <v>10199</v>
      </c>
      <c r="C4297" s="25" t="s">
        <v>10200</v>
      </c>
      <c r="D4297" s="25" t="s">
        <v>2365</v>
      </c>
      <c r="E4297" s="26" t="b">
        <v>1</v>
      </c>
      <c r="F4297" s="27" t="str">
        <f>HYPERLINK("http://nsgreg.nga.mil/genc/view?v=213523&amp;end_month=12&amp;end_day=31&amp;end_year=2014","Al Lādhiqīyah")</f>
        <v>Al Lādhiqīyah</v>
      </c>
      <c r="G4297" s="28" t="str">
        <f>HYPERLINK("http://api.nsgreg.nga.mil/geo-division/GENC/6/ed3/SY-LA","as:GENC:6:ed3:SY-LA")</f>
        <v>as:GENC:6:ed3:SY-LA</v>
      </c>
    </row>
    <row r="4298" spans="1:7" x14ac:dyDescent="0.2">
      <c r="A4298" s="85"/>
      <c r="B4298" s="25" t="s">
        <v>10201</v>
      </c>
      <c r="C4298" s="25" t="s">
        <v>10202</v>
      </c>
      <c r="D4298" s="25" t="s">
        <v>2365</v>
      </c>
      <c r="E4298" s="26" t="b">
        <v>1</v>
      </c>
      <c r="F4298" s="27" t="str">
        <f>HYPERLINK("http://nsgreg.nga.mil/genc/view?v=213524&amp;end_month=12&amp;end_day=31&amp;end_year=2014","Al Qunayţirah")</f>
        <v>Al Qunayţirah</v>
      </c>
      <c r="G4298" s="28" t="str">
        <f>HYPERLINK("http://api.nsgreg.nga.mil/geo-division/GENC/6/ed3/SY-QU","as:GENC:6:ed3:SY-QU")</f>
        <v>as:GENC:6:ed3:SY-QU</v>
      </c>
    </row>
    <row r="4299" spans="1:7" x14ac:dyDescent="0.2">
      <c r="A4299" s="85"/>
      <c r="B4299" s="25" t="s">
        <v>10205</v>
      </c>
      <c r="C4299" s="25" t="s">
        <v>10206</v>
      </c>
      <c r="D4299" s="25" t="s">
        <v>2365</v>
      </c>
      <c r="E4299" s="26" t="b">
        <v>1</v>
      </c>
      <c r="F4299" s="27" t="str">
        <f>HYPERLINK("http://nsgreg.nga.mil/genc/view?v=213525&amp;end_month=12&amp;end_day=31&amp;end_year=2014","Ar Raqqah")</f>
        <v>Ar Raqqah</v>
      </c>
      <c r="G4299" s="28" t="str">
        <f>HYPERLINK("http://api.nsgreg.nga.mil/geo-division/GENC/6/ed3/SY-RA","as:GENC:6:ed3:SY-RA")</f>
        <v>as:GENC:6:ed3:SY-RA</v>
      </c>
    </row>
    <row r="4300" spans="1:7" x14ac:dyDescent="0.2">
      <c r="A4300" s="85"/>
      <c r="B4300" s="25" t="s">
        <v>10207</v>
      </c>
      <c r="C4300" s="25" t="s">
        <v>13723</v>
      </c>
      <c r="D4300" s="25" t="s">
        <v>2365</v>
      </c>
      <c r="E4300" s="26" t="b">
        <v>1</v>
      </c>
      <c r="F4300" s="27" t="str">
        <f>HYPERLINK("http://nsgreg.nga.mil/genc/view?v=213527&amp;end_month=12&amp;end_day=31&amp;end_year=2014","As Suwaydā’")</f>
        <v>As Suwaydā’</v>
      </c>
      <c r="G4300" s="28" t="str">
        <f>HYPERLINK("http://api.nsgreg.nga.mil/geo-division/GENC/6/ed3/SY-SU","as:GENC:6:ed3:SY-SU")</f>
        <v>as:GENC:6:ed3:SY-SU</v>
      </c>
    </row>
    <row r="4301" spans="1:7" x14ac:dyDescent="0.2">
      <c r="A4301" s="85"/>
      <c r="B4301" s="25" t="s">
        <v>10209</v>
      </c>
      <c r="C4301" s="25" t="s">
        <v>13724</v>
      </c>
      <c r="D4301" s="25" t="s">
        <v>2365</v>
      </c>
      <c r="E4301" s="26" t="b">
        <v>1</v>
      </c>
      <c r="F4301" s="27" t="str">
        <f>HYPERLINK("http://nsgreg.nga.mil/genc/view?v=213516&amp;end_month=12&amp;end_day=31&amp;end_year=2014","Dar‘ā")</f>
        <v>Dar‘ā</v>
      </c>
      <c r="G4301" s="28" t="str">
        <f>HYPERLINK("http://api.nsgreg.nga.mil/geo-division/GENC/6/ed3/SY-DR","as:GENC:6:ed3:SY-DR")</f>
        <v>as:GENC:6:ed3:SY-DR</v>
      </c>
    </row>
    <row r="4302" spans="1:7" x14ac:dyDescent="0.2">
      <c r="A4302" s="85"/>
      <c r="B4302" s="25" t="s">
        <v>10211</v>
      </c>
      <c r="C4302" s="25" t="s">
        <v>10212</v>
      </c>
      <c r="D4302" s="25" t="s">
        <v>2365</v>
      </c>
      <c r="E4302" s="26" t="b">
        <v>1</v>
      </c>
      <c r="F4302" s="27" t="str">
        <f>HYPERLINK("http://nsgreg.nga.mil/genc/view?v=213517&amp;end_month=12&amp;end_day=31&amp;end_year=2014","Dayr az Zawr")</f>
        <v>Dayr az Zawr</v>
      </c>
      <c r="G4302" s="28" t="str">
        <f>HYPERLINK("http://api.nsgreg.nga.mil/geo-division/GENC/6/ed3/SY-DY","as:GENC:6:ed3:SY-DY")</f>
        <v>as:GENC:6:ed3:SY-DY</v>
      </c>
    </row>
    <row r="4303" spans="1:7" x14ac:dyDescent="0.2">
      <c r="A4303" s="85"/>
      <c r="B4303" s="25" t="s">
        <v>10213</v>
      </c>
      <c r="C4303" s="25" t="s">
        <v>10214</v>
      </c>
      <c r="D4303" s="25" t="s">
        <v>2365</v>
      </c>
      <c r="E4303" s="26" t="b">
        <v>1</v>
      </c>
      <c r="F4303" s="27" t="str">
        <f>HYPERLINK("http://nsgreg.nga.mil/genc/view?v=213515&amp;end_month=12&amp;end_day=31&amp;end_year=2014","Dimashq")</f>
        <v>Dimashq</v>
      </c>
      <c r="G4303" s="28" t="str">
        <f>HYPERLINK("http://api.nsgreg.nga.mil/geo-division/GENC/6/ed3/SY-DI","as:GENC:6:ed3:SY-DI")</f>
        <v>as:GENC:6:ed3:SY-DI</v>
      </c>
    </row>
    <row r="4304" spans="1:7" x14ac:dyDescent="0.2">
      <c r="A4304" s="85"/>
      <c r="B4304" s="25" t="s">
        <v>10221</v>
      </c>
      <c r="C4304" s="25" t="s">
        <v>10222</v>
      </c>
      <c r="D4304" s="25" t="s">
        <v>2365</v>
      </c>
      <c r="E4304" s="26" t="b">
        <v>1</v>
      </c>
      <c r="F4304" s="27" t="str">
        <f>HYPERLINK("http://nsgreg.nga.mil/genc/view?v=213520&amp;end_month=12&amp;end_day=31&amp;end_year=2014","Ḩalab")</f>
        <v>Ḩalab</v>
      </c>
      <c r="G4304" s="28" t="str">
        <f>HYPERLINK("http://api.nsgreg.nga.mil/geo-division/GENC/6/ed3/SY-HL","as:GENC:6:ed3:SY-HL")</f>
        <v>as:GENC:6:ed3:SY-HL</v>
      </c>
    </row>
    <row r="4305" spans="1:7" x14ac:dyDescent="0.2">
      <c r="A4305" s="85"/>
      <c r="B4305" s="25" t="s">
        <v>10223</v>
      </c>
      <c r="C4305" s="25" t="s">
        <v>10224</v>
      </c>
      <c r="D4305" s="25" t="s">
        <v>2365</v>
      </c>
      <c r="E4305" s="26" t="b">
        <v>1</v>
      </c>
      <c r="F4305" s="27" t="str">
        <f>HYPERLINK("http://nsgreg.nga.mil/genc/view?v=213521&amp;end_month=12&amp;end_day=31&amp;end_year=2014","Ḩamāh")</f>
        <v>Ḩamāh</v>
      </c>
      <c r="G4305" s="28" t="str">
        <f>HYPERLINK("http://api.nsgreg.nga.mil/geo-division/GENC/6/ed3/SY-HM","as:GENC:6:ed3:SY-HM")</f>
        <v>as:GENC:6:ed3:SY-HM</v>
      </c>
    </row>
    <row r="4306" spans="1:7" x14ac:dyDescent="0.2">
      <c r="A4306" s="85"/>
      <c r="B4306" s="25" t="s">
        <v>10225</v>
      </c>
      <c r="C4306" s="25" t="s">
        <v>10226</v>
      </c>
      <c r="D4306" s="25" t="s">
        <v>2365</v>
      </c>
      <c r="E4306" s="26" t="b">
        <v>1</v>
      </c>
      <c r="F4306" s="27" t="str">
        <f>HYPERLINK("http://nsgreg.nga.mil/genc/view?v=213519&amp;end_month=12&amp;end_day=31&amp;end_year=2014","Ḩimş")</f>
        <v>Ḩimş</v>
      </c>
      <c r="G4306" s="28" t="str">
        <f>HYPERLINK("http://api.nsgreg.nga.mil/geo-division/GENC/6/ed3/SY-HI","as:GENC:6:ed3:SY-HI")</f>
        <v>as:GENC:6:ed3:SY-HI</v>
      </c>
    </row>
    <row r="4307" spans="1:7" x14ac:dyDescent="0.2">
      <c r="A4307" s="85"/>
      <c r="B4307" s="25" t="s">
        <v>10215</v>
      </c>
      <c r="C4307" s="25" t="s">
        <v>10216</v>
      </c>
      <c r="D4307" s="25" t="s">
        <v>2365</v>
      </c>
      <c r="E4307" s="26" t="b">
        <v>1</v>
      </c>
      <c r="F4307" s="27" t="str">
        <f>HYPERLINK("http://nsgreg.nga.mil/genc/view?v=213522&amp;end_month=12&amp;end_day=31&amp;end_year=2014","Idlib")</f>
        <v>Idlib</v>
      </c>
      <c r="G4307" s="28" t="str">
        <f>HYPERLINK("http://api.nsgreg.nga.mil/geo-division/GENC/6/ed3/SY-ID","as:GENC:6:ed3:SY-ID")</f>
        <v>as:GENC:6:ed3:SY-ID</v>
      </c>
    </row>
    <row r="4308" spans="1:7" x14ac:dyDescent="0.2">
      <c r="A4308" s="85"/>
      <c r="B4308" s="25" t="s">
        <v>10217</v>
      </c>
      <c r="C4308" s="25" t="s">
        <v>10218</v>
      </c>
      <c r="D4308" s="25" t="s">
        <v>2365</v>
      </c>
      <c r="E4308" s="26" t="b">
        <v>1</v>
      </c>
      <c r="F4308" s="27" t="str">
        <f>HYPERLINK("http://nsgreg.nga.mil/genc/view?v=213526&amp;end_month=12&amp;end_day=31&amp;end_year=2014","Rīf Dimashq")</f>
        <v>Rīf Dimashq</v>
      </c>
      <c r="G4308" s="28" t="str">
        <f>HYPERLINK("http://api.nsgreg.nga.mil/geo-division/GENC/6/ed3/SY-RD","as:GENC:6:ed3:SY-RD")</f>
        <v>as:GENC:6:ed3:SY-RD</v>
      </c>
    </row>
    <row r="4309" spans="1:7" x14ac:dyDescent="0.2">
      <c r="A4309" s="86"/>
      <c r="B4309" s="29" t="s">
        <v>10219</v>
      </c>
      <c r="C4309" s="29" t="s">
        <v>10220</v>
      </c>
      <c r="D4309" s="29" t="s">
        <v>2365</v>
      </c>
      <c r="E4309" s="30" t="b">
        <v>1</v>
      </c>
      <c r="F4309" s="31" t="str">
        <f>HYPERLINK("http://nsgreg.nga.mil/genc/view?v=213528&amp;end_month=12&amp;end_day=31&amp;end_year=2014","Ţarţūs")</f>
        <v>Ţarţūs</v>
      </c>
      <c r="G4309" s="32" t="str">
        <f>HYPERLINK("http://api.nsgreg.nga.mil/geo-division/GENC/6/ed3/SY-TA","as:GENC:6:ed3:SY-TA")</f>
        <v>as:GENC:6:ed3:SY-TA</v>
      </c>
    </row>
    <row r="4310" spans="1:7" x14ac:dyDescent="0.2">
      <c r="A4310" s="84" t="str">
        <f>HYPERLINK("[#]Codes_for_GE_Names!A248:I248","TAIWAN")</f>
        <v>TAIWAN</v>
      </c>
      <c r="B4310" s="33" t="s">
        <v>10227</v>
      </c>
      <c r="C4310" s="33" t="s">
        <v>10228</v>
      </c>
      <c r="D4310" s="33" t="s">
        <v>1788</v>
      </c>
      <c r="E4310" s="34" t="b">
        <v>1</v>
      </c>
      <c r="F4310" s="35" t="str">
        <f>HYPERLINK("http://nsgreg.nga.mil/genc/view?v=213625&amp;end_month=12&amp;end_day=31&amp;end_year=2014","Changhua")</f>
        <v>Changhua</v>
      </c>
      <c r="G4310" s="36" t="str">
        <f>HYPERLINK("http://api.nsgreg.nga.mil/geo-division/GENC/6/ed3/TW-CHA","as:GENC:6:ed3:TW-CHA")</f>
        <v>as:GENC:6:ed3:TW-CHA</v>
      </c>
    </row>
    <row r="4311" spans="1:7" x14ac:dyDescent="0.2">
      <c r="A4311" s="85"/>
      <c r="B4311" s="25" t="s">
        <v>10231</v>
      </c>
      <c r="C4311" s="25" t="s">
        <v>10230</v>
      </c>
      <c r="D4311" s="25" t="s">
        <v>1788</v>
      </c>
      <c r="E4311" s="26" t="b">
        <v>1</v>
      </c>
      <c r="F4311" s="27" t="str">
        <f>HYPERLINK("http://nsgreg.nga.mil/genc/view?v=213627&amp;end_month=12&amp;end_day=31&amp;end_year=2014","Chiayi")</f>
        <v>Chiayi</v>
      </c>
      <c r="G4311" s="28" t="str">
        <f>HYPERLINK("http://api.nsgreg.nga.mil/geo-division/GENC/6/ed3/TW-CYQ","as:GENC:6:ed3:TW-CYQ")</f>
        <v>as:GENC:6:ed3:TW-CYQ</v>
      </c>
    </row>
    <row r="4312" spans="1:7" x14ac:dyDescent="0.2">
      <c r="A4312" s="85"/>
      <c r="B4312" s="25" t="s">
        <v>10229</v>
      </c>
      <c r="C4312" s="25" t="s">
        <v>10230</v>
      </c>
      <c r="D4312" s="25" t="s">
        <v>2164</v>
      </c>
      <c r="E4312" s="26" t="b">
        <v>1</v>
      </c>
      <c r="F4312" s="27" t="str">
        <f>HYPERLINK("http://nsgreg.nga.mil/genc/view?v=213626&amp;end_month=12&amp;end_day=31&amp;end_year=2014","Chiayi")</f>
        <v>Chiayi</v>
      </c>
      <c r="G4312" s="28" t="str">
        <f>HYPERLINK("http://api.nsgreg.nga.mil/geo-division/GENC/6/ed3/TW-CYI","as:GENC:6:ed3:TW-CYI")</f>
        <v>as:GENC:6:ed3:TW-CYI</v>
      </c>
    </row>
    <row r="4313" spans="1:7" x14ac:dyDescent="0.2">
      <c r="A4313" s="85"/>
      <c r="B4313" s="25" t="s">
        <v>10232</v>
      </c>
      <c r="C4313" s="25" t="s">
        <v>10233</v>
      </c>
      <c r="D4313" s="25" t="s">
        <v>1788</v>
      </c>
      <c r="E4313" s="26" t="b">
        <v>1</v>
      </c>
      <c r="F4313" s="27" t="str">
        <f>HYPERLINK("http://nsgreg.nga.mil/genc/view?v=213628&amp;end_month=12&amp;end_day=31&amp;end_year=2014","Hsinchu")</f>
        <v>Hsinchu</v>
      </c>
      <c r="G4313" s="28" t="str">
        <f>HYPERLINK("http://api.nsgreg.nga.mil/geo-division/GENC/6/ed3/TW-HSQ","as:GENC:6:ed3:TW-HSQ")</f>
        <v>as:GENC:6:ed3:TW-HSQ</v>
      </c>
    </row>
    <row r="4314" spans="1:7" x14ac:dyDescent="0.2">
      <c r="A4314" s="85"/>
      <c r="B4314" s="25" t="s">
        <v>10234</v>
      </c>
      <c r="C4314" s="25" t="s">
        <v>10233</v>
      </c>
      <c r="D4314" s="25" t="s">
        <v>2164</v>
      </c>
      <c r="E4314" s="26" t="b">
        <v>1</v>
      </c>
      <c r="F4314" s="27" t="str">
        <f>HYPERLINK("http://nsgreg.nga.mil/genc/view?v=213629&amp;end_month=12&amp;end_day=31&amp;end_year=2014","Hsinchu")</f>
        <v>Hsinchu</v>
      </c>
      <c r="G4314" s="28" t="str">
        <f>HYPERLINK("http://api.nsgreg.nga.mil/geo-division/GENC/6/ed3/TW-HSZ","as:GENC:6:ed3:TW-HSZ")</f>
        <v>as:GENC:6:ed3:TW-HSZ</v>
      </c>
    </row>
    <row r="4315" spans="1:7" x14ac:dyDescent="0.2">
      <c r="A4315" s="85"/>
      <c r="B4315" s="25" t="s">
        <v>10235</v>
      </c>
      <c r="C4315" s="25" t="s">
        <v>10236</v>
      </c>
      <c r="D4315" s="25" t="s">
        <v>1788</v>
      </c>
      <c r="E4315" s="26" t="b">
        <v>1</v>
      </c>
      <c r="F4315" s="27" t="str">
        <f>HYPERLINK("http://nsgreg.nga.mil/genc/view?v=213630&amp;end_month=12&amp;end_day=31&amp;end_year=2014","Hualien")</f>
        <v>Hualien</v>
      </c>
      <c r="G4315" s="28" t="str">
        <f>HYPERLINK("http://api.nsgreg.nga.mil/geo-division/GENC/6/ed3/TW-HUA","as:GENC:6:ed3:TW-HUA")</f>
        <v>as:GENC:6:ed3:TW-HUA</v>
      </c>
    </row>
    <row r="4316" spans="1:7" x14ac:dyDescent="0.2">
      <c r="A4316" s="85"/>
      <c r="B4316" s="25" t="s">
        <v>10239</v>
      </c>
      <c r="C4316" s="25" t="s">
        <v>10240</v>
      </c>
      <c r="D4316" s="25" t="s">
        <v>2164</v>
      </c>
      <c r="E4316" s="26" t="b">
        <v>1</v>
      </c>
      <c r="F4316" s="27" t="str">
        <f>HYPERLINK("http://nsgreg.nga.mil/genc/view?v=213633&amp;end_month=12&amp;end_day=31&amp;end_year=2014","Kaohsiung")</f>
        <v>Kaohsiung</v>
      </c>
      <c r="G4316" s="28" t="str">
        <f>HYPERLINK("http://api.nsgreg.nga.mil/geo-division/GENC/6/ed3/TW-KHH","as:GENC:6:ed3:TW-KHH")</f>
        <v>as:GENC:6:ed3:TW-KHH</v>
      </c>
    </row>
    <row r="4317" spans="1:7" x14ac:dyDescent="0.2">
      <c r="A4317" s="85"/>
      <c r="B4317" s="25" t="s">
        <v>10242</v>
      </c>
      <c r="C4317" s="25" t="s">
        <v>10243</v>
      </c>
      <c r="D4317" s="25" t="s">
        <v>2164</v>
      </c>
      <c r="E4317" s="26" t="b">
        <v>1</v>
      </c>
      <c r="F4317" s="27" t="str">
        <f>HYPERLINK("http://nsgreg.nga.mil/genc/view?v=213632&amp;end_month=12&amp;end_day=31&amp;end_year=2014","Keelung")</f>
        <v>Keelung</v>
      </c>
      <c r="G4317" s="28" t="str">
        <f>HYPERLINK("http://api.nsgreg.nga.mil/geo-division/GENC/6/ed3/TW-KEE","as:GENC:6:ed3:TW-KEE")</f>
        <v>as:GENC:6:ed3:TW-KEE</v>
      </c>
    </row>
    <row r="4318" spans="1:7" x14ac:dyDescent="0.2">
      <c r="A4318" s="85"/>
      <c r="B4318" s="25" t="s">
        <v>13725</v>
      </c>
      <c r="C4318" s="25" t="s">
        <v>13726</v>
      </c>
      <c r="D4318" s="25" t="s">
        <v>1788</v>
      </c>
      <c r="E4318" s="26" t="b">
        <v>1</v>
      </c>
      <c r="F4318" s="27" t="str">
        <f>HYPERLINK("http://nsgreg.nga.mil/genc/view?v=213635&amp;end_month=12&amp;end_day=31&amp;end_year=2014","Kinmen")</f>
        <v>Kinmen</v>
      </c>
      <c r="G4318" s="28" t="str">
        <f>HYPERLINK("http://api.nsgreg.nga.mil/geo-division/GENC/6/ed3/TW-KIN","as:GENC:6:ed3:TW-KIN")</f>
        <v>as:GENC:6:ed3:TW-KIN</v>
      </c>
    </row>
    <row r="4319" spans="1:7" x14ac:dyDescent="0.2">
      <c r="A4319" s="85"/>
      <c r="B4319" s="25" t="s">
        <v>13727</v>
      </c>
      <c r="C4319" s="25" t="s">
        <v>13728</v>
      </c>
      <c r="D4319" s="25" t="s">
        <v>1788</v>
      </c>
      <c r="E4319" s="26" t="b">
        <v>1</v>
      </c>
      <c r="F4319" s="27" t="str">
        <f>HYPERLINK("http://nsgreg.nga.mil/genc/view?v=213636&amp;end_month=12&amp;end_day=31&amp;end_year=2014","Lienchiang")</f>
        <v>Lienchiang</v>
      </c>
      <c r="G4319" s="28" t="str">
        <f>HYPERLINK("http://api.nsgreg.nga.mil/geo-division/GENC/6/ed3/TW-LIE","as:GENC:6:ed3:TW-LIE")</f>
        <v>as:GENC:6:ed3:TW-LIE</v>
      </c>
    </row>
    <row r="4320" spans="1:7" x14ac:dyDescent="0.2">
      <c r="A4320" s="85"/>
      <c r="B4320" s="25" t="s">
        <v>10244</v>
      </c>
      <c r="C4320" s="25" t="s">
        <v>10245</v>
      </c>
      <c r="D4320" s="25" t="s">
        <v>1788</v>
      </c>
      <c r="E4320" s="26" t="b">
        <v>1</v>
      </c>
      <c r="F4320" s="27" t="str">
        <f>HYPERLINK("http://nsgreg.nga.mil/genc/view?v=213637&amp;end_month=12&amp;end_day=31&amp;end_year=2014","Miaoli")</f>
        <v>Miaoli</v>
      </c>
      <c r="G4320" s="28" t="str">
        <f>HYPERLINK("http://api.nsgreg.nga.mil/geo-division/GENC/6/ed3/TW-MIA","as:GENC:6:ed3:TW-MIA")</f>
        <v>as:GENC:6:ed3:TW-MIA</v>
      </c>
    </row>
    <row r="4321" spans="1:7" x14ac:dyDescent="0.2">
      <c r="A4321" s="85"/>
      <c r="B4321" s="25" t="s">
        <v>10246</v>
      </c>
      <c r="C4321" s="25" t="s">
        <v>10247</v>
      </c>
      <c r="D4321" s="25" t="s">
        <v>1788</v>
      </c>
      <c r="E4321" s="26" t="b">
        <v>1</v>
      </c>
      <c r="F4321" s="27" t="str">
        <f>HYPERLINK("http://nsgreg.nga.mil/genc/view?v=213638&amp;end_month=12&amp;end_day=31&amp;end_year=2014","Nantou")</f>
        <v>Nantou</v>
      </c>
      <c r="G4321" s="28" t="str">
        <f>HYPERLINK("http://api.nsgreg.nga.mil/geo-division/GENC/6/ed3/TW-NAN","as:GENC:6:ed3:TW-NAN")</f>
        <v>as:GENC:6:ed3:TW-NAN</v>
      </c>
    </row>
    <row r="4322" spans="1:7" x14ac:dyDescent="0.2">
      <c r="A4322" s="85"/>
      <c r="B4322" s="25" t="s">
        <v>10260</v>
      </c>
      <c r="C4322" s="25" t="s">
        <v>13729</v>
      </c>
      <c r="D4322" s="25" t="s">
        <v>2164</v>
      </c>
      <c r="E4322" s="26" t="b">
        <v>1</v>
      </c>
      <c r="F4322" s="27" t="str">
        <f>HYPERLINK("http://nsgreg.nga.mil/genc/view?v=213645&amp;end_month=12&amp;end_day=31&amp;end_year=2014","New Taipei")</f>
        <v>New Taipei</v>
      </c>
      <c r="G4322" s="28" t="str">
        <f>HYPERLINK("http://api.nsgreg.nga.mil/geo-division/GENC/6/ed3/TW-TPQ","as:GENC:6:ed3:TW-TPQ")</f>
        <v>as:GENC:6:ed3:TW-TPQ</v>
      </c>
    </row>
    <row r="4323" spans="1:7" x14ac:dyDescent="0.2">
      <c r="A4323" s="85"/>
      <c r="B4323" s="25" t="s">
        <v>10248</v>
      </c>
      <c r="C4323" s="25" t="s">
        <v>10249</v>
      </c>
      <c r="D4323" s="25" t="s">
        <v>1788</v>
      </c>
      <c r="E4323" s="26" t="b">
        <v>1</v>
      </c>
      <c r="F4323" s="27" t="str">
        <f>HYPERLINK("http://nsgreg.nga.mil/genc/view?v=213639&amp;end_month=12&amp;end_day=31&amp;end_year=2014","Penghu")</f>
        <v>Penghu</v>
      </c>
      <c r="G4323" s="28" t="str">
        <f>HYPERLINK("http://api.nsgreg.nga.mil/geo-division/GENC/6/ed3/TW-PEN","as:GENC:6:ed3:TW-PEN")</f>
        <v>as:GENC:6:ed3:TW-PEN</v>
      </c>
    </row>
    <row r="4324" spans="1:7" x14ac:dyDescent="0.2">
      <c r="A4324" s="85"/>
      <c r="B4324" s="25" t="s">
        <v>10250</v>
      </c>
      <c r="C4324" s="25" t="s">
        <v>10251</v>
      </c>
      <c r="D4324" s="25" t="s">
        <v>1788</v>
      </c>
      <c r="E4324" s="26" t="b">
        <v>1</v>
      </c>
      <c r="F4324" s="27" t="str">
        <f>HYPERLINK("http://nsgreg.nga.mil/genc/view?v=213640&amp;end_month=12&amp;end_day=31&amp;end_year=2014","Pingtung")</f>
        <v>Pingtung</v>
      </c>
      <c r="G4324" s="28" t="str">
        <f>HYPERLINK("http://api.nsgreg.nga.mil/geo-division/GENC/6/ed3/TW-PIF","as:GENC:6:ed3:TW-PIF")</f>
        <v>as:GENC:6:ed3:TW-PIF</v>
      </c>
    </row>
    <row r="4325" spans="1:7" x14ac:dyDescent="0.2">
      <c r="A4325" s="85"/>
      <c r="B4325" s="25" t="s">
        <v>10252</v>
      </c>
      <c r="C4325" s="25" t="s">
        <v>10253</v>
      </c>
      <c r="D4325" s="25" t="s">
        <v>2164</v>
      </c>
      <c r="E4325" s="26" t="b">
        <v>1</v>
      </c>
      <c r="F4325" s="27" t="str">
        <f>HYPERLINK("http://nsgreg.nga.mil/genc/view?v=213647&amp;end_month=12&amp;end_day=31&amp;end_year=2014","Taichung")</f>
        <v>Taichung</v>
      </c>
      <c r="G4325" s="28" t="str">
        <f>HYPERLINK("http://api.nsgreg.nga.mil/geo-division/GENC/6/ed3/TW-TXG","as:GENC:6:ed3:TW-TXG")</f>
        <v>as:GENC:6:ed3:TW-TXG</v>
      </c>
    </row>
    <row r="4326" spans="1:7" x14ac:dyDescent="0.2">
      <c r="A4326" s="85"/>
      <c r="B4326" s="25" t="s">
        <v>10255</v>
      </c>
      <c r="C4326" s="25" t="s">
        <v>10256</v>
      </c>
      <c r="D4326" s="25" t="s">
        <v>2164</v>
      </c>
      <c r="E4326" s="26" t="b">
        <v>1</v>
      </c>
      <c r="F4326" s="27" t="str">
        <f>HYPERLINK("http://nsgreg.nga.mil/genc/view?v=213642&amp;end_month=12&amp;end_day=31&amp;end_year=2014","Tainan")</f>
        <v>Tainan</v>
      </c>
      <c r="G4326" s="28" t="str">
        <f>HYPERLINK("http://api.nsgreg.nga.mil/geo-division/GENC/6/ed3/TW-TNN","as:GENC:6:ed3:TW-TNN")</f>
        <v>as:GENC:6:ed3:TW-TNN</v>
      </c>
    </row>
    <row r="4327" spans="1:7" x14ac:dyDescent="0.2">
      <c r="A4327" s="85"/>
      <c r="B4327" s="25" t="s">
        <v>10258</v>
      </c>
      <c r="C4327" s="25" t="s">
        <v>10259</v>
      </c>
      <c r="D4327" s="25" t="s">
        <v>2164</v>
      </c>
      <c r="E4327" s="26" t="b">
        <v>1</v>
      </c>
      <c r="F4327" s="27" t="str">
        <f>HYPERLINK("http://nsgreg.nga.mil/genc/view?v=213644&amp;end_month=12&amp;end_day=31&amp;end_year=2014","Taipei")</f>
        <v>Taipei</v>
      </c>
      <c r="G4327" s="28" t="str">
        <f>HYPERLINK("http://api.nsgreg.nga.mil/geo-division/GENC/6/ed3/TW-TPE","as:GENC:6:ed3:TW-TPE")</f>
        <v>as:GENC:6:ed3:TW-TPE</v>
      </c>
    </row>
    <row r="4328" spans="1:7" x14ac:dyDescent="0.2">
      <c r="A4328" s="85"/>
      <c r="B4328" s="25" t="s">
        <v>10261</v>
      </c>
      <c r="C4328" s="25" t="s">
        <v>10262</v>
      </c>
      <c r="D4328" s="25" t="s">
        <v>1788</v>
      </c>
      <c r="E4328" s="26" t="b">
        <v>1</v>
      </c>
      <c r="F4328" s="27" t="str">
        <f>HYPERLINK("http://nsgreg.nga.mil/genc/view?v=213646&amp;end_month=12&amp;end_day=31&amp;end_year=2014","Taitung")</f>
        <v>Taitung</v>
      </c>
      <c r="G4328" s="28" t="str">
        <f>HYPERLINK("http://api.nsgreg.nga.mil/geo-division/GENC/6/ed3/TW-TTT","as:GENC:6:ed3:TW-TTT")</f>
        <v>as:GENC:6:ed3:TW-TTT</v>
      </c>
    </row>
    <row r="4329" spans="1:7" x14ac:dyDescent="0.2">
      <c r="A4329" s="85"/>
      <c r="B4329" s="25" t="s">
        <v>10263</v>
      </c>
      <c r="C4329" s="25" t="s">
        <v>10264</v>
      </c>
      <c r="D4329" s="25" t="s">
        <v>1788</v>
      </c>
      <c r="E4329" s="26" t="b">
        <v>1</v>
      </c>
      <c r="F4329" s="27" t="str">
        <f>HYPERLINK("http://nsgreg.nga.mil/genc/view?v=213641&amp;end_month=12&amp;end_day=31&amp;end_year=2014","Taoyuan")</f>
        <v>Taoyuan</v>
      </c>
      <c r="G4329" s="28" t="str">
        <f>HYPERLINK("http://api.nsgreg.nga.mil/geo-division/GENC/6/ed3/TW-TAO","as:GENC:6:ed3:TW-TAO")</f>
        <v>as:GENC:6:ed3:TW-TAO</v>
      </c>
    </row>
    <row r="4330" spans="1:7" x14ac:dyDescent="0.2">
      <c r="A4330" s="85"/>
      <c r="B4330" s="25" t="s">
        <v>10237</v>
      </c>
      <c r="C4330" s="25" t="s">
        <v>13730</v>
      </c>
      <c r="D4330" s="25" t="s">
        <v>1788</v>
      </c>
      <c r="E4330" s="26" t="b">
        <v>1</v>
      </c>
      <c r="F4330" s="27" t="str">
        <f>HYPERLINK("http://nsgreg.nga.mil/genc/view?v=213631&amp;end_month=12&amp;end_day=31&amp;end_year=2014","Yilan")</f>
        <v>Yilan</v>
      </c>
      <c r="G4330" s="28" t="str">
        <f>HYPERLINK("http://api.nsgreg.nga.mil/geo-division/GENC/6/ed3/TW-ILA","as:GENC:6:ed3:TW-ILA")</f>
        <v>as:GENC:6:ed3:TW-ILA</v>
      </c>
    </row>
    <row r="4331" spans="1:7" x14ac:dyDescent="0.2">
      <c r="A4331" s="86"/>
      <c r="B4331" s="29" t="s">
        <v>10265</v>
      </c>
      <c r="C4331" s="29" t="s">
        <v>10266</v>
      </c>
      <c r="D4331" s="29" t="s">
        <v>1788</v>
      </c>
      <c r="E4331" s="30" t="b">
        <v>1</v>
      </c>
      <c r="F4331" s="31" t="str">
        <f>HYPERLINK("http://nsgreg.nga.mil/genc/view?v=213649&amp;end_month=12&amp;end_day=31&amp;end_year=2014","Yunlin")</f>
        <v>Yunlin</v>
      </c>
      <c r="G4331" s="32" t="str">
        <f>HYPERLINK("http://api.nsgreg.nga.mil/geo-division/GENC/6/ed3/TW-YUN","as:GENC:6:ed3:TW-YUN")</f>
        <v>as:GENC:6:ed3:TW-YUN</v>
      </c>
    </row>
    <row r="4332" spans="1:7" x14ac:dyDescent="0.2">
      <c r="A4332" s="84" t="str">
        <f>HYPERLINK("[#]Codes_for_GE_Names!A249:I249","TAJIKISTAN")</f>
        <v>TAJIKISTAN</v>
      </c>
      <c r="B4332" s="33" t="s">
        <v>13731</v>
      </c>
      <c r="C4332" s="33" t="s">
        <v>13732</v>
      </c>
      <c r="D4332" s="33" t="s">
        <v>13733</v>
      </c>
      <c r="E4332" s="34" t="b">
        <v>1</v>
      </c>
      <c r="F4332" s="35" t="str">
        <f>HYPERLINK("http://nsgreg.nga.mil/genc/view?v=213566&amp;end_month=12&amp;end_day=31&amp;end_year=2014","Dushanbe")</f>
        <v>Dushanbe</v>
      </c>
      <c r="G4332" s="36" t="str">
        <f>HYPERLINK("http://api.nsgreg.nga.mil/geo-division/GENC/6/ed3/TJ-DU","as:GENC:6:ed3:TJ-DU")</f>
        <v>as:GENC:6:ed3:TJ-DU</v>
      </c>
    </row>
    <row r="4333" spans="1:7" x14ac:dyDescent="0.2">
      <c r="A4333" s="85"/>
      <c r="B4333" s="25" t="s">
        <v>10267</v>
      </c>
      <c r="C4333" s="25" t="s">
        <v>10268</v>
      </c>
      <c r="D4333" s="25" t="s">
        <v>2087</v>
      </c>
      <c r="E4333" s="26" t="b">
        <v>1</v>
      </c>
      <c r="F4333" s="27" t="str">
        <f>HYPERLINK("http://nsgreg.nga.mil/genc/view?v=122255&amp;gencs=T&amp;end_month=12&amp;end_day=31&amp;end_year=2014","Khatlon")</f>
        <v>Khatlon</v>
      </c>
      <c r="G4333" s="28" t="str">
        <f>HYPERLINK("http://api.nsgreg.nga.mil/geo-division/GENC/6/ed3/TJ-KT","as:GENC:6:ed3:TJ-KT")</f>
        <v>as:GENC:6:ed3:TJ-KT</v>
      </c>
    </row>
    <row r="4334" spans="1:7" x14ac:dyDescent="0.2">
      <c r="A4334" s="85"/>
      <c r="B4334" s="25" t="s">
        <v>10269</v>
      </c>
      <c r="C4334" s="25" t="s">
        <v>10270</v>
      </c>
      <c r="D4334" s="25" t="s">
        <v>5165</v>
      </c>
      <c r="E4334" s="26" t="b">
        <v>1</v>
      </c>
      <c r="F4334" s="27" t="str">
        <f>HYPERLINK("http://nsgreg.nga.mil/genc/view?v=213567&amp;end_month=12&amp;end_day=31&amp;end_year=2014","Kŭhistoni Badakhshon")</f>
        <v>Kŭhistoni Badakhshon</v>
      </c>
      <c r="G4334" s="28" t="str">
        <f>HYPERLINK("http://api.nsgreg.nga.mil/geo-division/GENC/6/ed3/TJ-GB","as:GENC:6:ed3:TJ-GB")</f>
        <v>as:GENC:6:ed3:TJ-GB</v>
      </c>
    </row>
    <row r="4335" spans="1:7" x14ac:dyDescent="0.2">
      <c r="A4335" s="85"/>
      <c r="B4335" s="25" t="s">
        <v>13734</v>
      </c>
      <c r="C4335" s="25" t="s">
        <v>13735</v>
      </c>
      <c r="D4335" s="25" t="s">
        <v>9178</v>
      </c>
      <c r="E4335" s="26" t="b">
        <v>1</v>
      </c>
      <c r="F4335" s="27" t="str">
        <f>HYPERLINK("http://nsgreg.nga.mil/genc/view?v=213568&amp;end_month=12&amp;end_day=31&amp;end_year=2014","Nohiyahoi Tobei Jumhurí")</f>
        <v>Nohiyahoi Tobei Jumhurí</v>
      </c>
      <c r="G4335" s="28" t="str">
        <f>HYPERLINK("http://api.nsgreg.nga.mil/geo-division/GENC/6/ed3/TJ-NO","as:GENC:6:ed3:TJ-NO")</f>
        <v>as:GENC:6:ed3:TJ-NO</v>
      </c>
    </row>
    <row r="4336" spans="1:7" x14ac:dyDescent="0.2">
      <c r="A4336" s="86"/>
      <c r="B4336" s="29" t="s">
        <v>10271</v>
      </c>
      <c r="C4336" s="29" t="s">
        <v>10272</v>
      </c>
      <c r="D4336" s="29" t="s">
        <v>2087</v>
      </c>
      <c r="E4336" s="30" t="b">
        <v>1</v>
      </c>
      <c r="F4336" s="31" t="str">
        <f>HYPERLINK("http://nsgreg.nga.mil/genc/view?v=122256&amp;gencs=T&amp;end_month=12&amp;end_day=31&amp;end_year=2014","Sughd")</f>
        <v>Sughd</v>
      </c>
      <c r="G4336" s="32" t="str">
        <f>HYPERLINK("http://api.nsgreg.nga.mil/geo-division/GENC/6/ed3/TJ-SU","as:GENC:6:ed3:TJ-SU")</f>
        <v>as:GENC:6:ed3:TJ-SU</v>
      </c>
    </row>
    <row r="4337" spans="1:7" x14ac:dyDescent="0.2">
      <c r="A4337" s="84" t="str">
        <f>HYPERLINK("[#]Codes_for_GE_Names!A250:I250","TANZANIA")</f>
        <v>TANZANIA</v>
      </c>
      <c r="B4337" s="33" t="s">
        <v>10273</v>
      </c>
      <c r="C4337" s="33" t="s">
        <v>10274</v>
      </c>
      <c r="D4337" s="33" t="s">
        <v>2087</v>
      </c>
      <c r="E4337" s="34" t="b">
        <v>1</v>
      </c>
      <c r="F4337" s="35" t="str">
        <f>HYPERLINK("http://nsgreg.nga.mil/genc/view?v=213650&amp;end_month=12&amp;end_day=31&amp;end_year=2014","Arusha")</f>
        <v>Arusha</v>
      </c>
      <c r="G4337" s="36" t="str">
        <f>HYPERLINK("http://api.nsgreg.nga.mil/geo-division/GENC/6/ed3/TZ-01","as:GENC:6:ed3:TZ-01")</f>
        <v>as:GENC:6:ed3:TZ-01</v>
      </c>
    </row>
    <row r="4338" spans="1:7" x14ac:dyDescent="0.2">
      <c r="A4338" s="85"/>
      <c r="B4338" s="25" t="s">
        <v>10275</v>
      </c>
      <c r="C4338" s="25" t="s">
        <v>5928</v>
      </c>
      <c r="D4338" s="25" t="s">
        <v>2087</v>
      </c>
      <c r="E4338" s="26" t="b">
        <v>1</v>
      </c>
      <c r="F4338" s="27" t="str">
        <f>HYPERLINK("http://nsgreg.nga.mil/genc/view?v=122451&amp;gencs=T&amp;end_month=12&amp;end_day=31&amp;end_year=2014","Coast")</f>
        <v>Coast</v>
      </c>
      <c r="G4338" s="28" t="str">
        <f>HYPERLINK("http://api.nsgreg.nga.mil/geo-division/GENC/6/ed3/TZ-19","as:GENC:6:ed3:TZ-19")</f>
        <v>as:GENC:6:ed3:TZ-19</v>
      </c>
    </row>
    <row r="4339" spans="1:7" x14ac:dyDescent="0.2">
      <c r="A4339" s="85"/>
      <c r="B4339" s="25" t="s">
        <v>10276</v>
      </c>
      <c r="C4339" s="25" t="s">
        <v>10277</v>
      </c>
      <c r="D4339" s="25" t="s">
        <v>2087</v>
      </c>
      <c r="E4339" s="26" t="b">
        <v>1</v>
      </c>
      <c r="F4339" s="27" t="str">
        <f>HYPERLINK("http://nsgreg.nga.mil/genc/view?v=213651&amp;end_month=12&amp;end_day=31&amp;end_year=2014","Dar es Salaam")</f>
        <v>Dar es Salaam</v>
      </c>
      <c r="G4339" s="28" t="str">
        <f>HYPERLINK("http://api.nsgreg.nga.mil/geo-division/GENC/6/ed3/TZ-02","as:GENC:6:ed3:TZ-02")</f>
        <v>as:GENC:6:ed3:TZ-02</v>
      </c>
    </row>
    <row r="4340" spans="1:7" x14ac:dyDescent="0.2">
      <c r="A4340" s="85"/>
      <c r="B4340" s="25" t="s">
        <v>10278</v>
      </c>
      <c r="C4340" s="25" t="s">
        <v>10279</v>
      </c>
      <c r="D4340" s="25" t="s">
        <v>2087</v>
      </c>
      <c r="E4340" s="26" t="b">
        <v>1</v>
      </c>
      <c r="F4340" s="27" t="str">
        <f>HYPERLINK("http://nsgreg.nga.mil/genc/view?v=213652&amp;end_month=12&amp;end_day=31&amp;end_year=2014","Dodoma")</f>
        <v>Dodoma</v>
      </c>
      <c r="G4340" s="28" t="str">
        <f>HYPERLINK("http://api.nsgreg.nga.mil/geo-division/GENC/6/ed3/TZ-03","as:GENC:6:ed3:TZ-03")</f>
        <v>as:GENC:6:ed3:TZ-03</v>
      </c>
    </row>
    <row r="4341" spans="1:7" x14ac:dyDescent="0.2">
      <c r="A4341" s="85"/>
      <c r="B4341" s="25" t="s">
        <v>13736</v>
      </c>
      <c r="C4341" s="25" t="s">
        <v>13737</v>
      </c>
      <c r="D4341" s="25" t="s">
        <v>2087</v>
      </c>
      <c r="E4341" s="26" t="b">
        <v>1</v>
      </c>
      <c r="F4341" s="27" t="str">
        <f>HYPERLINK("http://nsgreg.nga.mil/genc/view?v=122459&amp;gencs=T&amp;end_month=12&amp;end_day=31&amp;end_year=2014","Geita")</f>
        <v>Geita</v>
      </c>
      <c r="G4341" s="28" t="str">
        <f>HYPERLINK("http://api.nsgreg.nga.mil/geo-division/GENC/6/ed3/TZ-27","as:GENC:6:ed3:TZ-27")</f>
        <v>as:GENC:6:ed3:TZ-27</v>
      </c>
    </row>
    <row r="4342" spans="1:7" x14ac:dyDescent="0.2">
      <c r="A4342" s="85"/>
      <c r="B4342" s="25" t="s">
        <v>10280</v>
      </c>
      <c r="C4342" s="25" t="s">
        <v>10281</v>
      </c>
      <c r="D4342" s="25" t="s">
        <v>2087</v>
      </c>
      <c r="E4342" s="26" t="b">
        <v>1</v>
      </c>
      <c r="F4342" s="27" t="str">
        <f>HYPERLINK("http://nsgreg.nga.mil/genc/view?v=213653&amp;end_month=12&amp;end_day=31&amp;end_year=2014","Iringa")</f>
        <v>Iringa</v>
      </c>
      <c r="G4342" s="28" t="str">
        <f>HYPERLINK("http://api.nsgreg.nga.mil/geo-division/GENC/6/ed3/TZ-04","as:GENC:6:ed3:TZ-04")</f>
        <v>as:GENC:6:ed3:TZ-04</v>
      </c>
    </row>
    <row r="4343" spans="1:7" x14ac:dyDescent="0.2">
      <c r="A4343" s="85"/>
      <c r="B4343" s="25" t="s">
        <v>10282</v>
      </c>
      <c r="C4343" s="25" t="s">
        <v>10283</v>
      </c>
      <c r="D4343" s="25" t="s">
        <v>2087</v>
      </c>
      <c r="E4343" s="26" t="b">
        <v>1</v>
      </c>
      <c r="F4343" s="27" t="str">
        <f>HYPERLINK("http://nsgreg.nga.mil/genc/view?v=213654&amp;end_month=12&amp;end_day=31&amp;end_year=2014","Kagera")</f>
        <v>Kagera</v>
      </c>
      <c r="G4343" s="28" t="str">
        <f>HYPERLINK("http://api.nsgreg.nga.mil/geo-division/GENC/6/ed3/TZ-05","as:GENC:6:ed3:TZ-05")</f>
        <v>as:GENC:6:ed3:TZ-05</v>
      </c>
    </row>
    <row r="4344" spans="1:7" x14ac:dyDescent="0.2">
      <c r="A4344" s="85"/>
      <c r="B4344" s="25" t="s">
        <v>13738</v>
      </c>
      <c r="C4344" s="25" t="s">
        <v>13739</v>
      </c>
      <c r="D4344" s="25" t="s">
        <v>2087</v>
      </c>
      <c r="E4344" s="26" t="b">
        <v>1</v>
      </c>
      <c r="F4344" s="27" t="str">
        <f>HYPERLINK("http://nsgreg.nga.mil/genc/view?v=122460&amp;gencs=T&amp;end_month=12&amp;end_day=31&amp;end_year=2014","Katavi")</f>
        <v>Katavi</v>
      </c>
      <c r="G4344" s="28" t="str">
        <f>HYPERLINK("http://api.nsgreg.nga.mil/geo-division/GENC/6/ed3/TZ-28","as:GENC:6:ed3:TZ-28")</f>
        <v>as:GENC:6:ed3:TZ-28</v>
      </c>
    </row>
    <row r="4345" spans="1:7" x14ac:dyDescent="0.2">
      <c r="A4345" s="85"/>
      <c r="B4345" s="25" t="s">
        <v>10288</v>
      </c>
      <c r="C4345" s="25" t="s">
        <v>10289</v>
      </c>
      <c r="D4345" s="25" t="s">
        <v>2087</v>
      </c>
      <c r="E4345" s="26" t="b">
        <v>1</v>
      </c>
      <c r="F4345" s="27" t="str">
        <f>HYPERLINK("http://nsgreg.nga.mil/genc/view?v=213655&amp;end_month=12&amp;end_day=31&amp;end_year=2014","Kigoma")</f>
        <v>Kigoma</v>
      </c>
      <c r="G4345" s="28" t="str">
        <f>HYPERLINK("http://api.nsgreg.nga.mil/geo-division/GENC/6/ed3/TZ-08","as:GENC:6:ed3:TZ-08")</f>
        <v>as:GENC:6:ed3:TZ-08</v>
      </c>
    </row>
    <row r="4346" spans="1:7" x14ac:dyDescent="0.2">
      <c r="A4346" s="85"/>
      <c r="B4346" s="25" t="s">
        <v>10290</v>
      </c>
      <c r="C4346" s="25" t="s">
        <v>10291</v>
      </c>
      <c r="D4346" s="25" t="s">
        <v>2087</v>
      </c>
      <c r="E4346" s="26" t="b">
        <v>1</v>
      </c>
      <c r="F4346" s="27" t="str">
        <f>HYPERLINK("http://nsgreg.nga.mil/genc/view?v=213656&amp;end_month=12&amp;end_day=31&amp;end_year=2014","Kilimanjaro")</f>
        <v>Kilimanjaro</v>
      </c>
      <c r="G4346" s="28" t="str">
        <f>HYPERLINK("http://api.nsgreg.nga.mil/geo-division/GENC/6/ed3/TZ-09","as:GENC:6:ed3:TZ-09")</f>
        <v>as:GENC:6:ed3:TZ-09</v>
      </c>
    </row>
    <row r="4347" spans="1:7" x14ac:dyDescent="0.2">
      <c r="A4347" s="85"/>
      <c r="B4347" s="25" t="s">
        <v>10296</v>
      </c>
      <c r="C4347" s="25" t="s">
        <v>10297</v>
      </c>
      <c r="D4347" s="25" t="s">
        <v>2087</v>
      </c>
      <c r="E4347" s="26" t="b">
        <v>1</v>
      </c>
      <c r="F4347" s="27" t="str">
        <f>HYPERLINK("http://nsgreg.nga.mil/genc/view?v=213658&amp;end_month=12&amp;end_day=31&amp;end_year=2014","Lindi")</f>
        <v>Lindi</v>
      </c>
      <c r="G4347" s="28" t="str">
        <f>HYPERLINK("http://api.nsgreg.nga.mil/geo-division/GENC/6/ed3/TZ-12","as:GENC:6:ed3:TZ-12")</f>
        <v>as:GENC:6:ed3:TZ-12</v>
      </c>
    </row>
    <row r="4348" spans="1:7" x14ac:dyDescent="0.2">
      <c r="A4348" s="85"/>
      <c r="B4348" s="25" t="s">
        <v>10298</v>
      </c>
      <c r="C4348" s="25" t="s">
        <v>10299</v>
      </c>
      <c r="D4348" s="25" t="s">
        <v>2087</v>
      </c>
      <c r="E4348" s="26" t="b">
        <v>1</v>
      </c>
      <c r="F4348" s="27" t="str">
        <f>HYPERLINK("http://nsgreg.nga.mil/genc/view?v=213671&amp;end_month=12&amp;end_day=31&amp;end_year=2014","Manyara")</f>
        <v>Manyara</v>
      </c>
      <c r="G4348" s="28" t="str">
        <f>HYPERLINK("http://api.nsgreg.nga.mil/geo-division/GENC/6/ed3/TZ-26","as:GENC:6:ed3:TZ-26")</f>
        <v>as:GENC:6:ed3:TZ-26</v>
      </c>
    </row>
    <row r="4349" spans="1:7" x14ac:dyDescent="0.2">
      <c r="A4349" s="85"/>
      <c r="B4349" s="25" t="s">
        <v>10300</v>
      </c>
      <c r="C4349" s="25" t="s">
        <v>10301</v>
      </c>
      <c r="D4349" s="25" t="s">
        <v>2087</v>
      </c>
      <c r="E4349" s="26" t="b">
        <v>1</v>
      </c>
      <c r="F4349" s="27" t="str">
        <f>HYPERLINK("http://nsgreg.nga.mil/genc/view?v=213659&amp;end_month=12&amp;end_day=31&amp;end_year=2014","Mara")</f>
        <v>Mara</v>
      </c>
      <c r="G4349" s="28" t="str">
        <f>HYPERLINK("http://api.nsgreg.nga.mil/geo-division/GENC/6/ed3/TZ-13","as:GENC:6:ed3:TZ-13")</f>
        <v>as:GENC:6:ed3:TZ-13</v>
      </c>
    </row>
    <row r="4350" spans="1:7" x14ac:dyDescent="0.2">
      <c r="A4350" s="85"/>
      <c r="B4350" s="25" t="s">
        <v>10302</v>
      </c>
      <c r="C4350" s="25" t="s">
        <v>10303</v>
      </c>
      <c r="D4350" s="25" t="s">
        <v>2087</v>
      </c>
      <c r="E4350" s="26" t="b">
        <v>1</v>
      </c>
      <c r="F4350" s="27" t="str">
        <f>HYPERLINK("http://nsgreg.nga.mil/genc/view?v=213660&amp;end_month=12&amp;end_day=31&amp;end_year=2014","Mbeya")</f>
        <v>Mbeya</v>
      </c>
      <c r="G4350" s="28" t="str">
        <f>HYPERLINK("http://api.nsgreg.nga.mil/geo-division/GENC/6/ed3/TZ-14","as:GENC:6:ed3:TZ-14")</f>
        <v>as:GENC:6:ed3:TZ-14</v>
      </c>
    </row>
    <row r="4351" spans="1:7" x14ac:dyDescent="0.2">
      <c r="A4351" s="85"/>
      <c r="B4351" s="25" t="s">
        <v>10306</v>
      </c>
      <c r="C4351" s="25" t="s">
        <v>10307</v>
      </c>
      <c r="D4351" s="25" t="s">
        <v>2087</v>
      </c>
      <c r="E4351" s="26" t="b">
        <v>1</v>
      </c>
      <c r="F4351" s="27" t="str">
        <f>HYPERLINK("http://nsgreg.nga.mil/genc/view?v=213662&amp;end_month=12&amp;end_day=31&amp;end_year=2014","Morogoro")</f>
        <v>Morogoro</v>
      </c>
      <c r="G4351" s="28" t="str">
        <f>HYPERLINK("http://api.nsgreg.nga.mil/geo-division/GENC/6/ed3/TZ-16","as:GENC:6:ed3:TZ-16")</f>
        <v>as:GENC:6:ed3:TZ-16</v>
      </c>
    </row>
    <row r="4352" spans="1:7" x14ac:dyDescent="0.2">
      <c r="A4352" s="85"/>
      <c r="B4352" s="25" t="s">
        <v>10308</v>
      </c>
      <c r="C4352" s="25" t="s">
        <v>10309</v>
      </c>
      <c r="D4352" s="25" t="s">
        <v>2087</v>
      </c>
      <c r="E4352" s="26" t="b">
        <v>1</v>
      </c>
      <c r="F4352" s="27" t="str">
        <f>HYPERLINK("http://nsgreg.nga.mil/genc/view?v=213663&amp;end_month=12&amp;end_day=31&amp;end_year=2014","Mtwara")</f>
        <v>Mtwara</v>
      </c>
      <c r="G4352" s="28" t="str">
        <f>HYPERLINK("http://api.nsgreg.nga.mil/geo-division/GENC/6/ed3/TZ-17","as:GENC:6:ed3:TZ-17")</f>
        <v>as:GENC:6:ed3:TZ-17</v>
      </c>
    </row>
    <row r="4353" spans="1:7" x14ac:dyDescent="0.2">
      <c r="A4353" s="85"/>
      <c r="B4353" s="25" t="s">
        <v>10310</v>
      </c>
      <c r="C4353" s="25" t="s">
        <v>6696</v>
      </c>
      <c r="D4353" s="25" t="s">
        <v>2087</v>
      </c>
      <c r="E4353" s="26" t="b">
        <v>1</v>
      </c>
      <c r="F4353" s="27" t="str">
        <f>HYPERLINK("http://nsgreg.nga.mil/genc/view?v=213664&amp;end_month=12&amp;end_day=31&amp;end_year=2014","Mwanza")</f>
        <v>Mwanza</v>
      </c>
      <c r="G4353" s="28" t="str">
        <f>HYPERLINK("http://api.nsgreg.nga.mil/geo-division/GENC/6/ed3/TZ-18","as:GENC:6:ed3:TZ-18")</f>
        <v>as:GENC:6:ed3:TZ-18</v>
      </c>
    </row>
    <row r="4354" spans="1:7" x14ac:dyDescent="0.2">
      <c r="A4354" s="85"/>
      <c r="B4354" s="25" t="s">
        <v>13740</v>
      </c>
      <c r="C4354" s="25" t="s">
        <v>13741</v>
      </c>
      <c r="D4354" s="25" t="s">
        <v>2087</v>
      </c>
      <c r="E4354" s="26" t="b">
        <v>1</v>
      </c>
      <c r="F4354" s="27" t="str">
        <f>HYPERLINK("http://nsgreg.nga.mil/genc/view?v=122461&amp;gencs=T&amp;end_month=12&amp;end_day=31&amp;end_year=2014","Njombe")</f>
        <v>Njombe</v>
      </c>
      <c r="G4354" s="28" t="str">
        <f>HYPERLINK("http://api.nsgreg.nga.mil/geo-division/GENC/6/ed3/TZ-29","as:GENC:6:ed3:TZ-29")</f>
        <v>as:GENC:6:ed3:TZ-29</v>
      </c>
    </row>
    <row r="4355" spans="1:7" x14ac:dyDescent="0.2">
      <c r="A4355" s="85"/>
      <c r="B4355" s="25" t="s">
        <v>10284</v>
      </c>
      <c r="C4355" s="25" t="s">
        <v>10311</v>
      </c>
      <c r="D4355" s="25" t="s">
        <v>2087</v>
      </c>
      <c r="E4355" s="26" t="b">
        <v>1</v>
      </c>
      <c r="F4355" s="27" t="str">
        <f>HYPERLINK("http://nsgreg.nga.mil/genc/view?v=122438&amp;gencs=T&amp;end_month=12&amp;end_day=31&amp;end_year=2014","Pemba North")</f>
        <v>Pemba North</v>
      </c>
      <c r="G4355" s="28" t="str">
        <f>HYPERLINK("http://api.nsgreg.nga.mil/geo-division/GENC/6/ed3/TZ-06","as:GENC:6:ed3:TZ-06")</f>
        <v>as:GENC:6:ed3:TZ-06</v>
      </c>
    </row>
    <row r="4356" spans="1:7" x14ac:dyDescent="0.2">
      <c r="A4356" s="85"/>
      <c r="B4356" s="25" t="s">
        <v>10292</v>
      </c>
      <c r="C4356" s="25" t="s">
        <v>10312</v>
      </c>
      <c r="D4356" s="25" t="s">
        <v>2087</v>
      </c>
      <c r="E4356" s="26" t="b">
        <v>1</v>
      </c>
      <c r="F4356" s="27" t="str">
        <f>HYPERLINK("http://nsgreg.nga.mil/genc/view?v=122442&amp;gencs=T&amp;end_month=12&amp;end_day=31&amp;end_year=2014","Pemba South")</f>
        <v>Pemba South</v>
      </c>
      <c r="G4356" s="28" t="str">
        <f>HYPERLINK("http://api.nsgreg.nga.mil/geo-division/GENC/6/ed3/TZ-10","as:GENC:6:ed3:TZ-10")</f>
        <v>as:GENC:6:ed3:TZ-10</v>
      </c>
    </row>
    <row r="4357" spans="1:7" x14ac:dyDescent="0.2">
      <c r="A4357" s="85"/>
      <c r="B4357" s="25" t="s">
        <v>10313</v>
      </c>
      <c r="C4357" s="25" t="s">
        <v>10314</v>
      </c>
      <c r="D4357" s="25" t="s">
        <v>2087</v>
      </c>
      <c r="E4357" s="26" t="b">
        <v>1</v>
      </c>
      <c r="F4357" s="27" t="str">
        <f>HYPERLINK("http://nsgreg.nga.mil/genc/view?v=213665&amp;end_month=12&amp;end_day=31&amp;end_year=2014","Rukwa")</f>
        <v>Rukwa</v>
      </c>
      <c r="G4357" s="28" t="str">
        <f>HYPERLINK("http://api.nsgreg.nga.mil/geo-division/GENC/6/ed3/TZ-20","as:GENC:6:ed3:TZ-20")</f>
        <v>as:GENC:6:ed3:TZ-20</v>
      </c>
    </row>
    <row r="4358" spans="1:7" x14ac:dyDescent="0.2">
      <c r="A4358" s="85"/>
      <c r="B4358" s="25" t="s">
        <v>10315</v>
      </c>
      <c r="C4358" s="25" t="s">
        <v>10316</v>
      </c>
      <c r="D4358" s="25" t="s">
        <v>2087</v>
      </c>
      <c r="E4358" s="26" t="b">
        <v>1</v>
      </c>
      <c r="F4358" s="27" t="str">
        <f>HYPERLINK("http://nsgreg.nga.mil/genc/view?v=213666&amp;end_month=12&amp;end_day=31&amp;end_year=2014","Ruvuma")</f>
        <v>Ruvuma</v>
      </c>
      <c r="G4358" s="28" t="str">
        <f>HYPERLINK("http://api.nsgreg.nga.mil/geo-division/GENC/6/ed3/TZ-21","as:GENC:6:ed3:TZ-21")</f>
        <v>as:GENC:6:ed3:TZ-21</v>
      </c>
    </row>
    <row r="4359" spans="1:7" x14ac:dyDescent="0.2">
      <c r="A4359" s="85"/>
      <c r="B4359" s="25" t="s">
        <v>10317</v>
      </c>
      <c r="C4359" s="25" t="s">
        <v>10318</v>
      </c>
      <c r="D4359" s="25" t="s">
        <v>2087</v>
      </c>
      <c r="E4359" s="26" t="b">
        <v>1</v>
      </c>
      <c r="F4359" s="27" t="str">
        <f>HYPERLINK("http://nsgreg.nga.mil/genc/view?v=213667&amp;end_month=12&amp;end_day=31&amp;end_year=2014","Shinyanga")</f>
        <v>Shinyanga</v>
      </c>
      <c r="G4359" s="28" t="str">
        <f>HYPERLINK("http://api.nsgreg.nga.mil/geo-division/GENC/6/ed3/TZ-22","as:GENC:6:ed3:TZ-22")</f>
        <v>as:GENC:6:ed3:TZ-22</v>
      </c>
    </row>
    <row r="4360" spans="1:7" x14ac:dyDescent="0.2">
      <c r="A4360" s="85"/>
      <c r="B4360" s="25" t="s">
        <v>13742</v>
      </c>
      <c r="C4360" s="25" t="s">
        <v>13743</v>
      </c>
      <c r="D4360" s="25" t="s">
        <v>2087</v>
      </c>
      <c r="E4360" s="26" t="b">
        <v>1</v>
      </c>
      <c r="F4360" s="27" t="str">
        <f>HYPERLINK("http://nsgreg.nga.mil/genc/view?v=122462&amp;gencs=T&amp;end_month=12&amp;end_day=31&amp;end_year=2014","Simiyu")</f>
        <v>Simiyu</v>
      </c>
      <c r="G4360" s="28" t="str">
        <f>HYPERLINK("http://api.nsgreg.nga.mil/geo-division/GENC/6/ed3/TZ-30","as:GENC:6:ed3:TZ-30")</f>
        <v>as:GENC:6:ed3:TZ-30</v>
      </c>
    </row>
    <row r="4361" spans="1:7" x14ac:dyDescent="0.2">
      <c r="A4361" s="85"/>
      <c r="B4361" s="25" t="s">
        <v>10319</v>
      </c>
      <c r="C4361" s="25" t="s">
        <v>10320</v>
      </c>
      <c r="D4361" s="25" t="s">
        <v>2087</v>
      </c>
      <c r="E4361" s="26" t="b">
        <v>1</v>
      </c>
      <c r="F4361" s="27" t="str">
        <f>HYPERLINK("http://nsgreg.nga.mil/genc/view?v=213668&amp;end_month=12&amp;end_day=31&amp;end_year=2014","Singida")</f>
        <v>Singida</v>
      </c>
      <c r="G4361" s="28" t="str">
        <f>HYPERLINK("http://api.nsgreg.nga.mil/geo-division/GENC/6/ed3/TZ-23","as:GENC:6:ed3:TZ-23")</f>
        <v>as:GENC:6:ed3:TZ-23</v>
      </c>
    </row>
    <row r="4362" spans="1:7" x14ac:dyDescent="0.2">
      <c r="A4362" s="85"/>
      <c r="B4362" s="25" t="s">
        <v>10321</v>
      </c>
      <c r="C4362" s="25" t="s">
        <v>10322</v>
      </c>
      <c r="D4362" s="25" t="s">
        <v>2087</v>
      </c>
      <c r="E4362" s="26" t="b">
        <v>1</v>
      </c>
      <c r="F4362" s="27" t="str">
        <f>HYPERLINK("http://nsgreg.nga.mil/genc/view?v=213669&amp;end_month=12&amp;end_day=31&amp;end_year=2014","Tabora")</f>
        <v>Tabora</v>
      </c>
      <c r="G4362" s="28" t="str">
        <f>HYPERLINK("http://api.nsgreg.nga.mil/geo-division/GENC/6/ed3/TZ-24","as:GENC:6:ed3:TZ-24")</f>
        <v>as:GENC:6:ed3:TZ-24</v>
      </c>
    </row>
    <row r="4363" spans="1:7" x14ac:dyDescent="0.2">
      <c r="A4363" s="85"/>
      <c r="B4363" s="25" t="s">
        <v>10323</v>
      </c>
      <c r="C4363" s="25" t="s">
        <v>10324</v>
      </c>
      <c r="D4363" s="25" t="s">
        <v>2087</v>
      </c>
      <c r="E4363" s="26" t="b">
        <v>1</v>
      </c>
      <c r="F4363" s="27" t="str">
        <f>HYPERLINK("http://nsgreg.nga.mil/genc/view?v=213670&amp;end_month=12&amp;end_day=31&amp;end_year=2014","Tanga")</f>
        <v>Tanga</v>
      </c>
      <c r="G4363" s="28" t="str">
        <f>HYPERLINK("http://api.nsgreg.nga.mil/geo-division/GENC/6/ed3/TZ-25","as:GENC:6:ed3:TZ-25")</f>
        <v>as:GENC:6:ed3:TZ-25</v>
      </c>
    </row>
    <row r="4364" spans="1:7" x14ac:dyDescent="0.2">
      <c r="A4364" s="85"/>
      <c r="B4364" s="25" t="s">
        <v>10294</v>
      </c>
      <c r="C4364" s="25" t="s">
        <v>13744</v>
      </c>
      <c r="D4364" s="25" t="s">
        <v>2087</v>
      </c>
      <c r="E4364" s="26" t="b">
        <v>1</v>
      </c>
      <c r="F4364" s="27" t="str">
        <f>HYPERLINK("http://nsgreg.nga.mil/genc/view?v=213657&amp;end_month=12&amp;end_day=31&amp;end_year=2014","Zanzibar Central/South")</f>
        <v>Zanzibar Central/South</v>
      </c>
      <c r="G4364" s="28" t="str">
        <f>HYPERLINK("http://api.nsgreg.nga.mil/geo-division/GENC/6/ed3/TZ-11","as:GENC:6:ed3:TZ-11")</f>
        <v>as:GENC:6:ed3:TZ-11</v>
      </c>
    </row>
    <row r="4365" spans="1:7" x14ac:dyDescent="0.2">
      <c r="A4365" s="85"/>
      <c r="B4365" s="25" t="s">
        <v>10286</v>
      </c>
      <c r="C4365" s="25" t="s">
        <v>10325</v>
      </c>
      <c r="D4365" s="25" t="s">
        <v>2087</v>
      </c>
      <c r="E4365" s="26" t="b">
        <v>1</v>
      </c>
      <c r="F4365" s="27" t="str">
        <f>HYPERLINK("http://nsgreg.nga.mil/genc/view?v=122439&amp;gencs=T&amp;end_month=12&amp;end_day=31&amp;end_year=2014","Zanzibar North")</f>
        <v>Zanzibar North</v>
      </c>
      <c r="G4365" s="28" t="str">
        <f>HYPERLINK("http://api.nsgreg.nga.mil/geo-division/GENC/6/ed3/TZ-07","as:GENC:6:ed3:TZ-07")</f>
        <v>as:GENC:6:ed3:TZ-07</v>
      </c>
    </row>
    <row r="4366" spans="1:7" x14ac:dyDescent="0.2">
      <c r="A4366" s="86"/>
      <c r="B4366" s="29" t="s">
        <v>10304</v>
      </c>
      <c r="C4366" s="29" t="s">
        <v>13745</v>
      </c>
      <c r="D4366" s="29" t="s">
        <v>2087</v>
      </c>
      <c r="E4366" s="30" t="b">
        <v>1</v>
      </c>
      <c r="F4366" s="31" t="str">
        <f>HYPERLINK("http://nsgreg.nga.mil/genc/view?v=213661&amp;end_month=12&amp;end_day=31&amp;end_year=2014","Zanzibar Urban/West")</f>
        <v>Zanzibar Urban/West</v>
      </c>
      <c r="G4366" s="32" t="str">
        <f>HYPERLINK("http://api.nsgreg.nga.mil/geo-division/GENC/6/ed3/TZ-15","as:GENC:6:ed3:TZ-15")</f>
        <v>as:GENC:6:ed3:TZ-15</v>
      </c>
    </row>
    <row r="4367" spans="1:7" x14ac:dyDescent="0.2">
      <c r="A4367" s="84" t="str">
        <f>HYPERLINK("[#]Codes_for_GE_Names!A251:I251","THAILAND")</f>
        <v>THAILAND</v>
      </c>
      <c r="B4367" s="33" t="s">
        <v>10328</v>
      </c>
      <c r="C4367" s="33" t="s">
        <v>10329</v>
      </c>
      <c r="D4367" s="33" t="s">
        <v>1719</v>
      </c>
      <c r="E4367" s="34" t="b">
        <v>1</v>
      </c>
      <c r="F4367" s="35" t="str">
        <f>HYPERLINK("http://nsgreg.nga.mil/genc/view?v=122200&amp;gencs=T&amp;end_month=12&amp;end_day=31&amp;end_year=2014","Amnat Charoen")</f>
        <v>Amnat Charoen</v>
      </c>
      <c r="G4367" s="36" t="str">
        <f>HYPERLINK("http://api.nsgreg.nga.mil/geo-division/GENC/6/ed3/TH-37","as:GENC:6:ed3:TH-37")</f>
        <v>as:GENC:6:ed3:TH-37</v>
      </c>
    </row>
    <row r="4368" spans="1:7" x14ac:dyDescent="0.2">
      <c r="A4368" s="85"/>
      <c r="B4368" s="25" t="s">
        <v>10330</v>
      </c>
      <c r="C4368" s="25" t="s">
        <v>10331</v>
      </c>
      <c r="D4368" s="25" t="s">
        <v>1719</v>
      </c>
      <c r="E4368" s="26" t="b">
        <v>1</v>
      </c>
      <c r="F4368" s="27" t="str">
        <f>HYPERLINK("http://nsgreg.nga.mil/genc/view?v=122180&amp;gencs=T&amp;end_month=12&amp;end_day=31&amp;end_year=2014","Ang Thong")</f>
        <v>Ang Thong</v>
      </c>
      <c r="G4368" s="28" t="str">
        <f>HYPERLINK("http://api.nsgreg.nga.mil/geo-division/GENC/6/ed3/TH-15","as:GENC:6:ed3:TH-15")</f>
        <v>as:GENC:6:ed3:TH-15</v>
      </c>
    </row>
    <row r="4369" spans="1:7" x14ac:dyDescent="0.2">
      <c r="A4369" s="85"/>
      <c r="B4369" s="25" t="s">
        <v>13746</v>
      </c>
      <c r="C4369" s="25" t="s">
        <v>13747</v>
      </c>
      <c r="D4369" s="25" t="s">
        <v>1719</v>
      </c>
      <c r="E4369" s="26" t="b">
        <v>1</v>
      </c>
      <c r="F4369" s="27" t="str">
        <f>HYPERLINK("http://nsgreg.nga.mil/genc/view?v=122201&amp;gencs=T&amp;end_month=12&amp;end_day=31&amp;end_year=2014","Bueng Kan")</f>
        <v>Bueng Kan</v>
      </c>
      <c r="G4369" s="28" t="str">
        <f>HYPERLINK("http://api.nsgreg.nga.mil/geo-division/GENC/6/ed3/TH-38","as:GENC:6:ed3:TH-38")</f>
        <v>as:GENC:6:ed3:TH-38</v>
      </c>
    </row>
    <row r="4370" spans="1:7" x14ac:dyDescent="0.2">
      <c r="A4370" s="85"/>
      <c r="B4370" s="25" t="s">
        <v>10332</v>
      </c>
      <c r="C4370" s="25" t="s">
        <v>13748</v>
      </c>
      <c r="D4370" s="25" t="s">
        <v>1719</v>
      </c>
      <c r="E4370" s="26" t="b">
        <v>1</v>
      </c>
      <c r="F4370" s="27" t="str">
        <f>HYPERLINK("http://nsgreg.nga.mil/genc/view?v=213562&amp;end_month=12&amp;end_day=31&amp;end_year=2014","Buriram")</f>
        <v>Buriram</v>
      </c>
      <c r="G4370" s="28" t="str">
        <f>HYPERLINK("http://api.nsgreg.nga.mil/geo-division/GENC/6/ed3/TH-31","as:GENC:6:ed3:TH-31")</f>
        <v>as:GENC:6:ed3:TH-31</v>
      </c>
    </row>
    <row r="4371" spans="1:7" x14ac:dyDescent="0.2">
      <c r="A4371" s="85"/>
      <c r="B4371" s="25" t="s">
        <v>10334</v>
      </c>
      <c r="C4371" s="25" t="s">
        <v>10335</v>
      </c>
      <c r="D4371" s="25" t="s">
        <v>1719</v>
      </c>
      <c r="E4371" s="26" t="b">
        <v>1</v>
      </c>
      <c r="F4371" s="27" t="str">
        <f>HYPERLINK("http://nsgreg.nga.mil/genc/view?v=122189&amp;gencs=T&amp;end_month=12&amp;end_day=31&amp;end_year=2014","Chachoengsao")</f>
        <v>Chachoengsao</v>
      </c>
      <c r="G4371" s="28" t="str">
        <f>HYPERLINK("http://api.nsgreg.nga.mil/geo-division/GENC/6/ed3/TH-24","as:GENC:6:ed3:TH-24")</f>
        <v>as:GENC:6:ed3:TH-24</v>
      </c>
    </row>
    <row r="4372" spans="1:7" x14ac:dyDescent="0.2">
      <c r="A4372" s="85"/>
      <c r="B4372" s="25" t="s">
        <v>10336</v>
      </c>
      <c r="C4372" s="25" t="s">
        <v>10337</v>
      </c>
      <c r="D4372" s="25" t="s">
        <v>1719</v>
      </c>
      <c r="E4372" s="26" t="b">
        <v>1</v>
      </c>
      <c r="F4372" s="27" t="str">
        <f>HYPERLINK("http://nsgreg.nga.mil/genc/view?v=122183&amp;gencs=T&amp;end_month=12&amp;end_day=31&amp;end_year=2014","Chai Nat")</f>
        <v>Chai Nat</v>
      </c>
      <c r="G4372" s="28" t="str">
        <f>HYPERLINK("http://api.nsgreg.nga.mil/geo-division/GENC/6/ed3/TH-18","as:GENC:6:ed3:TH-18")</f>
        <v>as:GENC:6:ed3:TH-18</v>
      </c>
    </row>
    <row r="4373" spans="1:7" x14ac:dyDescent="0.2">
      <c r="A4373" s="85"/>
      <c r="B4373" s="25" t="s">
        <v>10338</v>
      </c>
      <c r="C4373" s="25" t="s">
        <v>10339</v>
      </c>
      <c r="D4373" s="25" t="s">
        <v>1719</v>
      </c>
      <c r="E4373" s="26" t="b">
        <v>1</v>
      </c>
      <c r="F4373" s="27" t="str">
        <f>HYPERLINK("http://nsgreg.nga.mil/genc/view?v=122199&amp;gencs=T&amp;end_month=12&amp;end_day=31&amp;end_year=2014","Chaiyaphum")</f>
        <v>Chaiyaphum</v>
      </c>
      <c r="G4373" s="28" t="str">
        <f>HYPERLINK("http://api.nsgreg.nga.mil/geo-division/GENC/6/ed3/TH-36","as:GENC:6:ed3:TH-36")</f>
        <v>as:GENC:6:ed3:TH-36</v>
      </c>
    </row>
    <row r="4374" spans="1:7" x14ac:dyDescent="0.2">
      <c r="A4374" s="85"/>
      <c r="B4374" s="25" t="s">
        <v>10340</v>
      </c>
      <c r="C4374" s="25" t="s">
        <v>10341</v>
      </c>
      <c r="D4374" s="25" t="s">
        <v>1719</v>
      </c>
      <c r="E4374" s="26" t="b">
        <v>1</v>
      </c>
      <c r="F4374" s="27" t="str">
        <f>HYPERLINK("http://nsgreg.nga.mil/genc/view?v=122187&amp;gencs=T&amp;end_month=12&amp;end_day=31&amp;end_year=2014","Chanthaburi")</f>
        <v>Chanthaburi</v>
      </c>
      <c r="G4374" s="28" t="str">
        <f>HYPERLINK("http://api.nsgreg.nga.mil/geo-division/GENC/6/ed3/TH-22","as:GENC:6:ed3:TH-22")</f>
        <v>as:GENC:6:ed3:TH-22</v>
      </c>
    </row>
    <row r="4375" spans="1:7" x14ac:dyDescent="0.2">
      <c r="A4375" s="85"/>
      <c r="B4375" s="25" t="s">
        <v>10342</v>
      </c>
      <c r="C4375" s="25" t="s">
        <v>10343</v>
      </c>
      <c r="D4375" s="25" t="s">
        <v>1719</v>
      </c>
      <c r="E4375" s="26" t="b">
        <v>1</v>
      </c>
      <c r="F4375" s="27" t="str">
        <f>HYPERLINK("http://nsgreg.nga.mil/genc/view?v=122213&amp;gencs=T&amp;end_month=12&amp;end_day=31&amp;end_year=2014","Chiang Mai")</f>
        <v>Chiang Mai</v>
      </c>
      <c r="G4375" s="28" t="str">
        <f>HYPERLINK("http://api.nsgreg.nga.mil/geo-division/GENC/6/ed3/TH-50","as:GENC:6:ed3:TH-50")</f>
        <v>as:GENC:6:ed3:TH-50</v>
      </c>
    </row>
    <row r="4376" spans="1:7" x14ac:dyDescent="0.2">
      <c r="A4376" s="85"/>
      <c r="B4376" s="25" t="s">
        <v>10344</v>
      </c>
      <c r="C4376" s="25" t="s">
        <v>10345</v>
      </c>
      <c r="D4376" s="25" t="s">
        <v>1719</v>
      </c>
      <c r="E4376" s="26" t="b">
        <v>1</v>
      </c>
      <c r="F4376" s="27" t="str">
        <f>HYPERLINK("http://nsgreg.nga.mil/genc/view?v=122220&amp;gencs=T&amp;end_month=12&amp;end_day=31&amp;end_year=2014","Chiang Rai")</f>
        <v>Chiang Rai</v>
      </c>
      <c r="G4376" s="28" t="str">
        <f>HYPERLINK("http://api.nsgreg.nga.mil/geo-division/GENC/6/ed3/TH-57","as:GENC:6:ed3:TH-57")</f>
        <v>as:GENC:6:ed3:TH-57</v>
      </c>
    </row>
    <row r="4377" spans="1:7" x14ac:dyDescent="0.2">
      <c r="A4377" s="85"/>
      <c r="B4377" s="25" t="s">
        <v>10346</v>
      </c>
      <c r="C4377" s="25" t="s">
        <v>10347</v>
      </c>
      <c r="D4377" s="25" t="s">
        <v>1719</v>
      </c>
      <c r="E4377" s="26" t="b">
        <v>1</v>
      </c>
      <c r="F4377" s="27" t="str">
        <f>HYPERLINK("http://nsgreg.nga.mil/genc/view?v=122185&amp;gencs=T&amp;end_month=12&amp;end_day=31&amp;end_year=2014","Chon Buri")</f>
        <v>Chon Buri</v>
      </c>
      <c r="G4377" s="28" t="str">
        <f>HYPERLINK("http://api.nsgreg.nga.mil/geo-division/GENC/6/ed3/TH-20","as:GENC:6:ed3:TH-20")</f>
        <v>as:GENC:6:ed3:TH-20</v>
      </c>
    </row>
    <row r="4378" spans="1:7" x14ac:dyDescent="0.2">
      <c r="A4378" s="85"/>
      <c r="B4378" s="25" t="s">
        <v>10348</v>
      </c>
      <c r="C4378" s="25" t="s">
        <v>10349</v>
      </c>
      <c r="D4378" s="25" t="s">
        <v>1719</v>
      </c>
      <c r="E4378" s="26" t="b">
        <v>1</v>
      </c>
      <c r="F4378" s="27" t="str">
        <f>HYPERLINK("http://nsgreg.nga.mil/genc/view?v=122244&amp;gencs=T&amp;end_month=12&amp;end_day=31&amp;end_year=2014","Chumphon")</f>
        <v>Chumphon</v>
      </c>
      <c r="G4378" s="28" t="str">
        <f>HYPERLINK("http://api.nsgreg.nga.mil/geo-division/GENC/6/ed3/TH-86","as:GENC:6:ed3:TH-86")</f>
        <v>as:GENC:6:ed3:TH-86</v>
      </c>
    </row>
    <row r="4379" spans="1:7" x14ac:dyDescent="0.2">
      <c r="A4379" s="85"/>
      <c r="B4379" s="25" t="s">
        <v>10350</v>
      </c>
      <c r="C4379" s="25" t="s">
        <v>10351</v>
      </c>
      <c r="D4379" s="25" t="s">
        <v>1719</v>
      </c>
      <c r="E4379" s="26" t="b">
        <v>1</v>
      </c>
      <c r="F4379" s="27" t="str">
        <f>HYPERLINK("http://nsgreg.nga.mil/genc/view?v=122209&amp;gencs=T&amp;end_month=12&amp;end_day=31&amp;end_year=2014","Kalasin")</f>
        <v>Kalasin</v>
      </c>
      <c r="G4379" s="28" t="str">
        <f>HYPERLINK("http://api.nsgreg.nga.mil/geo-division/GENC/6/ed3/TH-46","as:GENC:6:ed3:TH-46")</f>
        <v>as:GENC:6:ed3:TH-46</v>
      </c>
    </row>
    <row r="4380" spans="1:7" x14ac:dyDescent="0.2">
      <c r="A4380" s="85"/>
      <c r="B4380" s="25" t="s">
        <v>10352</v>
      </c>
      <c r="C4380" s="25" t="s">
        <v>10353</v>
      </c>
      <c r="D4380" s="25" t="s">
        <v>1719</v>
      </c>
      <c r="E4380" s="26" t="b">
        <v>1</v>
      </c>
      <c r="F4380" s="27" t="str">
        <f>HYPERLINK("http://nsgreg.nga.mil/genc/view?v=122224&amp;gencs=T&amp;end_month=12&amp;end_day=31&amp;end_year=2014","Kamphaeng Phet")</f>
        <v>Kamphaeng Phet</v>
      </c>
      <c r="G4380" s="28" t="str">
        <f>HYPERLINK("http://api.nsgreg.nga.mil/geo-division/GENC/6/ed3/TH-62","as:GENC:6:ed3:TH-62")</f>
        <v>as:GENC:6:ed3:TH-62</v>
      </c>
    </row>
    <row r="4381" spans="1:7" x14ac:dyDescent="0.2">
      <c r="A4381" s="85"/>
      <c r="B4381" s="25" t="s">
        <v>10354</v>
      </c>
      <c r="C4381" s="25" t="s">
        <v>10355</v>
      </c>
      <c r="D4381" s="25" t="s">
        <v>1719</v>
      </c>
      <c r="E4381" s="26" t="b">
        <v>1</v>
      </c>
      <c r="F4381" s="27" t="str">
        <f>HYPERLINK("http://nsgreg.nga.mil/genc/view?v=122231&amp;gencs=T&amp;end_month=12&amp;end_day=31&amp;end_year=2014","Kanchanaburi")</f>
        <v>Kanchanaburi</v>
      </c>
      <c r="G4381" s="28" t="str">
        <f>HYPERLINK("http://api.nsgreg.nga.mil/geo-division/GENC/6/ed3/TH-71","as:GENC:6:ed3:TH-71")</f>
        <v>as:GENC:6:ed3:TH-71</v>
      </c>
    </row>
    <row r="4382" spans="1:7" x14ac:dyDescent="0.2">
      <c r="A4382" s="85"/>
      <c r="B4382" s="25" t="s">
        <v>10356</v>
      </c>
      <c r="C4382" s="25" t="s">
        <v>10357</v>
      </c>
      <c r="D4382" s="25" t="s">
        <v>1719</v>
      </c>
      <c r="E4382" s="26" t="b">
        <v>1</v>
      </c>
      <c r="F4382" s="27" t="str">
        <f>HYPERLINK("http://nsgreg.nga.mil/genc/view?v=122203&amp;gencs=T&amp;end_month=12&amp;end_day=31&amp;end_year=2014","Khon Kaen")</f>
        <v>Khon Kaen</v>
      </c>
      <c r="G4382" s="28" t="str">
        <f>HYPERLINK("http://api.nsgreg.nga.mil/geo-division/GENC/6/ed3/TH-40","as:GENC:6:ed3:TH-40")</f>
        <v>as:GENC:6:ed3:TH-40</v>
      </c>
    </row>
    <row r="4383" spans="1:7" x14ac:dyDescent="0.2">
      <c r="A4383" s="85"/>
      <c r="B4383" s="25" t="s">
        <v>10358</v>
      </c>
      <c r="C4383" s="25" t="s">
        <v>10359</v>
      </c>
      <c r="D4383" s="25" t="s">
        <v>1719</v>
      </c>
      <c r="E4383" s="26" t="b">
        <v>1</v>
      </c>
      <c r="F4383" s="27" t="str">
        <f>HYPERLINK("http://nsgreg.nga.mil/genc/view?v=122239&amp;gencs=T&amp;end_month=12&amp;end_day=31&amp;end_year=2014","Krabi")</f>
        <v>Krabi</v>
      </c>
      <c r="G4383" s="28" t="str">
        <f>HYPERLINK("http://api.nsgreg.nga.mil/geo-division/GENC/6/ed3/TH-81","as:GENC:6:ed3:TH-81")</f>
        <v>as:GENC:6:ed3:TH-81</v>
      </c>
    </row>
    <row r="4384" spans="1:7" x14ac:dyDescent="0.2">
      <c r="A4384" s="85"/>
      <c r="B4384" s="25" t="s">
        <v>10360</v>
      </c>
      <c r="C4384" s="25" t="s">
        <v>13749</v>
      </c>
      <c r="D4384" s="25" t="s">
        <v>2164</v>
      </c>
      <c r="E4384" s="26" t="b">
        <v>1</v>
      </c>
      <c r="F4384" s="27" t="str">
        <f>HYPERLINK("http://nsgreg.nga.mil/genc/view?v=213560&amp;end_month=12&amp;end_day=31&amp;end_year=2014","Krung Thep")</f>
        <v>Krung Thep</v>
      </c>
      <c r="G4384" s="28" t="str">
        <f>HYPERLINK("http://api.nsgreg.nga.mil/geo-division/GENC/6/ed3/TH-10","as:GENC:6:ed3:TH-10")</f>
        <v>as:GENC:6:ed3:TH-10</v>
      </c>
    </row>
    <row r="4385" spans="1:7" x14ac:dyDescent="0.2">
      <c r="A4385" s="85"/>
      <c r="B4385" s="25" t="s">
        <v>10363</v>
      </c>
      <c r="C4385" s="25" t="s">
        <v>10364</v>
      </c>
      <c r="D4385" s="25" t="s">
        <v>1719</v>
      </c>
      <c r="E4385" s="26" t="b">
        <v>1</v>
      </c>
      <c r="F4385" s="27" t="str">
        <f>HYPERLINK("http://nsgreg.nga.mil/genc/view?v=122215&amp;gencs=T&amp;end_month=12&amp;end_day=31&amp;end_year=2014","Lampang")</f>
        <v>Lampang</v>
      </c>
      <c r="G4385" s="28" t="str">
        <f>HYPERLINK("http://api.nsgreg.nga.mil/geo-division/GENC/6/ed3/TH-52","as:GENC:6:ed3:TH-52")</f>
        <v>as:GENC:6:ed3:TH-52</v>
      </c>
    </row>
    <row r="4386" spans="1:7" x14ac:dyDescent="0.2">
      <c r="A4386" s="85"/>
      <c r="B4386" s="25" t="s">
        <v>10365</v>
      </c>
      <c r="C4386" s="25" t="s">
        <v>10366</v>
      </c>
      <c r="D4386" s="25" t="s">
        <v>1719</v>
      </c>
      <c r="E4386" s="26" t="b">
        <v>1</v>
      </c>
      <c r="F4386" s="27" t="str">
        <f>HYPERLINK("http://nsgreg.nga.mil/genc/view?v=122214&amp;gencs=T&amp;end_month=12&amp;end_day=31&amp;end_year=2014","Lamphun")</f>
        <v>Lamphun</v>
      </c>
      <c r="G4386" s="28" t="str">
        <f>HYPERLINK("http://api.nsgreg.nga.mil/geo-division/GENC/6/ed3/TH-51","as:GENC:6:ed3:TH-51")</f>
        <v>as:GENC:6:ed3:TH-51</v>
      </c>
    </row>
    <row r="4387" spans="1:7" x14ac:dyDescent="0.2">
      <c r="A4387" s="85"/>
      <c r="B4387" s="25" t="s">
        <v>10367</v>
      </c>
      <c r="C4387" s="25" t="s">
        <v>10368</v>
      </c>
      <c r="D4387" s="25" t="s">
        <v>1719</v>
      </c>
      <c r="E4387" s="26" t="b">
        <v>1</v>
      </c>
      <c r="F4387" s="27" t="str">
        <f>HYPERLINK("http://nsgreg.nga.mil/genc/view?v=122205&amp;gencs=T&amp;end_month=12&amp;end_day=31&amp;end_year=2014","Loei")</f>
        <v>Loei</v>
      </c>
      <c r="G4387" s="28" t="str">
        <f>HYPERLINK("http://api.nsgreg.nga.mil/geo-division/GENC/6/ed3/TH-42","as:GENC:6:ed3:TH-42")</f>
        <v>as:GENC:6:ed3:TH-42</v>
      </c>
    </row>
    <row r="4388" spans="1:7" x14ac:dyDescent="0.2">
      <c r="A4388" s="85"/>
      <c r="B4388" s="25" t="s">
        <v>10369</v>
      </c>
      <c r="C4388" s="25" t="s">
        <v>10370</v>
      </c>
      <c r="D4388" s="25" t="s">
        <v>1719</v>
      </c>
      <c r="E4388" s="26" t="b">
        <v>1</v>
      </c>
      <c r="F4388" s="27" t="str">
        <f>HYPERLINK("http://nsgreg.nga.mil/genc/view?v=122181&amp;gencs=T&amp;end_month=12&amp;end_day=31&amp;end_year=2014","Lop Buri")</f>
        <v>Lop Buri</v>
      </c>
      <c r="G4388" s="28" t="str">
        <f>HYPERLINK("http://api.nsgreg.nga.mil/geo-division/GENC/6/ed3/TH-16","as:GENC:6:ed3:TH-16")</f>
        <v>as:GENC:6:ed3:TH-16</v>
      </c>
    </row>
    <row r="4389" spans="1:7" x14ac:dyDescent="0.2">
      <c r="A4389" s="85"/>
      <c r="B4389" s="25" t="s">
        <v>10371</v>
      </c>
      <c r="C4389" s="25" t="s">
        <v>10372</v>
      </c>
      <c r="D4389" s="25" t="s">
        <v>1719</v>
      </c>
      <c r="E4389" s="26" t="b">
        <v>1</v>
      </c>
      <c r="F4389" s="27" t="str">
        <f>HYPERLINK("http://nsgreg.nga.mil/genc/view?v=122221&amp;gencs=T&amp;end_month=12&amp;end_day=31&amp;end_year=2014","Mae Hong Son")</f>
        <v>Mae Hong Son</v>
      </c>
      <c r="G4389" s="28" t="str">
        <f>HYPERLINK("http://api.nsgreg.nga.mil/geo-division/GENC/6/ed3/TH-58","as:GENC:6:ed3:TH-58")</f>
        <v>as:GENC:6:ed3:TH-58</v>
      </c>
    </row>
    <row r="4390" spans="1:7" x14ac:dyDescent="0.2">
      <c r="A4390" s="85"/>
      <c r="B4390" s="25" t="s">
        <v>10373</v>
      </c>
      <c r="C4390" s="25" t="s">
        <v>10374</v>
      </c>
      <c r="D4390" s="25" t="s">
        <v>1719</v>
      </c>
      <c r="E4390" s="26" t="b">
        <v>1</v>
      </c>
      <c r="F4390" s="27" t="str">
        <f>HYPERLINK("http://nsgreg.nga.mil/genc/view?v=122207&amp;gencs=T&amp;end_month=12&amp;end_day=31&amp;end_year=2014","Maha Sarakham")</f>
        <v>Maha Sarakham</v>
      </c>
      <c r="G4390" s="28" t="str">
        <f>HYPERLINK("http://api.nsgreg.nga.mil/geo-division/GENC/6/ed3/TH-44","as:GENC:6:ed3:TH-44")</f>
        <v>as:GENC:6:ed3:TH-44</v>
      </c>
    </row>
    <row r="4391" spans="1:7" x14ac:dyDescent="0.2">
      <c r="A4391" s="85"/>
      <c r="B4391" s="25" t="s">
        <v>10375</v>
      </c>
      <c r="C4391" s="25" t="s">
        <v>10376</v>
      </c>
      <c r="D4391" s="25" t="s">
        <v>1719</v>
      </c>
      <c r="E4391" s="26" t="b">
        <v>1</v>
      </c>
      <c r="F4391" s="27" t="str">
        <f>HYPERLINK("http://nsgreg.nga.mil/genc/view?v=122212&amp;gencs=T&amp;end_month=12&amp;end_day=31&amp;end_year=2014","Mukdahan")</f>
        <v>Mukdahan</v>
      </c>
      <c r="G4391" s="28" t="str">
        <f>HYPERLINK("http://api.nsgreg.nga.mil/geo-division/GENC/6/ed3/TH-49","as:GENC:6:ed3:TH-49")</f>
        <v>as:GENC:6:ed3:TH-49</v>
      </c>
    </row>
    <row r="4392" spans="1:7" x14ac:dyDescent="0.2">
      <c r="A4392" s="85"/>
      <c r="B4392" s="25" t="s">
        <v>10377</v>
      </c>
      <c r="C4392" s="25" t="s">
        <v>10378</v>
      </c>
      <c r="D4392" s="25" t="s">
        <v>1719</v>
      </c>
      <c r="E4392" s="26" t="b">
        <v>1</v>
      </c>
      <c r="F4392" s="27" t="str">
        <f>HYPERLINK("http://nsgreg.nga.mil/genc/view?v=122191&amp;gencs=T&amp;end_month=12&amp;end_day=31&amp;end_year=2014","Nakhon Nayok")</f>
        <v>Nakhon Nayok</v>
      </c>
      <c r="G4392" s="28" t="str">
        <f>HYPERLINK("http://api.nsgreg.nga.mil/geo-division/GENC/6/ed3/TH-26","as:GENC:6:ed3:TH-26")</f>
        <v>as:GENC:6:ed3:TH-26</v>
      </c>
    </row>
    <row r="4393" spans="1:7" x14ac:dyDescent="0.2">
      <c r="A4393" s="85"/>
      <c r="B4393" s="25" t="s">
        <v>10379</v>
      </c>
      <c r="C4393" s="25" t="s">
        <v>10380</v>
      </c>
      <c r="D4393" s="25" t="s">
        <v>1719</v>
      </c>
      <c r="E4393" s="26" t="b">
        <v>1</v>
      </c>
      <c r="F4393" s="27" t="str">
        <f>HYPERLINK("http://nsgreg.nga.mil/genc/view?v=122233&amp;gencs=T&amp;end_month=12&amp;end_day=31&amp;end_year=2014","Nakhon Pathom")</f>
        <v>Nakhon Pathom</v>
      </c>
      <c r="G4393" s="28" t="str">
        <f>HYPERLINK("http://api.nsgreg.nga.mil/geo-division/GENC/6/ed3/TH-73","as:GENC:6:ed3:TH-73")</f>
        <v>as:GENC:6:ed3:TH-73</v>
      </c>
    </row>
    <row r="4394" spans="1:7" x14ac:dyDescent="0.2">
      <c r="A4394" s="85"/>
      <c r="B4394" s="25" t="s">
        <v>10381</v>
      </c>
      <c r="C4394" s="25" t="s">
        <v>10382</v>
      </c>
      <c r="D4394" s="25" t="s">
        <v>1719</v>
      </c>
      <c r="E4394" s="26" t="b">
        <v>1</v>
      </c>
      <c r="F4394" s="27" t="str">
        <f>HYPERLINK("http://nsgreg.nga.mil/genc/view?v=122211&amp;gencs=T&amp;end_month=12&amp;end_day=31&amp;end_year=2014","Nakhon Phanom")</f>
        <v>Nakhon Phanom</v>
      </c>
      <c r="G4394" s="28" t="str">
        <f>HYPERLINK("http://api.nsgreg.nga.mil/geo-division/GENC/6/ed3/TH-48","as:GENC:6:ed3:TH-48")</f>
        <v>as:GENC:6:ed3:TH-48</v>
      </c>
    </row>
    <row r="4395" spans="1:7" x14ac:dyDescent="0.2">
      <c r="A4395" s="85"/>
      <c r="B4395" s="25" t="s">
        <v>10383</v>
      </c>
      <c r="C4395" s="25" t="s">
        <v>10384</v>
      </c>
      <c r="D4395" s="25" t="s">
        <v>1719</v>
      </c>
      <c r="E4395" s="26" t="b">
        <v>1</v>
      </c>
      <c r="F4395" s="27" t="str">
        <f>HYPERLINK("http://nsgreg.nga.mil/genc/view?v=122193&amp;gencs=T&amp;end_month=12&amp;end_day=31&amp;end_year=2014","Nakhon Ratchasima")</f>
        <v>Nakhon Ratchasima</v>
      </c>
      <c r="G4395" s="28" t="str">
        <f>HYPERLINK("http://api.nsgreg.nga.mil/geo-division/GENC/6/ed3/TH-30","as:GENC:6:ed3:TH-30")</f>
        <v>as:GENC:6:ed3:TH-30</v>
      </c>
    </row>
    <row r="4396" spans="1:7" x14ac:dyDescent="0.2">
      <c r="A4396" s="85"/>
      <c r="B4396" s="25" t="s">
        <v>10385</v>
      </c>
      <c r="C4396" s="25" t="s">
        <v>10386</v>
      </c>
      <c r="D4396" s="25" t="s">
        <v>1719</v>
      </c>
      <c r="E4396" s="26" t="b">
        <v>1</v>
      </c>
      <c r="F4396" s="27" t="str">
        <f>HYPERLINK("http://nsgreg.nga.mil/genc/view?v=122222&amp;gencs=T&amp;end_month=12&amp;end_day=31&amp;end_year=2014","Nakhon Sawan")</f>
        <v>Nakhon Sawan</v>
      </c>
      <c r="G4396" s="28" t="str">
        <f>HYPERLINK("http://api.nsgreg.nga.mil/geo-division/GENC/6/ed3/TH-60","as:GENC:6:ed3:TH-60")</f>
        <v>as:GENC:6:ed3:TH-60</v>
      </c>
    </row>
    <row r="4397" spans="1:7" x14ac:dyDescent="0.2">
      <c r="A4397" s="85"/>
      <c r="B4397" s="25" t="s">
        <v>10387</v>
      </c>
      <c r="C4397" s="25" t="s">
        <v>10388</v>
      </c>
      <c r="D4397" s="25" t="s">
        <v>1719</v>
      </c>
      <c r="E4397" s="26" t="b">
        <v>1</v>
      </c>
      <c r="F4397" s="27" t="str">
        <f>HYPERLINK("http://nsgreg.nga.mil/genc/view?v=122238&amp;gencs=T&amp;end_month=12&amp;end_day=31&amp;end_year=2014","Nakhon Si Thammarat")</f>
        <v>Nakhon Si Thammarat</v>
      </c>
      <c r="G4397" s="28" t="str">
        <f>HYPERLINK("http://api.nsgreg.nga.mil/geo-division/GENC/6/ed3/TH-80","as:GENC:6:ed3:TH-80")</f>
        <v>as:GENC:6:ed3:TH-80</v>
      </c>
    </row>
    <row r="4398" spans="1:7" x14ac:dyDescent="0.2">
      <c r="A4398" s="85"/>
      <c r="B4398" s="25" t="s">
        <v>10389</v>
      </c>
      <c r="C4398" s="25" t="s">
        <v>10390</v>
      </c>
      <c r="D4398" s="25" t="s">
        <v>1719</v>
      </c>
      <c r="E4398" s="26" t="b">
        <v>1</v>
      </c>
      <c r="F4398" s="27" t="str">
        <f>HYPERLINK("http://nsgreg.nga.mil/genc/view?v=122218&amp;gencs=T&amp;end_month=12&amp;end_day=31&amp;end_year=2014","Nan")</f>
        <v>Nan</v>
      </c>
      <c r="G4398" s="28" t="str">
        <f>HYPERLINK("http://api.nsgreg.nga.mil/geo-division/GENC/6/ed3/TH-55","as:GENC:6:ed3:TH-55")</f>
        <v>as:GENC:6:ed3:TH-55</v>
      </c>
    </row>
    <row r="4399" spans="1:7" x14ac:dyDescent="0.2">
      <c r="A4399" s="85"/>
      <c r="B4399" s="25" t="s">
        <v>10391</v>
      </c>
      <c r="C4399" s="25" t="s">
        <v>10392</v>
      </c>
      <c r="D4399" s="25" t="s">
        <v>1719</v>
      </c>
      <c r="E4399" s="26" t="b">
        <v>1</v>
      </c>
      <c r="F4399" s="27" t="str">
        <f>HYPERLINK("http://nsgreg.nga.mil/genc/view?v=122251&amp;gencs=T&amp;end_month=12&amp;end_day=31&amp;end_year=2014","Narathiwat")</f>
        <v>Narathiwat</v>
      </c>
      <c r="G4399" s="28" t="str">
        <f>HYPERLINK("http://api.nsgreg.nga.mil/geo-division/GENC/6/ed3/TH-96","as:GENC:6:ed3:TH-96")</f>
        <v>as:GENC:6:ed3:TH-96</v>
      </c>
    </row>
    <row r="4400" spans="1:7" x14ac:dyDescent="0.2">
      <c r="A4400" s="85"/>
      <c r="B4400" s="25" t="s">
        <v>10393</v>
      </c>
      <c r="C4400" s="25" t="s">
        <v>13750</v>
      </c>
      <c r="D4400" s="25" t="s">
        <v>1719</v>
      </c>
      <c r="E4400" s="26" t="b">
        <v>1</v>
      </c>
      <c r="F4400" s="27" t="str">
        <f>HYPERLINK("http://nsgreg.nga.mil/genc/view?v=213564&amp;end_month=12&amp;end_day=31&amp;end_year=2014","Nong Bua Lamphu")</f>
        <v>Nong Bua Lamphu</v>
      </c>
      <c r="G4400" s="28" t="str">
        <f>HYPERLINK("http://api.nsgreg.nga.mil/geo-division/GENC/6/ed3/TH-39","as:GENC:6:ed3:TH-39")</f>
        <v>as:GENC:6:ed3:TH-39</v>
      </c>
    </row>
    <row r="4401" spans="1:7" x14ac:dyDescent="0.2">
      <c r="A4401" s="85"/>
      <c r="B4401" s="25" t="s">
        <v>10395</v>
      </c>
      <c r="C4401" s="25" t="s">
        <v>10396</v>
      </c>
      <c r="D4401" s="25" t="s">
        <v>1719</v>
      </c>
      <c r="E4401" s="26" t="b">
        <v>1</v>
      </c>
      <c r="F4401" s="27" t="str">
        <f>HYPERLINK("http://nsgreg.nga.mil/genc/view?v=122206&amp;gencs=T&amp;end_month=12&amp;end_day=31&amp;end_year=2014","Nong Khai")</f>
        <v>Nong Khai</v>
      </c>
      <c r="G4401" s="28" t="str">
        <f>HYPERLINK("http://api.nsgreg.nga.mil/geo-division/GENC/6/ed3/TH-43","as:GENC:6:ed3:TH-43")</f>
        <v>as:GENC:6:ed3:TH-43</v>
      </c>
    </row>
    <row r="4402" spans="1:7" x14ac:dyDescent="0.2">
      <c r="A4402" s="85"/>
      <c r="B4402" s="25" t="s">
        <v>10397</v>
      </c>
      <c r="C4402" s="25" t="s">
        <v>10398</v>
      </c>
      <c r="D4402" s="25" t="s">
        <v>1719</v>
      </c>
      <c r="E4402" s="26" t="b">
        <v>1</v>
      </c>
      <c r="F4402" s="27" t="str">
        <f>HYPERLINK("http://nsgreg.nga.mil/genc/view?v=122177&amp;gencs=T&amp;end_month=12&amp;end_day=31&amp;end_year=2014","Nonthaburi")</f>
        <v>Nonthaburi</v>
      </c>
      <c r="G4402" s="28" t="str">
        <f>HYPERLINK("http://api.nsgreg.nga.mil/geo-division/GENC/6/ed3/TH-12","as:GENC:6:ed3:TH-12")</f>
        <v>as:GENC:6:ed3:TH-12</v>
      </c>
    </row>
    <row r="4403" spans="1:7" x14ac:dyDescent="0.2">
      <c r="A4403" s="85"/>
      <c r="B4403" s="25" t="s">
        <v>10399</v>
      </c>
      <c r="C4403" s="25" t="s">
        <v>10400</v>
      </c>
      <c r="D4403" s="25" t="s">
        <v>1719</v>
      </c>
      <c r="E4403" s="26" t="b">
        <v>1</v>
      </c>
      <c r="F4403" s="27" t="str">
        <f>HYPERLINK("http://nsgreg.nga.mil/genc/view?v=122178&amp;gencs=T&amp;end_month=12&amp;end_day=31&amp;end_year=2014","Pathum Thani")</f>
        <v>Pathum Thani</v>
      </c>
      <c r="G4403" s="28" t="str">
        <f>HYPERLINK("http://api.nsgreg.nga.mil/geo-division/GENC/6/ed3/TH-13","as:GENC:6:ed3:TH-13")</f>
        <v>as:GENC:6:ed3:TH-13</v>
      </c>
    </row>
    <row r="4404" spans="1:7" x14ac:dyDescent="0.2">
      <c r="A4404" s="85"/>
      <c r="B4404" s="25" t="s">
        <v>10401</v>
      </c>
      <c r="C4404" s="25" t="s">
        <v>10402</v>
      </c>
      <c r="D4404" s="25" t="s">
        <v>1719</v>
      </c>
      <c r="E4404" s="26" t="b">
        <v>1</v>
      </c>
      <c r="F4404" s="27" t="str">
        <f>HYPERLINK("http://nsgreg.nga.mil/genc/view?v=122249&amp;gencs=T&amp;end_month=12&amp;end_day=31&amp;end_year=2014","Pattani")</f>
        <v>Pattani</v>
      </c>
      <c r="G4404" s="28" t="str">
        <f>HYPERLINK("http://api.nsgreg.nga.mil/geo-division/GENC/6/ed3/TH-94","as:GENC:6:ed3:TH-94")</f>
        <v>as:GENC:6:ed3:TH-94</v>
      </c>
    </row>
    <row r="4405" spans="1:7" x14ac:dyDescent="0.2">
      <c r="A4405" s="85"/>
      <c r="B4405" s="25" t="s">
        <v>10403</v>
      </c>
      <c r="C4405" s="25" t="s">
        <v>10404</v>
      </c>
      <c r="D4405" s="25" t="s">
        <v>1719</v>
      </c>
      <c r="E4405" s="26" t="b">
        <v>1</v>
      </c>
      <c r="F4405" s="27" t="str">
        <f>HYPERLINK("http://nsgreg.nga.mil/genc/view?v=122240&amp;gencs=T&amp;end_month=12&amp;end_day=31&amp;end_year=2014","Phangnga")</f>
        <v>Phangnga</v>
      </c>
      <c r="G4405" s="28" t="str">
        <f>HYPERLINK("http://api.nsgreg.nga.mil/geo-division/GENC/6/ed3/TH-82","as:GENC:6:ed3:TH-82")</f>
        <v>as:GENC:6:ed3:TH-82</v>
      </c>
    </row>
    <row r="4406" spans="1:7" x14ac:dyDescent="0.2">
      <c r="A4406" s="85"/>
      <c r="B4406" s="25" t="s">
        <v>10405</v>
      </c>
      <c r="C4406" s="25" t="s">
        <v>10406</v>
      </c>
      <c r="D4406" s="25" t="s">
        <v>1719</v>
      </c>
      <c r="E4406" s="26" t="b">
        <v>1</v>
      </c>
      <c r="F4406" s="27" t="str">
        <f>HYPERLINK("http://nsgreg.nga.mil/genc/view?v=122248&amp;gencs=T&amp;end_month=12&amp;end_day=31&amp;end_year=2014","Phatthalung")</f>
        <v>Phatthalung</v>
      </c>
      <c r="G4406" s="28" t="str">
        <f>HYPERLINK("http://api.nsgreg.nga.mil/geo-division/GENC/6/ed3/TH-93","as:GENC:6:ed3:TH-93")</f>
        <v>as:GENC:6:ed3:TH-93</v>
      </c>
    </row>
    <row r="4407" spans="1:7" x14ac:dyDescent="0.2">
      <c r="A4407" s="85"/>
      <c r="B4407" s="25" t="s">
        <v>10410</v>
      </c>
      <c r="C4407" s="25" t="s">
        <v>10411</v>
      </c>
      <c r="D4407" s="25" t="s">
        <v>1719</v>
      </c>
      <c r="E4407" s="26" t="b">
        <v>1</v>
      </c>
      <c r="F4407" s="27" t="str">
        <f>HYPERLINK("http://nsgreg.nga.mil/genc/view?v=122219&amp;gencs=T&amp;end_month=12&amp;end_day=31&amp;end_year=2014","Phayao")</f>
        <v>Phayao</v>
      </c>
      <c r="G4407" s="28" t="str">
        <f>HYPERLINK("http://api.nsgreg.nga.mil/geo-division/GENC/6/ed3/TH-56","as:GENC:6:ed3:TH-56")</f>
        <v>as:GENC:6:ed3:TH-56</v>
      </c>
    </row>
    <row r="4408" spans="1:7" x14ac:dyDescent="0.2">
      <c r="A4408" s="85"/>
      <c r="B4408" s="25" t="s">
        <v>10412</v>
      </c>
      <c r="C4408" s="25" t="s">
        <v>10413</v>
      </c>
      <c r="D4408" s="25" t="s">
        <v>1719</v>
      </c>
      <c r="E4408" s="26" t="b">
        <v>1</v>
      </c>
      <c r="F4408" s="27" t="str">
        <f>HYPERLINK("http://nsgreg.nga.mil/genc/view?v=122229&amp;gencs=T&amp;end_month=12&amp;end_day=31&amp;end_year=2014","Phetchabun")</f>
        <v>Phetchabun</v>
      </c>
      <c r="G4408" s="28" t="str">
        <f>HYPERLINK("http://api.nsgreg.nga.mil/geo-division/GENC/6/ed3/TH-67","as:GENC:6:ed3:TH-67")</f>
        <v>as:GENC:6:ed3:TH-67</v>
      </c>
    </row>
    <row r="4409" spans="1:7" x14ac:dyDescent="0.2">
      <c r="A4409" s="85"/>
      <c r="B4409" s="25" t="s">
        <v>10414</v>
      </c>
      <c r="C4409" s="25" t="s">
        <v>10415</v>
      </c>
      <c r="D4409" s="25" t="s">
        <v>1719</v>
      </c>
      <c r="E4409" s="26" t="b">
        <v>1</v>
      </c>
      <c r="F4409" s="27" t="str">
        <f>HYPERLINK("http://nsgreg.nga.mil/genc/view?v=122236&amp;gencs=T&amp;end_month=12&amp;end_day=31&amp;end_year=2014","Phetchaburi")</f>
        <v>Phetchaburi</v>
      </c>
      <c r="G4409" s="28" t="str">
        <f>HYPERLINK("http://api.nsgreg.nga.mil/geo-division/GENC/6/ed3/TH-76","as:GENC:6:ed3:TH-76")</f>
        <v>as:GENC:6:ed3:TH-76</v>
      </c>
    </row>
    <row r="4410" spans="1:7" x14ac:dyDescent="0.2">
      <c r="A4410" s="85"/>
      <c r="B4410" s="25" t="s">
        <v>10416</v>
      </c>
      <c r="C4410" s="25" t="s">
        <v>10417</v>
      </c>
      <c r="D4410" s="25" t="s">
        <v>1719</v>
      </c>
      <c r="E4410" s="26" t="b">
        <v>1</v>
      </c>
      <c r="F4410" s="27" t="str">
        <f>HYPERLINK("http://nsgreg.nga.mil/genc/view?v=122228&amp;gencs=T&amp;end_month=12&amp;end_day=31&amp;end_year=2014","Phichit")</f>
        <v>Phichit</v>
      </c>
      <c r="G4410" s="28" t="str">
        <f>HYPERLINK("http://api.nsgreg.nga.mil/geo-division/GENC/6/ed3/TH-66","as:GENC:6:ed3:TH-66")</f>
        <v>as:GENC:6:ed3:TH-66</v>
      </c>
    </row>
    <row r="4411" spans="1:7" x14ac:dyDescent="0.2">
      <c r="A4411" s="85"/>
      <c r="B4411" s="25" t="s">
        <v>10418</v>
      </c>
      <c r="C4411" s="25" t="s">
        <v>10419</v>
      </c>
      <c r="D4411" s="25" t="s">
        <v>1719</v>
      </c>
      <c r="E4411" s="26" t="b">
        <v>1</v>
      </c>
      <c r="F4411" s="27" t="str">
        <f>HYPERLINK("http://nsgreg.nga.mil/genc/view?v=122227&amp;gencs=T&amp;end_month=12&amp;end_day=31&amp;end_year=2014","Phitsanulok")</f>
        <v>Phitsanulok</v>
      </c>
      <c r="G4411" s="28" t="str">
        <f>HYPERLINK("http://api.nsgreg.nga.mil/geo-division/GENC/6/ed3/TH-65","as:GENC:6:ed3:TH-65")</f>
        <v>as:GENC:6:ed3:TH-65</v>
      </c>
    </row>
    <row r="4412" spans="1:7" x14ac:dyDescent="0.2">
      <c r="A4412" s="85"/>
      <c r="B4412" s="25" t="s">
        <v>10422</v>
      </c>
      <c r="C4412" s="25" t="s">
        <v>10423</v>
      </c>
      <c r="D4412" s="25" t="s">
        <v>1719</v>
      </c>
      <c r="E4412" s="26" t="b">
        <v>1</v>
      </c>
      <c r="F4412" s="27" t="str">
        <f>HYPERLINK("http://nsgreg.nga.mil/genc/view?v=122217&amp;gencs=T&amp;end_month=12&amp;end_day=31&amp;end_year=2014","Phrae")</f>
        <v>Phrae</v>
      </c>
      <c r="G4412" s="28" t="str">
        <f>HYPERLINK("http://api.nsgreg.nga.mil/geo-division/GENC/6/ed3/TH-54","as:GENC:6:ed3:TH-54")</f>
        <v>as:GENC:6:ed3:TH-54</v>
      </c>
    </row>
    <row r="4413" spans="1:7" x14ac:dyDescent="0.2">
      <c r="A4413" s="85"/>
      <c r="B4413" s="25" t="s">
        <v>10420</v>
      </c>
      <c r="C4413" s="25" t="s">
        <v>10421</v>
      </c>
      <c r="D4413" s="25" t="s">
        <v>1719</v>
      </c>
      <c r="E4413" s="26" t="b">
        <v>1</v>
      </c>
      <c r="F4413" s="27" t="str">
        <f>HYPERLINK("http://nsgreg.nga.mil/genc/view?v=122179&amp;gencs=T&amp;end_month=12&amp;end_day=31&amp;end_year=2014","Phra Nakhon Si Ayutthaya")</f>
        <v>Phra Nakhon Si Ayutthaya</v>
      </c>
      <c r="G4413" s="28" t="str">
        <f>HYPERLINK("http://api.nsgreg.nga.mil/geo-division/GENC/6/ed3/TH-14","as:GENC:6:ed3:TH-14")</f>
        <v>as:GENC:6:ed3:TH-14</v>
      </c>
    </row>
    <row r="4414" spans="1:7" x14ac:dyDescent="0.2">
      <c r="A4414" s="85"/>
      <c r="B4414" s="25" t="s">
        <v>10424</v>
      </c>
      <c r="C4414" s="25" t="s">
        <v>10425</v>
      </c>
      <c r="D4414" s="25" t="s">
        <v>1719</v>
      </c>
      <c r="E4414" s="26" t="b">
        <v>1</v>
      </c>
      <c r="F4414" s="27" t="str">
        <f>HYPERLINK("http://nsgreg.nga.mil/genc/view?v=122241&amp;gencs=T&amp;end_month=12&amp;end_day=31&amp;end_year=2014","Phuket")</f>
        <v>Phuket</v>
      </c>
      <c r="G4414" s="28" t="str">
        <f>HYPERLINK("http://api.nsgreg.nga.mil/geo-division/GENC/6/ed3/TH-83","as:GENC:6:ed3:TH-83")</f>
        <v>as:GENC:6:ed3:TH-83</v>
      </c>
    </row>
    <row r="4415" spans="1:7" x14ac:dyDescent="0.2">
      <c r="A4415" s="85"/>
      <c r="B4415" s="25" t="s">
        <v>10426</v>
      </c>
      <c r="C4415" s="25" t="s">
        <v>10427</v>
      </c>
      <c r="D4415" s="25" t="s">
        <v>1719</v>
      </c>
      <c r="E4415" s="26" t="b">
        <v>1</v>
      </c>
      <c r="F4415" s="27" t="str">
        <f>HYPERLINK("http://nsgreg.nga.mil/genc/view?v=122190&amp;gencs=T&amp;end_month=12&amp;end_day=31&amp;end_year=2014","Prachin Buri")</f>
        <v>Prachin Buri</v>
      </c>
      <c r="G4415" s="28" t="str">
        <f>HYPERLINK("http://api.nsgreg.nga.mil/geo-division/GENC/6/ed3/TH-25","as:GENC:6:ed3:TH-25")</f>
        <v>as:GENC:6:ed3:TH-25</v>
      </c>
    </row>
    <row r="4416" spans="1:7" x14ac:dyDescent="0.2">
      <c r="A4416" s="85"/>
      <c r="B4416" s="25" t="s">
        <v>10428</v>
      </c>
      <c r="C4416" s="25" t="s">
        <v>10429</v>
      </c>
      <c r="D4416" s="25" t="s">
        <v>1719</v>
      </c>
      <c r="E4416" s="26" t="b">
        <v>1</v>
      </c>
      <c r="F4416" s="27" t="str">
        <f>HYPERLINK("http://nsgreg.nga.mil/genc/view?v=122237&amp;gencs=T&amp;end_month=12&amp;end_day=31&amp;end_year=2014","Prachuap Khiri Khan")</f>
        <v>Prachuap Khiri Khan</v>
      </c>
      <c r="G4416" s="28" t="str">
        <f>HYPERLINK("http://api.nsgreg.nga.mil/geo-division/GENC/6/ed3/TH-77","as:GENC:6:ed3:TH-77")</f>
        <v>as:GENC:6:ed3:TH-77</v>
      </c>
    </row>
    <row r="4417" spans="1:7" x14ac:dyDescent="0.2">
      <c r="A4417" s="85"/>
      <c r="B4417" s="25" t="s">
        <v>10430</v>
      </c>
      <c r="C4417" s="25" t="s">
        <v>10431</v>
      </c>
      <c r="D4417" s="25" t="s">
        <v>1719</v>
      </c>
      <c r="E4417" s="26" t="b">
        <v>1</v>
      </c>
      <c r="F4417" s="27" t="str">
        <f>HYPERLINK("http://nsgreg.nga.mil/genc/view?v=122243&amp;gencs=T&amp;end_month=12&amp;end_day=31&amp;end_year=2014","Ranong")</f>
        <v>Ranong</v>
      </c>
      <c r="G4417" s="28" t="str">
        <f>HYPERLINK("http://api.nsgreg.nga.mil/geo-division/GENC/6/ed3/TH-85","as:GENC:6:ed3:TH-85")</f>
        <v>as:GENC:6:ed3:TH-85</v>
      </c>
    </row>
    <row r="4418" spans="1:7" x14ac:dyDescent="0.2">
      <c r="A4418" s="85"/>
      <c r="B4418" s="25" t="s">
        <v>10432</v>
      </c>
      <c r="C4418" s="25" t="s">
        <v>10433</v>
      </c>
      <c r="D4418" s="25" t="s">
        <v>1719</v>
      </c>
      <c r="E4418" s="26" t="b">
        <v>1</v>
      </c>
      <c r="F4418" s="27" t="str">
        <f>HYPERLINK("http://nsgreg.nga.mil/genc/view?v=122230&amp;gencs=T&amp;end_month=12&amp;end_day=31&amp;end_year=2014","Ratchaburi")</f>
        <v>Ratchaburi</v>
      </c>
      <c r="G4418" s="28" t="str">
        <f>HYPERLINK("http://api.nsgreg.nga.mil/geo-division/GENC/6/ed3/TH-70","as:GENC:6:ed3:TH-70")</f>
        <v>as:GENC:6:ed3:TH-70</v>
      </c>
    </row>
    <row r="4419" spans="1:7" x14ac:dyDescent="0.2">
      <c r="A4419" s="85"/>
      <c r="B4419" s="25" t="s">
        <v>10434</v>
      </c>
      <c r="C4419" s="25" t="s">
        <v>10435</v>
      </c>
      <c r="D4419" s="25" t="s">
        <v>1719</v>
      </c>
      <c r="E4419" s="26" t="b">
        <v>1</v>
      </c>
      <c r="F4419" s="27" t="str">
        <f>HYPERLINK("http://nsgreg.nga.mil/genc/view?v=122186&amp;gencs=T&amp;end_month=12&amp;end_day=31&amp;end_year=2014","Rayong")</f>
        <v>Rayong</v>
      </c>
      <c r="G4419" s="28" t="str">
        <f>HYPERLINK("http://api.nsgreg.nga.mil/geo-division/GENC/6/ed3/TH-21","as:GENC:6:ed3:TH-21")</f>
        <v>as:GENC:6:ed3:TH-21</v>
      </c>
    </row>
    <row r="4420" spans="1:7" x14ac:dyDescent="0.2">
      <c r="A4420" s="85"/>
      <c r="B4420" s="25" t="s">
        <v>10436</v>
      </c>
      <c r="C4420" s="25" t="s">
        <v>10437</v>
      </c>
      <c r="D4420" s="25" t="s">
        <v>1719</v>
      </c>
      <c r="E4420" s="26" t="b">
        <v>1</v>
      </c>
      <c r="F4420" s="27" t="str">
        <f>HYPERLINK("http://nsgreg.nga.mil/genc/view?v=122208&amp;gencs=T&amp;end_month=12&amp;end_day=31&amp;end_year=2014","Roi Et")</f>
        <v>Roi Et</v>
      </c>
      <c r="G4420" s="28" t="str">
        <f>HYPERLINK("http://api.nsgreg.nga.mil/geo-division/GENC/6/ed3/TH-45","as:GENC:6:ed3:TH-45")</f>
        <v>as:GENC:6:ed3:TH-45</v>
      </c>
    </row>
    <row r="4421" spans="1:7" x14ac:dyDescent="0.2">
      <c r="A4421" s="85"/>
      <c r="B4421" s="25" t="s">
        <v>10438</v>
      </c>
      <c r="C4421" s="25" t="s">
        <v>10439</v>
      </c>
      <c r="D4421" s="25" t="s">
        <v>1719</v>
      </c>
      <c r="E4421" s="26" t="b">
        <v>1</v>
      </c>
      <c r="F4421" s="27" t="str">
        <f>HYPERLINK("http://nsgreg.nga.mil/genc/view?v=122192&amp;gencs=T&amp;end_month=12&amp;end_day=31&amp;end_year=2014","Sa Kaeo")</f>
        <v>Sa Kaeo</v>
      </c>
      <c r="G4421" s="28" t="str">
        <f>HYPERLINK("http://api.nsgreg.nga.mil/geo-division/GENC/6/ed3/TH-27","as:GENC:6:ed3:TH-27")</f>
        <v>as:GENC:6:ed3:TH-27</v>
      </c>
    </row>
    <row r="4422" spans="1:7" x14ac:dyDescent="0.2">
      <c r="A4422" s="85"/>
      <c r="B4422" s="25" t="s">
        <v>10440</v>
      </c>
      <c r="C4422" s="25" t="s">
        <v>10441</v>
      </c>
      <c r="D4422" s="25" t="s">
        <v>1719</v>
      </c>
      <c r="E4422" s="26" t="b">
        <v>1</v>
      </c>
      <c r="F4422" s="27" t="str">
        <f>HYPERLINK("http://nsgreg.nga.mil/genc/view?v=122210&amp;gencs=T&amp;end_month=12&amp;end_day=31&amp;end_year=2014","Sakon Nakhon")</f>
        <v>Sakon Nakhon</v>
      </c>
      <c r="G4422" s="28" t="str">
        <f>HYPERLINK("http://api.nsgreg.nga.mil/geo-division/GENC/6/ed3/TH-47","as:GENC:6:ed3:TH-47")</f>
        <v>as:GENC:6:ed3:TH-47</v>
      </c>
    </row>
    <row r="4423" spans="1:7" x14ac:dyDescent="0.2">
      <c r="A4423" s="85"/>
      <c r="B4423" s="25" t="s">
        <v>10442</v>
      </c>
      <c r="C4423" s="25" t="s">
        <v>10443</v>
      </c>
      <c r="D4423" s="25" t="s">
        <v>1719</v>
      </c>
      <c r="E4423" s="26" t="b">
        <v>1</v>
      </c>
      <c r="F4423" s="27" t="str">
        <f>HYPERLINK("http://nsgreg.nga.mil/genc/view?v=122176&amp;gencs=T&amp;end_month=12&amp;end_day=31&amp;end_year=2014","Samut Prakan")</f>
        <v>Samut Prakan</v>
      </c>
      <c r="G4423" s="28" t="str">
        <f>HYPERLINK("http://api.nsgreg.nga.mil/geo-division/GENC/6/ed3/TH-11","as:GENC:6:ed3:TH-11")</f>
        <v>as:GENC:6:ed3:TH-11</v>
      </c>
    </row>
    <row r="4424" spans="1:7" x14ac:dyDescent="0.2">
      <c r="A4424" s="85"/>
      <c r="B4424" s="25" t="s">
        <v>10444</v>
      </c>
      <c r="C4424" s="25" t="s">
        <v>10445</v>
      </c>
      <c r="D4424" s="25" t="s">
        <v>1719</v>
      </c>
      <c r="E4424" s="26" t="b">
        <v>1</v>
      </c>
      <c r="F4424" s="27" t="str">
        <f>HYPERLINK("http://nsgreg.nga.mil/genc/view?v=122234&amp;gencs=T&amp;end_month=12&amp;end_day=31&amp;end_year=2014","Samut Sakhon")</f>
        <v>Samut Sakhon</v>
      </c>
      <c r="G4424" s="28" t="str">
        <f>HYPERLINK("http://api.nsgreg.nga.mil/geo-division/GENC/6/ed3/TH-74","as:GENC:6:ed3:TH-74")</f>
        <v>as:GENC:6:ed3:TH-74</v>
      </c>
    </row>
    <row r="4425" spans="1:7" x14ac:dyDescent="0.2">
      <c r="A4425" s="85"/>
      <c r="B4425" s="25" t="s">
        <v>10446</v>
      </c>
      <c r="C4425" s="25" t="s">
        <v>10447</v>
      </c>
      <c r="D4425" s="25" t="s">
        <v>1719</v>
      </c>
      <c r="E4425" s="26" t="b">
        <v>1</v>
      </c>
      <c r="F4425" s="27" t="str">
        <f>HYPERLINK("http://nsgreg.nga.mil/genc/view?v=122235&amp;gencs=T&amp;end_month=12&amp;end_day=31&amp;end_year=2014","Samut Songkhram")</f>
        <v>Samut Songkhram</v>
      </c>
      <c r="G4425" s="28" t="str">
        <f>HYPERLINK("http://api.nsgreg.nga.mil/geo-division/GENC/6/ed3/TH-75","as:GENC:6:ed3:TH-75")</f>
        <v>as:GENC:6:ed3:TH-75</v>
      </c>
    </row>
    <row r="4426" spans="1:7" x14ac:dyDescent="0.2">
      <c r="A4426" s="85"/>
      <c r="B4426" s="25" t="s">
        <v>10448</v>
      </c>
      <c r="C4426" s="25" t="s">
        <v>13751</v>
      </c>
      <c r="D4426" s="25" t="s">
        <v>1719</v>
      </c>
      <c r="E4426" s="26" t="b">
        <v>1</v>
      </c>
      <c r="F4426" s="27" t="str">
        <f>HYPERLINK("http://nsgreg.nga.mil/genc/view?v=213561&amp;end_month=12&amp;end_day=31&amp;end_year=2014","Sara Buri")</f>
        <v>Sara Buri</v>
      </c>
      <c r="G4426" s="28" t="str">
        <f>HYPERLINK("http://api.nsgreg.nga.mil/geo-division/GENC/6/ed3/TH-19","as:GENC:6:ed3:TH-19")</f>
        <v>as:GENC:6:ed3:TH-19</v>
      </c>
    </row>
    <row r="4427" spans="1:7" x14ac:dyDescent="0.2">
      <c r="A4427" s="85"/>
      <c r="B4427" s="25" t="s">
        <v>10450</v>
      </c>
      <c r="C4427" s="25" t="s">
        <v>10451</v>
      </c>
      <c r="D4427" s="25" t="s">
        <v>1719</v>
      </c>
      <c r="E4427" s="26" t="b">
        <v>1</v>
      </c>
      <c r="F4427" s="27" t="str">
        <f>HYPERLINK("http://nsgreg.nga.mil/genc/view?v=122246&amp;gencs=T&amp;end_month=12&amp;end_day=31&amp;end_year=2014","Satun")</f>
        <v>Satun</v>
      </c>
      <c r="G4427" s="28" t="str">
        <f>HYPERLINK("http://api.nsgreg.nga.mil/geo-division/GENC/6/ed3/TH-91","as:GENC:6:ed3:TH-91")</f>
        <v>as:GENC:6:ed3:TH-91</v>
      </c>
    </row>
    <row r="4428" spans="1:7" x14ac:dyDescent="0.2">
      <c r="A4428" s="85"/>
      <c r="B4428" s="25" t="s">
        <v>10454</v>
      </c>
      <c r="C4428" s="25" t="s">
        <v>10455</v>
      </c>
      <c r="D4428" s="25" t="s">
        <v>1719</v>
      </c>
      <c r="E4428" s="26" t="b">
        <v>1</v>
      </c>
      <c r="F4428" s="27" t="str">
        <f>HYPERLINK("http://nsgreg.nga.mil/genc/view?v=122182&amp;gencs=T&amp;end_month=12&amp;end_day=31&amp;end_year=2014","Sing Buri")</f>
        <v>Sing Buri</v>
      </c>
      <c r="G4428" s="28" t="str">
        <f>HYPERLINK("http://api.nsgreg.nga.mil/geo-division/GENC/6/ed3/TH-17","as:GENC:6:ed3:TH-17")</f>
        <v>as:GENC:6:ed3:TH-17</v>
      </c>
    </row>
    <row r="4429" spans="1:7" x14ac:dyDescent="0.2">
      <c r="A4429" s="85"/>
      <c r="B4429" s="25" t="s">
        <v>10452</v>
      </c>
      <c r="C4429" s="25" t="s">
        <v>13752</v>
      </c>
      <c r="D4429" s="25" t="s">
        <v>1719</v>
      </c>
      <c r="E4429" s="26" t="b">
        <v>1</v>
      </c>
      <c r="F4429" s="27" t="str">
        <f>HYPERLINK("http://nsgreg.nga.mil/genc/view?v=213563&amp;end_month=12&amp;end_day=31&amp;end_year=2014","Sisaket")</f>
        <v>Sisaket</v>
      </c>
      <c r="G4429" s="28" t="str">
        <f>HYPERLINK("http://api.nsgreg.nga.mil/geo-division/GENC/6/ed3/TH-33","as:GENC:6:ed3:TH-33")</f>
        <v>as:GENC:6:ed3:TH-33</v>
      </c>
    </row>
    <row r="4430" spans="1:7" x14ac:dyDescent="0.2">
      <c r="A4430" s="85"/>
      <c r="B4430" s="25" t="s">
        <v>10456</v>
      </c>
      <c r="C4430" s="25" t="s">
        <v>10457</v>
      </c>
      <c r="D4430" s="25" t="s">
        <v>1719</v>
      </c>
      <c r="E4430" s="26" t="b">
        <v>1</v>
      </c>
      <c r="F4430" s="27" t="str">
        <f>HYPERLINK("http://nsgreg.nga.mil/genc/view?v=122245&amp;gencs=T&amp;end_month=12&amp;end_day=31&amp;end_year=2014","Songkhla")</f>
        <v>Songkhla</v>
      </c>
      <c r="G4430" s="28" t="str">
        <f>HYPERLINK("http://api.nsgreg.nga.mil/geo-division/GENC/6/ed3/TH-90","as:GENC:6:ed3:TH-90")</f>
        <v>as:GENC:6:ed3:TH-90</v>
      </c>
    </row>
    <row r="4431" spans="1:7" x14ac:dyDescent="0.2">
      <c r="A4431" s="85"/>
      <c r="B4431" s="25" t="s">
        <v>10458</v>
      </c>
      <c r="C4431" s="25" t="s">
        <v>10459</v>
      </c>
      <c r="D4431" s="25" t="s">
        <v>1719</v>
      </c>
      <c r="E4431" s="26" t="b">
        <v>1</v>
      </c>
      <c r="F4431" s="27" t="str">
        <f>HYPERLINK("http://nsgreg.nga.mil/genc/view?v=122226&amp;gencs=T&amp;end_month=12&amp;end_day=31&amp;end_year=2014","Sukhothai")</f>
        <v>Sukhothai</v>
      </c>
      <c r="G4431" s="28" t="str">
        <f>HYPERLINK("http://api.nsgreg.nga.mil/geo-division/GENC/6/ed3/TH-64","as:GENC:6:ed3:TH-64")</f>
        <v>as:GENC:6:ed3:TH-64</v>
      </c>
    </row>
    <row r="4432" spans="1:7" x14ac:dyDescent="0.2">
      <c r="A4432" s="85"/>
      <c r="B4432" s="25" t="s">
        <v>10460</v>
      </c>
      <c r="C4432" s="25" t="s">
        <v>10461</v>
      </c>
      <c r="D4432" s="25" t="s">
        <v>1719</v>
      </c>
      <c r="E4432" s="26" t="b">
        <v>1</v>
      </c>
      <c r="F4432" s="27" t="str">
        <f>HYPERLINK("http://nsgreg.nga.mil/genc/view?v=122232&amp;gencs=T&amp;end_month=12&amp;end_day=31&amp;end_year=2014","Suphan Buri")</f>
        <v>Suphan Buri</v>
      </c>
      <c r="G4432" s="28" t="str">
        <f>HYPERLINK("http://api.nsgreg.nga.mil/geo-division/GENC/6/ed3/TH-72","as:GENC:6:ed3:TH-72")</f>
        <v>as:GENC:6:ed3:TH-72</v>
      </c>
    </row>
    <row r="4433" spans="1:7" x14ac:dyDescent="0.2">
      <c r="A4433" s="85"/>
      <c r="B4433" s="25" t="s">
        <v>10462</v>
      </c>
      <c r="C4433" s="25" t="s">
        <v>10463</v>
      </c>
      <c r="D4433" s="25" t="s">
        <v>1719</v>
      </c>
      <c r="E4433" s="26" t="b">
        <v>1</v>
      </c>
      <c r="F4433" s="27" t="str">
        <f>HYPERLINK("http://nsgreg.nga.mil/genc/view?v=122242&amp;gencs=T&amp;end_month=12&amp;end_day=31&amp;end_year=2014","Surat Thani")</f>
        <v>Surat Thani</v>
      </c>
      <c r="G4433" s="28" t="str">
        <f>HYPERLINK("http://api.nsgreg.nga.mil/geo-division/GENC/6/ed3/TH-84","as:GENC:6:ed3:TH-84")</f>
        <v>as:GENC:6:ed3:TH-84</v>
      </c>
    </row>
    <row r="4434" spans="1:7" x14ac:dyDescent="0.2">
      <c r="A4434" s="85"/>
      <c r="B4434" s="25" t="s">
        <v>10464</v>
      </c>
      <c r="C4434" s="25" t="s">
        <v>10465</v>
      </c>
      <c r="D4434" s="25" t="s">
        <v>1719</v>
      </c>
      <c r="E4434" s="26" t="b">
        <v>1</v>
      </c>
      <c r="F4434" s="27" t="str">
        <f>HYPERLINK("http://nsgreg.nga.mil/genc/view?v=122195&amp;gencs=T&amp;end_month=12&amp;end_day=31&amp;end_year=2014","Surin")</f>
        <v>Surin</v>
      </c>
      <c r="G4434" s="28" t="str">
        <f>HYPERLINK("http://api.nsgreg.nga.mil/geo-division/GENC/6/ed3/TH-32","as:GENC:6:ed3:TH-32")</f>
        <v>as:GENC:6:ed3:TH-32</v>
      </c>
    </row>
    <row r="4435" spans="1:7" x14ac:dyDescent="0.2">
      <c r="A4435" s="85"/>
      <c r="B4435" s="25" t="s">
        <v>10466</v>
      </c>
      <c r="C4435" s="25" t="s">
        <v>10467</v>
      </c>
      <c r="D4435" s="25" t="s">
        <v>1719</v>
      </c>
      <c r="E4435" s="26" t="b">
        <v>1</v>
      </c>
      <c r="F4435" s="27" t="str">
        <f>HYPERLINK("http://nsgreg.nga.mil/genc/view?v=122225&amp;gencs=T&amp;end_month=12&amp;end_day=31&amp;end_year=2014","Tak")</f>
        <v>Tak</v>
      </c>
      <c r="G4435" s="28" t="str">
        <f>HYPERLINK("http://api.nsgreg.nga.mil/geo-division/GENC/6/ed3/TH-63","as:GENC:6:ed3:TH-63")</f>
        <v>as:GENC:6:ed3:TH-63</v>
      </c>
    </row>
    <row r="4436" spans="1:7" x14ac:dyDescent="0.2">
      <c r="A4436" s="85"/>
      <c r="B4436" s="25" t="s">
        <v>10468</v>
      </c>
      <c r="C4436" s="25" t="s">
        <v>10469</v>
      </c>
      <c r="D4436" s="25" t="s">
        <v>1719</v>
      </c>
      <c r="E4436" s="26" t="b">
        <v>1</v>
      </c>
      <c r="F4436" s="27" t="str">
        <f>HYPERLINK("http://nsgreg.nga.mil/genc/view?v=122247&amp;gencs=T&amp;end_month=12&amp;end_day=31&amp;end_year=2014","Trang")</f>
        <v>Trang</v>
      </c>
      <c r="G4436" s="28" t="str">
        <f>HYPERLINK("http://api.nsgreg.nga.mil/geo-division/GENC/6/ed3/TH-92","as:GENC:6:ed3:TH-92")</f>
        <v>as:GENC:6:ed3:TH-92</v>
      </c>
    </row>
    <row r="4437" spans="1:7" x14ac:dyDescent="0.2">
      <c r="A4437" s="85"/>
      <c r="B4437" s="25" t="s">
        <v>10470</v>
      </c>
      <c r="C4437" s="25" t="s">
        <v>10471</v>
      </c>
      <c r="D4437" s="25" t="s">
        <v>1719</v>
      </c>
      <c r="E4437" s="26" t="b">
        <v>1</v>
      </c>
      <c r="F4437" s="27" t="str">
        <f>HYPERLINK("http://nsgreg.nga.mil/genc/view?v=122188&amp;gencs=T&amp;end_month=12&amp;end_day=31&amp;end_year=2014","Trat")</f>
        <v>Trat</v>
      </c>
      <c r="G4437" s="28" t="str">
        <f>HYPERLINK("http://api.nsgreg.nga.mil/geo-division/GENC/6/ed3/TH-23","as:GENC:6:ed3:TH-23")</f>
        <v>as:GENC:6:ed3:TH-23</v>
      </c>
    </row>
    <row r="4438" spans="1:7" x14ac:dyDescent="0.2">
      <c r="A4438" s="85"/>
      <c r="B4438" s="25" t="s">
        <v>10472</v>
      </c>
      <c r="C4438" s="25" t="s">
        <v>10473</v>
      </c>
      <c r="D4438" s="25" t="s">
        <v>1719</v>
      </c>
      <c r="E4438" s="26" t="b">
        <v>1</v>
      </c>
      <c r="F4438" s="27" t="str">
        <f>HYPERLINK("http://nsgreg.nga.mil/genc/view?v=122197&amp;gencs=T&amp;end_month=12&amp;end_day=31&amp;end_year=2014","Ubon Ratchathani")</f>
        <v>Ubon Ratchathani</v>
      </c>
      <c r="G4438" s="28" t="str">
        <f>HYPERLINK("http://api.nsgreg.nga.mil/geo-division/GENC/6/ed3/TH-34","as:GENC:6:ed3:TH-34")</f>
        <v>as:GENC:6:ed3:TH-34</v>
      </c>
    </row>
    <row r="4439" spans="1:7" x14ac:dyDescent="0.2">
      <c r="A4439" s="85"/>
      <c r="B4439" s="25" t="s">
        <v>10474</v>
      </c>
      <c r="C4439" s="25" t="s">
        <v>10475</v>
      </c>
      <c r="D4439" s="25" t="s">
        <v>1719</v>
      </c>
      <c r="E4439" s="26" t="b">
        <v>1</v>
      </c>
      <c r="F4439" s="27" t="str">
        <f>HYPERLINK("http://nsgreg.nga.mil/genc/view?v=122204&amp;gencs=T&amp;end_month=12&amp;end_day=31&amp;end_year=2014","Udon Thani")</f>
        <v>Udon Thani</v>
      </c>
      <c r="G4439" s="28" t="str">
        <f>HYPERLINK("http://api.nsgreg.nga.mil/geo-division/GENC/6/ed3/TH-41","as:GENC:6:ed3:TH-41")</f>
        <v>as:GENC:6:ed3:TH-41</v>
      </c>
    </row>
    <row r="4440" spans="1:7" x14ac:dyDescent="0.2">
      <c r="A4440" s="85"/>
      <c r="B4440" s="25" t="s">
        <v>10476</v>
      </c>
      <c r="C4440" s="25" t="s">
        <v>10477</v>
      </c>
      <c r="D4440" s="25" t="s">
        <v>1719</v>
      </c>
      <c r="E4440" s="26" t="b">
        <v>1</v>
      </c>
      <c r="F4440" s="27" t="str">
        <f>HYPERLINK("http://nsgreg.nga.mil/genc/view?v=122223&amp;gencs=T&amp;end_month=12&amp;end_day=31&amp;end_year=2014","Uthai Thani")</f>
        <v>Uthai Thani</v>
      </c>
      <c r="G4440" s="28" t="str">
        <f>HYPERLINK("http://api.nsgreg.nga.mil/geo-division/GENC/6/ed3/TH-61","as:GENC:6:ed3:TH-61")</f>
        <v>as:GENC:6:ed3:TH-61</v>
      </c>
    </row>
    <row r="4441" spans="1:7" x14ac:dyDescent="0.2">
      <c r="A4441" s="85"/>
      <c r="B4441" s="25" t="s">
        <v>10478</v>
      </c>
      <c r="C4441" s="25" t="s">
        <v>10479</v>
      </c>
      <c r="D4441" s="25" t="s">
        <v>1719</v>
      </c>
      <c r="E4441" s="26" t="b">
        <v>1</v>
      </c>
      <c r="F4441" s="27" t="str">
        <f>HYPERLINK("http://nsgreg.nga.mil/genc/view?v=122216&amp;gencs=T&amp;end_month=12&amp;end_day=31&amp;end_year=2014","Uttaradit")</f>
        <v>Uttaradit</v>
      </c>
      <c r="G4441" s="28" t="str">
        <f>HYPERLINK("http://api.nsgreg.nga.mil/geo-division/GENC/6/ed3/TH-53","as:GENC:6:ed3:TH-53")</f>
        <v>as:GENC:6:ed3:TH-53</v>
      </c>
    </row>
    <row r="4442" spans="1:7" x14ac:dyDescent="0.2">
      <c r="A4442" s="85"/>
      <c r="B4442" s="25" t="s">
        <v>10480</v>
      </c>
      <c r="C4442" s="25" t="s">
        <v>10481</v>
      </c>
      <c r="D4442" s="25" t="s">
        <v>1719</v>
      </c>
      <c r="E4442" s="26" t="b">
        <v>1</v>
      </c>
      <c r="F4442" s="27" t="str">
        <f>HYPERLINK("http://nsgreg.nga.mil/genc/view?v=122250&amp;gencs=T&amp;end_month=12&amp;end_day=31&amp;end_year=2014","Yala")</f>
        <v>Yala</v>
      </c>
      <c r="G4442" s="28" t="str">
        <f>HYPERLINK("http://api.nsgreg.nga.mil/geo-division/GENC/6/ed3/TH-95","as:GENC:6:ed3:TH-95")</f>
        <v>as:GENC:6:ed3:TH-95</v>
      </c>
    </row>
    <row r="4443" spans="1:7" x14ac:dyDescent="0.2">
      <c r="A4443" s="86"/>
      <c r="B4443" s="29" t="s">
        <v>10482</v>
      </c>
      <c r="C4443" s="29" t="s">
        <v>10483</v>
      </c>
      <c r="D4443" s="29" t="s">
        <v>1719</v>
      </c>
      <c r="E4443" s="30" t="b">
        <v>1</v>
      </c>
      <c r="F4443" s="31" t="str">
        <f>HYPERLINK("http://nsgreg.nga.mil/genc/view?v=122198&amp;gencs=T&amp;end_month=12&amp;end_day=31&amp;end_year=2014","Yasothon")</f>
        <v>Yasothon</v>
      </c>
      <c r="G4443" s="32" t="str">
        <f>HYPERLINK("http://api.nsgreg.nga.mil/geo-division/GENC/6/ed3/TH-35","as:GENC:6:ed3:TH-35")</f>
        <v>as:GENC:6:ed3:TH-35</v>
      </c>
    </row>
    <row r="4444" spans="1:7" x14ac:dyDescent="0.2">
      <c r="A4444" s="84" t="str">
        <f>HYPERLINK("[#]Codes_for_GE_Names!A252:I252","TIMOR-LESTE")</f>
        <v>TIMOR-LESTE</v>
      </c>
      <c r="B4444" s="33" t="s">
        <v>10484</v>
      </c>
      <c r="C4444" s="33" t="s">
        <v>10485</v>
      </c>
      <c r="D4444" s="33" t="s">
        <v>1790</v>
      </c>
      <c r="E4444" s="34" t="b">
        <v>1</v>
      </c>
      <c r="F4444" s="35" t="str">
        <f>HYPERLINK("http://nsgreg.nga.mil/genc/view?v=213569&amp;end_month=12&amp;end_day=31&amp;end_year=2014","Aileu")</f>
        <v>Aileu</v>
      </c>
      <c r="G4444" s="36" t="str">
        <f>HYPERLINK("http://api.nsgreg.nga.mil/geo-division/GENC/6/ed3/TL-AL","as:GENC:6:ed3:TL-AL")</f>
        <v>as:GENC:6:ed3:TL-AL</v>
      </c>
    </row>
    <row r="4445" spans="1:7" x14ac:dyDescent="0.2">
      <c r="A4445" s="85"/>
      <c r="B4445" s="25" t="s">
        <v>10486</v>
      </c>
      <c r="C4445" s="25" t="s">
        <v>10487</v>
      </c>
      <c r="D4445" s="25" t="s">
        <v>1790</v>
      </c>
      <c r="E4445" s="26" t="b">
        <v>1</v>
      </c>
      <c r="F4445" s="27" t="str">
        <f>HYPERLINK("http://nsgreg.nga.mil/genc/view?v=213570&amp;end_month=12&amp;end_day=31&amp;end_year=2014","Ainaro")</f>
        <v>Ainaro</v>
      </c>
      <c r="G4445" s="28" t="str">
        <f>HYPERLINK("http://api.nsgreg.nga.mil/geo-division/GENC/6/ed3/TL-AN","as:GENC:6:ed3:TL-AN")</f>
        <v>as:GENC:6:ed3:TL-AN</v>
      </c>
    </row>
    <row r="4446" spans="1:7" x14ac:dyDescent="0.2">
      <c r="A4446" s="85"/>
      <c r="B4446" s="25" t="s">
        <v>10489</v>
      </c>
      <c r="C4446" s="25" t="s">
        <v>10490</v>
      </c>
      <c r="D4446" s="25" t="s">
        <v>1790</v>
      </c>
      <c r="E4446" s="26" t="b">
        <v>1</v>
      </c>
      <c r="F4446" s="27" t="str">
        <f>HYPERLINK("http://nsgreg.nga.mil/genc/view?v=213571&amp;end_month=12&amp;end_day=31&amp;end_year=2014","Baucau")</f>
        <v>Baucau</v>
      </c>
      <c r="G4446" s="28" t="str">
        <f>HYPERLINK("http://api.nsgreg.nga.mil/geo-division/GENC/6/ed3/TL-BA","as:GENC:6:ed3:TL-BA")</f>
        <v>as:GENC:6:ed3:TL-BA</v>
      </c>
    </row>
    <row r="4447" spans="1:7" x14ac:dyDescent="0.2">
      <c r="A4447" s="85"/>
      <c r="B4447" s="25" t="s">
        <v>10492</v>
      </c>
      <c r="C4447" s="25" t="s">
        <v>10493</v>
      </c>
      <c r="D4447" s="25" t="s">
        <v>1790</v>
      </c>
      <c r="E4447" s="26" t="b">
        <v>1</v>
      </c>
      <c r="F4447" s="27" t="str">
        <f>HYPERLINK("http://nsgreg.nga.mil/genc/view?v=213572&amp;end_month=12&amp;end_day=31&amp;end_year=2014","Bobonaro")</f>
        <v>Bobonaro</v>
      </c>
      <c r="G4447" s="28" t="str">
        <f>HYPERLINK("http://api.nsgreg.nga.mil/geo-division/GENC/6/ed3/TL-BO","as:GENC:6:ed3:TL-BO")</f>
        <v>as:GENC:6:ed3:TL-BO</v>
      </c>
    </row>
    <row r="4448" spans="1:7" x14ac:dyDescent="0.2">
      <c r="A4448" s="85"/>
      <c r="B4448" s="25" t="s">
        <v>10495</v>
      </c>
      <c r="C4448" s="25" t="s">
        <v>10496</v>
      </c>
      <c r="D4448" s="25" t="s">
        <v>1790</v>
      </c>
      <c r="E4448" s="26" t="b">
        <v>1</v>
      </c>
      <c r="F4448" s="27" t="str">
        <f>HYPERLINK("http://nsgreg.nga.mil/genc/view?v=213573&amp;end_month=12&amp;end_day=31&amp;end_year=2014","Cova Lima")</f>
        <v>Cova Lima</v>
      </c>
      <c r="G4448" s="28" t="str">
        <f>HYPERLINK("http://api.nsgreg.nga.mil/geo-division/GENC/6/ed3/TL-CO","as:GENC:6:ed3:TL-CO")</f>
        <v>as:GENC:6:ed3:TL-CO</v>
      </c>
    </row>
    <row r="4449" spans="1:7" x14ac:dyDescent="0.2">
      <c r="A4449" s="85"/>
      <c r="B4449" s="25" t="s">
        <v>10497</v>
      </c>
      <c r="C4449" s="25" t="s">
        <v>10498</v>
      </c>
      <c r="D4449" s="25" t="s">
        <v>1790</v>
      </c>
      <c r="E4449" s="26" t="b">
        <v>1</v>
      </c>
      <c r="F4449" s="27" t="str">
        <f>HYPERLINK("http://nsgreg.nga.mil/genc/view?v=213574&amp;end_month=12&amp;end_day=31&amp;end_year=2014","Díli")</f>
        <v>Díli</v>
      </c>
      <c r="G4449" s="28" t="str">
        <f>HYPERLINK("http://api.nsgreg.nga.mil/geo-division/GENC/6/ed3/TL-DI","as:GENC:6:ed3:TL-DI")</f>
        <v>as:GENC:6:ed3:TL-DI</v>
      </c>
    </row>
    <row r="4450" spans="1:7" x14ac:dyDescent="0.2">
      <c r="A4450" s="85"/>
      <c r="B4450" s="25" t="s">
        <v>10499</v>
      </c>
      <c r="C4450" s="25" t="s">
        <v>10500</v>
      </c>
      <c r="D4450" s="25" t="s">
        <v>1790</v>
      </c>
      <c r="E4450" s="26" t="b">
        <v>1</v>
      </c>
      <c r="F4450" s="27" t="str">
        <f>HYPERLINK("http://nsgreg.nga.mil/genc/view?v=213575&amp;end_month=12&amp;end_day=31&amp;end_year=2014","Ermera")</f>
        <v>Ermera</v>
      </c>
      <c r="G4450" s="28" t="str">
        <f>HYPERLINK("http://api.nsgreg.nga.mil/geo-division/GENC/6/ed3/TL-ER","as:GENC:6:ed3:TL-ER")</f>
        <v>as:GENC:6:ed3:TL-ER</v>
      </c>
    </row>
    <row r="4451" spans="1:7" x14ac:dyDescent="0.2">
      <c r="A4451" s="85"/>
      <c r="B4451" s="25" t="s">
        <v>10502</v>
      </c>
      <c r="C4451" s="25" t="s">
        <v>10504</v>
      </c>
      <c r="D4451" s="25" t="s">
        <v>1790</v>
      </c>
      <c r="E4451" s="26" t="b">
        <v>1</v>
      </c>
      <c r="F4451" s="27" t="str">
        <f>HYPERLINK("http://nsgreg.nga.mil/genc/view?v=213576&amp;end_month=12&amp;end_day=31&amp;end_year=2014","Lautém")</f>
        <v>Lautém</v>
      </c>
      <c r="G4451" s="28" t="str">
        <f>HYPERLINK("http://api.nsgreg.nga.mil/geo-division/GENC/6/ed3/TL-LA","as:GENC:6:ed3:TL-LA")</f>
        <v>as:GENC:6:ed3:TL-LA</v>
      </c>
    </row>
    <row r="4452" spans="1:7" x14ac:dyDescent="0.2">
      <c r="A4452" s="85"/>
      <c r="B4452" s="25" t="s">
        <v>10505</v>
      </c>
      <c r="C4452" s="25" t="s">
        <v>13753</v>
      </c>
      <c r="D4452" s="25" t="s">
        <v>1790</v>
      </c>
      <c r="E4452" s="26" t="b">
        <v>1</v>
      </c>
      <c r="F4452" s="27" t="str">
        <f>HYPERLINK("http://nsgreg.nga.mil/genc/view?v=213577&amp;end_month=12&amp;end_day=31&amp;end_year=2014","Liquiçá")</f>
        <v>Liquiçá</v>
      </c>
      <c r="G4452" s="28" t="str">
        <f>HYPERLINK("http://api.nsgreg.nga.mil/geo-division/GENC/6/ed3/TL-LI","as:GENC:6:ed3:TL-LI")</f>
        <v>as:GENC:6:ed3:TL-LI</v>
      </c>
    </row>
    <row r="4453" spans="1:7" x14ac:dyDescent="0.2">
      <c r="A4453" s="85"/>
      <c r="B4453" s="25" t="s">
        <v>10508</v>
      </c>
      <c r="C4453" s="25" t="s">
        <v>10509</v>
      </c>
      <c r="D4453" s="25" t="s">
        <v>1790</v>
      </c>
      <c r="E4453" s="26" t="b">
        <v>1</v>
      </c>
      <c r="F4453" s="27" t="str">
        <f>HYPERLINK("http://nsgreg.nga.mil/genc/view?v=213579&amp;end_month=12&amp;end_day=31&amp;end_year=2014","Manatuto")</f>
        <v>Manatuto</v>
      </c>
      <c r="G4453" s="28" t="str">
        <f>HYPERLINK("http://api.nsgreg.nga.mil/geo-division/GENC/6/ed3/TL-MT","as:GENC:6:ed3:TL-MT")</f>
        <v>as:GENC:6:ed3:TL-MT</v>
      </c>
    </row>
    <row r="4454" spans="1:7" x14ac:dyDescent="0.2">
      <c r="A4454" s="85"/>
      <c r="B4454" s="25" t="s">
        <v>10511</v>
      </c>
      <c r="C4454" s="25" t="s">
        <v>10512</v>
      </c>
      <c r="D4454" s="25" t="s">
        <v>1790</v>
      </c>
      <c r="E4454" s="26" t="b">
        <v>1</v>
      </c>
      <c r="F4454" s="27" t="str">
        <f>HYPERLINK("http://nsgreg.nga.mil/genc/view?v=213578&amp;end_month=12&amp;end_day=31&amp;end_year=2014","Manufahi")</f>
        <v>Manufahi</v>
      </c>
      <c r="G4454" s="28" t="str">
        <f>HYPERLINK("http://api.nsgreg.nga.mil/geo-division/GENC/6/ed3/TL-MF","as:GENC:6:ed3:TL-MF")</f>
        <v>as:GENC:6:ed3:TL-MF</v>
      </c>
    </row>
    <row r="4455" spans="1:7" x14ac:dyDescent="0.2">
      <c r="A4455" s="85"/>
      <c r="B4455" s="25" t="s">
        <v>10513</v>
      </c>
      <c r="C4455" s="25" t="s">
        <v>13754</v>
      </c>
      <c r="D4455" s="25" t="s">
        <v>1790</v>
      </c>
      <c r="E4455" s="26" t="b">
        <v>1</v>
      </c>
      <c r="F4455" s="27" t="str">
        <f>HYPERLINK("http://nsgreg.nga.mil/genc/view?v=213580&amp;end_month=12&amp;end_day=31&amp;end_year=2014","Oecussi-Ambeno")</f>
        <v>Oecussi-Ambeno</v>
      </c>
      <c r="G4455" s="28" t="str">
        <f>HYPERLINK("http://api.nsgreg.nga.mil/geo-division/GENC/6/ed3/TL-OE","as:GENC:6:ed3:TL-OE")</f>
        <v>as:GENC:6:ed3:TL-OE</v>
      </c>
    </row>
    <row r="4456" spans="1:7" x14ac:dyDescent="0.2">
      <c r="A4456" s="86"/>
      <c r="B4456" s="29" t="s">
        <v>10516</v>
      </c>
      <c r="C4456" s="29" t="s">
        <v>10518</v>
      </c>
      <c r="D4456" s="29" t="s">
        <v>1790</v>
      </c>
      <c r="E4456" s="30" t="b">
        <v>1</v>
      </c>
      <c r="F4456" s="31" t="str">
        <f>HYPERLINK("http://nsgreg.nga.mil/genc/view?v=213581&amp;end_month=12&amp;end_day=31&amp;end_year=2014","Viqueque")</f>
        <v>Viqueque</v>
      </c>
      <c r="G4456" s="32" t="str">
        <f>HYPERLINK("http://api.nsgreg.nga.mil/geo-division/GENC/6/ed3/TL-VI","as:GENC:6:ed3:TL-VI")</f>
        <v>as:GENC:6:ed3:TL-VI</v>
      </c>
    </row>
    <row r="4457" spans="1:7" x14ac:dyDescent="0.2">
      <c r="A4457" s="84" t="str">
        <f>HYPERLINK("[#]Codes_for_GE_Names!A253:I253","TOGO")</f>
        <v>TOGO</v>
      </c>
      <c r="B4457" s="33" t="s">
        <v>10519</v>
      </c>
      <c r="C4457" s="33" t="s">
        <v>13755</v>
      </c>
      <c r="D4457" s="33" t="s">
        <v>2087</v>
      </c>
      <c r="E4457" s="34" t="b">
        <v>1</v>
      </c>
      <c r="F4457" s="35" t="str">
        <f>HYPERLINK("http://nsgreg.nga.mil/genc/view?v=213557&amp;end_month=12&amp;end_day=31&amp;end_year=2014","Centrale")</f>
        <v>Centrale</v>
      </c>
      <c r="G4457" s="36" t="str">
        <f>HYPERLINK("http://api.nsgreg.nga.mil/geo-division/GENC/6/ed3/TG-C","as:GENC:6:ed3:TG-C")</f>
        <v>as:GENC:6:ed3:TG-C</v>
      </c>
    </row>
    <row r="4458" spans="1:7" x14ac:dyDescent="0.2">
      <c r="A4458" s="85"/>
      <c r="B4458" s="25" t="s">
        <v>10520</v>
      </c>
      <c r="C4458" s="25" t="s">
        <v>10521</v>
      </c>
      <c r="D4458" s="25" t="s">
        <v>2087</v>
      </c>
      <c r="E4458" s="26" t="b">
        <v>1</v>
      </c>
      <c r="F4458" s="27" t="str">
        <f>HYPERLINK("http://nsgreg.nga.mil/genc/view?v=122171&amp;gencs=T&amp;end_month=12&amp;end_day=31&amp;end_year=2014","Kara")</f>
        <v>Kara</v>
      </c>
      <c r="G4458" s="28" t="str">
        <f>HYPERLINK("http://api.nsgreg.nga.mil/geo-division/GENC/6/ed3/TG-K","as:GENC:6:ed3:TG-K")</f>
        <v>as:GENC:6:ed3:TG-K</v>
      </c>
    </row>
    <row r="4459" spans="1:7" x14ac:dyDescent="0.2">
      <c r="A4459" s="85"/>
      <c r="B4459" s="25" t="s">
        <v>10522</v>
      </c>
      <c r="C4459" s="25" t="s">
        <v>13756</v>
      </c>
      <c r="D4459" s="25" t="s">
        <v>2087</v>
      </c>
      <c r="E4459" s="26" t="b">
        <v>1</v>
      </c>
      <c r="F4459" s="27" t="str">
        <f>HYPERLINK("http://nsgreg.nga.mil/genc/view?v=213558&amp;end_month=12&amp;end_day=31&amp;end_year=2014","Maritime")</f>
        <v>Maritime</v>
      </c>
      <c r="G4459" s="28" t="str">
        <f>HYPERLINK("http://api.nsgreg.nga.mil/geo-division/GENC/6/ed3/TG-M","as:GENC:6:ed3:TG-M")</f>
        <v>as:GENC:6:ed3:TG-M</v>
      </c>
    </row>
    <row r="4460" spans="1:7" x14ac:dyDescent="0.2">
      <c r="A4460" s="85"/>
      <c r="B4460" s="25" t="s">
        <v>10524</v>
      </c>
      <c r="C4460" s="25" t="s">
        <v>3472</v>
      </c>
      <c r="D4460" s="25" t="s">
        <v>2087</v>
      </c>
      <c r="E4460" s="26" t="b">
        <v>1</v>
      </c>
      <c r="F4460" s="27" t="str">
        <f>HYPERLINK("http://nsgreg.nga.mil/genc/view?v=122173&amp;gencs=T&amp;end_month=12&amp;end_day=31&amp;end_year=2014","Plateaux")</f>
        <v>Plateaux</v>
      </c>
      <c r="G4460" s="28" t="str">
        <f>HYPERLINK("http://api.nsgreg.nga.mil/geo-division/GENC/6/ed3/TG-P","as:GENC:6:ed3:TG-P")</f>
        <v>as:GENC:6:ed3:TG-P</v>
      </c>
    </row>
    <row r="4461" spans="1:7" x14ac:dyDescent="0.2">
      <c r="A4461" s="86"/>
      <c r="B4461" s="29" t="s">
        <v>10525</v>
      </c>
      <c r="C4461" s="29" t="s">
        <v>12220</v>
      </c>
      <c r="D4461" s="29" t="s">
        <v>2087</v>
      </c>
      <c r="E4461" s="30" t="b">
        <v>1</v>
      </c>
      <c r="F4461" s="31" t="str">
        <f>HYPERLINK("http://nsgreg.nga.mil/genc/view?v=213559&amp;end_month=12&amp;end_day=31&amp;end_year=2014","Savanes")</f>
        <v>Savanes</v>
      </c>
      <c r="G4461" s="32" t="str">
        <f>HYPERLINK("http://api.nsgreg.nga.mil/geo-division/GENC/6/ed3/TG-S","as:GENC:6:ed3:TG-S")</f>
        <v>as:GENC:6:ed3:TG-S</v>
      </c>
    </row>
    <row r="4462" spans="1:7" x14ac:dyDescent="0.2">
      <c r="A4462" s="84" t="str">
        <f>HYPERLINK("[#]Codes_for_GE_Names!A255:I255","TONGA")</f>
        <v>TONGA</v>
      </c>
      <c r="B4462" s="33" t="s">
        <v>10527</v>
      </c>
      <c r="C4462" s="33" t="s">
        <v>13757</v>
      </c>
      <c r="D4462" s="33" t="s">
        <v>2383</v>
      </c>
      <c r="E4462" s="34" t="b">
        <v>1</v>
      </c>
      <c r="F4462" s="35" t="str">
        <f>HYPERLINK("http://nsgreg.nga.mil/genc/view?v=213611&amp;end_month=12&amp;end_day=31&amp;end_year=2014","‘Eua")</f>
        <v>‘Eua</v>
      </c>
      <c r="G4462" s="36" t="str">
        <f>HYPERLINK("http://api.nsgreg.nga.mil/geo-division/GENC/6/ed3/TO-01","as:GENC:6:ed3:TO-01")</f>
        <v>as:GENC:6:ed3:TO-01</v>
      </c>
    </row>
    <row r="4463" spans="1:7" x14ac:dyDescent="0.2">
      <c r="A4463" s="85"/>
      <c r="B4463" s="25" t="s">
        <v>10529</v>
      </c>
      <c r="C4463" s="25" t="s">
        <v>13758</v>
      </c>
      <c r="D4463" s="25" t="s">
        <v>2383</v>
      </c>
      <c r="E4463" s="26" t="b">
        <v>1</v>
      </c>
      <c r="F4463" s="27" t="str">
        <f>HYPERLINK("http://nsgreg.nga.mil/genc/view?v=213612&amp;end_month=12&amp;end_day=31&amp;end_year=2014","Ha‘apai")</f>
        <v>Ha‘apai</v>
      </c>
      <c r="G4463" s="28" t="str">
        <f>HYPERLINK("http://api.nsgreg.nga.mil/geo-division/GENC/6/ed3/TO-02","as:GENC:6:ed3:TO-02")</f>
        <v>as:GENC:6:ed3:TO-02</v>
      </c>
    </row>
    <row r="4464" spans="1:7" x14ac:dyDescent="0.2">
      <c r="A4464" s="85"/>
      <c r="B4464" s="25" t="s">
        <v>10531</v>
      </c>
      <c r="C4464" s="25" t="s">
        <v>13759</v>
      </c>
      <c r="D4464" s="25" t="s">
        <v>2383</v>
      </c>
      <c r="E4464" s="26" t="b">
        <v>1</v>
      </c>
      <c r="F4464" s="27" t="str">
        <f>HYPERLINK("http://nsgreg.nga.mil/genc/view?v=213613&amp;end_month=12&amp;end_day=31&amp;end_year=2014","Ongo Niua")</f>
        <v>Ongo Niua</v>
      </c>
      <c r="G4464" s="28" t="str">
        <f>HYPERLINK("http://api.nsgreg.nga.mil/geo-division/GENC/6/ed3/TO-03","as:GENC:6:ed3:TO-03")</f>
        <v>as:GENC:6:ed3:TO-03</v>
      </c>
    </row>
    <row r="4465" spans="1:7" x14ac:dyDescent="0.2">
      <c r="A4465" s="85"/>
      <c r="B4465" s="25" t="s">
        <v>10533</v>
      </c>
      <c r="C4465" s="25" t="s">
        <v>10534</v>
      </c>
      <c r="D4465" s="25" t="s">
        <v>2383</v>
      </c>
      <c r="E4465" s="26" t="b">
        <v>1</v>
      </c>
      <c r="F4465" s="27" t="str">
        <f>HYPERLINK("http://nsgreg.nga.mil/genc/view?v=213614&amp;end_month=12&amp;end_day=31&amp;end_year=2014","Tongatapu")</f>
        <v>Tongatapu</v>
      </c>
      <c r="G4465" s="28" t="str">
        <f>HYPERLINK("http://api.nsgreg.nga.mil/geo-division/GENC/6/ed3/TO-04","as:GENC:6:ed3:TO-04")</f>
        <v>as:GENC:6:ed3:TO-04</v>
      </c>
    </row>
    <row r="4466" spans="1:7" x14ac:dyDescent="0.2">
      <c r="A4466" s="86"/>
      <c r="B4466" s="29" t="s">
        <v>10535</v>
      </c>
      <c r="C4466" s="29" t="s">
        <v>13760</v>
      </c>
      <c r="D4466" s="29" t="s">
        <v>2383</v>
      </c>
      <c r="E4466" s="30" t="b">
        <v>1</v>
      </c>
      <c r="F4466" s="31" t="str">
        <f>HYPERLINK("http://nsgreg.nga.mil/genc/view?v=213615&amp;end_month=12&amp;end_day=31&amp;end_year=2014","Vava‘u")</f>
        <v>Vava‘u</v>
      </c>
      <c r="G4466" s="32" t="str">
        <f>HYPERLINK("http://api.nsgreg.nga.mil/geo-division/GENC/6/ed3/TO-05","as:GENC:6:ed3:TO-05")</f>
        <v>as:GENC:6:ed3:TO-05</v>
      </c>
    </row>
    <row r="4467" spans="1:7" x14ac:dyDescent="0.2">
      <c r="A4467" s="84" t="str">
        <f>HYPERLINK("[#]Codes_for_GE_Names!A256:I256","TRINIDAD AND TOBAGO")</f>
        <v>TRINIDAD AND TOBAGO</v>
      </c>
      <c r="B4467" s="33" t="s">
        <v>10537</v>
      </c>
      <c r="C4467" s="33" t="s">
        <v>10538</v>
      </c>
      <c r="D4467" s="33" t="s">
        <v>2164</v>
      </c>
      <c r="E4467" s="34" t="b">
        <v>1</v>
      </c>
      <c r="F4467" s="35" t="str">
        <f>HYPERLINK("http://nsgreg.nga.mil/genc/view?v=122386&amp;gencs=T&amp;end_month=12&amp;end_day=31&amp;end_year=2014","Arima")</f>
        <v>Arima</v>
      </c>
      <c r="G4467" s="36" t="str">
        <f>HYPERLINK("http://api.nsgreg.nga.mil/geo-division/GENC/6/ed3/TT-ARI","as:GENC:6:ed3:TT-ARI")</f>
        <v>as:GENC:6:ed3:TT-ARI</v>
      </c>
    </row>
    <row r="4468" spans="1:7" x14ac:dyDescent="0.2">
      <c r="A4468" s="85"/>
      <c r="B4468" s="25" t="s">
        <v>10539</v>
      </c>
      <c r="C4468" s="25" t="s">
        <v>10540</v>
      </c>
      <c r="D4468" s="25" t="s">
        <v>2164</v>
      </c>
      <c r="E4468" s="26" t="b">
        <v>1</v>
      </c>
      <c r="F4468" s="27" t="str">
        <f>HYPERLINK("http://nsgreg.nga.mil/genc/view?v=122387&amp;gencs=T&amp;end_month=12&amp;end_day=31&amp;end_year=2014","Chaguanas")</f>
        <v>Chaguanas</v>
      </c>
      <c r="G4468" s="28" t="str">
        <f>HYPERLINK("http://api.nsgreg.nga.mil/geo-division/GENC/6/ed3/TT-CHA","as:GENC:6:ed3:TT-CHA")</f>
        <v>as:GENC:6:ed3:TT-CHA</v>
      </c>
    </row>
    <row r="4469" spans="1:7" x14ac:dyDescent="0.2">
      <c r="A4469" s="85"/>
      <c r="B4469" s="25" t="s">
        <v>10541</v>
      </c>
      <c r="C4469" s="25" t="s">
        <v>13761</v>
      </c>
      <c r="D4469" s="25" t="s">
        <v>2087</v>
      </c>
      <c r="E4469" s="26" t="b">
        <v>1</v>
      </c>
      <c r="F4469" s="27" t="str">
        <f>HYPERLINK("http://nsgreg.nga.mil/genc/view?v=213616&amp;end_month=12&amp;end_day=31&amp;end_year=2014","Couva/Tabaquite/Talparo")</f>
        <v>Couva/Tabaquite/Talparo</v>
      </c>
      <c r="G4469" s="28" t="str">
        <f>HYPERLINK("http://api.nsgreg.nga.mil/geo-division/GENC/6/ed3/TT-CTT","as:GENC:6:ed3:TT-CTT")</f>
        <v>as:GENC:6:ed3:TT-CTT</v>
      </c>
    </row>
    <row r="4470" spans="1:7" x14ac:dyDescent="0.2">
      <c r="A4470" s="85"/>
      <c r="B4470" s="25" t="s">
        <v>10543</v>
      </c>
      <c r="C4470" s="25" t="s">
        <v>10544</v>
      </c>
      <c r="D4470" s="25" t="s">
        <v>2087</v>
      </c>
      <c r="E4470" s="26" t="b">
        <v>1</v>
      </c>
      <c r="F4470" s="27" t="str">
        <f>HYPERLINK("http://nsgreg.nga.mil/genc/view?v=122389&amp;gencs=T&amp;end_month=12&amp;end_day=31&amp;end_year=2014","Diego Martin")</f>
        <v>Diego Martin</v>
      </c>
      <c r="G4470" s="28" t="str">
        <f>HYPERLINK("http://api.nsgreg.nga.mil/geo-division/GENC/6/ed3/TT-DMN","as:GENC:6:ed3:TT-DMN")</f>
        <v>as:GENC:6:ed3:TT-DMN</v>
      </c>
    </row>
    <row r="4471" spans="1:7" x14ac:dyDescent="0.2">
      <c r="A4471" s="85"/>
      <c r="B4471" s="25" t="s">
        <v>10555</v>
      </c>
      <c r="C4471" s="25" t="s">
        <v>13762</v>
      </c>
      <c r="D4471" s="25" t="s">
        <v>2087</v>
      </c>
      <c r="E4471" s="26" t="b">
        <v>1</v>
      </c>
      <c r="F4471" s="27" t="str">
        <f>HYPERLINK("http://nsgreg.nga.mil/genc/view?v=213619&amp;end_month=12&amp;end_day=31&amp;end_year=2014","Mayaro/Rio Claro")</f>
        <v>Mayaro/Rio Claro</v>
      </c>
      <c r="G4471" s="28" t="str">
        <f>HYPERLINK("http://api.nsgreg.nga.mil/geo-division/GENC/6/ed3/TT-RCM","as:GENC:6:ed3:TT-RCM")</f>
        <v>as:GENC:6:ed3:TT-RCM</v>
      </c>
    </row>
    <row r="4472" spans="1:7" x14ac:dyDescent="0.2">
      <c r="A4472" s="85"/>
      <c r="B4472" s="25" t="s">
        <v>10547</v>
      </c>
      <c r="C4472" s="25" t="s">
        <v>13763</v>
      </c>
      <c r="D4472" s="25" t="s">
        <v>2087</v>
      </c>
      <c r="E4472" s="26" t="b">
        <v>1</v>
      </c>
      <c r="F4472" s="27" t="str">
        <f>HYPERLINK("http://nsgreg.nga.mil/genc/view?v=213618&amp;end_month=12&amp;end_day=31&amp;end_year=2014","Penal/Debe")</f>
        <v>Penal/Debe</v>
      </c>
      <c r="G4472" s="28" t="str">
        <f>HYPERLINK("http://api.nsgreg.nga.mil/geo-division/GENC/6/ed3/TT-PED","as:GENC:6:ed3:TT-PED")</f>
        <v>as:GENC:6:ed3:TT-PED</v>
      </c>
    </row>
    <row r="4473" spans="1:7" x14ac:dyDescent="0.2">
      <c r="A4473" s="85"/>
      <c r="B4473" s="25" t="s">
        <v>10549</v>
      </c>
      <c r="C4473" s="25" t="s">
        <v>10550</v>
      </c>
      <c r="D4473" s="25" t="s">
        <v>2164</v>
      </c>
      <c r="E4473" s="26" t="b">
        <v>1</v>
      </c>
      <c r="F4473" s="27" t="str">
        <f>HYPERLINK("http://nsgreg.nga.mil/genc/view?v=122394&amp;gencs=T&amp;end_month=12&amp;end_day=31&amp;end_year=2014","Point Fortin")</f>
        <v>Point Fortin</v>
      </c>
      <c r="G4473" s="28" t="str">
        <f>HYPERLINK("http://api.nsgreg.nga.mil/geo-division/GENC/6/ed3/TT-PTF","as:GENC:6:ed3:TT-PTF")</f>
        <v>as:GENC:6:ed3:TT-PTF</v>
      </c>
    </row>
    <row r="4474" spans="1:7" x14ac:dyDescent="0.2">
      <c r="A4474" s="85"/>
      <c r="B4474" s="25" t="s">
        <v>10551</v>
      </c>
      <c r="C4474" s="25" t="s">
        <v>10552</v>
      </c>
      <c r="D4474" s="25" t="s">
        <v>2164</v>
      </c>
      <c r="E4474" s="26" t="b">
        <v>1</v>
      </c>
      <c r="F4474" s="27" t="str">
        <f>HYPERLINK("http://nsgreg.nga.mil/genc/view?v=122392&amp;gencs=T&amp;end_month=12&amp;end_day=31&amp;end_year=2014","Port of Spain")</f>
        <v>Port of Spain</v>
      </c>
      <c r="G4474" s="28" t="str">
        <f>HYPERLINK("http://api.nsgreg.nga.mil/geo-division/GENC/6/ed3/TT-POS","as:GENC:6:ed3:TT-POS")</f>
        <v>as:GENC:6:ed3:TT-POS</v>
      </c>
    </row>
    <row r="4475" spans="1:7" x14ac:dyDescent="0.2">
      <c r="A4475" s="85"/>
      <c r="B4475" s="25" t="s">
        <v>10553</v>
      </c>
      <c r="C4475" s="25" t="s">
        <v>10554</v>
      </c>
      <c r="D4475" s="25" t="s">
        <v>2087</v>
      </c>
      <c r="E4475" s="26" t="b">
        <v>1</v>
      </c>
      <c r="F4475" s="27" t="str">
        <f>HYPERLINK("http://nsgreg.nga.mil/genc/view?v=122393&amp;gencs=T&amp;end_month=12&amp;end_day=31&amp;end_year=2014","Princes Town")</f>
        <v>Princes Town</v>
      </c>
      <c r="G4475" s="28" t="str">
        <f>HYPERLINK("http://api.nsgreg.nga.mil/geo-division/GENC/6/ed3/TT-PRT","as:GENC:6:ed3:TT-PRT")</f>
        <v>as:GENC:6:ed3:TT-PRT</v>
      </c>
    </row>
    <row r="4476" spans="1:7" x14ac:dyDescent="0.2">
      <c r="A4476" s="85"/>
      <c r="B4476" s="25" t="s">
        <v>10557</v>
      </c>
      <c r="C4476" s="25" t="s">
        <v>10558</v>
      </c>
      <c r="D4476" s="25" t="s">
        <v>2164</v>
      </c>
      <c r="E4476" s="26" t="b">
        <v>1</v>
      </c>
      <c r="F4476" s="27" t="str">
        <f>HYPERLINK("http://nsgreg.nga.mil/genc/view?v=122396&amp;gencs=T&amp;end_month=12&amp;end_day=31&amp;end_year=2014","San Fernando")</f>
        <v>San Fernando</v>
      </c>
      <c r="G4476" s="28" t="str">
        <f>HYPERLINK("http://api.nsgreg.nga.mil/geo-division/GENC/6/ed3/TT-SFO","as:GENC:6:ed3:TT-SFO")</f>
        <v>as:GENC:6:ed3:TT-SFO</v>
      </c>
    </row>
    <row r="4477" spans="1:7" x14ac:dyDescent="0.2">
      <c r="A4477" s="85"/>
      <c r="B4477" s="25" t="s">
        <v>10561</v>
      </c>
      <c r="C4477" s="25" t="s">
        <v>10562</v>
      </c>
      <c r="D4477" s="25" t="s">
        <v>2087</v>
      </c>
      <c r="E4477" s="26" t="b">
        <v>1</v>
      </c>
      <c r="F4477" s="27" t="str">
        <f>HYPERLINK("http://nsgreg.nga.mil/genc/view?v=122397&amp;gencs=T&amp;end_month=12&amp;end_day=31&amp;end_year=2014","Sangre Grande")</f>
        <v>Sangre Grande</v>
      </c>
      <c r="G4477" s="28" t="str">
        <f>HYPERLINK("http://api.nsgreg.nga.mil/geo-division/GENC/6/ed3/TT-SGE","as:GENC:6:ed3:TT-SGE")</f>
        <v>as:GENC:6:ed3:TT-SGE</v>
      </c>
    </row>
    <row r="4478" spans="1:7" x14ac:dyDescent="0.2">
      <c r="A4478" s="85"/>
      <c r="B4478" s="25" t="s">
        <v>10559</v>
      </c>
      <c r="C4478" s="25" t="s">
        <v>13764</v>
      </c>
      <c r="D4478" s="25" t="s">
        <v>2087</v>
      </c>
      <c r="E4478" s="26" t="b">
        <v>1</v>
      </c>
      <c r="F4478" s="27" t="str">
        <f>HYPERLINK("http://nsgreg.nga.mil/genc/view?v=213620&amp;end_month=12&amp;end_day=31&amp;end_year=2014","San Juan/Laventille")</f>
        <v>San Juan/Laventille</v>
      </c>
      <c r="G4478" s="28" t="str">
        <f>HYPERLINK("http://api.nsgreg.nga.mil/geo-division/GENC/6/ed3/TT-SJL","as:GENC:6:ed3:TT-SJL")</f>
        <v>as:GENC:6:ed3:TT-SJL</v>
      </c>
    </row>
    <row r="4479" spans="1:7" x14ac:dyDescent="0.2">
      <c r="A4479" s="85"/>
      <c r="B4479" s="25" t="s">
        <v>10563</v>
      </c>
      <c r="C4479" s="25" t="s">
        <v>10564</v>
      </c>
      <c r="D4479" s="25" t="s">
        <v>2087</v>
      </c>
      <c r="E4479" s="26" t="b">
        <v>1</v>
      </c>
      <c r="F4479" s="27" t="str">
        <f>HYPERLINK("http://nsgreg.nga.mil/genc/view?v=122398&amp;gencs=T&amp;end_month=12&amp;end_day=31&amp;end_year=2014","Siparia")</f>
        <v>Siparia</v>
      </c>
      <c r="G4479" s="28" t="str">
        <f>HYPERLINK("http://api.nsgreg.nga.mil/geo-division/GENC/6/ed3/TT-SIP","as:GENC:6:ed3:TT-SIP")</f>
        <v>as:GENC:6:ed3:TT-SIP</v>
      </c>
    </row>
    <row r="4480" spans="1:7" x14ac:dyDescent="0.2">
      <c r="A4480" s="85"/>
      <c r="B4480" s="25" t="s">
        <v>13765</v>
      </c>
      <c r="C4480" s="25" t="s">
        <v>13766</v>
      </c>
      <c r="D4480" s="25" t="s">
        <v>13767</v>
      </c>
      <c r="E4480" s="26" t="b">
        <v>1</v>
      </c>
      <c r="F4480" s="27" t="str">
        <f>HYPERLINK("http://nsgreg.nga.mil/genc/view?v=213621&amp;end_month=12&amp;end_day=31&amp;end_year=2014","Tobago")</f>
        <v>Tobago</v>
      </c>
      <c r="G4480" s="28" t="str">
        <f>HYPERLINK("http://api.nsgreg.nga.mil/geo-division/GENC/6/ed3/TT-TOB","as:GENC:6:ed3:TT-TOB")</f>
        <v>as:GENC:6:ed3:TT-TOB</v>
      </c>
    </row>
    <row r="4481" spans="1:7" x14ac:dyDescent="0.2">
      <c r="A4481" s="86"/>
      <c r="B4481" s="29" t="s">
        <v>10565</v>
      </c>
      <c r="C4481" s="29" t="s">
        <v>13768</v>
      </c>
      <c r="D4481" s="29" t="s">
        <v>2087</v>
      </c>
      <c r="E4481" s="30" t="b">
        <v>1</v>
      </c>
      <c r="F4481" s="31" t="str">
        <f>HYPERLINK("http://nsgreg.nga.mil/genc/view?v=213622&amp;end_month=12&amp;end_day=31&amp;end_year=2014","Tunapuna/Piarco")</f>
        <v>Tunapuna/Piarco</v>
      </c>
      <c r="G4481" s="32" t="str">
        <f>HYPERLINK("http://api.nsgreg.nga.mil/geo-division/GENC/6/ed3/TT-TUP","as:GENC:6:ed3:TT-TUP")</f>
        <v>as:GENC:6:ed3:TT-TUP</v>
      </c>
    </row>
    <row r="4482" spans="1:7" x14ac:dyDescent="0.2">
      <c r="A4482" s="84" t="str">
        <f>HYPERLINK("[#]Codes_for_GE_Names!A258:I258","TUNISIA")</f>
        <v>TUNISIA</v>
      </c>
      <c r="B4482" s="33" t="s">
        <v>10575</v>
      </c>
      <c r="C4482" s="33" t="s">
        <v>10576</v>
      </c>
      <c r="D4482" s="33" t="s">
        <v>2365</v>
      </c>
      <c r="E4482" s="34" t="b">
        <v>1</v>
      </c>
      <c r="F4482" s="35" t="str">
        <f>HYPERLINK("http://nsgreg.nga.mil/genc/view?v=213594&amp;end_month=12&amp;end_day=31&amp;end_year=2014","Béja")</f>
        <v>Béja</v>
      </c>
      <c r="G4482" s="36" t="str">
        <f>HYPERLINK("http://api.nsgreg.nga.mil/geo-division/GENC/6/ed3/TN-31","as:GENC:6:ed3:TN-31")</f>
        <v>as:GENC:6:ed3:TN-31</v>
      </c>
    </row>
    <row r="4483" spans="1:7" x14ac:dyDescent="0.2">
      <c r="A4483" s="85"/>
      <c r="B4483" s="25" t="s">
        <v>10571</v>
      </c>
      <c r="C4483" s="25" t="s">
        <v>10572</v>
      </c>
      <c r="D4483" s="25" t="s">
        <v>2365</v>
      </c>
      <c r="E4483" s="26" t="b">
        <v>1</v>
      </c>
      <c r="F4483" s="27" t="str">
        <f>HYPERLINK("http://nsgreg.nga.mil/genc/view?v=213589&amp;end_month=12&amp;end_day=31&amp;end_year=2014","Ben Arous")</f>
        <v>Ben Arous</v>
      </c>
      <c r="G4483" s="28" t="str">
        <f>HYPERLINK("http://api.nsgreg.nga.mil/geo-division/GENC/6/ed3/TN-13","as:GENC:6:ed3:TN-13")</f>
        <v>as:GENC:6:ed3:TN-13</v>
      </c>
    </row>
    <row r="4484" spans="1:7" x14ac:dyDescent="0.2">
      <c r="A4484" s="85"/>
      <c r="B4484" s="25" t="s">
        <v>10573</v>
      </c>
      <c r="C4484" s="25" t="s">
        <v>10574</v>
      </c>
      <c r="D4484" s="25" t="s">
        <v>2365</v>
      </c>
      <c r="E4484" s="26" t="b">
        <v>1</v>
      </c>
      <c r="F4484" s="27" t="str">
        <f>HYPERLINK("http://nsgreg.nga.mil/genc/view?v=213593&amp;end_month=12&amp;end_day=31&amp;end_year=2014","Bizerte")</f>
        <v>Bizerte</v>
      </c>
      <c r="G4484" s="28" t="str">
        <f>HYPERLINK("http://api.nsgreg.nga.mil/geo-division/GENC/6/ed3/TN-23","as:GENC:6:ed3:TN-23")</f>
        <v>as:GENC:6:ed3:TN-23</v>
      </c>
    </row>
    <row r="4485" spans="1:7" x14ac:dyDescent="0.2">
      <c r="A4485" s="85"/>
      <c r="B4485" s="25" t="s">
        <v>10577</v>
      </c>
      <c r="C4485" s="25" t="s">
        <v>10578</v>
      </c>
      <c r="D4485" s="25" t="s">
        <v>2365</v>
      </c>
      <c r="E4485" s="26" t="b">
        <v>1</v>
      </c>
      <c r="F4485" s="27" t="str">
        <f>HYPERLINK("http://nsgreg.nga.mil/genc/view?v=213608&amp;end_month=12&amp;end_day=31&amp;end_year=2014","Gabès")</f>
        <v>Gabès</v>
      </c>
      <c r="G4485" s="28" t="str">
        <f>HYPERLINK("http://api.nsgreg.nga.mil/geo-division/GENC/6/ed3/TN-81","as:GENC:6:ed3:TN-81")</f>
        <v>as:GENC:6:ed3:TN-81</v>
      </c>
    </row>
    <row r="4486" spans="1:7" x14ac:dyDescent="0.2">
      <c r="A4486" s="85"/>
      <c r="B4486" s="25" t="s">
        <v>10579</v>
      </c>
      <c r="C4486" s="25" t="s">
        <v>10580</v>
      </c>
      <c r="D4486" s="25" t="s">
        <v>2365</v>
      </c>
      <c r="E4486" s="26" t="b">
        <v>1</v>
      </c>
      <c r="F4486" s="27" t="str">
        <f>HYPERLINK("http://nsgreg.nga.mil/genc/view?v=213605&amp;end_month=12&amp;end_day=31&amp;end_year=2014","Gafsa")</f>
        <v>Gafsa</v>
      </c>
      <c r="G4486" s="28" t="str">
        <f>HYPERLINK("http://api.nsgreg.nga.mil/geo-division/GENC/6/ed3/TN-71","as:GENC:6:ed3:TN-71")</f>
        <v>as:GENC:6:ed3:TN-71</v>
      </c>
    </row>
    <row r="4487" spans="1:7" x14ac:dyDescent="0.2">
      <c r="A4487" s="85"/>
      <c r="B4487" s="25" t="s">
        <v>10581</v>
      </c>
      <c r="C4487" s="25" t="s">
        <v>10582</v>
      </c>
      <c r="D4487" s="25" t="s">
        <v>2365</v>
      </c>
      <c r="E4487" s="26" t="b">
        <v>1</v>
      </c>
      <c r="F4487" s="27" t="str">
        <f>HYPERLINK("http://nsgreg.nga.mil/genc/view?v=213595&amp;end_month=12&amp;end_day=31&amp;end_year=2014","Jendouba")</f>
        <v>Jendouba</v>
      </c>
      <c r="G4487" s="28" t="str">
        <f>HYPERLINK("http://api.nsgreg.nga.mil/geo-division/GENC/6/ed3/TN-32","as:GENC:6:ed3:TN-32")</f>
        <v>as:GENC:6:ed3:TN-32</v>
      </c>
    </row>
    <row r="4488" spans="1:7" x14ac:dyDescent="0.2">
      <c r="A4488" s="85"/>
      <c r="B4488" s="25" t="s">
        <v>10583</v>
      </c>
      <c r="C4488" s="25" t="s">
        <v>10584</v>
      </c>
      <c r="D4488" s="25" t="s">
        <v>2365</v>
      </c>
      <c r="E4488" s="26" t="b">
        <v>1</v>
      </c>
      <c r="F4488" s="27" t="str">
        <f>HYPERLINK("http://nsgreg.nga.mil/genc/view?v=213598&amp;end_month=12&amp;end_day=31&amp;end_year=2014","Kairouan")</f>
        <v>Kairouan</v>
      </c>
      <c r="G4488" s="28" t="str">
        <f>HYPERLINK("http://api.nsgreg.nga.mil/geo-division/GENC/6/ed3/TN-41","as:GENC:6:ed3:TN-41")</f>
        <v>as:GENC:6:ed3:TN-41</v>
      </c>
    </row>
    <row r="4489" spans="1:7" x14ac:dyDescent="0.2">
      <c r="A4489" s="85"/>
      <c r="B4489" s="25" t="s">
        <v>10585</v>
      </c>
      <c r="C4489" s="25" t="s">
        <v>10586</v>
      </c>
      <c r="D4489" s="25" t="s">
        <v>2365</v>
      </c>
      <c r="E4489" s="26" t="b">
        <v>1</v>
      </c>
      <c r="F4489" s="27" t="str">
        <f>HYPERLINK("http://nsgreg.nga.mil/genc/view?v=213599&amp;end_month=12&amp;end_day=31&amp;end_year=2014","Kasserine")</f>
        <v>Kasserine</v>
      </c>
      <c r="G4489" s="28" t="str">
        <f>HYPERLINK("http://api.nsgreg.nga.mil/geo-division/GENC/6/ed3/TN-42","as:GENC:6:ed3:TN-42")</f>
        <v>as:GENC:6:ed3:TN-42</v>
      </c>
    </row>
    <row r="4490" spans="1:7" x14ac:dyDescent="0.2">
      <c r="A4490" s="85"/>
      <c r="B4490" s="25" t="s">
        <v>10587</v>
      </c>
      <c r="C4490" s="25" t="s">
        <v>13769</v>
      </c>
      <c r="D4490" s="25" t="s">
        <v>2365</v>
      </c>
      <c r="E4490" s="26" t="b">
        <v>1</v>
      </c>
      <c r="F4490" s="27" t="str">
        <f>HYPERLINK("http://nsgreg.nga.mil/genc/view?v=213607&amp;end_month=12&amp;end_day=31&amp;end_year=2014","Kébili")</f>
        <v>Kébili</v>
      </c>
      <c r="G4490" s="28" t="str">
        <f>HYPERLINK("http://api.nsgreg.nga.mil/geo-division/GENC/6/ed3/TN-73","as:GENC:6:ed3:TN-73")</f>
        <v>as:GENC:6:ed3:TN-73</v>
      </c>
    </row>
    <row r="4491" spans="1:7" x14ac:dyDescent="0.2">
      <c r="A4491" s="85"/>
      <c r="B4491" s="25" t="s">
        <v>10591</v>
      </c>
      <c r="C4491" s="25" t="s">
        <v>13770</v>
      </c>
      <c r="D4491" s="25" t="s">
        <v>2365</v>
      </c>
      <c r="E4491" s="26" t="b">
        <v>1</v>
      </c>
      <c r="F4491" s="27" t="str">
        <f>HYPERLINK("http://nsgreg.nga.mil/genc/view?v=213596&amp;end_month=12&amp;end_day=31&amp;end_year=2014","Kef")</f>
        <v>Kef</v>
      </c>
      <c r="G4491" s="28" t="str">
        <f>HYPERLINK("http://api.nsgreg.nga.mil/geo-division/GENC/6/ed3/TN-33","as:GENC:6:ed3:TN-33")</f>
        <v>as:GENC:6:ed3:TN-33</v>
      </c>
    </row>
    <row r="4492" spans="1:7" x14ac:dyDescent="0.2">
      <c r="A4492" s="85"/>
      <c r="B4492" s="25" t="s">
        <v>10569</v>
      </c>
      <c r="C4492" s="25" t="s">
        <v>13771</v>
      </c>
      <c r="D4492" s="25" t="s">
        <v>2365</v>
      </c>
      <c r="E4492" s="26" t="b">
        <v>1</v>
      </c>
      <c r="F4492" s="27" t="str">
        <f>HYPERLINK("http://nsgreg.nga.mil/genc/view?v=213588&amp;end_month=12&amp;end_day=31&amp;end_year=2014","L’Ariana")</f>
        <v>L’Ariana</v>
      </c>
      <c r="G4492" s="28" t="str">
        <f>HYPERLINK("http://api.nsgreg.nga.mil/geo-division/GENC/6/ed3/TN-12","as:GENC:6:ed3:TN-12")</f>
        <v>as:GENC:6:ed3:TN-12</v>
      </c>
    </row>
    <row r="4493" spans="1:7" x14ac:dyDescent="0.2">
      <c r="A4493" s="85"/>
      <c r="B4493" s="25" t="s">
        <v>10593</v>
      </c>
      <c r="C4493" s="25" t="s">
        <v>10594</v>
      </c>
      <c r="D4493" s="25" t="s">
        <v>2365</v>
      </c>
      <c r="E4493" s="26" t="b">
        <v>1</v>
      </c>
      <c r="F4493" s="27" t="str">
        <f>HYPERLINK("http://nsgreg.nga.mil/genc/view?v=213603&amp;end_month=12&amp;end_day=31&amp;end_year=2014","Mahdia")</f>
        <v>Mahdia</v>
      </c>
      <c r="G4493" s="28" t="str">
        <f>HYPERLINK("http://api.nsgreg.nga.mil/geo-division/GENC/6/ed3/TN-53","as:GENC:6:ed3:TN-53")</f>
        <v>as:GENC:6:ed3:TN-53</v>
      </c>
    </row>
    <row r="4494" spans="1:7" x14ac:dyDescent="0.2">
      <c r="A4494" s="85"/>
      <c r="B4494" s="25" t="s">
        <v>10589</v>
      </c>
      <c r="C4494" s="25" t="s">
        <v>13772</v>
      </c>
      <c r="D4494" s="25" t="s">
        <v>2365</v>
      </c>
      <c r="E4494" s="26" t="b">
        <v>1</v>
      </c>
      <c r="F4494" s="27" t="str">
        <f>HYPERLINK("http://nsgreg.nga.mil/genc/view?v=213590&amp;end_month=12&amp;end_day=31&amp;end_year=2014","Manouba")</f>
        <v>Manouba</v>
      </c>
      <c r="G4494" s="28" t="str">
        <f>HYPERLINK("http://api.nsgreg.nga.mil/geo-division/GENC/6/ed3/TN-14","as:GENC:6:ed3:TN-14")</f>
        <v>as:GENC:6:ed3:TN-14</v>
      </c>
    </row>
    <row r="4495" spans="1:7" x14ac:dyDescent="0.2">
      <c r="A4495" s="85"/>
      <c r="B4495" s="25" t="s">
        <v>10595</v>
      </c>
      <c r="C4495" s="25" t="s">
        <v>13773</v>
      </c>
      <c r="D4495" s="25" t="s">
        <v>2365</v>
      </c>
      <c r="E4495" s="26" t="b">
        <v>1</v>
      </c>
      <c r="F4495" s="27" t="str">
        <f>HYPERLINK("http://nsgreg.nga.mil/genc/view?v=213609&amp;end_month=12&amp;end_day=31&amp;end_year=2014","Médenine")</f>
        <v>Médenine</v>
      </c>
      <c r="G4495" s="28" t="str">
        <f>HYPERLINK("http://api.nsgreg.nga.mil/geo-division/GENC/6/ed3/TN-82","as:GENC:6:ed3:TN-82")</f>
        <v>as:GENC:6:ed3:TN-82</v>
      </c>
    </row>
    <row r="4496" spans="1:7" x14ac:dyDescent="0.2">
      <c r="A4496" s="85"/>
      <c r="B4496" s="25" t="s">
        <v>10597</v>
      </c>
      <c r="C4496" s="25" t="s">
        <v>10598</v>
      </c>
      <c r="D4496" s="25" t="s">
        <v>2365</v>
      </c>
      <c r="E4496" s="26" t="b">
        <v>1</v>
      </c>
      <c r="F4496" s="27" t="str">
        <f>HYPERLINK("http://nsgreg.nga.mil/genc/view?v=213602&amp;end_month=12&amp;end_day=31&amp;end_year=2014","Monastir")</f>
        <v>Monastir</v>
      </c>
      <c r="G4496" s="28" t="str">
        <f>HYPERLINK("http://api.nsgreg.nga.mil/geo-division/GENC/6/ed3/TN-52","as:GENC:6:ed3:TN-52")</f>
        <v>as:GENC:6:ed3:TN-52</v>
      </c>
    </row>
    <row r="4497" spans="1:7" x14ac:dyDescent="0.2">
      <c r="A4497" s="85"/>
      <c r="B4497" s="25" t="s">
        <v>10599</v>
      </c>
      <c r="C4497" s="25" t="s">
        <v>10600</v>
      </c>
      <c r="D4497" s="25" t="s">
        <v>2365</v>
      </c>
      <c r="E4497" s="26" t="b">
        <v>1</v>
      </c>
      <c r="F4497" s="27" t="str">
        <f>HYPERLINK("http://nsgreg.nga.mil/genc/view?v=213591&amp;end_month=12&amp;end_day=31&amp;end_year=2014","Nabeul")</f>
        <v>Nabeul</v>
      </c>
      <c r="G4497" s="28" t="str">
        <f>HYPERLINK("http://api.nsgreg.nga.mil/geo-division/GENC/6/ed3/TN-21","as:GENC:6:ed3:TN-21")</f>
        <v>as:GENC:6:ed3:TN-21</v>
      </c>
    </row>
    <row r="4498" spans="1:7" x14ac:dyDescent="0.2">
      <c r="A4498" s="85"/>
      <c r="B4498" s="25" t="s">
        <v>10601</v>
      </c>
      <c r="C4498" s="25" t="s">
        <v>10602</v>
      </c>
      <c r="D4498" s="25" t="s">
        <v>2365</v>
      </c>
      <c r="E4498" s="26" t="b">
        <v>1</v>
      </c>
      <c r="F4498" s="27" t="str">
        <f>HYPERLINK("http://nsgreg.nga.mil/genc/view?v=213604&amp;end_month=12&amp;end_day=31&amp;end_year=2014","Sfax")</f>
        <v>Sfax</v>
      </c>
      <c r="G4498" s="28" t="str">
        <f>HYPERLINK("http://api.nsgreg.nga.mil/geo-division/GENC/6/ed3/TN-61","as:GENC:6:ed3:TN-61")</f>
        <v>as:GENC:6:ed3:TN-61</v>
      </c>
    </row>
    <row r="4499" spans="1:7" x14ac:dyDescent="0.2">
      <c r="A4499" s="85"/>
      <c r="B4499" s="25" t="s">
        <v>10603</v>
      </c>
      <c r="C4499" s="25" t="s">
        <v>10604</v>
      </c>
      <c r="D4499" s="25" t="s">
        <v>2365</v>
      </c>
      <c r="E4499" s="26" t="b">
        <v>1</v>
      </c>
      <c r="F4499" s="27" t="str">
        <f>HYPERLINK("http://nsgreg.nga.mil/genc/view?v=213600&amp;end_month=12&amp;end_day=31&amp;end_year=2014","Sidi Bouzid")</f>
        <v>Sidi Bouzid</v>
      </c>
      <c r="G4499" s="28" t="str">
        <f>HYPERLINK("http://api.nsgreg.nga.mil/geo-division/GENC/6/ed3/TN-43","as:GENC:6:ed3:TN-43")</f>
        <v>as:GENC:6:ed3:TN-43</v>
      </c>
    </row>
    <row r="4500" spans="1:7" x14ac:dyDescent="0.2">
      <c r="A4500" s="85"/>
      <c r="B4500" s="25" t="s">
        <v>10605</v>
      </c>
      <c r="C4500" s="25" t="s">
        <v>10606</v>
      </c>
      <c r="D4500" s="25" t="s">
        <v>2365</v>
      </c>
      <c r="E4500" s="26" t="b">
        <v>1</v>
      </c>
      <c r="F4500" s="27" t="str">
        <f>HYPERLINK("http://nsgreg.nga.mil/genc/view?v=213597&amp;end_month=12&amp;end_day=31&amp;end_year=2014","Siliana")</f>
        <v>Siliana</v>
      </c>
      <c r="G4500" s="28" t="str">
        <f>HYPERLINK("http://api.nsgreg.nga.mil/geo-division/GENC/6/ed3/TN-34","as:GENC:6:ed3:TN-34")</f>
        <v>as:GENC:6:ed3:TN-34</v>
      </c>
    </row>
    <row r="4501" spans="1:7" x14ac:dyDescent="0.2">
      <c r="A4501" s="85"/>
      <c r="B4501" s="25" t="s">
        <v>10607</v>
      </c>
      <c r="C4501" s="25" t="s">
        <v>10608</v>
      </c>
      <c r="D4501" s="25" t="s">
        <v>2365</v>
      </c>
      <c r="E4501" s="26" t="b">
        <v>1</v>
      </c>
      <c r="F4501" s="27" t="str">
        <f>HYPERLINK("http://nsgreg.nga.mil/genc/view?v=213601&amp;end_month=12&amp;end_day=31&amp;end_year=2014","Sousse")</f>
        <v>Sousse</v>
      </c>
      <c r="G4501" s="28" t="str">
        <f>HYPERLINK("http://api.nsgreg.nga.mil/geo-division/GENC/6/ed3/TN-51","as:GENC:6:ed3:TN-51")</f>
        <v>as:GENC:6:ed3:TN-51</v>
      </c>
    </row>
    <row r="4502" spans="1:7" x14ac:dyDescent="0.2">
      <c r="A4502" s="85"/>
      <c r="B4502" s="25" t="s">
        <v>10609</v>
      </c>
      <c r="C4502" s="25" t="s">
        <v>10610</v>
      </c>
      <c r="D4502" s="25" t="s">
        <v>2365</v>
      </c>
      <c r="E4502" s="26" t="b">
        <v>1</v>
      </c>
      <c r="F4502" s="27" t="str">
        <f>HYPERLINK("http://nsgreg.nga.mil/genc/view?v=213610&amp;end_month=12&amp;end_day=31&amp;end_year=2014","Tataouine")</f>
        <v>Tataouine</v>
      </c>
      <c r="G4502" s="28" t="str">
        <f>HYPERLINK("http://api.nsgreg.nga.mil/geo-division/GENC/6/ed3/TN-83","as:GENC:6:ed3:TN-83")</f>
        <v>as:GENC:6:ed3:TN-83</v>
      </c>
    </row>
    <row r="4503" spans="1:7" x14ac:dyDescent="0.2">
      <c r="A4503" s="85"/>
      <c r="B4503" s="25" t="s">
        <v>10611</v>
      </c>
      <c r="C4503" s="25" t="s">
        <v>10612</v>
      </c>
      <c r="D4503" s="25" t="s">
        <v>2365</v>
      </c>
      <c r="E4503" s="26" t="b">
        <v>1</v>
      </c>
      <c r="F4503" s="27" t="str">
        <f>HYPERLINK("http://nsgreg.nga.mil/genc/view?v=213606&amp;end_month=12&amp;end_day=31&amp;end_year=2014","Tozeur")</f>
        <v>Tozeur</v>
      </c>
      <c r="G4503" s="28" t="str">
        <f>HYPERLINK("http://api.nsgreg.nga.mil/geo-division/GENC/6/ed3/TN-72","as:GENC:6:ed3:TN-72")</f>
        <v>as:GENC:6:ed3:TN-72</v>
      </c>
    </row>
    <row r="4504" spans="1:7" x14ac:dyDescent="0.2">
      <c r="A4504" s="85"/>
      <c r="B4504" s="25" t="s">
        <v>10613</v>
      </c>
      <c r="C4504" s="25" t="s">
        <v>10614</v>
      </c>
      <c r="D4504" s="25" t="s">
        <v>2365</v>
      </c>
      <c r="E4504" s="26" t="b">
        <v>1</v>
      </c>
      <c r="F4504" s="27" t="str">
        <f>HYPERLINK("http://nsgreg.nga.mil/genc/view?v=213587&amp;end_month=12&amp;end_day=31&amp;end_year=2014","Tunis")</f>
        <v>Tunis</v>
      </c>
      <c r="G4504" s="28" t="str">
        <f>HYPERLINK("http://api.nsgreg.nga.mil/geo-division/GENC/6/ed3/TN-11","as:GENC:6:ed3:TN-11")</f>
        <v>as:GENC:6:ed3:TN-11</v>
      </c>
    </row>
    <row r="4505" spans="1:7" x14ac:dyDescent="0.2">
      <c r="A4505" s="86"/>
      <c r="B4505" s="29" t="s">
        <v>10615</v>
      </c>
      <c r="C4505" s="29" t="s">
        <v>10616</v>
      </c>
      <c r="D4505" s="29" t="s">
        <v>2365</v>
      </c>
      <c r="E4505" s="30" t="b">
        <v>1</v>
      </c>
      <c r="F4505" s="31" t="str">
        <f>HYPERLINK("http://nsgreg.nga.mil/genc/view?v=213592&amp;end_month=12&amp;end_day=31&amp;end_year=2014","Zaghouan")</f>
        <v>Zaghouan</v>
      </c>
      <c r="G4505" s="32" t="str">
        <f>HYPERLINK("http://api.nsgreg.nga.mil/geo-division/GENC/6/ed3/TN-22","as:GENC:6:ed3:TN-22")</f>
        <v>as:GENC:6:ed3:TN-22</v>
      </c>
    </row>
    <row r="4506" spans="1:7" x14ac:dyDescent="0.2">
      <c r="A4506" s="84" t="str">
        <f>HYPERLINK("[#]Codes_for_GE_Names!A259:I259","TURKEY")</f>
        <v>TURKEY</v>
      </c>
      <c r="B4506" s="33" t="s">
        <v>10617</v>
      </c>
      <c r="C4506" s="33" t="s">
        <v>10618</v>
      </c>
      <c r="D4506" s="33" t="s">
        <v>1719</v>
      </c>
      <c r="E4506" s="34" t="b">
        <v>1</v>
      </c>
      <c r="F4506" s="35" t="str">
        <f>HYPERLINK("http://nsgreg.nga.mil/genc/view?v=122305&amp;gencs=T&amp;end_month=12&amp;end_day=31&amp;end_year=2014","Adana")</f>
        <v>Adana</v>
      </c>
      <c r="G4506" s="36" t="str">
        <f>HYPERLINK("http://api.nsgreg.nga.mil/geo-division/GENC/6/ed3/TR-01","as:GENC:6:ed3:TR-01")</f>
        <v>as:GENC:6:ed3:TR-01</v>
      </c>
    </row>
    <row r="4507" spans="1:7" x14ac:dyDescent="0.2">
      <c r="A4507" s="85"/>
      <c r="B4507" s="25" t="s">
        <v>10619</v>
      </c>
      <c r="C4507" s="25" t="s">
        <v>10620</v>
      </c>
      <c r="D4507" s="25" t="s">
        <v>1719</v>
      </c>
      <c r="E4507" s="26" t="b">
        <v>1</v>
      </c>
      <c r="F4507" s="27" t="str">
        <f>HYPERLINK("http://nsgreg.nga.mil/genc/view?v=122306&amp;gencs=T&amp;end_month=12&amp;end_day=31&amp;end_year=2014","Adıyaman")</f>
        <v>Adıyaman</v>
      </c>
      <c r="G4507" s="28" t="str">
        <f>HYPERLINK("http://api.nsgreg.nga.mil/geo-division/GENC/6/ed3/TR-02","as:GENC:6:ed3:TR-02")</f>
        <v>as:GENC:6:ed3:TR-02</v>
      </c>
    </row>
    <row r="4508" spans="1:7" x14ac:dyDescent="0.2">
      <c r="A4508" s="85"/>
      <c r="B4508" s="25" t="s">
        <v>10621</v>
      </c>
      <c r="C4508" s="25" t="s">
        <v>10622</v>
      </c>
      <c r="D4508" s="25" t="s">
        <v>1719</v>
      </c>
      <c r="E4508" s="26" t="b">
        <v>1</v>
      </c>
      <c r="F4508" s="27" t="str">
        <f>HYPERLINK("http://nsgreg.nga.mil/genc/view?v=122307&amp;gencs=T&amp;end_month=12&amp;end_day=31&amp;end_year=2014","Afyonkarahisar")</f>
        <v>Afyonkarahisar</v>
      </c>
      <c r="G4508" s="28" t="str">
        <f>HYPERLINK("http://api.nsgreg.nga.mil/geo-division/GENC/6/ed3/TR-03","as:GENC:6:ed3:TR-03")</f>
        <v>as:GENC:6:ed3:TR-03</v>
      </c>
    </row>
    <row r="4509" spans="1:7" x14ac:dyDescent="0.2">
      <c r="A4509" s="85"/>
      <c r="B4509" s="25" t="s">
        <v>10637</v>
      </c>
      <c r="C4509" s="25" t="s">
        <v>10638</v>
      </c>
      <c r="D4509" s="25" t="s">
        <v>1719</v>
      </c>
      <c r="E4509" s="26" t="b">
        <v>1</v>
      </c>
      <c r="F4509" s="27" t="str">
        <f>HYPERLINK("http://nsgreg.nga.mil/genc/view?v=122308&amp;gencs=T&amp;end_month=12&amp;end_day=31&amp;end_year=2014","Ağrı")</f>
        <v>Ağrı</v>
      </c>
      <c r="G4509" s="28" t="str">
        <f>HYPERLINK("http://api.nsgreg.nga.mil/geo-division/GENC/6/ed3/TR-04","as:GENC:6:ed3:TR-04")</f>
        <v>as:GENC:6:ed3:TR-04</v>
      </c>
    </row>
    <row r="4510" spans="1:7" x14ac:dyDescent="0.2">
      <c r="A4510" s="85"/>
      <c r="B4510" s="25" t="s">
        <v>10623</v>
      </c>
      <c r="C4510" s="25" t="s">
        <v>10624</v>
      </c>
      <c r="D4510" s="25" t="s">
        <v>1719</v>
      </c>
      <c r="E4510" s="26" t="b">
        <v>1</v>
      </c>
      <c r="F4510" s="27" t="str">
        <f>HYPERLINK("http://nsgreg.nga.mil/genc/view?v=122372&amp;gencs=T&amp;end_month=12&amp;end_day=31&amp;end_year=2014","Aksaray")</f>
        <v>Aksaray</v>
      </c>
      <c r="G4510" s="28" t="str">
        <f>HYPERLINK("http://api.nsgreg.nga.mil/geo-division/GENC/6/ed3/TR-68","as:GENC:6:ed3:TR-68")</f>
        <v>as:GENC:6:ed3:TR-68</v>
      </c>
    </row>
    <row r="4511" spans="1:7" x14ac:dyDescent="0.2">
      <c r="A4511" s="85"/>
      <c r="B4511" s="25" t="s">
        <v>10625</v>
      </c>
      <c r="C4511" s="25" t="s">
        <v>10626</v>
      </c>
      <c r="D4511" s="25" t="s">
        <v>1719</v>
      </c>
      <c r="E4511" s="26" t="b">
        <v>1</v>
      </c>
      <c r="F4511" s="27" t="str">
        <f>HYPERLINK("http://nsgreg.nga.mil/genc/view?v=122309&amp;gencs=T&amp;end_month=12&amp;end_day=31&amp;end_year=2014","Amasya")</f>
        <v>Amasya</v>
      </c>
      <c r="G4511" s="28" t="str">
        <f>HYPERLINK("http://api.nsgreg.nga.mil/geo-division/GENC/6/ed3/TR-05","as:GENC:6:ed3:TR-05")</f>
        <v>as:GENC:6:ed3:TR-05</v>
      </c>
    </row>
    <row r="4512" spans="1:7" x14ac:dyDescent="0.2">
      <c r="A4512" s="85"/>
      <c r="B4512" s="25" t="s">
        <v>10627</v>
      </c>
      <c r="C4512" s="25" t="s">
        <v>10628</v>
      </c>
      <c r="D4512" s="25" t="s">
        <v>1719</v>
      </c>
      <c r="E4512" s="26" t="b">
        <v>1</v>
      </c>
      <c r="F4512" s="27" t="str">
        <f>HYPERLINK("http://nsgreg.nga.mil/genc/view?v=122310&amp;gencs=T&amp;end_month=12&amp;end_day=31&amp;end_year=2014","Ankara")</f>
        <v>Ankara</v>
      </c>
      <c r="G4512" s="28" t="str">
        <f>HYPERLINK("http://api.nsgreg.nga.mil/geo-division/GENC/6/ed3/TR-06","as:GENC:6:ed3:TR-06")</f>
        <v>as:GENC:6:ed3:TR-06</v>
      </c>
    </row>
    <row r="4513" spans="1:7" x14ac:dyDescent="0.2">
      <c r="A4513" s="85"/>
      <c r="B4513" s="25" t="s">
        <v>10629</v>
      </c>
      <c r="C4513" s="25" t="s">
        <v>10630</v>
      </c>
      <c r="D4513" s="25" t="s">
        <v>1719</v>
      </c>
      <c r="E4513" s="26" t="b">
        <v>1</v>
      </c>
      <c r="F4513" s="27" t="str">
        <f>HYPERLINK("http://nsgreg.nga.mil/genc/view?v=122311&amp;gencs=T&amp;end_month=12&amp;end_day=31&amp;end_year=2014","Antalya")</f>
        <v>Antalya</v>
      </c>
      <c r="G4513" s="28" t="str">
        <f>HYPERLINK("http://api.nsgreg.nga.mil/geo-division/GENC/6/ed3/TR-07","as:GENC:6:ed3:TR-07")</f>
        <v>as:GENC:6:ed3:TR-07</v>
      </c>
    </row>
    <row r="4514" spans="1:7" x14ac:dyDescent="0.2">
      <c r="A4514" s="85"/>
      <c r="B4514" s="25" t="s">
        <v>10631</v>
      </c>
      <c r="C4514" s="25" t="s">
        <v>10632</v>
      </c>
      <c r="D4514" s="25" t="s">
        <v>1719</v>
      </c>
      <c r="E4514" s="26" t="b">
        <v>1</v>
      </c>
      <c r="F4514" s="27" t="str">
        <f>HYPERLINK("http://nsgreg.nga.mil/genc/view?v=122379&amp;gencs=T&amp;end_month=12&amp;end_day=31&amp;end_year=2014","Ardahan")</f>
        <v>Ardahan</v>
      </c>
      <c r="G4514" s="28" t="str">
        <f>HYPERLINK("http://api.nsgreg.nga.mil/geo-division/GENC/6/ed3/TR-75","as:GENC:6:ed3:TR-75")</f>
        <v>as:GENC:6:ed3:TR-75</v>
      </c>
    </row>
    <row r="4515" spans="1:7" x14ac:dyDescent="0.2">
      <c r="A4515" s="85"/>
      <c r="B4515" s="25" t="s">
        <v>10633</v>
      </c>
      <c r="C4515" s="25" t="s">
        <v>10634</v>
      </c>
      <c r="D4515" s="25" t="s">
        <v>1719</v>
      </c>
      <c r="E4515" s="26" t="b">
        <v>1</v>
      </c>
      <c r="F4515" s="27" t="str">
        <f>HYPERLINK("http://nsgreg.nga.mil/genc/view?v=122312&amp;gencs=T&amp;end_month=12&amp;end_day=31&amp;end_year=2014","Artvin")</f>
        <v>Artvin</v>
      </c>
      <c r="G4515" s="28" t="str">
        <f>HYPERLINK("http://api.nsgreg.nga.mil/geo-division/GENC/6/ed3/TR-08","as:GENC:6:ed3:TR-08")</f>
        <v>as:GENC:6:ed3:TR-08</v>
      </c>
    </row>
    <row r="4516" spans="1:7" x14ac:dyDescent="0.2">
      <c r="A4516" s="85"/>
      <c r="B4516" s="25" t="s">
        <v>10635</v>
      </c>
      <c r="C4516" s="25" t="s">
        <v>10636</v>
      </c>
      <c r="D4516" s="25" t="s">
        <v>1719</v>
      </c>
      <c r="E4516" s="26" t="b">
        <v>1</v>
      </c>
      <c r="F4516" s="27" t="str">
        <f>HYPERLINK("http://nsgreg.nga.mil/genc/view?v=122313&amp;gencs=T&amp;end_month=12&amp;end_day=31&amp;end_year=2014","Aydın")</f>
        <v>Aydın</v>
      </c>
      <c r="G4516" s="28" t="str">
        <f>HYPERLINK("http://api.nsgreg.nga.mil/geo-division/GENC/6/ed3/TR-09","as:GENC:6:ed3:TR-09")</f>
        <v>as:GENC:6:ed3:TR-09</v>
      </c>
    </row>
    <row r="4517" spans="1:7" x14ac:dyDescent="0.2">
      <c r="A4517" s="85"/>
      <c r="B4517" s="25" t="s">
        <v>10639</v>
      </c>
      <c r="C4517" s="25" t="s">
        <v>10640</v>
      </c>
      <c r="D4517" s="25" t="s">
        <v>1719</v>
      </c>
      <c r="E4517" s="26" t="b">
        <v>1</v>
      </c>
      <c r="F4517" s="27" t="str">
        <f>HYPERLINK("http://nsgreg.nga.mil/genc/view?v=122314&amp;gencs=T&amp;end_month=12&amp;end_day=31&amp;end_year=2014","Balıkesir")</f>
        <v>Balıkesir</v>
      </c>
      <c r="G4517" s="28" t="str">
        <f>HYPERLINK("http://api.nsgreg.nga.mil/geo-division/GENC/6/ed3/TR-10","as:GENC:6:ed3:TR-10")</f>
        <v>as:GENC:6:ed3:TR-10</v>
      </c>
    </row>
    <row r="4518" spans="1:7" x14ac:dyDescent="0.2">
      <c r="A4518" s="85"/>
      <c r="B4518" s="25" t="s">
        <v>10641</v>
      </c>
      <c r="C4518" s="25" t="s">
        <v>10642</v>
      </c>
      <c r="D4518" s="25" t="s">
        <v>1719</v>
      </c>
      <c r="E4518" s="26" t="b">
        <v>1</v>
      </c>
      <c r="F4518" s="27" t="str">
        <f>HYPERLINK("http://nsgreg.nga.mil/genc/view?v=122378&amp;gencs=T&amp;end_month=12&amp;end_day=31&amp;end_year=2014","Bartın")</f>
        <v>Bartın</v>
      </c>
      <c r="G4518" s="28" t="str">
        <f>HYPERLINK("http://api.nsgreg.nga.mil/geo-division/GENC/6/ed3/TR-74","as:GENC:6:ed3:TR-74")</f>
        <v>as:GENC:6:ed3:TR-74</v>
      </c>
    </row>
    <row r="4519" spans="1:7" x14ac:dyDescent="0.2">
      <c r="A4519" s="85"/>
      <c r="B4519" s="25" t="s">
        <v>10643</v>
      </c>
      <c r="C4519" s="25" t="s">
        <v>10644</v>
      </c>
      <c r="D4519" s="25" t="s">
        <v>1719</v>
      </c>
      <c r="E4519" s="26" t="b">
        <v>1</v>
      </c>
      <c r="F4519" s="27" t="str">
        <f>HYPERLINK("http://nsgreg.nga.mil/genc/view?v=122376&amp;gencs=T&amp;end_month=12&amp;end_day=31&amp;end_year=2014","Batman")</f>
        <v>Batman</v>
      </c>
      <c r="G4519" s="28" t="str">
        <f>HYPERLINK("http://api.nsgreg.nga.mil/geo-division/GENC/6/ed3/TR-72","as:GENC:6:ed3:TR-72")</f>
        <v>as:GENC:6:ed3:TR-72</v>
      </c>
    </row>
    <row r="4520" spans="1:7" x14ac:dyDescent="0.2">
      <c r="A4520" s="85"/>
      <c r="B4520" s="25" t="s">
        <v>10645</v>
      </c>
      <c r="C4520" s="25" t="s">
        <v>10646</v>
      </c>
      <c r="D4520" s="25" t="s">
        <v>1719</v>
      </c>
      <c r="E4520" s="26" t="b">
        <v>1</v>
      </c>
      <c r="F4520" s="27" t="str">
        <f>HYPERLINK("http://nsgreg.nga.mil/genc/view?v=122373&amp;gencs=T&amp;end_month=12&amp;end_day=31&amp;end_year=2014","Bayburt")</f>
        <v>Bayburt</v>
      </c>
      <c r="G4520" s="28" t="str">
        <f>HYPERLINK("http://api.nsgreg.nga.mil/geo-division/GENC/6/ed3/TR-69","as:GENC:6:ed3:TR-69")</f>
        <v>as:GENC:6:ed3:TR-69</v>
      </c>
    </row>
    <row r="4521" spans="1:7" x14ac:dyDescent="0.2">
      <c r="A4521" s="85"/>
      <c r="B4521" s="25" t="s">
        <v>10647</v>
      </c>
      <c r="C4521" s="25" t="s">
        <v>10648</v>
      </c>
      <c r="D4521" s="25" t="s">
        <v>1719</v>
      </c>
      <c r="E4521" s="26" t="b">
        <v>1</v>
      </c>
      <c r="F4521" s="27" t="str">
        <f>HYPERLINK("http://nsgreg.nga.mil/genc/view?v=122315&amp;gencs=T&amp;end_month=12&amp;end_day=31&amp;end_year=2014","Bilecik")</f>
        <v>Bilecik</v>
      </c>
      <c r="G4521" s="28" t="str">
        <f>HYPERLINK("http://api.nsgreg.nga.mil/geo-division/GENC/6/ed3/TR-11","as:GENC:6:ed3:TR-11")</f>
        <v>as:GENC:6:ed3:TR-11</v>
      </c>
    </row>
    <row r="4522" spans="1:7" x14ac:dyDescent="0.2">
      <c r="A4522" s="85"/>
      <c r="B4522" s="25" t="s">
        <v>10649</v>
      </c>
      <c r="C4522" s="25" t="s">
        <v>10650</v>
      </c>
      <c r="D4522" s="25" t="s">
        <v>1719</v>
      </c>
      <c r="E4522" s="26" t="b">
        <v>1</v>
      </c>
      <c r="F4522" s="27" t="str">
        <f>HYPERLINK("http://nsgreg.nga.mil/genc/view?v=122316&amp;gencs=T&amp;end_month=12&amp;end_day=31&amp;end_year=2014","Bingöl")</f>
        <v>Bingöl</v>
      </c>
      <c r="G4522" s="28" t="str">
        <f>HYPERLINK("http://api.nsgreg.nga.mil/geo-division/GENC/6/ed3/TR-12","as:GENC:6:ed3:TR-12")</f>
        <v>as:GENC:6:ed3:TR-12</v>
      </c>
    </row>
    <row r="4523" spans="1:7" x14ac:dyDescent="0.2">
      <c r="A4523" s="85"/>
      <c r="B4523" s="25" t="s">
        <v>10651</v>
      </c>
      <c r="C4523" s="25" t="s">
        <v>10652</v>
      </c>
      <c r="D4523" s="25" t="s">
        <v>1719</v>
      </c>
      <c r="E4523" s="26" t="b">
        <v>1</v>
      </c>
      <c r="F4523" s="27" t="str">
        <f>HYPERLINK("http://nsgreg.nga.mil/genc/view?v=122317&amp;gencs=T&amp;end_month=12&amp;end_day=31&amp;end_year=2014","Bitlis")</f>
        <v>Bitlis</v>
      </c>
      <c r="G4523" s="28" t="str">
        <f>HYPERLINK("http://api.nsgreg.nga.mil/geo-division/GENC/6/ed3/TR-13","as:GENC:6:ed3:TR-13")</f>
        <v>as:GENC:6:ed3:TR-13</v>
      </c>
    </row>
    <row r="4524" spans="1:7" x14ac:dyDescent="0.2">
      <c r="A4524" s="85"/>
      <c r="B4524" s="25" t="s">
        <v>10653</v>
      </c>
      <c r="C4524" s="25" t="s">
        <v>10654</v>
      </c>
      <c r="D4524" s="25" t="s">
        <v>1719</v>
      </c>
      <c r="E4524" s="26" t="b">
        <v>1</v>
      </c>
      <c r="F4524" s="27" t="str">
        <f>HYPERLINK("http://nsgreg.nga.mil/genc/view?v=122318&amp;gencs=T&amp;end_month=12&amp;end_day=31&amp;end_year=2014","Bolu")</f>
        <v>Bolu</v>
      </c>
      <c r="G4524" s="28" t="str">
        <f>HYPERLINK("http://api.nsgreg.nga.mil/geo-division/GENC/6/ed3/TR-14","as:GENC:6:ed3:TR-14")</f>
        <v>as:GENC:6:ed3:TR-14</v>
      </c>
    </row>
    <row r="4525" spans="1:7" x14ac:dyDescent="0.2">
      <c r="A4525" s="85"/>
      <c r="B4525" s="25" t="s">
        <v>10655</v>
      </c>
      <c r="C4525" s="25" t="s">
        <v>10656</v>
      </c>
      <c r="D4525" s="25" t="s">
        <v>1719</v>
      </c>
      <c r="E4525" s="26" t="b">
        <v>1</v>
      </c>
      <c r="F4525" s="27" t="str">
        <f>HYPERLINK("http://nsgreg.nga.mil/genc/view?v=122319&amp;gencs=T&amp;end_month=12&amp;end_day=31&amp;end_year=2014","Burdur")</f>
        <v>Burdur</v>
      </c>
      <c r="G4525" s="28" t="str">
        <f>HYPERLINK("http://api.nsgreg.nga.mil/geo-division/GENC/6/ed3/TR-15","as:GENC:6:ed3:TR-15")</f>
        <v>as:GENC:6:ed3:TR-15</v>
      </c>
    </row>
    <row r="4526" spans="1:7" x14ac:dyDescent="0.2">
      <c r="A4526" s="85"/>
      <c r="B4526" s="25" t="s">
        <v>10657</v>
      </c>
      <c r="C4526" s="25" t="s">
        <v>10658</v>
      </c>
      <c r="D4526" s="25" t="s">
        <v>1719</v>
      </c>
      <c r="E4526" s="26" t="b">
        <v>1</v>
      </c>
      <c r="F4526" s="27" t="str">
        <f>HYPERLINK("http://nsgreg.nga.mil/genc/view?v=122320&amp;gencs=T&amp;end_month=12&amp;end_day=31&amp;end_year=2014","Bursa")</f>
        <v>Bursa</v>
      </c>
      <c r="G4526" s="28" t="str">
        <f>HYPERLINK("http://api.nsgreg.nga.mil/geo-division/GENC/6/ed3/TR-16","as:GENC:6:ed3:TR-16")</f>
        <v>as:GENC:6:ed3:TR-16</v>
      </c>
    </row>
    <row r="4527" spans="1:7" x14ac:dyDescent="0.2">
      <c r="A4527" s="85"/>
      <c r="B4527" s="25" t="s">
        <v>10765</v>
      </c>
      <c r="C4527" s="25" t="s">
        <v>10766</v>
      </c>
      <c r="D4527" s="25" t="s">
        <v>1719</v>
      </c>
      <c r="E4527" s="26" t="b">
        <v>1</v>
      </c>
      <c r="F4527" s="27" t="str">
        <f>HYPERLINK("http://nsgreg.nga.mil/genc/view?v=122321&amp;gencs=T&amp;end_month=12&amp;end_day=31&amp;end_year=2014","Çanakkale")</f>
        <v>Çanakkale</v>
      </c>
      <c r="G4527" s="28" t="str">
        <f>HYPERLINK("http://api.nsgreg.nga.mil/geo-division/GENC/6/ed3/TR-17","as:GENC:6:ed3:TR-17")</f>
        <v>as:GENC:6:ed3:TR-17</v>
      </c>
    </row>
    <row r="4528" spans="1:7" x14ac:dyDescent="0.2">
      <c r="A4528" s="85"/>
      <c r="B4528" s="25" t="s">
        <v>10767</v>
      </c>
      <c r="C4528" s="25" t="s">
        <v>10768</v>
      </c>
      <c r="D4528" s="25" t="s">
        <v>1719</v>
      </c>
      <c r="E4528" s="26" t="b">
        <v>1</v>
      </c>
      <c r="F4528" s="27" t="str">
        <f>HYPERLINK("http://nsgreg.nga.mil/genc/view?v=122322&amp;gencs=T&amp;end_month=12&amp;end_day=31&amp;end_year=2014","Çankırı")</f>
        <v>Çankırı</v>
      </c>
      <c r="G4528" s="28" t="str">
        <f>HYPERLINK("http://api.nsgreg.nga.mil/geo-division/GENC/6/ed3/TR-18","as:GENC:6:ed3:TR-18")</f>
        <v>as:GENC:6:ed3:TR-18</v>
      </c>
    </row>
    <row r="4529" spans="1:7" x14ac:dyDescent="0.2">
      <c r="A4529" s="85"/>
      <c r="B4529" s="25" t="s">
        <v>10769</v>
      </c>
      <c r="C4529" s="25" t="s">
        <v>10770</v>
      </c>
      <c r="D4529" s="25" t="s">
        <v>1719</v>
      </c>
      <c r="E4529" s="26" t="b">
        <v>1</v>
      </c>
      <c r="F4529" s="27" t="str">
        <f>HYPERLINK("http://nsgreg.nga.mil/genc/view?v=122323&amp;gencs=T&amp;end_month=12&amp;end_day=31&amp;end_year=2014","Çorum")</f>
        <v>Çorum</v>
      </c>
      <c r="G4529" s="28" t="str">
        <f>HYPERLINK("http://api.nsgreg.nga.mil/geo-division/GENC/6/ed3/TR-19","as:GENC:6:ed3:TR-19")</f>
        <v>as:GENC:6:ed3:TR-19</v>
      </c>
    </row>
    <row r="4530" spans="1:7" x14ac:dyDescent="0.2">
      <c r="A4530" s="85"/>
      <c r="B4530" s="25" t="s">
        <v>10659</v>
      </c>
      <c r="C4530" s="25" t="s">
        <v>10660</v>
      </c>
      <c r="D4530" s="25" t="s">
        <v>1719</v>
      </c>
      <c r="E4530" s="26" t="b">
        <v>1</v>
      </c>
      <c r="F4530" s="27" t="str">
        <f>HYPERLINK("http://nsgreg.nga.mil/genc/view?v=122324&amp;gencs=T&amp;end_month=12&amp;end_day=31&amp;end_year=2014","Denizli")</f>
        <v>Denizli</v>
      </c>
      <c r="G4530" s="28" t="str">
        <f>HYPERLINK("http://api.nsgreg.nga.mil/geo-division/GENC/6/ed3/TR-20","as:GENC:6:ed3:TR-20")</f>
        <v>as:GENC:6:ed3:TR-20</v>
      </c>
    </row>
    <row r="4531" spans="1:7" x14ac:dyDescent="0.2">
      <c r="A4531" s="85"/>
      <c r="B4531" s="25" t="s">
        <v>10661</v>
      </c>
      <c r="C4531" s="25" t="s">
        <v>10662</v>
      </c>
      <c r="D4531" s="25" t="s">
        <v>1719</v>
      </c>
      <c r="E4531" s="26" t="b">
        <v>1</v>
      </c>
      <c r="F4531" s="27" t="str">
        <f>HYPERLINK("http://nsgreg.nga.mil/genc/view?v=122325&amp;gencs=T&amp;end_month=12&amp;end_day=31&amp;end_year=2014","Diyarbakır")</f>
        <v>Diyarbakır</v>
      </c>
      <c r="G4531" s="28" t="str">
        <f>HYPERLINK("http://api.nsgreg.nga.mil/geo-division/GENC/6/ed3/TR-21","as:GENC:6:ed3:TR-21")</f>
        <v>as:GENC:6:ed3:TR-21</v>
      </c>
    </row>
    <row r="4532" spans="1:7" x14ac:dyDescent="0.2">
      <c r="A4532" s="85"/>
      <c r="B4532" s="25" t="s">
        <v>10663</v>
      </c>
      <c r="C4532" s="25" t="s">
        <v>10664</v>
      </c>
      <c r="D4532" s="25" t="s">
        <v>1719</v>
      </c>
      <c r="E4532" s="26" t="b">
        <v>1</v>
      </c>
      <c r="F4532" s="27" t="str">
        <f>HYPERLINK("http://nsgreg.nga.mil/genc/view?v=122385&amp;gencs=T&amp;end_month=12&amp;end_day=31&amp;end_year=2014","Düzce")</f>
        <v>Düzce</v>
      </c>
      <c r="G4532" s="28" t="str">
        <f>HYPERLINK("http://api.nsgreg.nga.mil/geo-division/GENC/6/ed3/TR-81","as:GENC:6:ed3:TR-81")</f>
        <v>as:GENC:6:ed3:TR-81</v>
      </c>
    </row>
    <row r="4533" spans="1:7" x14ac:dyDescent="0.2">
      <c r="A4533" s="85"/>
      <c r="B4533" s="25" t="s">
        <v>10665</v>
      </c>
      <c r="C4533" s="25" t="s">
        <v>10666</v>
      </c>
      <c r="D4533" s="25" t="s">
        <v>1719</v>
      </c>
      <c r="E4533" s="26" t="b">
        <v>1</v>
      </c>
      <c r="F4533" s="27" t="str">
        <f>HYPERLINK("http://nsgreg.nga.mil/genc/view?v=122326&amp;gencs=T&amp;end_month=12&amp;end_day=31&amp;end_year=2014","Edirne")</f>
        <v>Edirne</v>
      </c>
      <c r="G4533" s="28" t="str">
        <f>HYPERLINK("http://api.nsgreg.nga.mil/geo-division/GENC/6/ed3/TR-22","as:GENC:6:ed3:TR-22")</f>
        <v>as:GENC:6:ed3:TR-22</v>
      </c>
    </row>
    <row r="4534" spans="1:7" x14ac:dyDescent="0.2">
      <c r="A4534" s="85"/>
      <c r="B4534" s="25" t="s">
        <v>10667</v>
      </c>
      <c r="C4534" s="25" t="s">
        <v>10668</v>
      </c>
      <c r="D4534" s="25" t="s">
        <v>1719</v>
      </c>
      <c r="E4534" s="26" t="b">
        <v>1</v>
      </c>
      <c r="F4534" s="27" t="str">
        <f>HYPERLINK("http://nsgreg.nga.mil/genc/view?v=122327&amp;gencs=T&amp;end_month=12&amp;end_day=31&amp;end_year=2014","Elazığ")</f>
        <v>Elazığ</v>
      </c>
      <c r="G4534" s="28" t="str">
        <f>HYPERLINK("http://api.nsgreg.nga.mil/geo-division/GENC/6/ed3/TR-23","as:GENC:6:ed3:TR-23")</f>
        <v>as:GENC:6:ed3:TR-23</v>
      </c>
    </row>
    <row r="4535" spans="1:7" x14ac:dyDescent="0.2">
      <c r="A4535" s="85"/>
      <c r="B4535" s="25" t="s">
        <v>10669</v>
      </c>
      <c r="C4535" s="25" t="s">
        <v>10670</v>
      </c>
      <c r="D4535" s="25" t="s">
        <v>1719</v>
      </c>
      <c r="E4535" s="26" t="b">
        <v>1</v>
      </c>
      <c r="F4535" s="27" t="str">
        <f>HYPERLINK("http://nsgreg.nga.mil/genc/view?v=122328&amp;gencs=T&amp;end_month=12&amp;end_day=31&amp;end_year=2014","Erzincan")</f>
        <v>Erzincan</v>
      </c>
      <c r="G4535" s="28" t="str">
        <f>HYPERLINK("http://api.nsgreg.nga.mil/geo-division/GENC/6/ed3/TR-24","as:GENC:6:ed3:TR-24")</f>
        <v>as:GENC:6:ed3:TR-24</v>
      </c>
    </row>
    <row r="4536" spans="1:7" x14ac:dyDescent="0.2">
      <c r="A4536" s="85"/>
      <c r="B4536" s="25" t="s">
        <v>10671</v>
      </c>
      <c r="C4536" s="25" t="s">
        <v>10672</v>
      </c>
      <c r="D4536" s="25" t="s">
        <v>1719</v>
      </c>
      <c r="E4536" s="26" t="b">
        <v>1</v>
      </c>
      <c r="F4536" s="27" t="str">
        <f>HYPERLINK("http://nsgreg.nga.mil/genc/view?v=122329&amp;gencs=T&amp;end_month=12&amp;end_day=31&amp;end_year=2014","Erzurum")</f>
        <v>Erzurum</v>
      </c>
      <c r="G4536" s="28" t="str">
        <f>HYPERLINK("http://api.nsgreg.nga.mil/geo-division/GENC/6/ed3/TR-25","as:GENC:6:ed3:TR-25")</f>
        <v>as:GENC:6:ed3:TR-25</v>
      </c>
    </row>
    <row r="4537" spans="1:7" x14ac:dyDescent="0.2">
      <c r="A4537" s="85"/>
      <c r="B4537" s="25" t="s">
        <v>10673</v>
      </c>
      <c r="C4537" s="25" t="s">
        <v>10674</v>
      </c>
      <c r="D4537" s="25" t="s">
        <v>1719</v>
      </c>
      <c r="E4537" s="26" t="b">
        <v>1</v>
      </c>
      <c r="F4537" s="27" t="str">
        <f>HYPERLINK("http://nsgreg.nga.mil/genc/view?v=122330&amp;gencs=T&amp;end_month=12&amp;end_day=31&amp;end_year=2014","Eskişehir")</f>
        <v>Eskişehir</v>
      </c>
      <c r="G4537" s="28" t="str">
        <f>HYPERLINK("http://api.nsgreg.nga.mil/geo-division/GENC/6/ed3/TR-26","as:GENC:6:ed3:TR-26")</f>
        <v>as:GENC:6:ed3:TR-26</v>
      </c>
    </row>
    <row r="4538" spans="1:7" x14ac:dyDescent="0.2">
      <c r="A4538" s="85"/>
      <c r="B4538" s="25" t="s">
        <v>10675</v>
      </c>
      <c r="C4538" s="25" t="s">
        <v>10676</v>
      </c>
      <c r="D4538" s="25" t="s">
        <v>1719</v>
      </c>
      <c r="E4538" s="26" t="b">
        <v>1</v>
      </c>
      <c r="F4538" s="27" t="str">
        <f>HYPERLINK("http://nsgreg.nga.mil/genc/view?v=122331&amp;gencs=T&amp;end_month=12&amp;end_day=31&amp;end_year=2014","Gaziantep")</f>
        <v>Gaziantep</v>
      </c>
      <c r="G4538" s="28" t="str">
        <f>HYPERLINK("http://api.nsgreg.nga.mil/geo-division/GENC/6/ed3/TR-27","as:GENC:6:ed3:TR-27")</f>
        <v>as:GENC:6:ed3:TR-27</v>
      </c>
    </row>
    <row r="4539" spans="1:7" x14ac:dyDescent="0.2">
      <c r="A4539" s="85"/>
      <c r="B4539" s="25" t="s">
        <v>10677</v>
      </c>
      <c r="C4539" s="25" t="s">
        <v>10678</v>
      </c>
      <c r="D4539" s="25" t="s">
        <v>1719</v>
      </c>
      <c r="E4539" s="26" t="b">
        <v>1</v>
      </c>
      <c r="F4539" s="27" t="str">
        <f>HYPERLINK("http://nsgreg.nga.mil/genc/view?v=122332&amp;gencs=T&amp;end_month=12&amp;end_day=31&amp;end_year=2014","Giresun")</f>
        <v>Giresun</v>
      </c>
      <c r="G4539" s="28" t="str">
        <f>HYPERLINK("http://api.nsgreg.nga.mil/geo-division/GENC/6/ed3/TR-28","as:GENC:6:ed3:TR-28")</f>
        <v>as:GENC:6:ed3:TR-28</v>
      </c>
    </row>
    <row r="4540" spans="1:7" x14ac:dyDescent="0.2">
      <c r="A4540" s="85"/>
      <c r="B4540" s="25" t="s">
        <v>10679</v>
      </c>
      <c r="C4540" s="25" t="s">
        <v>10680</v>
      </c>
      <c r="D4540" s="25" t="s">
        <v>1719</v>
      </c>
      <c r="E4540" s="26" t="b">
        <v>1</v>
      </c>
      <c r="F4540" s="27" t="str">
        <f>HYPERLINK("http://nsgreg.nga.mil/genc/view?v=122333&amp;gencs=T&amp;end_month=12&amp;end_day=31&amp;end_year=2014","Gümüşhane")</f>
        <v>Gümüşhane</v>
      </c>
      <c r="G4540" s="28" t="str">
        <f>HYPERLINK("http://api.nsgreg.nga.mil/geo-division/GENC/6/ed3/TR-29","as:GENC:6:ed3:TR-29")</f>
        <v>as:GENC:6:ed3:TR-29</v>
      </c>
    </row>
    <row r="4541" spans="1:7" x14ac:dyDescent="0.2">
      <c r="A4541" s="85"/>
      <c r="B4541" s="25" t="s">
        <v>10681</v>
      </c>
      <c r="C4541" s="25" t="s">
        <v>10682</v>
      </c>
      <c r="D4541" s="25" t="s">
        <v>1719</v>
      </c>
      <c r="E4541" s="26" t="b">
        <v>1</v>
      </c>
      <c r="F4541" s="27" t="str">
        <f>HYPERLINK("http://nsgreg.nga.mil/genc/view?v=122334&amp;gencs=T&amp;end_month=12&amp;end_day=31&amp;end_year=2014","Hakkâri")</f>
        <v>Hakkâri</v>
      </c>
      <c r="G4541" s="28" t="str">
        <f>HYPERLINK("http://api.nsgreg.nga.mil/geo-division/GENC/6/ed3/TR-30","as:GENC:6:ed3:TR-30")</f>
        <v>as:GENC:6:ed3:TR-30</v>
      </c>
    </row>
    <row r="4542" spans="1:7" x14ac:dyDescent="0.2">
      <c r="A4542" s="85"/>
      <c r="B4542" s="25" t="s">
        <v>10683</v>
      </c>
      <c r="C4542" s="25" t="s">
        <v>10684</v>
      </c>
      <c r="D4542" s="25" t="s">
        <v>1719</v>
      </c>
      <c r="E4542" s="26" t="b">
        <v>1</v>
      </c>
      <c r="F4542" s="27" t="str">
        <f>HYPERLINK("http://nsgreg.nga.mil/genc/view?v=122335&amp;gencs=T&amp;end_month=12&amp;end_day=31&amp;end_year=2014","Hatay")</f>
        <v>Hatay</v>
      </c>
      <c r="G4542" s="28" t="str">
        <f>HYPERLINK("http://api.nsgreg.nga.mil/geo-division/GENC/6/ed3/TR-31","as:GENC:6:ed3:TR-31")</f>
        <v>as:GENC:6:ed3:TR-31</v>
      </c>
    </row>
    <row r="4543" spans="1:7" x14ac:dyDescent="0.2">
      <c r="A4543" s="85"/>
      <c r="B4543" s="25" t="s">
        <v>10687</v>
      </c>
      <c r="C4543" s="25" t="s">
        <v>10688</v>
      </c>
      <c r="D4543" s="25" t="s">
        <v>1719</v>
      </c>
      <c r="E4543" s="26" t="b">
        <v>1</v>
      </c>
      <c r="F4543" s="27" t="str">
        <f>HYPERLINK("http://nsgreg.nga.mil/genc/view?v=122380&amp;gencs=T&amp;end_month=12&amp;end_day=31&amp;end_year=2014","Iğdır")</f>
        <v>Iğdır</v>
      </c>
      <c r="G4543" s="28" t="str">
        <f>HYPERLINK("http://api.nsgreg.nga.mil/geo-division/GENC/6/ed3/TR-76","as:GENC:6:ed3:TR-76")</f>
        <v>as:GENC:6:ed3:TR-76</v>
      </c>
    </row>
    <row r="4544" spans="1:7" x14ac:dyDescent="0.2">
      <c r="A4544" s="85"/>
      <c r="B4544" s="25" t="s">
        <v>10685</v>
      </c>
      <c r="C4544" s="25" t="s">
        <v>10686</v>
      </c>
      <c r="D4544" s="25" t="s">
        <v>1719</v>
      </c>
      <c r="E4544" s="26" t="b">
        <v>1</v>
      </c>
      <c r="F4544" s="27" t="str">
        <f>HYPERLINK("http://nsgreg.nga.mil/genc/view?v=122336&amp;gencs=T&amp;end_month=12&amp;end_day=31&amp;end_year=2014","Isparta")</f>
        <v>Isparta</v>
      </c>
      <c r="G4544" s="28" t="str">
        <f>HYPERLINK("http://api.nsgreg.nga.mil/geo-division/GENC/6/ed3/TR-32","as:GENC:6:ed3:TR-32")</f>
        <v>as:GENC:6:ed3:TR-32</v>
      </c>
    </row>
    <row r="4545" spans="1:7" x14ac:dyDescent="0.2">
      <c r="A4545" s="85"/>
      <c r="B4545" s="25" t="s">
        <v>10771</v>
      </c>
      <c r="C4545" s="25" t="s">
        <v>10772</v>
      </c>
      <c r="D4545" s="25" t="s">
        <v>1719</v>
      </c>
      <c r="E4545" s="26" t="b">
        <v>1</v>
      </c>
      <c r="F4545" s="27" t="str">
        <f>HYPERLINK("http://nsgreg.nga.mil/genc/view?v=122338&amp;gencs=T&amp;end_month=12&amp;end_day=31&amp;end_year=2014","İstanbul")</f>
        <v>İstanbul</v>
      </c>
      <c r="G4545" s="28" t="str">
        <f>HYPERLINK("http://api.nsgreg.nga.mil/geo-division/GENC/6/ed3/TR-34","as:GENC:6:ed3:TR-34")</f>
        <v>as:GENC:6:ed3:TR-34</v>
      </c>
    </row>
    <row r="4546" spans="1:7" x14ac:dyDescent="0.2">
      <c r="A4546" s="85"/>
      <c r="B4546" s="25" t="s">
        <v>10773</v>
      </c>
      <c r="C4546" s="25" t="s">
        <v>10774</v>
      </c>
      <c r="D4546" s="25" t="s">
        <v>1719</v>
      </c>
      <c r="E4546" s="26" t="b">
        <v>1</v>
      </c>
      <c r="F4546" s="27" t="str">
        <f>HYPERLINK("http://nsgreg.nga.mil/genc/view?v=122339&amp;gencs=T&amp;end_month=12&amp;end_day=31&amp;end_year=2014","İzmir")</f>
        <v>İzmir</v>
      </c>
      <c r="G4546" s="28" t="str">
        <f>HYPERLINK("http://api.nsgreg.nga.mil/geo-division/GENC/6/ed3/TR-35","as:GENC:6:ed3:TR-35")</f>
        <v>as:GENC:6:ed3:TR-35</v>
      </c>
    </row>
    <row r="4547" spans="1:7" x14ac:dyDescent="0.2">
      <c r="A4547" s="85"/>
      <c r="B4547" s="25" t="s">
        <v>10689</v>
      </c>
      <c r="C4547" s="25" t="s">
        <v>10690</v>
      </c>
      <c r="D4547" s="25" t="s">
        <v>1719</v>
      </c>
      <c r="E4547" s="26" t="b">
        <v>1</v>
      </c>
      <c r="F4547" s="27" t="str">
        <f>HYPERLINK("http://nsgreg.nga.mil/genc/view?v=122350&amp;gencs=T&amp;end_month=12&amp;end_day=31&amp;end_year=2014","Kahramanmaraş")</f>
        <v>Kahramanmaraş</v>
      </c>
      <c r="G4547" s="28" t="str">
        <f>HYPERLINK("http://api.nsgreg.nga.mil/geo-division/GENC/6/ed3/TR-46","as:GENC:6:ed3:TR-46")</f>
        <v>as:GENC:6:ed3:TR-46</v>
      </c>
    </row>
    <row r="4548" spans="1:7" x14ac:dyDescent="0.2">
      <c r="A4548" s="85"/>
      <c r="B4548" s="25" t="s">
        <v>10691</v>
      </c>
      <c r="C4548" s="25" t="s">
        <v>10692</v>
      </c>
      <c r="D4548" s="25" t="s">
        <v>1719</v>
      </c>
      <c r="E4548" s="26" t="b">
        <v>1</v>
      </c>
      <c r="F4548" s="27" t="str">
        <f>HYPERLINK("http://nsgreg.nga.mil/genc/view?v=122382&amp;gencs=T&amp;end_month=12&amp;end_day=31&amp;end_year=2014","Karabük")</f>
        <v>Karabük</v>
      </c>
      <c r="G4548" s="28" t="str">
        <f>HYPERLINK("http://api.nsgreg.nga.mil/geo-division/GENC/6/ed3/TR-78","as:GENC:6:ed3:TR-78")</f>
        <v>as:GENC:6:ed3:TR-78</v>
      </c>
    </row>
    <row r="4549" spans="1:7" x14ac:dyDescent="0.2">
      <c r="A4549" s="85"/>
      <c r="B4549" s="25" t="s">
        <v>10693</v>
      </c>
      <c r="C4549" s="25" t="s">
        <v>10694</v>
      </c>
      <c r="D4549" s="25" t="s">
        <v>1719</v>
      </c>
      <c r="E4549" s="26" t="b">
        <v>1</v>
      </c>
      <c r="F4549" s="27" t="str">
        <f>HYPERLINK("http://nsgreg.nga.mil/genc/view?v=122374&amp;gencs=T&amp;end_month=12&amp;end_day=31&amp;end_year=2014","Karaman")</f>
        <v>Karaman</v>
      </c>
      <c r="G4549" s="28" t="str">
        <f>HYPERLINK("http://api.nsgreg.nga.mil/geo-division/GENC/6/ed3/TR-70","as:GENC:6:ed3:TR-70")</f>
        <v>as:GENC:6:ed3:TR-70</v>
      </c>
    </row>
    <row r="4550" spans="1:7" x14ac:dyDescent="0.2">
      <c r="A4550" s="85"/>
      <c r="B4550" s="25" t="s">
        <v>10695</v>
      </c>
      <c r="C4550" s="25" t="s">
        <v>10696</v>
      </c>
      <c r="D4550" s="25" t="s">
        <v>1719</v>
      </c>
      <c r="E4550" s="26" t="b">
        <v>1</v>
      </c>
      <c r="F4550" s="27" t="str">
        <f>HYPERLINK("http://nsgreg.nga.mil/genc/view?v=122340&amp;gencs=T&amp;end_month=12&amp;end_day=31&amp;end_year=2014","Kars")</f>
        <v>Kars</v>
      </c>
      <c r="G4550" s="28" t="str">
        <f>HYPERLINK("http://api.nsgreg.nga.mil/geo-division/GENC/6/ed3/TR-36","as:GENC:6:ed3:TR-36")</f>
        <v>as:GENC:6:ed3:TR-36</v>
      </c>
    </row>
    <row r="4551" spans="1:7" x14ac:dyDescent="0.2">
      <c r="A4551" s="85"/>
      <c r="B4551" s="25" t="s">
        <v>10697</v>
      </c>
      <c r="C4551" s="25" t="s">
        <v>10698</v>
      </c>
      <c r="D4551" s="25" t="s">
        <v>1719</v>
      </c>
      <c r="E4551" s="26" t="b">
        <v>1</v>
      </c>
      <c r="F4551" s="27" t="str">
        <f>HYPERLINK("http://nsgreg.nga.mil/genc/view?v=122341&amp;gencs=T&amp;end_month=12&amp;end_day=31&amp;end_year=2014","Kastamonu")</f>
        <v>Kastamonu</v>
      </c>
      <c r="G4551" s="28" t="str">
        <f>HYPERLINK("http://api.nsgreg.nga.mil/geo-division/GENC/6/ed3/TR-37","as:GENC:6:ed3:TR-37")</f>
        <v>as:GENC:6:ed3:TR-37</v>
      </c>
    </row>
    <row r="4552" spans="1:7" x14ac:dyDescent="0.2">
      <c r="A4552" s="85"/>
      <c r="B4552" s="25" t="s">
        <v>10699</v>
      </c>
      <c r="C4552" s="25" t="s">
        <v>10700</v>
      </c>
      <c r="D4552" s="25" t="s">
        <v>1719</v>
      </c>
      <c r="E4552" s="26" t="b">
        <v>1</v>
      </c>
      <c r="F4552" s="27" t="str">
        <f>HYPERLINK("http://nsgreg.nga.mil/genc/view?v=122342&amp;gencs=T&amp;end_month=12&amp;end_day=31&amp;end_year=2014","Kayseri")</f>
        <v>Kayseri</v>
      </c>
      <c r="G4552" s="28" t="str">
        <f>HYPERLINK("http://api.nsgreg.nga.mil/geo-division/GENC/6/ed3/TR-38","as:GENC:6:ed3:TR-38")</f>
        <v>as:GENC:6:ed3:TR-38</v>
      </c>
    </row>
    <row r="4553" spans="1:7" x14ac:dyDescent="0.2">
      <c r="A4553" s="85"/>
      <c r="B4553" s="25" t="s">
        <v>10701</v>
      </c>
      <c r="C4553" s="25" t="s">
        <v>10702</v>
      </c>
      <c r="D4553" s="25" t="s">
        <v>1719</v>
      </c>
      <c r="E4553" s="26" t="b">
        <v>1</v>
      </c>
      <c r="F4553" s="27" t="str">
        <f>HYPERLINK("http://nsgreg.nga.mil/genc/view?v=122383&amp;gencs=T&amp;end_month=12&amp;end_day=31&amp;end_year=2014","Kilis")</f>
        <v>Kilis</v>
      </c>
      <c r="G4553" s="28" t="str">
        <f>HYPERLINK("http://api.nsgreg.nga.mil/geo-division/GENC/6/ed3/TR-79","as:GENC:6:ed3:TR-79")</f>
        <v>as:GENC:6:ed3:TR-79</v>
      </c>
    </row>
    <row r="4554" spans="1:7" x14ac:dyDescent="0.2">
      <c r="A4554" s="85"/>
      <c r="B4554" s="25" t="s">
        <v>10711</v>
      </c>
      <c r="C4554" s="25" t="s">
        <v>10712</v>
      </c>
      <c r="D4554" s="25" t="s">
        <v>1719</v>
      </c>
      <c r="E4554" s="26" t="b">
        <v>1</v>
      </c>
      <c r="F4554" s="27" t="str">
        <f>HYPERLINK("http://nsgreg.nga.mil/genc/view?v=122375&amp;gencs=T&amp;end_month=12&amp;end_day=31&amp;end_year=2014","Kırıkkale")</f>
        <v>Kırıkkale</v>
      </c>
      <c r="G4554" s="28" t="str">
        <f>HYPERLINK("http://api.nsgreg.nga.mil/geo-division/GENC/6/ed3/TR-71","as:GENC:6:ed3:TR-71")</f>
        <v>as:GENC:6:ed3:TR-71</v>
      </c>
    </row>
    <row r="4555" spans="1:7" x14ac:dyDescent="0.2">
      <c r="A4555" s="85"/>
      <c r="B4555" s="25" t="s">
        <v>10709</v>
      </c>
      <c r="C4555" s="25" t="s">
        <v>10710</v>
      </c>
      <c r="D4555" s="25" t="s">
        <v>1719</v>
      </c>
      <c r="E4555" s="26" t="b">
        <v>1</v>
      </c>
      <c r="F4555" s="27" t="str">
        <f>HYPERLINK("http://nsgreg.nga.mil/genc/view?v=122343&amp;gencs=T&amp;end_month=12&amp;end_day=31&amp;end_year=2014","Kırklareli")</f>
        <v>Kırklareli</v>
      </c>
      <c r="G4555" s="28" t="str">
        <f>HYPERLINK("http://api.nsgreg.nga.mil/geo-division/GENC/6/ed3/TR-39","as:GENC:6:ed3:TR-39")</f>
        <v>as:GENC:6:ed3:TR-39</v>
      </c>
    </row>
    <row r="4556" spans="1:7" x14ac:dyDescent="0.2">
      <c r="A4556" s="85"/>
      <c r="B4556" s="25" t="s">
        <v>10713</v>
      </c>
      <c r="C4556" s="25" t="s">
        <v>10714</v>
      </c>
      <c r="D4556" s="25" t="s">
        <v>1719</v>
      </c>
      <c r="E4556" s="26" t="b">
        <v>1</v>
      </c>
      <c r="F4556" s="27" t="str">
        <f>HYPERLINK("http://nsgreg.nga.mil/genc/view?v=122344&amp;gencs=T&amp;end_month=12&amp;end_day=31&amp;end_year=2014","Kırşehir")</f>
        <v>Kırşehir</v>
      </c>
      <c r="G4556" s="28" t="str">
        <f>HYPERLINK("http://api.nsgreg.nga.mil/geo-division/GENC/6/ed3/TR-40","as:GENC:6:ed3:TR-40")</f>
        <v>as:GENC:6:ed3:TR-40</v>
      </c>
    </row>
    <row r="4557" spans="1:7" x14ac:dyDescent="0.2">
      <c r="A4557" s="85"/>
      <c r="B4557" s="25" t="s">
        <v>10703</v>
      </c>
      <c r="C4557" s="25" t="s">
        <v>10704</v>
      </c>
      <c r="D4557" s="25" t="s">
        <v>1719</v>
      </c>
      <c r="E4557" s="26" t="b">
        <v>1</v>
      </c>
      <c r="F4557" s="27" t="str">
        <f>HYPERLINK("http://nsgreg.nga.mil/genc/view?v=122345&amp;gencs=T&amp;end_month=12&amp;end_day=31&amp;end_year=2014","Kocaeli")</f>
        <v>Kocaeli</v>
      </c>
      <c r="G4557" s="28" t="str">
        <f>HYPERLINK("http://api.nsgreg.nga.mil/geo-division/GENC/6/ed3/TR-41","as:GENC:6:ed3:TR-41")</f>
        <v>as:GENC:6:ed3:TR-41</v>
      </c>
    </row>
    <row r="4558" spans="1:7" x14ac:dyDescent="0.2">
      <c r="A4558" s="85"/>
      <c r="B4558" s="25" t="s">
        <v>10705</v>
      </c>
      <c r="C4558" s="25" t="s">
        <v>10706</v>
      </c>
      <c r="D4558" s="25" t="s">
        <v>1719</v>
      </c>
      <c r="E4558" s="26" t="b">
        <v>1</v>
      </c>
      <c r="F4558" s="27" t="str">
        <f>HYPERLINK("http://nsgreg.nga.mil/genc/view?v=122346&amp;gencs=T&amp;end_month=12&amp;end_day=31&amp;end_year=2014","Konya")</f>
        <v>Konya</v>
      </c>
      <c r="G4558" s="28" t="str">
        <f>HYPERLINK("http://api.nsgreg.nga.mil/geo-division/GENC/6/ed3/TR-42","as:GENC:6:ed3:TR-42")</f>
        <v>as:GENC:6:ed3:TR-42</v>
      </c>
    </row>
    <row r="4559" spans="1:7" x14ac:dyDescent="0.2">
      <c r="A4559" s="85"/>
      <c r="B4559" s="25" t="s">
        <v>10707</v>
      </c>
      <c r="C4559" s="25" t="s">
        <v>10708</v>
      </c>
      <c r="D4559" s="25" t="s">
        <v>1719</v>
      </c>
      <c r="E4559" s="26" t="b">
        <v>1</v>
      </c>
      <c r="F4559" s="27" t="str">
        <f>HYPERLINK("http://nsgreg.nga.mil/genc/view?v=122347&amp;gencs=T&amp;end_month=12&amp;end_day=31&amp;end_year=2014","Kütahya")</f>
        <v>Kütahya</v>
      </c>
      <c r="G4559" s="28" t="str">
        <f>HYPERLINK("http://api.nsgreg.nga.mil/geo-division/GENC/6/ed3/TR-43","as:GENC:6:ed3:TR-43")</f>
        <v>as:GENC:6:ed3:TR-43</v>
      </c>
    </row>
    <row r="4560" spans="1:7" x14ac:dyDescent="0.2">
      <c r="A4560" s="85"/>
      <c r="B4560" s="25" t="s">
        <v>10715</v>
      </c>
      <c r="C4560" s="25" t="s">
        <v>10716</v>
      </c>
      <c r="D4560" s="25" t="s">
        <v>1719</v>
      </c>
      <c r="E4560" s="26" t="b">
        <v>1</v>
      </c>
      <c r="F4560" s="27" t="str">
        <f>HYPERLINK("http://nsgreg.nga.mil/genc/view?v=122348&amp;gencs=T&amp;end_month=12&amp;end_day=31&amp;end_year=2014","Malatya")</f>
        <v>Malatya</v>
      </c>
      <c r="G4560" s="28" t="str">
        <f>HYPERLINK("http://api.nsgreg.nga.mil/geo-division/GENC/6/ed3/TR-44","as:GENC:6:ed3:TR-44")</f>
        <v>as:GENC:6:ed3:TR-44</v>
      </c>
    </row>
    <row r="4561" spans="1:7" x14ac:dyDescent="0.2">
      <c r="A4561" s="85"/>
      <c r="B4561" s="25" t="s">
        <v>10717</v>
      </c>
      <c r="C4561" s="25" t="s">
        <v>10718</v>
      </c>
      <c r="D4561" s="25" t="s">
        <v>1719</v>
      </c>
      <c r="E4561" s="26" t="b">
        <v>1</v>
      </c>
      <c r="F4561" s="27" t="str">
        <f>HYPERLINK("http://nsgreg.nga.mil/genc/view?v=122349&amp;gencs=T&amp;end_month=12&amp;end_day=31&amp;end_year=2014","Manisa")</f>
        <v>Manisa</v>
      </c>
      <c r="G4561" s="28" t="str">
        <f>HYPERLINK("http://api.nsgreg.nga.mil/geo-division/GENC/6/ed3/TR-45","as:GENC:6:ed3:TR-45")</f>
        <v>as:GENC:6:ed3:TR-45</v>
      </c>
    </row>
    <row r="4562" spans="1:7" x14ac:dyDescent="0.2">
      <c r="A4562" s="85"/>
      <c r="B4562" s="25" t="s">
        <v>10719</v>
      </c>
      <c r="C4562" s="25" t="s">
        <v>10720</v>
      </c>
      <c r="D4562" s="25" t="s">
        <v>1719</v>
      </c>
      <c r="E4562" s="26" t="b">
        <v>1</v>
      </c>
      <c r="F4562" s="27" t="str">
        <f>HYPERLINK("http://nsgreg.nga.mil/genc/view?v=122351&amp;gencs=T&amp;end_month=12&amp;end_day=31&amp;end_year=2014","Mardin")</f>
        <v>Mardin</v>
      </c>
      <c r="G4562" s="28" t="str">
        <f>HYPERLINK("http://api.nsgreg.nga.mil/geo-division/GENC/6/ed3/TR-47","as:GENC:6:ed3:TR-47")</f>
        <v>as:GENC:6:ed3:TR-47</v>
      </c>
    </row>
    <row r="4563" spans="1:7" x14ac:dyDescent="0.2">
      <c r="A4563" s="85"/>
      <c r="B4563" s="25" t="s">
        <v>10721</v>
      </c>
      <c r="C4563" s="25" t="s">
        <v>10722</v>
      </c>
      <c r="D4563" s="25" t="s">
        <v>1719</v>
      </c>
      <c r="E4563" s="26" t="b">
        <v>1</v>
      </c>
      <c r="F4563" s="27" t="str">
        <f>HYPERLINK("http://nsgreg.nga.mil/genc/view?v=122337&amp;gencs=T&amp;end_month=12&amp;end_day=31&amp;end_year=2014","Mersin")</f>
        <v>Mersin</v>
      </c>
      <c r="G4563" s="28" t="str">
        <f>HYPERLINK("http://api.nsgreg.nga.mil/geo-division/GENC/6/ed3/TR-33","as:GENC:6:ed3:TR-33")</f>
        <v>as:GENC:6:ed3:TR-33</v>
      </c>
    </row>
    <row r="4564" spans="1:7" x14ac:dyDescent="0.2">
      <c r="A4564" s="85"/>
      <c r="B4564" s="25" t="s">
        <v>10723</v>
      </c>
      <c r="C4564" s="25" t="s">
        <v>10724</v>
      </c>
      <c r="D4564" s="25" t="s">
        <v>1719</v>
      </c>
      <c r="E4564" s="26" t="b">
        <v>1</v>
      </c>
      <c r="F4564" s="27" t="str">
        <f>HYPERLINK("http://nsgreg.nga.mil/genc/view?v=122352&amp;gencs=T&amp;end_month=12&amp;end_day=31&amp;end_year=2014","Muğla")</f>
        <v>Muğla</v>
      </c>
      <c r="G4564" s="28" t="str">
        <f>HYPERLINK("http://api.nsgreg.nga.mil/geo-division/GENC/6/ed3/TR-48","as:GENC:6:ed3:TR-48")</f>
        <v>as:GENC:6:ed3:TR-48</v>
      </c>
    </row>
    <row r="4565" spans="1:7" x14ac:dyDescent="0.2">
      <c r="A4565" s="85"/>
      <c r="B4565" s="25" t="s">
        <v>10725</v>
      </c>
      <c r="C4565" s="25" t="s">
        <v>10726</v>
      </c>
      <c r="D4565" s="25" t="s">
        <v>1719</v>
      </c>
      <c r="E4565" s="26" t="b">
        <v>1</v>
      </c>
      <c r="F4565" s="27" t="str">
        <f>HYPERLINK("http://nsgreg.nga.mil/genc/view?v=122353&amp;gencs=T&amp;end_month=12&amp;end_day=31&amp;end_year=2014","Muş")</f>
        <v>Muş</v>
      </c>
      <c r="G4565" s="28" t="str">
        <f>HYPERLINK("http://api.nsgreg.nga.mil/geo-division/GENC/6/ed3/TR-49","as:GENC:6:ed3:TR-49")</f>
        <v>as:GENC:6:ed3:TR-49</v>
      </c>
    </row>
    <row r="4566" spans="1:7" x14ac:dyDescent="0.2">
      <c r="A4566" s="85"/>
      <c r="B4566" s="25" t="s">
        <v>10727</v>
      </c>
      <c r="C4566" s="25" t="s">
        <v>10728</v>
      </c>
      <c r="D4566" s="25" t="s">
        <v>1719</v>
      </c>
      <c r="E4566" s="26" t="b">
        <v>1</v>
      </c>
      <c r="F4566" s="27" t="str">
        <f>HYPERLINK("http://nsgreg.nga.mil/genc/view?v=122354&amp;gencs=T&amp;end_month=12&amp;end_day=31&amp;end_year=2014","Nevşehir")</f>
        <v>Nevşehir</v>
      </c>
      <c r="G4566" s="28" t="str">
        <f>HYPERLINK("http://api.nsgreg.nga.mil/geo-division/GENC/6/ed3/TR-50","as:GENC:6:ed3:TR-50")</f>
        <v>as:GENC:6:ed3:TR-50</v>
      </c>
    </row>
    <row r="4567" spans="1:7" x14ac:dyDescent="0.2">
      <c r="A4567" s="85"/>
      <c r="B4567" s="25" t="s">
        <v>10729</v>
      </c>
      <c r="C4567" s="25" t="s">
        <v>10730</v>
      </c>
      <c r="D4567" s="25" t="s">
        <v>1719</v>
      </c>
      <c r="E4567" s="26" t="b">
        <v>1</v>
      </c>
      <c r="F4567" s="27" t="str">
        <f>HYPERLINK("http://nsgreg.nga.mil/genc/view?v=122355&amp;gencs=T&amp;end_month=12&amp;end_day=31&amp;end_year=2014","Niğde")</f>
        <v>Niğde</v>
      </c>
      <c r="G4567" s="28" t="str">
        <f>HYPERLINK("http://api.nsgreg.nga.mil/geo-division/GENC/6/ed3/TR-51","as:GENC:6:ed3:TR-51")</f>
        <v>as:GENC:6:ed3:TR-51</v>
      </c>
    </row>
    <row r="4568" spans="1:7" x14ac:dyDescent="0.2">
      <c r="A4568" s="85"/>
      <c r="B4568" s="25" t="s">
        <v>10731</v>
      </c>
      <c r="C4568" s="25" t="s">
        <v>10732</v>
      </c>
      <c r="D4568" s="25" t="s">
        <v>1719</v>
      </c>
      <c r="E4568" s="26" t="b">
        <v>1</v>
      </c>
      <c r="F4568" s="27" t="str">
        <f>HYPERLINK("http://nsgreg.nga.mil/genc/view?v=122356&amp;gencs=T&amp;end_month=12&amp;end_day=31&amp;end_year=2014","Ordu")</f>
        <v>Ordu</v>
      </c>
      <c r="G4568" s="28" t="str">
        <f>HYPERLINK("http://api.nsgreg.nga.mil/geo-division/GENC/6/ed3/TR-52","as:GENC:6:ed3:TR-52")</f>
        <v>as:GENC:6:ed3:TR-52</v>
      </c>
    </row>
    <row r="4569" spans="1:7" x14ac:dyDescent="0.2">
      <c r="A4569" s="85"/>
      <c r="B4569" s="25" t="s">
        <v>10733</v>
      </c>
      <c r="C4569" s="25" t="s">
        <v>10734</v>
      </c>
      <c r="D4569" s="25" t="s">
        <v>1719</v>
      </c>
      <c r="E4569" s="26" t="b">
        <v>1</v>
      </c>
      <c r="F4569" s="27" t="str">
        <f>HYPERLINK("http://nsgreg.nga.mil/genc/view?v=122384&amp;gencs=T&amp;end_month=12&amp;end_day=31&amp;end_year=2014","Osmaniye")</f>
        <v>Osmaniye</v>
      </c>
      <c r="G4569" s="28" t="str">
        <f>HYPERLINK("http://api.nsgreg.nga.mil/geo-division/GENC/6/ed3/TR-80","as:GENC:6:ed3:TR-80")</f>
        <v>as:GENC:6:ed3:TR-80</v>
      </c>
    </row>
    <row r="4570" spans="1:7" x14ac:dyDescent="0.2">
      <c r="A4570" s="85"/>
      <c r="B4570" s="25" t="s">
        <v>10735</v>
      </c>
      <c r="C4570" s="25" t="s">
        <v>10736</v>
      </c>
      <c r="D4570" s="25" t="s">
        <v>1719</v>
      </c>
      <c r="E4570" s="26" t="b">
        <v>1</v>
      </c>
      <c r="F4570" s="27" t="str">
        <f>HYPERLINK("http://nsgreg.nga.mil/genc/view?v=122357&amp;gencs=T&amp;end_month=12&amp;end_day=31&amp;end_year=2014","Rize")</f>
        <v>Rize</v>
      </c>
      <c r="G4570" s="28" t="str">
        <f>HYPERLINK("http://api.nsgreg.nga.mil/geo-division/GENC/6/ed3/TR-53","as:GENC:6:ed3:TR-53")</f>
        <v>as:GENC:6:ed3:TR-53</v>
      </c>
    </row>
    <row r="4571" spans="1:7" x14ac:dyDescent="0.2">
      <c r="A4571" s="85"/>
      <c r="B4571" s="25" t="s">
        <v>10737</v>
      </c>
      <c r="C4571" s="25" t="s">
        <v>10738</v>
      </c>
      <c r="D4571" s="25" t="s">
        <v>1719</v>
      </c>
      <c r="E4571" s="26" t="b">
        <v>1</v>
      </c>
      <c r="F4571" s="27" t="str">
        <f>HYPERLINK("http://nsgreg.nga.mil/genc/view?v=122358&amp;gencs=T&amp;end_month=12&amp;end_day=31&amp;end_year=2014","Sakarya")</f>
        <v>Sakarya</v>
      </c>
      <c r="G4571" s="28" t="str">
        <f>HYPERLINK("http://api.nsgreg.nga.mil/geo-division/GENC/6/ed3/TR-54","as:GENC:6:ed3:TR-54")</f>
        <v>as:GENC:6:ed3:TR-54</v>
      </c>
    </row>
    <row r="4572" spans="1:7" x14ac:dyDescent="0.2">
      <c r="A4572" s="85"/>
      <c r="B4572" s="25" t="s">
        <v>10739</v>
      </c>
      <c r="C4572" s="25" t="s">
        <v>10740</v>
      </c>
      <c r="D4572" s="25" t="s">
        <v>1719</v>
      </c>
      <c r="E4572" s="26" t="b">
        <v>1</v>
      </c>
      <c r="F4572" s="27" t="str">
        <f>HYPERLINK("http://nsgreg.nga.mil/genc/view?v=122359&amp;gencs=T&amp;end_month=12&amp;end_day=31&amp;end_year=2014","Samsun")</f>
        <v>Samsun</v>
      </c>
      <c r="G4572" s="28" t="str">
        <f>HYPERLINK("http://api.nsgreg.nga.mil/geo-division/GENC/6/ed3/TR-55","as:GENC:6:ed3:TR-55")</f>
        <v>as:GENC:6:ed3:TR-55</v>
      </c>
    </row>
    <row r="4573" spans="1:7" x14ac:dyDescent="0.2">
      <c r="A4573" s="85"/>
      <c r="B4573" s="25" t="s">
        <v>10775</v>
      </c>
      <c r="C4573" s="25" t="s">
        <v>10776</v>
      </c>
      <c r="D4573" s="25" t="s">
        <v>1719</v>
      </c>
      <c r="E4573" s="26" t="b">
        <v>1</v>
      </c>
      <c r="F4573" s="27" t="str">
        <f>HYPERLINK("http://nsgreg.nga.mil/genc/view?v=122367&amp;gencs=T&amp;end_month=12&amp;end_day=31&amp;end_year=2014","Şanlıurfa")</f>
        <v>Şanlıurfa</v>
      </c>
      <c r="G4573" s="28" t="str">
        <f>HYPERLINK("http://api.nsgreg.nga.mil/geo-division/GENC/6/ed3/TR-63","as:GENC:6:ed3:TR-63")</f>
        <v>as:GENC:6:ed3:TR-63</v>
      </c>
    </row>
    <row r="4574" spans="1:7" x14ac:dyDescent="0.2">
      <c r="A4574" s="85"/>
      <c r="B4574" s="25" t="s">
        <v>10741</v>
      </c>
      <c r="C4574" s="25" t="s">
        <v>10742</v>
      </c>
      <c r="D4574" s="25" t="s">
        <v>1719</v>
      </c>
      <c r="E4574" s="26" t="b">
        <v>1</v>
      </c>
      <c r="F4574" s="27" t="str">
        <f>HYPERLINK("http://nsgreg.nga.mil/genc/view?v=122360&amp;gencs=T&amp;end_month=12&amp;end_day=31&amp;end_year=2014","Siirt")</f>
        <v>Siirt</v>
      </c>
      <c r="G4574" s="28" t="str">
        <f>HYPERLINK("http://api.nsgreg.nga.mil/geo-division/GENC/6/ed3/TR-56","as:GENC:6:ed3:TR-56")</f>
        <v>as:GENC:6:ed3:TR-56</v>
      </c>
    </row>
    <row r="4575" spans="1:7" x14ac:dyDescent="0.2">
      <c r="A4575" s="85"/>
      <c r="B4575" s="25" t="s">
        <v>10743</v>
      </c>
      <c r="C4575" s="25" t="s">
        <v>10744</v>
      </c>
      <c r="D4575" s="25" t="s">
        <v>1719</v>
      </c>
      <c r="E4575" s="26" t="b">
        <v>1</v>
      </c>
      <c r="F4575" s="27" t="str">
        <f>HYPERLINK("http://nsgreg.nga.mil/genc/view?v=122361&amp;gencs=T&amp;end_month=12&amp;end_day=31&amp;end_year=2014","Sinop")</f>
        <v>Sinop</v>
      </c>
      <c r="G4575" s="28" t="str">
        <f>HYPERLINK("http://api.nsgreg.nga.mil/geo-division/GENC/6/ed3/TR-57","as:GENC:6:ed3:TR-57")</f>
        <v>as:GENC:6:ed3:TR-57</v>
      </c>
    </row>
    <row r="4576" spans="1:7" x14ac:dyDescent="0.2">
      <c r="A4576" s="85"/>
      <c r="B4576" s="25" t="s">
        <v>10777</v>
      </c>
      <c r="C4576" s="25" t="s">
        <v>10778</v>
      </c>
      <c r="D4576" s="25" t="s">
        <v>1719</v>
      </c>
      <c r="E4576" s="26" t="b">
        <v>1</v>
      </c>
      <c r="F4576" s="27" t="str">
        <f>HYPERLINK("http://nsgreg.nga.mil/genc/view?v=122377&amp;gencs=T&amp;end_month=12&amp;end_day=31&amp;end_year=2014","Şırnak")</f>
        <v>Şırnak</v>
      </c>
      <c r="G4576" s="28" t="str">
        <f>HYPERLINK("http://api.nsgreg.nga.mil/geo-division/GENC/6/ed3/TR-73","as:GENC:6:ed3:TR-73")</f>
        <v>as:GENC:6:ed3:TR-73</v>
      </c>
    </row>
    <row r="4577" spans="1:7" x14ac:dyDescent="0.2">
      <c r="A4577" s="85"/>
      <c r="B4577" s="25" t="s">
        <v>10745</v>
      </c>
      <c r="C4577" s="25" t="s">
        <v>10746</v>
      </c>
      <c r="D4577" s="25" t="s">
        <v>1719</v>
      </c>
      <c r="E4577" s="26" t="b">
        <v>1</v>
      </c>
      <c r="F4577" s="27" t="str">
        <f>HYPERLINK("http://nsgreg.nga.mil/genc/view?v=122362&amp;gencs=T&amp;end_month=12&amp;end_day=31&amp;end_year=2014","Sivas")</f>
        <v>Sivas</v>
      </c>
      <c r="G4577" s="28" t="str">
        <f>HYPERLINK("http://api.nsgreg.nga.mil/geo-division/GENC/6/ed3/TR-58","as:GENC:6:ed3:TR-58")</f>
        <v>as:GENC:6:ed3:TR-58</v>
      </c>
    </row>
    <row r="4578" spans="1:7" x14ac:dyDescent="0.2">
      <c r="A4578" s="85"/>
      <c r="B4578" s="25" t="s">
        <v>10747</v>
      </c>
      <c r="C4578" s="25" t="s">
        <v>10748</v>
      </c>
      <c r="D4578" s="25" t="s">
        <v>1719</v>
      </c>
      <c r="E4578" s="26" t="b">
        <v>1</v>
      </c>
      <c r="F4578" s="27" t="str">
        <f>HYPERLINK("http://nsgreg.nga.mil/genc/view?v=122363&amp;gencs=T&amp;end_month=12&amp;end_day=31&amp;end_year=2014","Tekirdağ")</f>
        <v>Tekirdağ</v>
      </c>
      <c r="G4578" s="28" t="str">
        <f>HYPERLINK("http://api.nsgreg.nga.mil/geo-division/GENC/6/ed3/TR-59","as:GENC:6:ed3:TR-59")</f>
        <v>as:GENC:6:ed3:TR-59</v>
      </c>
    </row>
    <row r="4579" spans="1:7" x14ac:dyDescent="0.2">
      <c r="A4579" s="85"/>
      <c r="B4579" s="25" t="s">
        <v>10749</v>
      </c>
      <c r="C4579" s="25" t="s">
        <v>10750</v>
      </c>
      <c r="D4579" s="25" t="s">
        <v>1719</v>
      </c>
      <c r="E4579" s="26" t="b">
        <v>1</v>
      </c>
      <c r="F4579" s="27" t="str">
        <f>HYPERLINK("http://nsgreg.nga.mil/genc/view?v=122364&amp;gencs=T&amp;end_month=12&amp;end_day=31&amp;end_year=2014","Tokat")</f>
        <v>Tokat</v>
      </c>
      <c r="G4579" s="28" t="str">
        <f>HYPERLINK("http://api.nsgreg.nga.mil/geo-division/GENC/6/ed3/TR-60","as:GENC:6:ed3:TR-60")</f>
        <v>as:GENC:6:ed3:TR-60</v>
      </c>
    </row>
    <row r="4580" spans="1:7" x14ac:dyDescent="0.2">
      <c r="A4580" s="85"/>
      <c r="B4580" s="25" t="s">
        <v>10751</v>
      </c>
      <c r="C4580" s="25" t="s">
        <v>10752</v>
      </c>
      <c r="D4580" s="25" t="s">
        <v>1719</v>
      </c>
      <c r="E4580" s="26" t="b">
        <v>1</v>
      </c>
      <c r="F4580" s="27" t="str">
        <f>HYPERLINK("http://nsgreg.nga.mil/genc/view?v=122365&amp;gencs=T&amp;end_month=12&amp;end_day=31&amp;end_year=2014","Trabzon")</f>
        <v>Trabzon</v>
      </c>
      <c r="G4580" s="28" t="str">
        <f>HYPERLINK("http://api.nsgreg.nga.mil/geo-division/GENC/6/ed3/TR-61","as:GENC:6:ed3:TR-61")</f>
        <v>as:GENC:6:ed3:TR-61</v>
      </c>
    </row>
    <row r="4581" spans="1:7" x14ac:dyDescent="0.2">
      <c r="A4581" s="85"/>
      <c r="B4581" s="25" t="s">
        <v>10753</v>
      </c>
      <c r="C4581" s="25" t="s">
        <v>10754</v>
      </c>
      <c r="D4581" s="25" t="s">
        <v>1719</v>
      </c>
      <c r="E4581" s="26" t="b">
        <v>1</v>
      </c>
      <c r="F4581" s="27" t="str">
        <f>HYPERLINK("http://nsgreg.nga.mil/genc/view?v=122366&amp;gencs=T&amp;end_month=12&amp;end_day=31&amp;end_year=2014","Tunceli")</f>
        <v>Tunceli</v>
      </c>
      <c r="G4581" s="28" t="str">
        <f>HYPERLINK("http://api.nsgreg.nga.mil/geo-division/GENC/6/ed3/TR-62","as:GENC:6:ed3:TR-62")</f>
        <v>as:GENC:6:ed3:TR-62</v>
      </c>
    </row>
    <row r="4582" spans="1:7" x14ac:dyDescent="0.2">
      <c r="A4582" s="85"/>
      <c r="B4582" s="25" t="s">
        <v>10755</v>
      </c>
      <c r="C4582" s="25" t="s">
        <v>10756</v>
      </c>
      <c r="D4582" s="25" t="s">
        <v>1719</v>
      </c>
      <c r="E4582" s="26" t="b">
        <v>1</v>
      </c>
      <c r="F4582" s="27" t="str">
        <f>HYPERLINK("http://nsgreg.nga.mil/genc/view?v=122368&amp;gencs=T&amp;end_month=12&amp;end_day=31&amp;end_year=2014","Uşak")</f>
        <v>Uşak</v>
      </c>
      <c r="G4582" s="28" t="str">
        <f>HYPERLINK("http://api.nsgreg.nga.mil/geo-division/GENC/6/ed3/TR-64","as:GENC:6:ed3:TR-64")</f>
        <v>as:GENC:6:ed3:TR-64</v>
      </c>
    </row>
    <row r="4583" spans="1:7" x14ac:dyDescent="0.2">
      <c r="A4583" s="85"/>
      <c r="B4583" s="25" t="s">
        <v>10757</v>
      </c>
      <c r="C4583" s="25" t="s">
        <v>10758</v>
      </c>
      <c r="D4583" s="25" t="s">
        <v>1719</v>
      </c>
      <c r="E4583" s="26" t="b">
        <v>1</v>
      </c>
      <c r="F4583" s="27" t="str">
        <f>HYPERLINK("http://nsgreg.nga.mil/genc/view?v=122369&amp;gencs=T&amp;end_month=12&amp;end_day=31&amp;end_year=2014","Van")</f>
        <v>Van</v>
      </c>
      <c r="G4583" s="28" t="str">
        <f>HYPERLINK("http://api.nsgreg.nga.mil/geo-division/GENC/6/ed3/TR-65","as:GENC:6:ed3:TR-65")</f>
        <v>as:GENC:6:ed3:TR-65</v>
      </c>
    </row>
    <row r="4584" spans="1:7" x14ac:dyDescent="0.2">
      <c r="A4584" s="85"/>
      <c r="B4584" s="25" t="s">
        <v>10759</v>
      </c>
      <c r="C4584" s="25" t="s">
        <v>10760</v>
      </c>
      <c r="D4584" s="25" t="s">
        <v>1719</v>
      </c>
      <c r="E4584" s="26" t="b">
        <v>1</v>
      </c>
      <c r="F4584" s="27" t="str">
        <f>HYPERLINK("http://nsgreg.nga.mil/genc/view?v=122381&amp;gencs=T&amp;end_month=12&amp;end_day=31&amp;end_year=2014","Yalova")</f>
        <v>Yalova</v>
      </c>
      <c r="G4584" s="28" t="str">
        <f>HYPERLINK("http://api.nsgreg.nga.mil/geo-division/GENC/6/ed3/TR-77","as:GENC:6:ed3:TR-77")</f>
        <v>as:GENC:6:ed3:TR-77</v>
      </c>
    </row>
    <row r="4585" spans="1:7" x14ac:dyDescent="0.2">
      <c r="A4585" s="85"/>
      <c r="B4585" s="25" t="s">
        <v>10761</v>
      </c>
      <c r="C4585" s="25" t="s">
        <v>10762</v>
      </c>
      <c r="D4585" s="25" t="s">
        <v>1719</v>
      </c>
      <c r="E4585" s="26" t="b">
        <v>1</v>
      </c>
      <c r="F4585" s="27" t="str">
        <f>HYPERLINK("http://nsgreg.nga.mil/genc/view?v=122370&amp;gencs=T&amp;end_month=12&amp;end_day=31&amp;end_year=2014","Yozgat")</f>
        <v>Yozgat</v>
      </c>
      <c r="G4585" s="28" t="str">
        <f>HYPERLINK("http://api.nsgreg.nga.mil/geo-division/GENC/6/ed3/TR-66","as:GENC:6:ed3:TR-66")</f>
        <v>as:GENC:6:ed3:TR-66</v>
      </c>
    </row>
    <row r="4586" spans="1:7" x14ac:dyDescent="0.2">
      <c r="A4586" s="86"/>
      <c r="B4586" s="29" t="s">
        <v>10763</v>
      </c>
      <c r="C4586" s="29" t="s">
        <v>10764</v>
      </c>
      <c r="D4586" s="29" t="s">
        <v>1719</v>
      </c>
      <c r="E4586" s="30" t="b">
        <v>1</v>
      </c>
      <c r="F4586" s="31" t="str">
        <f>HYPERLINK("http://nsgreg.nga.mil/genc/view?v=122371&amp;gencs=T&amp;end_month=12&amp;end_day=31&amp;end_year=2014","Zonguldak")</f>
        <v>Zonguldak</v>
      </c>
      <c r="G4586" s="32" t="str">
        <f>HYPERLINK("http://api.nsgreg.nga.mil/geo-division/GENC/6/ed3/TR-67","as:GENC:6:ed3:TR-67")</f>
        <v>as:GENC:6:ed3:TR-67</v>
      </c>
    </row>
    <row r="4587" spans="1:7" x14ac:dyDescent="0.2">
      <c r="A4587" s="84" t="str">
        <f>HYPERLINK("[#]Codes_for_GE_Names!A260:I260","TURKMENISTAN")</f>
        <v>TURKMENISTAN</v>
      </c>
      <c r="B4587" s="33" t="s">
        <v>10779</v>
      </c>
      <c r="C4587" s="33" t="s">
        <v>10780</v>
      </c>
      <c r="D4587" s="33" t="s">
        <v>1719</v>
      </c>
      <c r="E4587" s="34" t="b">
        <v>1</v>
      </c>
      <c r="F4587" s="35" t="str">
        <f>HYPERLINK("http://nsgreg.nga.mil/genc/view?v=213582&amp;end_month=12&amp;end_day=31&amp;end_year=2014","Ahal")</f>
        <v>Ahal</v>
      </c>
      <c r="G4587" s="36" t="str">
        <f>HYPERLINK("http://api.nsgreg.nga.mil/geo-division/GENC/6/ed3/TM-A","as:GENC:6:ed3:TM-A")</f>
        <v>as:GENC:6:ed3:TM-A</v>
      </c>
    </row>
    <row r="4588" spans="1:7" x14ac:dyDescent="0.2">
      <c r="A4588" s="85"/>
      <c r="B4588" s="25" t="s">
        <v>10781</v>
      </c>
      <c r="C4588" s="25" t="s">
        <v>10782</v>
      </c>
      <c r="D4588" s="37" t="s">
        <v>2046</v>
      </c>
      <c r="E4588" s="38" t="b">
        <v>0</v>
      </c>
      <c r="F4588" s="27" t="str">
        <f>HYPERLINK("http://nsgreg.nga.mil/genc/view?v=122275&amp;gencs=T&amp;end_month=12&amp;end_day=31&amp;end_year=2014","Aşgabat")</f>
        <v>Aşgabat</v>
      </c>
      <c r="G4588" s="28" t="str">
        <f>HYPERLINK("http://api.nsgreg.nga.mil/geo-division/GENC/6/ed3/TM-S","as:GENC:6:ed3:TM-S")</f>
        <v>as:GENC:6:ed3:TM-S</v>
      </c>
    </row>
    <row r="4589" spans="1:7" x14ac:dyDescent="0.2">
      <c r="A4589" s="85"/>
      <c r="B4589" s="25" t="s">
        <v>10783</v>
      </c>
      <c r="C4589" s="25" t="s">
        <v>10784</v>
      </c>
      <c r="D4589" s="25" t="s">
        <v>1719</v>
      </c>
      <c r="E4589" s="26" t="b">
        <v>1</v>
      </c>
      <c r="F4589" s="27" t="str">
        <f>HYPERLINK("http://nsgreg.nga.mil/genc/view?v=213583&amp;end_month=12&amp;end_day=31&amp;end_year=2014","Balkan")</f>
        <v>Balkan</v>
      </c>
      <c r="G4589" s="28" t="str">
        <f>HYPERLINK("http://api.nsgreg.nga.mil/geo-division/GENC/6/ed3/TM-B","as:GENC:6:ed3:TM-B")</f>
        <v>as:GENC:6:ed3:TM-B</v>
      </c>
    </row>
    <row r="4590" spans="1:7" x14ac:dyDescent="0.2">
      <c r="A4590" s="85"/>
      <c r="B4590" s="25" t="s">
        <v>10785</v>
      </c>
      <c r="C4590" s="25" t="s">
        <v>10786</v>
      </c>
      <c r="D4590" s="25" t="s">
        <v>1719</v>
      </c>
      <c r="E4590" s="26" t="b">
        <v>1</v>
      </c>
      <c r="F4590" s="27" t="str">
        <f>HYPERLINK("http://nsgreg.nga.mil/genc/view?v=213584&amp;end_month=12&amp;end_day=31&amp;end_year=2014","Daşoguz")</f>
        <v>Daşoguz</v>
      </c>
      <c r="G4590" s="28" t="str">
        <f>HYPERLINK("http://api.nsgreg.nga.mil/geo-division/GENC/6/ed3/TM-D","as:GENC:6:ed3:TM-D")</f>
        <v>as:GENC:6:ed3:TM-D</v>
      </c>
    </row>
    <row r="4591" spans="1:7" x14ac:dyDescent="0.2">
      <c r="A4591" s="85"/>
      <c r="B4591" s="25" t="s">
        <v>10787</v>
      </c>
      <c r="C4591" s="25" t="s">
        <v>10788</v>
      </c>
      <c r="D4591" s="25" t="s">
        <v>1719</v>
      </c>
      <c r="E4591" s="26" t="b">
        <v>1</v>
      </c>
      <c r="F4591" s="27" t="str">
        <f>HYPERLINK("http://nsgreg.nga.mil/genc/view?v=213585&amp;end_month=12&amp;end_day=31&amp;end_year=2014","Lebap")</f>
        <v>Lebap</v>
      </c>
      <c r="G4591" s="28" t="str">
        <f>HYPERLINK("http://api.nsgreg.nga.mil/geo-division/GENC/6/ed3/TM-L","as:GENC:6:ed3:TM-L")</f>
        <v>as:GENC:6:ed3:TM-L</v>
      </c>
    </row>
    <row r="4592" spans="1:7" x14ac:dyDescent="0.2">
      <c r="A4592" s="86"/>
      <c r="B4592" s="29" t="s">
        <v>10789</v>
      </c>
      <c r="C4592" s="29" t="s">
        <v>10790</v>
      </c>
      <c r="D4592" s="29" t="s">
        <v>1719</v>
      </c>
      <c r="E4592" s="30" t="b">
        <v>1</v>
      </c>
      <c r="F4592" s="31" t="str">
        <f>HYPERLINK("http://nsgreg.nga.mil/genc/view?v=213586&amp;end_month=12&amp;end_day=31&amp;end_year=2014","Mary")</f>
        <v>Mary</v>
      </c>
      <c r="G4592" s="32" t="str">
        <f>HYPERLINK("http://api.nsgreg.nga.mil/geo-division/GENC/6/ed3/TM-M","as:GENC:6:ed3:TM-M")</f>
        <v>as:GENC:6:ed3:TM-M</v>
      </c>
    </row>
    <row r="4593" spans="1:7" x14ac:dyDescent="0.2">
      <c r="A4593" s="84" t="str">
        <f>HYPERLINK("[#]Codes_for_GE_Names!A262:I262","TUVALU")</f>
        <v>TUVALU</v>
      </c>
      <c r="B4593" s="33" t="s">
        <v>10791</v>
      </c>
      <c r="C4593" s="33" t="s">
        <v>10792</v>
      </c>
      <c r="D4593" s="33" t="s">
        <v>8860</v>
      </c>
      <c r="E4593" s="34" t="b">
        <v>1</v>
      </c>
      <c r="F4593" s="35" t="str">
        <f>HYPERLINK("http://nsgreg.nga.mil/genc/view?v=122402&amp;gencs=T&amp;end_month=12&amp;end_day=31&amp;end_year=2014","Funafuti")</f>
        <v>Funafuti</v>
      </c>
      <c r="G4593" s="36" t="str">
        <f>HYPERLINK("http://api.nsgreg.nga.mil/geo-division/GENC/6/ed3/TV-FUN","as:GENC:6:ed3:TV-FUN")</f>
        <v>as:GENC:6:ed3:TV-FUN</v>
      </c>
    </row>
    <row r="4594" spans="1:7" x14ac:dyDescent="0.2">
      <c r="A4594" s="85"/>
      <c r="B4594" s="25" t="s">
        <v>10793</v>
      </c>
      <c r="C4594" s="25" t="s">
        <v>13774</v>
      </c>
      <c r="D4594" s="25" t="s">
        <v>10795</v>
      </c>
      <c r="E4594" s="26" t="b">
        <v>1</v>
      </c>
      <c r="F4594" s="27" t="str">
        <f>HYPERLINK("http://nsgreg.nga.mil/genc/view?v=213624&amp;end_month=12&amp;end_day=31&amp;end_year=2014","Nanumaga")</f>
        <v>Nanumaga</v>
      </c>
      <c r="G4594" s="28" t="str">
        <f>HYPERLINK("http://api.nsgreg.nga.mil/geo-division/GENC/6/ed3/TV-NMG","as:GENC:6:ed3:TV-NMG")</f>
        <v>as:GENC:6:ed3:TV-NMG</v>
      </c>
    </row>
    <row r="4595" spans="1:7" x14ac:dyDescent="0.2">
      <c r="A4595" s="85"/>
      <c r="B4595" s="25" t="s">
        <v>10796</v>
      </c>
      <c r="C4595" s="25" t="s">
        <v>10797</v>
      </c>
      <c r="D4595" s="25" t="s">
        <v>10795</v>
      </c>
      <c r="E4595" s="26" t="b">
        <v>1</v>
      </c>
      <c r="F4595" s="27" t="str">
        <f>HYPERLINK("http://nsgreg.nga.mil/genc/view?v=122406&amp;gencs=T&amp;end_month=12&amp;end_day=31&amp;end_year=2014","Nanumea")</f>
        <v>Nanumea</v>
      </c>
      <c r="G4595" s="28" t="str">
        <f>HYPERLINK("http://api.nsgreg.nga.mil/geo-division/GENC/6/ed3/TV-NMA","as:GENC:6:ed3:TV-NMA")</f>
        <v>as:GENC:6:ed3:TV-NMA</v>
      </c>
    </row>
    <row r="4596" spans="1:7" x14ac:dyDescent="0.2">
      <c r="A4596" s="85"/>
      <c r="B4596" s="25" t="s">
        <v>10798</v>
      </c>
      <c r="C4596" s="25" t="s">
        <v>10799</v>
      </c>
      <c r="D4596" s="25" t="s">
        <v>10795</v>
      </c>
      <c r="E4596" s="26" t="b">
        <v>1</v>
      </c>
      <c r="F4596" s="27" t="str">
        <f>HYPERLINK("http://nsgreg.nga.mil/genc/view?v=122403&amp;gencs=T&amp;end_month=12&amp;end_day=31&amp;end_year=2014","Niutao")</f>
        <v>Niutao</v>
      </c>
      <c r="G4596" s="28" t="str">
        <f>HYPERLINK("http://api.nsgreg.nga.mil/geo-division/GENC/6/ed3/TV-NIT","as:GENC:6:ed3:TV-NIT")</f>
        <v>as:GENC:6:ed3:TV-NIT</v>
      </c>
    </row>
    <row r="4597" spans="1:7" x14ac:dyDescent="0.2">
      <c r="A4597" s="85"/>
      <c r="B4597" s="25" t="s">
        <v>13775</v>
      </c>
      <c r="C4597" s="25" t="s">
        <v>10801</v>
      </c>
      <c r="D4597" s="25" t="s">
        <v>10795</v>
      </c>
      <c r="E4597" s="26" t="b">
        <v>1</v>
      </c>
      <c r="F4597" s="27" t="str">
        <f>HYPERLINK("http://nsgreg.nga.mil/genc/view?v=122408&amp;gencs=T&amp;end_month=12&amp;end_day=31&amp;end_year=2014","Nui")</f>
        <v>Nui</v>
      </c>
      <c r="G4597" s="28" t="str">
        <f>HYPERLINK("http://api.nsgreg.nga.mil/geo-division/GENC/6/ed3/TV-NUI","as:GENC:6:ed3:TV-NUI")</f>
        <v>as:GENC:6:ed3:TV-NUI</v>
      </c>
    </row>
    <row r="4598" spans="1:7" x14ac:dyDescent="0.2">
      <c r="A4598" s="85"/>
      <c r="B4598" s="25" t="s">
        <v>10802</v>
      </c>
      <c r="C4598" s="25" t="s">
        <v>10803</v>
      </c>
      <c r="D4598" s="25" t="s">
        <v>10795</v>
      </c>
      <c r="E4598" s="26" t="b">
        <v>1</v>
      </c>
      <c r="F4598" s="27" t="str">
        <f>HYPERLINK("http://nsgreg.nga.mil/genc/view?v=122404&amp;gencs=T&amp;end_month=12&amp;end_day=31&amp;end_year=2014","Nukufetau")</f>
        <v>Nukufetau</v>
      </c>
      <c r="G4598" s="28" t="str">
        <f>HYPERLINK("http://api.nsgreg.nga.mil/geo-division/GENC/6/ed3/TV-NKF","as:GENC:6:ed3:TV-NKF")</f>
        <v>as:GENC:6:ed3:TV-NKF</v>
      </c>
    </row>
    <row r="4599" spans="1:7" x14ac:dyDescent="0.2">
      <c r="A4599" s="85"/>
      <c r="B4599" s="25" t="s">
        <v>10804</v>
      </c>
      <c r="C4599" s="25" t="s">
        <v>10805</v>
      </c>
      <c r="D4599" s="25" t="s">
        <v>10795</v>
      </c>
      <c r="E4599" s="26" t="b">
        <v>1</v>
      </c>
      <c r="F4599" s="27" t="str">
        <f>HYPERLINK("http://nsgreg.nga.mil/genc/view?v=122405&amp;gencs=T&amp;end_month=12&amp;end_day=31&amp;end_year=2014","Nukulaelae")</f>
        <v>Nukulaelae</v>
      </c>
      <c r="G4599" s="28" t="str">
        <f>HYPERLINK("http://api.nsgreg.nga.mil/geo-division/GENC/6/ed3/TV-NKL","as:GENC:6:ed3:TV-NKL")</f>
        <v>as:GENC:6:ed3:TV-NKL</v>
      </c>
    </row>
    <row r="4600" spans="1:7" x14ac:dyDescent="0.2">
      <c r="A4600" s="86"/>
      <c r="B4600" s="29" t="s">
        <v>10806</v>
      </c>
      <c r="C4600" s="29" t="s">
        <v>10807</v>
      </c>
      <c r="D4600" s="29" t="s">
        <v>10795</v>
      </c>
      <c r="E4600" s="30" t="b">
        <v>1</v>
      </c>
      <c r="F4600" s="31" t="str">
        <f>HYPERLINK("http://nsgreg.nga.mil/genc/view?v=122409&amp;gencs=T&amp;end_month=12&amp;end_day=31&amp;end_year=2014","Vaitupu")</f>
        <v>Vaitupu</v>
      </c>
      <c r="G4600" s="32" t="str">
        <f>HYPERLINK("http://api.nsgreg.nga.mil/geo-division/GENC/6/ed3/TV-VAI","as:GENC:6:ed3:TV-VAI")</f>
        <v>as:GENC:6:ed3:TV-VAI</v>
      </c>
    </row>
    <row r="4601" spans="1:7" x14ac:dyDescent="0.2">
      <c r="A4601" s="84" t="str">
        <f>HYPERLINK("[#]Codes_for_GE_Names!A263:I263","UGANDA")</f>
        <v>UGANDA</v>
      </c>
      <c r="B4601" s="33" t="s">
        <v>10808</v>
      </c>
      <c r="C4601" s="33" t="s">
        <v>10809</v>
      </c>
      <c r="D4601" s="33" t="s">
        <v>1790</v>
      </c>
      <c r="E4601" s="34" t="b">
        <v>1</v>
      </c>
      <c r="F4601" s="35" t="str">
        <f>HYPERLINK("http://nsgreg.nga.mil/genc/view?v=122562&amp;gencs=T&amp;end_month=12&amp;end_day=31&amp;end_year=2014","Abim")</f>
        <v>Abim</v>
      </c>
      <c r="G4601" s="36" t="str">
        <f>HYPERLINK("http://api.nsgreg.nga.mil/geo-division/GENC/6/ed3/UG-317","as:GENC:6:ed3:UG-317")</f>
        <v>as:GENC:6:ed3:UG-317</v>
      </c>
    </row>
    <row r="4602" spans="1:7" x14ac:dyDescent="0.2">
      <c r="A4602" s="85"/>
      <c r="B4602" s="25" t="s">
        <v>10810</v>
      </c>
      <c r="C4602" s="25" t="s">
        <v>10811</v>
      </c>
      <c r="D4602" s="25" t="s">
        <v>1790</v>
      </c>
      <c r="E4602" s="26" t="b">
        <v>1</v>
      </c>
      <c r="F4602" s="27" t="str">
        <f>HYPERLINK("http://nsgreg.nga.mil/genc/view?v=122546&amp;gencs=T&amp;end_month=12&amp;end_day=31&amp;end_year=2014","Adjumani")</f>
        <v>Adjumani</v>
      </c>
      <c r="G4602" s="28" t="str">
        <f>HYPERLINK("http://api.nsgreg.nga.mil/geo-division/GENC/6/ed3/UG-301","as:GENC:6:ed3:UG-301")</f>
        <v>as:GENC:6:ed3:UG-301</v>
      </c>
    </row>
    <row r="4603" spans="1:7" x14ac:dyDescent="0.2">
      <c r="A4603" s="85"/>
      <c r="B4603" s="25" t="s">
        <v>13776</v>
      </c>
      <c r="C4603" s="25" t="s">
        <v>13777</v>
      </c>
      <c r="D4603" s="25" t="s">
        <v>13778</v>
      </c>
      <c r="E4603" s="26" t="b">
        <v>1</v>
      </c>
      <c r="F4603" s="27" t="str">
        <f>HYPERLINK("http://nsgreg.nga.mil/genc/view?v=122567&amp;gencs=T&amp;end_month=12&amp;end_day=31&amp;end_year=2014","Agago")</f>
        <v>Agago</v>
      </c>
      <c r="G4603" s="28" t="str">
        <f>HYPERLINK("http://api.nsgreg.nga.mil/geo-division/GENC/6/ed3/UG-322","as:GENC:6:ed3:UG-322")</f>
        <v>as:GENC:6:ed3:UG-322</v>
      </c>
    </row>
    <row r="4604" spans="1:7" x14ac:dyDescent="0.2">
      <c r="A4604" s="85"/>
      <c r="B4604" s="25" t="s">
        <v>13779</v>
      </c>
      <c r="C4604" s="25" t="s">
        <v>13780</v>
      </c>
      <c r="D4604" s="25" t="s">
        <v>13778</v>
      </c>
      <c r="E4604" s="26" t="b">
        <v>1</v>
      </c>
      <c r="F4604" s="27" t="str">
        <f>HYPERLINK("http://nsgreg.nga.mil/genc/view?v=122568&amp;gencs=T&amp;end_month=12&amp;end_day=31&amp;end_year=2014","Alebtong")</f>
        <v>Alebtong</v>
      </c>
      <c r="G4604" s="28" t="str">
        <f>HYPERLINK("http://api.nsgreg.nga.mil/geo-division/GENC/6/ed3/UG-323","as:GENC:6:ed3:UG-323")</f>
        <v>as:GENC:6:ed3:UG-323</v>
      </c>
    </row>
    <row r="4605" spans="1:7" x14ac:dyDescent="0.2">
      <c r="A4605" s="85"/>
      <c r="B4605" s="25" t="s">
        <v>10812</v>
      </c>
      <c r="C4605" s="25" t="s">
        <v>10813</v>
      </c>
      <c r="D4605" s="25" t="s">
        <v>1790</v>
      </c>
      <c r="E4605" s="26" t="b">
        <v>1</v>
      </c>
      <c r="F4605" s="27" t="str">
        <f>HYPERLINK("http://nsgreg.nga.mil/genc/view?v=122559&amp;gencs=T&amp;end_month=12&amp;end_day=31&amp;end_year=2014","Amolatar")</f>
        <v>Amolatar</v>
      </c>
      <c r="G4605" s="28" t="str">
        <f>HYPERLINK("http://api.nsgreg.nga.mil/geo-division/GENC/6/ed3/UG-314","as:GENC:6:ed3:UG-314")</f>
        <v>as:GENC:6:ed3:UG-314</v>
      </c>
    </row>
    <row r="4606" spans="1:7" x14ac:dyDescent="0.2">
      <c r="A4606" s="85"/>
      <c r="B4606" s="25" t="s">
        <v>13781</v>
      </c>
      <c r="C4606" s="25" t="s">
        <v>13782</v>
      </c>
      <c r="D4606" s="25" t="s">
        <v>13778</v>
      </c>
      <c r="E4606" s="26" t="b">
        <v>1</v>
      </c>
      <c r="F4606" s="27" t="str">
        <f>HYPERLINK("http://nsgreg.nga.mil/genc/view?v=122569&amp;gencs=T&amp;end_month=12&amp;end_day=31&amp;end_year=2014","Amudat")</f>
        <v>Amudat</v>
      </c>
      <c r="G4606" s="28" t="str">
        <f>HYPERLINK("http://api.nsgreg.nga.mil/geo-division/GENC/6/ed3/UG-324","as:GENC:6:ed3:UG-324")</f>
        <v>as:GENC:6:ed3:UG-324</v>
      </c>
    </row>
    <row r="4607" spans="1:7" x14ac:dyDescent="0.2">
      <c r="A4607" s="85"/>
      <c r="B4607" s="25" t="s">
        <v>10814</v>
      </c>
      <c r="C4607" s="25" t="s">
        <v>10815</v>
      </c>
      <c r="D4607" s="25" t="s">
        <v>1790</v>
      </c>
      <c r="E4607" s="26" t="b">
        <v>1</v>
      </c>
      <c r="F4607" s="27" t="str">
        <f>HYPERLINK("http://nsgreg.nga.mil/genc/view?v=122529&amp;gencs=T&amp;end_month=12&amp;end_day=31&amp;end_year=2014","Amuria")</f>
        <v>Amuria</v>
      </c>
      <c r="G4607" s="28" t="str">
        <f>HYPERLINK("http://api.nsgreg.nga.mil/geo-division/GENC/6/ed3/UG-216","as:GENC:6:ed3:UG-216")</f>
        <v>as:GENC:6:ed3:UG-216</v>
      </c>
    </row>
    <row r="4608" spans="1:7" x14ac:dyDescent="0.2">
      <c r="A4608" s="85"/>
      <c r="B4608" s="25" t="s">
        <v>10816</v>
      </c>
      <c r="C4608" s="25" t="s">
        <v>10817</v>
      </c>
      <c r="D4608" s="25" t="s">
        <v>1790</v>
      </c>
      <c r="E4608" s="26" t="b">
        <v>1</v>
      </c>
      <c r="F4608" s="27" t="str">
        <f>HYPERLINK("http://nsgreg.nga.mil/genc/view?v=122564&amp;gencs=T&amp;end_month=12&amp;end_day=31&amp;end_year=2014","Amuru")</f>
        <v>Amuru</v>
      </c>
      <c r="G4608" s="28" t="str">
        <f>HYPERLINK("http://api.nsgreg.nga.mil/geo-division/GENC/6/ed3/UG-319","as:GENC:6:ed3:UG-319")</f>
        <v>as:GENC:6:ed3:UG-319</v>
      </c>
    </row>
    <row r="4609" spans="1:7" x14ac:dyDescent="0.2">
      <c r="A4609" s="85"/>
      <c r="B4609" s="25" t="s">
        <v>10818</v>
      </c>
      <c r="C4609" s="25" t="s">
        <v>10819</v>
      </c>
      <c r="D4609" s="25" t="s">
        <v>1790</v>
      </c>
      <c r="E4609" s="26" t="b">
        <v>1</v>
      </c>
      <c r="F4609" s="27" t="str">
        <f>HYPERLINK("http://nsgreg.nga.mil/genc/view?v=122547&amp;gencs=T&amp;end_month=12&amp;end_day=31&amp;end_year=2014","Apac")</f>
        <v>Apac</v>
      </c>
      <c r="G4609" s="28" t="str">
        <f>HYPERLINK("http://api.nsgreg.nga.mil/geo-division/GENC/6/ed3/UG-302","as:GENC:6:ed3:UG-302")</f>
        <v>as:GENC:6:ed3:UG-302</v>
      </c>
    </row>
    <row r="4610" spans="1:7" x14ac:dyDescent="0.2">
      <c r="A4610" s="85"/>
      <c r="B4610" s="25" t="s">
        <v>10820</v>
      </c>
      <c r="C4610" s="25" t="s">
        <v>10821</v>
      </c>
      <c r="D4610" s="25" t="s">
        <v>1790</v>
      </c>
      <c r="E4610" s="26" t="b">
        <v>1</v>
      </c>
      <c r="F4610" s="27" t="str">
        <f>HYPERLINK("http://nsgreg.nga.mil/genc/view?v=122548&amp;gencs=T&amp;end_month=12&amp;end_day=31&amp;end_year=2014","Arua")</f>
        <v>Arua</v>
      </c>
      <c r="G4610" s="28" t="str">
        <f>HYPERLINK("http://api.nsgreg.nga.mil/geo-division/GENC/6/ed3/UG-303","as:GENC:6:ed3:UG-303")</f>
        <v>as:GENC:6:ed3:UG-303</v>
      </c>
    </row>
    <row r="4611" spans="1:7" x14ac:dyDescent="0.2">
      <c r="A4611" s="85"/>
      <c r="B4611" s="25" t="s">
        <v>10822</v>
      </c>
      <c r="C4611" s="25" t="s">
        <v>10823</v>
      </c>
      <c r="D4611" s="25" t="s">
        <v>1790</v>
      </c>
      <c r="E4611" s="26" t="b">
        <v>1</v>
      </c>
      <c r="F4611" s="27" t="str">
        <f>HYPERLINK("http://nsgreg.nga.mil/genc/view?v=122530&amp;gencs=T&amp;end_month=12&amp;end_day=31&amp;end_year=2014","Budaka")</f>
        <v>Budaka</v>
      </c>
      <c r="G4611" s="28" t="str">
        <f>HYPERLINK("http://api.nsgreg.nga.mil/geo-division/GENC/6/ed3/UG-217","as:GENC:6:ed3:UG-217")</f>
        <v>as:GENC:6:ed3:UG-217</v>
      </c>
    </row>
    <row r="4612" spans="1:7" x14ac:dyDescent="0.2">
      <c r="A4612" s="85"/>
      <c r="B4612" s="25" t="s">
        <v>10824</v>
      </c>
      <c r="C4612" s="25" t="s">
        <v>10825</v>
      </c>
      <c r="D4612" s="25" t="s">
        <v>1790</v>
      </c>
      <c r="E4612" s="26" t="b">
        <v>1</v>
      </c>
      <c r="F4612" s="27" t="str">
        <f>HYPERLINK("http://nsgreg.nga.mil/genc/view?v=122536&amp;gencs=T&amp;end_month=12&amp;end_day=31&amp;end_year=2014","Bududa")</f>
        <v>Bududa</v>
      </c>
      <c r="G4612" s="28" t="str">
        <f>HYPERLINK("http://api.nsgreg.nga.mil/geo-division/GENC/6/ed3/UG-223","as:GENC:6:ed3:UG-223")</f>
        <v>as:GENC:6:ed3:UG-223</v>
      </c>
    </row>
    <row r="4613" spans="1:7" x14ac:dyDescent="0.2">
      <c r="A4613" s="85"/>
      <c r="B4613" s="25" t="s">
        <v>10826</v>
      </c>
      <c r="C4613" s="25" t="s">
        <v>10827</v>
      </c>
      <c r="D4613" s="25" t="s">
        <v>1790</v>
      </c>
      <c r="E4613" s="26" t="b">
        <v>1</v>
      </c>
      <c r="F4613" s="27" t="str">
        <f>HYPERLINK("http://nsgreg.nga.mil/genc/view?v=122514&amp;gencs=T&amp;end_month=12&amp;end_day=31&amp;end_year=2014","Bugiri")</f>
        <v>Bugiri</v>
      </c>
      <c r="G4613" s="28" t="str">
        <f>HYPERLINK("http://api.nsgreg.nga.mil/geo-division/GENC/6/ed3/UG-201","as:GENC:6:ed3:UG-201")</f>
        <v>as:GENC:6:ed3:UG-201</v>
      </c>
    </row>
    <row r="4614" spans="1:7" x14ac:dyDescent="0.2">
      <c r="A4614" s="85"/>
      <c r="B4614" s="25" t="s">
        <v>13783</v>
      </c>
      <c r="C4614" s="25" t="s">
        <v>13784</v>
      </c>
      <c r="D4614" s="25" t="s">
        <v>13778</v>
      </c>
      <c r="E4614" s="26" t="b">
        <v>1</v>
      </c>
      <c r="F4614" s="27" t="str">
        <f>HYPERLINK("http://nsgreg.nga.mil/genc/view?v=122570&amp;gencs=T&amp;end_month=12&amp;end_day=31&amp;end_year=2014","Buhweju")</f>
        <v>Buhweju</v>
      </c>
      <c r="G4614" s="28" t="str">
        <f>HYPERLINK("http://api.nsgreg.nga.mil/geo-division/GENC/6/ed3/UG-325","as:GENC:6:ed3:UG-325")</f>
        <v>as:GENC:6:ed3:UG-325</v>
      </c>
    </row>
    <row r="4615" spans="1:7" x14ac:dyDescent="0.2">
      <c r="A4615" s="85"/>
      <c r="B4615" s="25" t="s">
        <v>13785</v>
      </c>
      <c r="C4615" s="25" t="s">
        <v>13786</v>
      </c>
      <c r="D4615" s="25" t="s">
        <v>13778</v>
      </c>
      <c r="E4615" s="26" t="b">
        <v>1</v>
      </c>
      <c r="F4615" s="27" t="str">
        <f>HYPERLINK("http://nsgreg.nga.mil/genc/view?v=122506&amp;gencs=T&amp;end_month=12&amp;end_day=31&amp;end_year=2014","Buikwe")</f>
        <v>Buikwe</v>
      </c>
      <c r="G4615" s="28" t="str">
        <f>HYPERLINK("http://api.nsgreg.nga.mil/geo-division/GENC/6/ed3/UG-117","as:GENC:6:ed3:UG-117")</f>
        <v>as:GENC:6:ed3:UG-117</v>
      </c>
    </row>
    <row r="4616" spans="1:7" x14ac:dyDescent="0.2">
      <c r="A4616" s="85"/>
      <c r="B4616" s="25" t="s">
        <v>10828</v>
      </c>
      <c r="C4616" s="25" t="s">
        <v>10829</v>
      </c>
      <c r="D4616" s="25" t="s">
        <v>1790</v>
      </c>
      <c r="E4616" s="26" t="b">
        <v>1</v>
      </c>
      <c r="F4616" s="27" t="str">
        <f>HYPERLINK("http://nsgreg.nga.mil/genc/view?v=122537&amp;gencs=T&amp;end_month=12&amp;end_day=31&amp;end_year=2014","Bukedea")</f>
        <v>Bukedea</v>
      </c>
      <c r="G4616" s="28" t="str">
        <f>HYPERLINK("http://api.nsgreg.nga.mil/geo-division/GENC/6/ed3/UG-224","as:GENC:6:ed3:UG-224")</f>
        <v>as:GENC:6:ed3:UG-224</v>
      </c>
    </row>
    <row r="4617" spans="1:7" x14ac:dyDescent="0.2">
      <c r="A4617" s="85"/>
      <c r="B4617" s="25" t="s">
        <v>13787</v>
      </c>
      <c r="C4617" s="25" t="s">
        <v>13788</v>
      </c>
      <c r="D4617" s="25" t="s">
        <v>1790</v>
      </c>
      <c r="E4617" s="26" t="b">
        <v>1</v>
      </c>
      <c r="F4617" s="27" t="str">
        <f>HYPERLINK("http://nsgreg.nga.mil/genc/view?v=213799&amp;end_month=12&amp;end_day=31&amp;end_year=2014","Bukomansimbi")</f>
        <v>Bukomansimbi</v>
      </c>
      <c r="G4617" s="28" t="str">
        <f>HYPERLINK("http://api.nsgreg.nga.mil/geo-division/GENC/6/ed3/UG-118","as:GENC:6:ed3:UG-118")</f>
        <v>as:GENC:6:ed3:UG-118</v>
      </c>
    </row>
    <row r="4618" spans="1:7" x14ac:dyDescent="0.2">
      <c r="A4618" s="85"/>
      <c r="B4618" s="25" t="s">
        <v>10830</v>
      </c>
      <c r="C4618" s="25" t="s">
        <v>10831</v>
      </c>
      <c r="D4618" s="25" t="s">
        <v>1790</v>
      </c>
      <c r="E4618" s="26" t="b">
        <v>1</v>
      </c>
      <c r="F4618" s="27" t="str">
        <f>HYPERLINK("http://nsgreg.nga.mil/genc/view?v=122531&amp;gencs=T&amp;end_month=12&amp;end_day=31&amp;end_year=2014","Bukwa")</f>
        <v>Bukwa</v>
      </c>
      <c r="G4618" s="28" t="str">
        <f>HYPERLINK("http://api.nsgreg.nga.mil/geo-division/GENC/6/ed3/UG-218","as:GENC:6:ed3:UG-218")</f>
        <v>as:GENC:6:ed3:UG-218</v>
      </c>
    </row>
    <row r="4619" spans="1:7" x14ac:dyDescent="0.2">
      <c r="A4619" s="85"/>
      <c r="B4619" s="25" t="s">
        <v>13789</v>
      </c>
      <c r="C4619" s="25" t="s">
        <v>13790</v>
      </c>
      <c r="D4619" s="25" t="s">
        <v>13778</v>
      </c>
      <c r="E4619" s="26" t="b">
        <v>1</v>
      </c>
      <c r="F4619" s="27" t="str">
        <f>HYPERLINK("http://nsgreg.nga.mil/genc/view?v=122538&amp;gencs=T&amp;end_month=12&amp;end_day=31&amp;end_year=2014","Bulambuli")</f>
        <v>Bulambuli</v>
      </c>
      <c r="G4619" s="28" t="str">
        <f>HYPERLINK("http://api.nsgreg.nga.mil/geo-division/GENC/6/ed3/UG-225","as:GENC:6:ed3:UG-225")</f>
        <v>as:GENC:6:ed3:UG-225</v>
      </c>
    </row>
    <row r="4620" spans="1:7" x14ac:dyDescent="0.2">
      <c r="A4620" s="85"/>
      <c r="B4620" s="25" t="s">
        <v>10832</v>
      </c>
      <c r="C4620" s="25" t="s">
        <v>10833</v>
      </c>
      <c r="D4620" s="25" t="s">
        <v>1790</v>
      </c>
      <c r="E4620" s="26" t="b">
        <v>1</v>
      </c>
      <c r="F4620" s="27" t="str">
        <f>HYPERLINK("http://nsgreg.nga.mil/genc/view?v=122595&amp;gencs=T&amp;end_month=12&amp;end_day=31&amp;end_year=2014","Buliisa")</f>
        <v>Buliisa</v>
      </c>
      <c r="G4620" s="28" t="str">
        <f>HYPERLINK("http://api.nsgreg.nga.mil/geo-division/GENC/6/ed3/UG-419","as:GENC:6:ed3:UG-419")</f>
        <v>as:GENC:6:ed3:UG-419</v>
      </c>
    </row>
    <row r="4621" spans="1:7" x14ac:dyDescent="0.2">
      <c r="A4621" s="85"/>
      <c r="B4621" s="25" t="s">
        <v>10834</v>
      </c>
      <c r="C4621" s="25" t="s">
        <v>10835</v>
      </c>
      <c r="D4621" s="25" t="s">
        <v>1790</v>
      </c>
      <c r="E4621" s="26" t="b">
        <v>1</v>
      </c>
      <c r="F4621" s="27" t="str">
        <f>HYPERLINK("http://nsgreg.nga.mil/genc/view?v=122577&amp;gencs=T&amp;end_month=12&amp;end_day=31&amp;end_year=2014","Bundibugyo")</f>
        <v>Bundibugyo</v>
      </c>
      <c r="G4621" s="28" t="str">
        <f>HYPERLINK("http://api.nsgreg.nga.mil/geo-division/GENC/6/ed3/UG-401","as:GENC:6:ed3:UG-401")</f>
        <v>as:GENC:6:ed3:UG-401</v>
      </c>
    </row>
    <row r="4622" spans="1:7" x14ac:dyDescent="0.2">
      <c r="A4622" s="85"/>
      <c r="B4622" s="25" t="s">
        <v>10836</v>
      </c>
      <c r="C4622" s="25" t="s">
        <v>10837</v>
      </c>
      <c r="D4622" s="25" t="s">
        <v>1790</v>
      </c>
      <c r="E4622" s="26" t="b">
        <v>1</v>
      </c>
      <c r="F4622" s="27" t="str">
        <f>HYPERLINK("http://nsgreg.nga.mil/genc/view?v=122578&amp;gencs=T&amp;end_month=12&amp;end_day=31&amp;end_year=2014","Bushenyi")</f>
        <v>Bushenyi</v>
      </c>
      <c r="G4622" s="28" t="str">
        <f>HYPERLINK("http://api.nsgreg.nga.mil/geo-division/GENC/6/ed3/UG-402","as:GENC:6:ed3:UG-402")</f>
        <v>as:GENC:6:ed3:UG-402</v>
      </c>
    </row>
    <row r="4623" spans="1:7" x14ac:dyDescent="0.2">
      <c r="A4623" s="85"/>
      <c r="B4623" s="25" t="s">
        <v>10838</v>
      </c>
      <c r="C4623" s="25" t="s">
        <v>10839</v>
      </c>
      <c r="D4623" s="25" t="s">
        <v>1790</v>
      </c>
      <c r="E4623" s="26" t="b">
        <v>1</v>
      </c>
      <c r="F4623" s="27" t="str">
        <f>HYPERLINK("http://nsgreg.nga.mil/genc/view?v=122515&amp;gencs=T&amp;end_month=12&amp;end_day=31&amp;end_year=2014","Busia")</f>
        <v>Busia</v>
      </c>
      <c r="G4623" s="28" t="str">
        <f>HYPERLINK("http://api.nsgreg.nga.mil/geo-division/GENC/6/ed3/UG-202","as:GENC:6:ed3:UG-202")</f>
        <v>as:GENC:6:ed3:UG-202</v>
      </c>
    </row>
    <row r="4624" spans="1:7" x14ac:dyDescent="0.2">
      <c r="A4624" s="85"/>
      <c r="B4624" s="25" t="s">
        <v>10840</v>
      </c>
      <c r="C4624" s="25" t="s">
        <v>10841</v>
      </c>
      <c r="D4624" s="25" t="s">
        <v>1790</v>
      </c>
      <c r="E4624" s="26" t="b">
        <v>1</v>
      </c>
      <c r="F4624" s="27" t="str">
        <f>HYPERLINK("http://nsgreg.nga.mil/genc/view?v=122532&amp;gencs=T&amp;end_month=12&amp;end_day=31&amp;end_year=2014","Butaleja")</f>
        <v>Butaleja</v>
      </c>
      <c r="G4624" s="28" t="str">
        <f>HYPERLINK("http://api.nsgreg.nga.mil/geo-division/GENC/6/ed3/UG-219","as:GENC:6:ed3:UG-219")</f>
        <v>as:GENC:6:ed3:UG-219</v>
      </c>
    </row>
    <row r="4625" spans="1:7" x14ac:dyDescent="0.2">
      <c r="A4625" s="85"/>
      <c r="B4625" s="25" t="s">
        <v>13791</v>
      </c>
      <c r="C4625" s="25" t="s">
        <v>13792</v>
      </c>
      <c r="D4625" s="25" t="s">
        <v>13778</v>
      </c>
      <c r="E4625" s="26" t="b">
        <v>1</v>
      </c>
      <c r="F4625" s="27" t="str">
        <f>HYPERLINK("http://nsgreg.nga.mil/genc/view?v=122508&amp;gencs=T&amp;end_month=12&amp;end_day=31&amp;end_year=2014","Butambala")</f>
        <v>Butambala</v>
      </c>
      <c r="G4625" s="28" t="str">
        <f>HYPERLINK("http://api.nsgreg.nga.mil/geo-division/GENC/6/ed3/UG-119","as:GENC:6:ed3:UG-119")</f>
        <v>as:GENC:6:ed3:UG-119</v>
      </c>
    </row>
    <row r="4626" spans="1:7" x14ac:dyDescent="0.2">
      <c r="A4626" s="85"/>
      <c r="B4626" s="25" t="s">
        <v>13793</v>
      </c>
      <c r="C4626" s="25" t="s">
        <v>13794</v>
      </c>
      <c r="D4626" s="25" t="s">
        <v>13778</v>
      </c>
      <c r="E4626" s="26" t="b">
        <v>1</v>
      </c>
      <c r="F4626" s="27" t="str">
        <f>HYPERLINK("http://nsgreg.nga.mil/genc/view?v=122509&amp;gencs=T&amp;end_month=12&amp;end_day=31&amp;end_year=2014","Buvuma")</f>
        <v>Buvuma</v>
      </c>
      <c r="G4626" s="28" t="str">
        <f>HYPERLINK("http://api.nsgreg.nga.mil/geo-division/GENC/6/ed3/UG-120","as:GENC:6:ed3:UG-120")</f>
        <v>as:GENC:6:ed3:UG-120</v>
      </c>
    </row>
    <row r="4627" spans="1:7" x14ac:dyDescent="0.2">
      <c r="A4627" s="85"/>
      <c r="B4627" s="25" t="s">
        <v>13795</v>
      </c>
      <c r="C4627" s="25" t="s">
        <v>13796</v>
      </c>
      <c r="D4627" s="25" t="s">
        <v>13778</v>
      </c>
      <c r="E4627" s="26" t="b">
        <v>1</v>
      </c>
      <c r="F4627" s="27" t="str">
        <f>HYPERLINK("http://nsgreg.nga.mil/genc/view?v=122539&amp;gencs=T&amp;end_month=12&amp;end_day=31&amp;end_year=2014","Buyende")</f>
        <v>Buyende</v>
      </c>
      <c r="G4627" s="28" t="str">
        <f>HYPERLINK("http://api.nsgreg.nga.mil/geo-division/GENC/6/ed3/UG-226","as:GENC:6:ed3:UG-226")</f>
        <v>as:GENC:6:ed3:UG-226</v>
      </c>
    </row>
    <row r="4628" spans="1:7" x14ac:dyDescent="0.2">
      <c r="A4628" s="85"/>
      <c r="B4628" s="25" t="s">
        <v>10842</v>
      </c>
      <c r="C4628" s="25" t="s">
        <v>2720</v>
      </c>
      <c r="D4628" s="37" t="s">
        <v>3117</v>
      </c>
      <c r="E4628" s="38" t="b">
        <v>0</v>
      </c>
      <c r="F4628" s="27" t="str">
        <f>HYPERLINK("http://nsgreg.nga.mil/genc/view?v=122602&amp;gencs=T&amp;end_month=12&amp;end_day=31&amp;end_year=2014","Central")</f>
        <v>Central</v>
      </c>
      <c r="G4628" s="28" t="str">
        <f>HYPERLINK("http://api.nsgreg.nga.mil/geo-division/GENC/6/ed3/UG-C","as:GENC:6:ed3:UG-C")</f>
        <v>as:GENC:6:ed3:UG-C</v>
      </c>
    </row>
    <row r="4629" spans="1:7" x14ac:dyDescent="0.2">
      <c r="A4629" s="85"/>
      <c r="B4629" s="25" t="s">
        <v>10843</v>
      </c>
      <c r="C4629" s="25" t="s">
        <v>10844</v>
      </c>
      <c r="D4629" s="25" t="s">
        <v>1790</v>
      </c>
      <c r="E4629" s="26" t="b">
        <v>1</v>
      </c>
      <c r="F4629" s="27" t="str">
        <f>HYPERLINK("http://nsgreg.nga.mil/genc/view?v=122563&amp;gencs=T&amp;end_month=12&amp;end_day=31&amp;end_year=2014","Dokolo")</f>
        <v>Dokolo</v>
      </c>
      <c r="G4629" s="28" t="str">
        <f>HYPERLINK("http://api.nsgreg.nga.mil/geo-division/GENC/6/ed3/UG-318","as:GENC:6:ed3:UG-318")</f>
        <v>as:GENC:6:ed3:UG-318</v>
      </c>
    </row>
    <row r="4630" spans="1:7" x14ac:dyDescent="0.2">
      <c r="A4630" s="85"/>
      <c r="B4630" s="25" t="s">
        <v>10845</v>
      </c>
      <c r="C4630" s="25" t="s">
        <v>4191</v>
      </c>
      <c r="D4630" s="37" t="s">
        <v>3117</v>
      </c>
      <c r="E4630" s="38" t="b">
        <v>0</v>
      </c>
      <c r="F4630" s="27" t="str">
        <f>HYPERLINK("http://nsgreg.nga.mil/genc/view?v=122603&amp;gencs=T&amp;end_month=12&amp;end_day=31&amp;end_year=2014","Eastern")</f>
        <v>Eastern</v>
      </c>
      <c r="G4630" s="28" t="str">
        <f>HYPERLINK("http://api.nsgreg.nga.mil/geo-division/GENC/6/ed3/UG-E","as:GENC:6:ed3:UG-E")</f>
        <v>as:GENC:6:ed3:UG-E</v>
      </c>
    </row>
    <row r="4631" spans="1:7" x14ac:dyDescent="0.2">
      <c r="A4631" s="85"/>
      <c r="B4631" s="25" t="s">
        <v>13797</v>
      </c>
      <c r="C4631" s="25" t="s">
        <v>13798</v>
      </c>
      <c r="D4631" s="25" t="s">
        <v>13778</v>
      </c>
      <c r="E4631" s="26" t="b">
        <v>1</v>
      </c>
      <c r="F4631" s="27" t="str">
        <f>HYPERLINK("http://nsgreg.nga.mil/genc/view?v=122510&amp;gencs=T&amp;end_month=12&amp;end_day=31&amp;end_year=2014","Gomba")</f>
        <v>Gomba</v>
      </c>
      <c r="G4631" s="28" t="str">
        <f>HYPERLINK("http://api.nsgreg.nga.mil/geo-division/GENC/6/ed3/UG-121","as:GENC:6:ed3:UG-121")</f>
        <v>as:GENC:6:ed3:UG-121</v>
      </c>
    </row>
    <row r="4632" spans="1:7" x14ac:dyDescent="0.2">
      <c r="A4632" s="85"/>
      <c r="B4632" s="25" t="s">
        <v>10846</v>
      </c>
      <c r="C4632" s="25" t="s">
        <v>10847</v>
      </c>
      <c r="D4632" s="25" t="s">
        <v>1790</v>
      </c>
      <c r="E4632" s="26" t="b">
        <v>1</v>
      </c>
      <c r="F4632" s="27" t="str">
        <f>HYPERLINK("http://nsgreg.nga.mil/genc/view?v=122549&amp;gencs=T&amp;end_month=12&amp;end_day=31&amp;end_year=2014","Gulu")</f>
        <v>Gulu</v>
      </c>
      <c r="G4632" s="28" t="str">
        <f>HYPERLINK("http://api.nsgreg.nga.mil/geo-division/GENC/6/ed3/UG-304","as:GENC:6:ed3:UG-304")</f>
        <v>as:GENC:6:ed3:UG-304</v>
      </c>
    </row>
    <row r="4633" spans="1:7" x14ac:dyDescent="0.2">
      <c r="A4633" s="85"/>
      <c r="B4633" s="25" t="s">
        <v>10848</v>
      </c>
      <c r="C4633" s="25" t="s">
        <v>10849</v>
      </c>
      <c r="D4633" s="25" t="s">
        <v>1790</v>
      </c>
      <c r="E4633" s="26" t="b">
        <v>1</v>
      </c>
      <c r="F4633" s="27" t="str">
        <f>HYPERLINK("http://nsgreg.nga.mil/genc/view?v=122579&amp;gencs=T&amp;end_month=12&amp;end_day=31&amp;end_year=2014","Hoima")</f>
        <v>Hoima</v>
      </c>
      <c r="G4633" s="28" t="str">
        <f>HYPERLINK("http://api.nsgreg.nga.mil/geo-division/GENC/6/ed3/UG-403","as:GENC:6:ed3:UG-403")</f>
        <v>as:GENC:6:ed3:UG-403</v>
      </c>
    </row>
    <row r="4634" spans="1:7" x14ac:dyDescent="0.2">
      <c r="A4634" s="85"/>
      <c r="B4634" s="25" t="s">
        <v>10850</v>
      </c>
      <c r="C4634" s="25" t="s">
        <v>10851</v>
      </c>
      <c r="D4634" s="25" t="s">
        <v>1790</v>
      </c>
      <c r="E4634" s="26" t="b">
        <v>1</v>
      </c>
      <c r="F4634" s="27" t="str">
        <f>HYPERLINK("http://nsgreg.nga.mil/genc/view?v=122592&amp;gencs=T&amp;end_month=12&amp;end_day=31&amp;end_year=2014","Ibanda")</f>
        <v>Ibanda</v>
      </c>
      <c r="G4634" s="28" t="str">
        <f>HYPERLINK("http://api.nsgreg.nga.mil/geo-division/GENC/6/ed3/UG-416","as:GENC:6:ed3:UG-416")</f>
        <v>as:GENC:6:ed3:UG-416</v>
      </c>
    </row>
    <row r="4635" spans="1:7" x14ac:dyDescent="0.2">
      <c r="A4635" s="85"/>
      <c r="B4635" s="25" t="s">
        <v>10852</v>
      </c>
      <c r="C4635" s="25" t="s">
        <v>10853</v>
      </c>
      <c r="D4635" s="25" t="s">
        <v>1790</v>
      </c>
      <c r="E4635" s="26" t="b">
        <v>1</v>
      </c>
      <c r="F4635" s="27" t="str">
        <f>HYPERLINK("http://nsgreg.nga.mil/genc/view?v=122516&amp;gencs=T&amp;end_month=12&amp;end_day=31&amp;end_year=2014","Iganga")</f>
        <v>Iganga</v>
      </c>
      <c r="G4635" s="28" t="str">
        <f>HYPERLINK("http://api.nsgreg.nga.mil/geo-division/GENC/6/ed3/UG-203","as:GENC:6:ed3:UG-203")</f>
        <v>as:GENC:6:ed3:UG-203</v>
      </c>
    </row>
    <row r="4636" spans="1:7" x14ac:dyDescent="0.2">
      <c r="A4636" s="85"/>
      <c r="B4636" s="25" t="s">
        <v>10854</v>
      </c>
      <c r="C4636" s="25" t="s">
        <v>10855</v>
      </c>
      <c r="D4636" s="25" t="s">
        <v>1790</v>
      </c>
      <c r="E4636" s="26" t="b">
        <v>1</v>
      </c>
      <c r="F4636" s="27" t="str">
        <f>HYPERLINK("http://nsgreg.nga.mil/genc/view?v=122593&amp;gencs=T&amp;end_month=12&amp;end_day=31&amp;end_year=2014","Isingiro")</f>
        <v>Isingiro</v>
      </c>
      <c r="G4636" s="28" t="str">
        <f>HYPERLINK("http://api.nsgreg.nga.mil/geo-division/GENC/6/ed3/UG-417","as:GENC:6:ed3:UG-417")</f>
        <v>as:GENC:6:ed3:UG-417</v>
      </c>
    </row>
    <row r="4637" spans="1:7" x14ac:dyDescent="0.2">
      <c r="A4637" s="85"/>
      <c r="B4637" s="25" t="s">
        <v>10856</v>
      </c>
      <c r="C4637" s="25" t="s">
        <v>10857</v>
      </c>
      <c r="D4637" s="25" t="s">
        <v>1790</v>
      </c>
      <c r="E4637" s="26" t="b">
        <v>1</v>
      </c>
      <c r="F4637" s="27" t="str">
        <f>HYPERLINK("http://nsgreg.nga.mil/genc/view?v=122517&amp;gencs=T&amp;end_month=12&amp;end_day=31&amp;end_year=2014","Jinja")</f>
        <v>Jinja</v>
      </c>
      <c r="G4637" s="28" t="str">
        <f>HYPERLINK("http://api.nsgreg.nga.mil/geo-division/GENC/6/ed3/UG-204","as:GENC:6:ed3:UG-204")</f>
        <v>as:GENC:6:ed3:UG-204</v>
      </c>
    </row>
    <row r="4638" spans="1:7" x14ac:dyDescent="0.2">
      <c r="A4638" s="85"/>
      <c r="B4638" s="25" t="s">
        <v>10858</v>
      </c>
      <c r="C4638" s="25" t="s">
        <v>10859</v>
      </c>
      <c r="D4638" s="25" t="s">
        <v>1790</v>
      </c>
      <c r="E4638" s="26" t="b">
        <v>1</v>
      </c>
      <c r="F4638" s="27" t="str">
        <f>HYPERLINK("http://nsgreg.nga.mil/genc/view?v=122560&amp;gencs=T&amp;end_month=12&amp;end_day=31&amp;end_year=2014","Kaabong")</f>
        <v>Kaabong</v>
      </c>
      <c r="G4638" s="28" t="str">
        <f>HYPERLINK("http://api.nsgreg.nga.mil/geo-division/GENC/6/ed3/UG-315","as:GENC:6:ed3:UG-315")</f>
        <v>as:GENC:6:ed3:UG-315</v>
      </c>
    </row>
    <row r="4639" spans="1:7" x14ac:dyDescent="0.2">
      <c r="A4639" s="85"/>
      <c r="B4639" s="25" t="s">
        <v>10860</v>
      </c>
      <c r="C4639" s="25" t="s">
        <v>10861</v>
      </c>
      <c r="D4639" s="25" t="s">
        <v>1790</v>
      </c>
      <c r="E4639" s="26" t="b">
        <v>1</v>
      </c>
      <c r="F4639" s="27" t="str">
        <f>HYPERLINK("http://nsgreg.nga.mil/genc/view?v=122580&amp;gencs=T&amp;end_month=12&amp;end_day=31&amp;end_year=2014","Kabale")</f>
        <v>Kabale</v>
      </c>
      <c r="G4639" s="28" t="str">
        <f>HYPERLINK("http://api.nsgreg.nga.mil/geo-division/GENC/6/ed3/UG-404","as:GENC:6:ed3:UG-404")</f>
        <v>as:GENC:6:ed3:UG-404</v>
      </c>
    </row>
    <row r="4640" spans="1:7" x14ac:dyDescent="0.2">
      <c r="A4640" s="85"/>
      <c r="B4640" s="25" t="s">
        <v>10862</v>
      </c>
      <c r="C4640" s="25" t="s">
        <v>10863</v>
      </c>
      <c r="D4640" s="25" t="s">
        <v>1790</v>
      </c>
      <c r="E4640" s="26" t="b">
        <v>1</v>
      </c>
      <c r="F4640" s="27" t="str">
        <f>HYPERLINK("http://nsgreg.nga.mil/genc/view?v=122581&amp;gencs=T&amp;end_month=12&amp;end_day=31&amp;end_year=2014","Kabarole")</f>
        <v>Kabarole</v>
      </c>
      <c r="G4640" s="28" t="str">
        <f>HYPERLINK("http://api.nsgreg.nga.mil/geo-division/GENC/6/ed3/UG-405","as:GENC:6:ed3:UG-405")</f>
        <v>as:GENC:6:ed3:UG-405</v>
      </c>
    </row>
    <row r="4641" spans="1:7" x14ac:dyDescent="0.2">
      <c r="A4641" s="85"/>
      <c r="B4641" s="25" t="s">
        <v>10864</v>
      </c>
      <c r="C4641" s="25" t="s">
        <v>10865</v>
      </c>
      <c r="D4641" s="25" t="s">
        <v>1790</v>
      </c>
      <c r="E4641" s="26" t="b">
        <v>1</v>
      </c>
      <c r="F4641" s="27" t="str">
        <f>HYPERLINK("http://nsgreg.nga.mil/genc/view?v=122526&amp;gencs=T&amp;end_month=12&amp;end_day=31&amp;end_year=2014","Kaberamaido")</f>
        <v>Kaberamaido</v>
      </c>
      <c r="G4641" s="28" t="str">
        <f>HYPERLINK("http://api.nsgreg.nga.mil/geo-division/GENC/6/ed3/UG-213","as:GENC:6:ed3:UG-213")</f>
        <v>as:GENC:6:ed3:UG-213</v>
      </c>
    </row>
    <row r="4642" spans="1:7" x14ac:dyDescent="0.2">
      <c r="A4642" s="85"/>
      <c r="B4642" s="25" t="s">
        <v>10866</v>
      </c>
      <c r="C4642" s="25" t="s">
        <v>10867</v>
      </c>
      <c r="D4642" s="25" t="s">
        <v>1790</v>
      </c>
      <c r="E4642" s="26" t="b">
        <v>1</v>
      </c>
      <c r="F4642" s="27" t="str">
        <f>HYPERLINK("http://nsgreg.nga.mil/genc/view?v=122490&amp;gencs=T&amp;end_month=12&amp;end_day=31&amp;end_year=2014","Kalangala")</f>
        <v>Kalangala</v>
      </c>
      <c r="G4642" s="28" t="str">
        <f>HYPERLINK("http://api.nsgreg.nga.mil/geo-division/GENC/6/ed3/UG-101","as:GENC:6:ed3:UG-101")</f>
        <v>as:GENC:6:ed3:UG-101</v>
      </c>
    </row>
    <row r="4643" spans="1:7" x14ac:dyDescent="0.2">
      <c r="A4643" s="85"/>
      <c r="B4643" s="25" t="s">
        <v>10868</v>
      </c>
      <c r="C4643" s="25" t="s">
        <v>10869</v>
      </c>
      <c r="D4643" s="25" t="s">
        <v>1790</v>
      </c>
      <c r="E4643" s="26" t="b">
        <v>1</v>
      </c>
      <c r="F4643" s="27" t="str">
        <f>HYPERLINK("http://nsgreg.nga.mil/genc/view?v=122533&amp;gencs=T&amp;end_month=12&amp;end_day=31&amp;end_year=2014","Kaliro")</f>
        <v>Kaliro</v>
      </c>
      <c r="G4643" s="28" t="str">
        <f>HYPERLINK("http://api.nsgreg.nga.mil/geo-division/GENC/6/ed3/UG-220","as:GENC:6:ed3:UG-220")</f>
        <v>as:GENC:6:ed3:UG-220</v>
      </c>
    </row>
    <row r="4644" spans="1:7" x14ac:dyDescent="0.2">
      <c r="A4644" s="85"/>
      <c r="B4644" s="25" t="s">
        <v>13799</v>
      </c>
      <c r="C4644" s="25" t="s">
        <v>13800</v>
      </c>
      <c r="D4644" s="25" t="s">
        <v>13778</v>
      </c>
      <c r="E4644" s="26" t="b">
        <v>1</v>
      </c>
      <c r="F4644" s="27" t="str">
        <f>HYPERLINK("http://nsgreg.nga.mil/genc/view?v=122511&amp;gencs=T&amp;end_month=12&amp;end_day=31&amp;end_year=2014","Kalungu")</f>
        <v>Kalungu</v>
      </c>
      <c r="G4644" s="28" t="str">
        <f>HYPERLINK("http://api.nsgreg.nga.mil/geo-division/GENC/6/ed3/UG-122","as:GENC:6:ed3:UG-122")</f>
        <v>as:GENC:6:ed3:UG-122</v>
      </c>
    </row>
    <row r="4645" spans="1:7" x14ac:dyDescent="0.2">
      <c r="A4645" s="85"/>
      <c r="B4645" s="25" t="s">
        <v>10870</v>
      </c>
      <c r="C4645" s="25" t="s">
        <v>10871</v>
      </c>
      <c r="D4645" s="25" t="s">
        <v>2046</v>
      </c>
      <c r="E4645" s="26" t="b">
        <v>1</v>
      </c>
      <c r="F4645" s="27" t="str">
        <f>HYPERLINK("http://nsgreg.nga.mil/genc/view?v=122491&amp;gencs=T&amp;end_month=12&amp;end_day=31&amp;end_year=2014","Kampala")</f>
        <v>Kampala</v>
      </c>
      <c r="G4645" s="28" t="str">
        <f>HYPERLINK("http://api.nsgreg.nga.mil/geo-division/GENC/6/ed3/UG-102","as:GENC:6:ed3:UG-102")</f>
        <v>as:GENC:6:ed3:UG-102</v>
      </c>
    </row>
    <row r="4646" spans="1:7" x14ac:dyDescent="0.2">
      <c r="A4646" s="85"/>
      <c r="B4646" s="25" t="s">
        <v>10872</v>
      </c>
      <c r="C4646" s="25" t="s">
        <v>10873</v>
      </c>
      <c r="D4646" s="25" t="s">
        <v>1790</v>
      </c>
      <c r="E4646" s="26" t="b">
        <v>1</v>
      </c>
      <c r="F4646" s="27" t="str">
        <f>HYPERLINK("http://nsgreg.nga.mil/genc/view?v=122518&amp;gencs=T&amp;end_month=12&amp;end_day=31&amp;end_year=2014","Kamuli")</f>
        <v>Kamuli</v>
      </c>
      <c r="G4646" s="28" t="str">
        <f>HYPERLINK("http://api.nsgreg.nga.mil/geo-division/GENC/6/ed3/UG-205","as:GENC:6:ed3:UG-205")</f>
        <v>as:GENC:6:ed3:UG-205</v>
      </c>
    </row>
    <row r="4647" spans="1:7" x14ac:dyDescent="0.2">
      <c r="A4647" s="85"/>
      <c r="B4647" s="25" t="s">
        <v>10874</v>
      </c>
      <c r="C4647" s="25" t="s">
        <v>10875</v>
      </c>
      <c r="D4647" s="25" t="s">
        <v>1790</v>
      </c>
      <c r="E4647" s="26" t="b">
        <v>1</v>
      </c>
      <c r="F4647" s="27" t="str">
        <f>HYPERLINK("http://nsgreg.nga.mil/genc/view?v=122589&amp;gencs=T&amp;end_month=12&amp;end_day=31&amp;end_year=2014","Kamwenge")</f>
        <v>Kamwenge</v>
      </c>
      <c r="G4647" s="28" t="str">
        <f>HYPERLINK("http://api.nsgreg.nga.mil/geo-division/GENC/6/ed3/UG-413","as:GENC:6:ed3:UG-413")</f>
        <v>as:GENC:6:ed3:UG-413</v>
      </c>
    </row>
    <row r="4648" spans="1:7" x14ac:dyDescent="0.2">
      <c r="A4648" s="85"/>
      <c r="B4648" s="25" t="s">
        <v>10876</v>
      </c>
      <c r="C4648" s="25" t="s">
        <v>10877</v>
      </c>
      <c r="D4648" s="25" t="s">
        <v>1790</v>
      </c>
      <c r="E4648" s="26" t="b">
        <v>1</v>
      </c>
      <c r="F4648" s="27" t="str">
        <f>HYPERLINK("http://nsgreg.nga.mil/genc/view?v=122590&amp;gencs=T&amp;end_month=12&amp;end_day=31&amp;end_year=2014","Kanungu")</f>
        <v>Kanungu</v>
      </c>
      <c r="G4648" s="28" t="str">
        <f>HYPERLINK("http://api.nsgreg.nga.mil/geo-division/GENC/6/ed3/UG-414","as:GENC:6:ed3:UG-414")</f>
        <v>as:GENC:6:ed3:UG-414</v>
      </c>
    </row>
    <row r="4649" spans="1:7" x14ac:dyDescent="0.2">
      <c r="A4649" s="85"/>
      <c r="B4649" s="25" t="s">
        <v>10878</v>
      </c>
      <c r="C4649" s="25" t="s">
        <v>10879</v>
      </c>
      <c r="D4649" s="25" t="s">
        <v>1790</v>
      </c>
      <c r="E4649" s="26" t="b">
        <v>1</v>
      </c>
      <c r="F4649" s="27" t="str">
        <f>HYPERLINK("http://nsgreg.nga.mil/genc/view?v=122519&amp;gencs=T&amp;end_month=12&amp;end_day=31&amp;end_year=2014","Kapchorwa")</f>
        <v>Kapchorwa</v>
      </c>
      <c r="G4649" s="28" t="str">
        <f>HYPERLINK("http://api.nsgreg.nga.mil/geo-division/GENC/6/ed3/UG-206","as:GENC:6:ed3:UG-206")</f>
        <v>as:GENC:6:ed3:UG-206</v>
      </c>
    </row>
    <row r="4650" spans="1:7" x14ac:dyDescent="0.2">
      <c r="A4650" s="85"/>
      <c r="B4650" s="25" t="s">
        <v>10880</v>
      </c>
      <c r="C4650" s="25" t="s">
        <v>10881</v>
      </c>
      <c r="D4650" s="25" t="s">
        <v>1790</v>
      </c>
      <c r="E4650" s="26" t="b">
        <v>1</v>
      </c>
      <c r="F4650" s="27" t="str">
        <f>HYPERLINK("http://nsgreg.nga.mil/genc/view?v=122582&amp;gencs=T&amp;end_month=12&amp;end_day=31&amp;end_year=2014","Kasese")</f>
        <v>Kasese</v>
      </c>
      <c r="G4650" s="28" t="str">
        <f>HYPERLINK("http://api.nsgreg.nga.mil/geo-division/GENC/6/ed3/UG-406","as:GENC:6:ed3:UG-406")</f>
        <v>as:GENC:6:ed3:UG-406</v>
      </c>
    </row>
    <row r="4651" spans="1:7" x14ac:dyDescent="0.2">
      <c r="A4651" s="85"/>
      <c r="B4651" s="25" t="s">
        <v>10882</v>
      </c>
      <c r="C4651" s="25" t="s">
        <v>10883</v>
      </c>
      <c r="D4651" s="25" t="s">
        <v>1790</v>
      </c>
      <c r="E4651" s="26" t="b">
        <v>1</v>
      </c>
      <c r="F4651" s="27" t="str">
        <f>HYPERLINK("http://nsgreg.nga.mil/genc/view?v=122520&amp;gencs=T&amp;end_month=12&amp;end_day=31&amp;end_year=2014","Katakwi")</f>
        <v>Katakwi</v>
      </c>
      <c r="G4651" s="28" t="str">
        <f>HYPERLINK("http://api.nsgreg.nga.mil/geo-division/GENC/6/ed3/UG-207","as:GENC:6:ed3:UG-207")</f>
        <v>as:GENC:6:ed3:UG-207</v>
      </c>
    </row>
    <row r="4652" spans="1:7" x14ac:dyDescent="0.2">
      <c r="A4652" s="85"/>
      <c r="B4652" s="25" t="s">
        <v>10884</v>
      </c>
      <c r="C4652" s="25" t="s">
        <v>10885</v>
      </c>
      <c r="D4652" s="25" t="s">
        <v>1790</v>
      </c>
      <c r="E4652" s="26" t="b">
        <v>1</v>
      </c>
      <c r="F4652" s="27" t="str">
        <f>HYPERLINK("http://nsgreg.nga.mil/genc/view?v=122501&amp;gencs=T&amp;end_month=12&amp;end_day=31&amp;end_year=2014","Kayunga")</f>
        <v>Kayunga</v>
      </c>
      <c r="G4652" s="28" t="str">
        <f>HYPERLINK("http://api.nsgreg.nga.mil/geo-division/GENC/6/ed3/UG-112","as:GENC:6:ed3:UG-112")</f>
        <v>as:GENC:6:ed3:UG-112</v>
      </c>
    </row>
    <row r="4653" spans="1:7" x14ac:dyDescent="0.2">
      <c r="A4653" s="85"/>
      <c r="B4653" s="25" t="s">
        <v>10886</v>
      </c>
      <c r="C4653" s="25" t="s">
        <v>10887</v>
      </c>
      <c r="D4653" s="25" t="s">
        <v>1790</v>
      </c>
      <c r="E4653" s="26" t="b">
        <v>1</v>
      </c>
      <c r="F4653" s="27" t="str">
        <f>HYPERLINK("http://nsgreg.nga.mil/genc/view?v=122583&amp;gencs=T&amp;end_month=12&amp;end_day=31&amp;end_year=2014","Kibaale")</f>
        <v>Kibaale</v>
      </c>
      <c r="G4653" s="28" t="str">
        <f>HYPERLINK("http://api.nsgreg.nga.mil/geo-division/GENC/6/ed3/UG-407","as:GENC:6:ed3:UG-407")</f>
        <v>as:GENC:6:ed3:UG-407</v>
      </c>
    </row>
    <row r="4654" spans="1:7" x14ac:dyDescent="0.2">
      <c r="A4654" s="85"/>
      <c r="B4654" s="25" t="s">
        <v>10888</v>
      </c>
      <c r="C4654" s="25" t="s">
        <v>10889</v>
      </c>
      <c r="D4654" s="25" t="s">
        <v>1790</v>
      </c>
      <c r="E4654" s="26" t="b">
        <v>1</v>
      </c>
      <c r="F4654" s="27" t="str">
        <f>HYPERLINK("http://nsgreg.nga.mil/genc/view?v=122492&amp;gencs=T&amp;end_month=12&amp;end_day=31&amp;end_year=2014","Kiboga")</f>
        <v>Kiboga</v>
      </c>
      <c r="G4654" s="28" t="str">
        <f>HYPERLINK("http://api.nsgreg.nga.mil/geo-division/GENC/6/ed3/UG-103","as:GENC:6:ed3:UG-103")</f>
        <v>as:GENC:6:ed3:UG-103</v>
      </c>
    </row>
    <row r="4655" spans="1:7" x14ac:dyDescent="0.2">
      <c r="A4655" s="85"/>
      <c r="B4655" s="25" t="s">
        <v>13801</v>
      </c>
      <c r="C4655" s="25" t="s">
        <v>13802</v>
      </c>
      <c r="D4655" s="25" t="s">
        <v>13778</v>
      </c>
      <c r="E4655" s="26" t="b">
        <v>1</v>
      </c>
      <c r="F4655" s="27" t="str">
        <f>HYPERLINK("http://nsgreg.nga.mil/genc/view?v=122540&amp;gencs=T&amp;end_month=12&amp;end_day=31&amp;end_year=2014","Kibuku")</f>
        <v>Kibuku</v>
      </c>
      <c r="G4655" s="28" t="str">
        <f>HYPERLINK("http://api.nsgreg.nga.mil/geo-division/GENC/6/ed3/UG-227","as:GENC:6:ed3:UG-227")</f>
        <v>as:GENC:6:ed3:UG-227</v>
      </c>
    </row>
    <row r="4656" spans="1:7" x14ac:dyDescent="0.2">
      <c r="A4656" s="85"/>
      <c r="B4656" s="25" t="s">
        <v>10890</v>
      </c>
      <c r="C4656" s="25" t="s">
        <v>10891</v>
      </c>
      <c r="D4656" s="25" t="s">
        <v>1790</v>
      </c>
      <c r="E4656" s="26" t="b">
        <v>1</v>
      </c>
      <c r="F4656" s="27" t="str">
        <f>HYPERLINK("http://nsgreg.nga.mil/genc/view?v=122594&amp;gencs=T&amp;end_month=12&amp;end_day=31&amp;end_year=2014","Kiruhura")</f>
        <v>Kiruhura</v>
      </c>
      <c r="G4656" s="28" t="str">
        <f>HYPERLINK("http://api.nsgreg.nga.mil/geo-division/GENC/6/ed3/UG-418","as:GENC:6:ed3:UG-418")</f>
        <v>as:GENC:6:ed3:UG-418</v>
      </c>
    </row>
    <row r="4657" spans="1:7" x14ac:dyDescent="0.2">
      <c r="A4657" s="85"/>
      <c r="B4657" s="25" t="s">
        <v>13803</v>
      </c>
      <c r="C4657" s="25" t="s">
        <v>13804</v>
      </c>
      <c r="D4657" s="25" t="s">
        <v>13778</v>
      </c>
      <c r="E4657" s="26" t="b">
        <v>1</v>
      </c>
      <c r="F4657" s="27" t="str">
        <f>HYPERLINK("http://nsgreg.nga.mil/genc/view?v=122596&amp;gencs=T&amp;end_month=12&amp;end_day=31&amp;end_year=2014","Kiryandongo")</f>
        <v>Kiryandongo</v>
      </c>
      <c r="G4657" s="28" t="str">
        <f>HYPERLINK("http://api.nsgreg.nga.mil/geo-division/GENC/6/ed3/UG-420","as:GENC:6:ed3:UG-420")</f>
        <v>as:GENC:6:ed3:UG-420</v>
      </c>
    </row>
    <row r="4658" spans="1:7" x14ac:dyDescent="0.2">
      <c r="A4658" s="85"/>
      <c r="B4658" s="25" t="s">
        <v>10892</v>
      </c>
      <c r="C4658" s="25" t="s">
        <v>10893</v>
      </c>
      <c r="D4658" s="25" t="s">
        <v>1790</v>
      </c>
      <c r="E4658" s="26" t="b">
        <v>1</v>
      </c>
      <c r="F4658" s="27" t="str">
        <f>HYPERLINK("http://nsgreg.nga.mil/genc/view?v=122584&amp;gencs=T&amp;end_month=12&amp;end_day=31&amp;end_year=2014","Kisoro")</f>
        <v>Kisoro</v>
      </c>
      <c r="G4658" s="28" t="str">
        <f>HYPERLINK("http://api.nsgreg.nga.mil/geo-division/GENC/6/ed3/UG-408","as:GENC:6:ed3:UG-408")</f>
        <v>as:GENC:6:ed3:UG-408</v>
      </c>
    </row>
    <row r="4659" spans="1:7" x14ac:dyDescent="0.2">
      <c r="A4659" s="85"/>
      <c r="B4659" s="25" t="s">
        <v>10894</v>
      </c>
      <c r="C4659" s="25" t="s">
        <v>10895</v>
      </c>
      <c r="D4659" s="25" t="s">
        <v>1790</v>
      </c>
      <c r="E4659" s="26" t="b">
        <v>1</v>
      </c>
      <c r="F4659" s="27" t="str">
        <f>HYPERLINK("http://nsgreg.nga.mil/genc/view?v=122550&amp;gencs=T&amp;end_month=12&amp;end_day=31&amp;end_year=2014","Kitgum")</f>
        <v>Kitgum</v>
      </c>
      <c r="G4659" s="28" t="str">
        <f>HYPERLINK("http://api.nsgreg.nga.mil/geo-division/GENC/6/ed3/UG-305","as:GENC:6:ed3:UG-305")</f>
        <v>as:GENC:6:ed3:UG-305</v>
      </c>
    </row>
    <row r="4660" spans="1:7" x14ac:dyDescent="0.2">
      <c r="A4660" s="85"/>
      <c r="B4660" s="25" t="s">
        <v>10896</v>
      </c>
      <c r="C4660" s="25" t="s">
        <v>10897</v>
      </c>
      <c r="D4660" s="25" t="s">
        <v>1790</v>
      </c>
      <c r="E4660" s="26" t="b">
        <v>1</v>
      </c>
      <c r="F4660" s="27" t="str">
        <f>HYPERLINK("http://nsgreg.nga.mil/genc/view?v=122561&amp;gencs=T&amp;end_month=12&amp;end_day=31&amp;end_year=2014","Koboko")</f>
        <v>Koboko</v>
      </c>
      <c r="G4660" s="28" t="str">
        <f>HYPERLINK("http://api.nsgreg.nga.mil/geo-division/GENC/6/ed3/UG-316","as:GENC:6:ed3:UG-316")</f>
        <v>as:GENC:6:ed3:UG-316</v>
      </c>
    </row>
    <row r="4661" spans="1:7" x14ac:dyDescent="0.2">
      <c r="A4661" s="85"/>
      <c r="B4661" s="25" t="s">
        <v>13805</v>
      </c>
      <c r="C4661" s="25" t="s">
        <v>13806</v>
      </c>
      <c r="D4661" s="25" t="s">
        <v>13778</v>
      </c>
      <c r="E4661" s="26" t="b">
        <v>1</v>
      </c>
      <c r="F4661" s="27" t="str">
        <f>HYPERLINK("http://nsgreg.nga.mil/genc/view?v=122571&amp;gencs=T&amp;end_month=12&amp;end_day=31&amp;end_year=2014","Kole")</f>
        <v>Kole</v>
      </c>
      <c r="G4661" s="28" t="str">
        <f>HYPERLINK("http://api.nsgreg.nga.mil/geo-division/GENC/6/ed3/UG-326","as:GENC:6:ed3:UG-326")</f>
        <v>as:GENC:6:ed3:UG-326</v>
      </c>
    </row>
    <row r="4662" spans="1:7" x14ac:dyDescent="0.2">
      <c r="A4662" s="85"/>
      <c r="B4662" s="25" t="s">
        <v>10898</v>
      </c>
      <c r="C4662" s="25" t="s">
        <v>10899</v>
      </c>
      <c r="D4662" s="25" t="s">
        <v>1790</v>
      </c>
      <c r="E4662" s="26" t="b">
        <v>1</v>
      </c>
      <c r="F4662" s="27" t="str">
        <f>HYPERLINK("http://nsgreg.nga.mil/genc/view?v=122551&amp;gencs=T&amp;end_month=12&amp;end_day=31&amp;end_year=2014","Kotido")</f>
        <v>Kotido</v>
      </c>
      <c r="G4662" s="28" t="str">
        <f>HYPERLINK("http://api.nsgreg.nga.mil/geo-division/GENC/6/ed3/UG-306","as:GENC:6:ed3:UG-306")</f>
        <v>as:GENC:6:ed3:UG-306</v>
      </c>
    </row>
    <row r="4663" spans="1:7" x14ac:dyDescent="0.2">
      <c r="A4663" s="85"/>
      <c r="B4663" s="25" t="s">
        <v>10900</v>
      </c>
      <c r="C4663" s="25" t="s">
        <v>10901</v>
      </c>
      <c r="D4663" s="25" t="s">
        <v>1790</v>
      </c>
      <c r="E4663" s="26" t="b">
        <v>1</v>
      </c>
      <c r="F4663" s="27" t="str">
        <f>HYPERLINK("http://nsgreg.nga.mil/genc/view?v=122521&amp;gencs=T&amp;end_month=12&amp;end_day=31&amp;end_year=2014","Kumi")</f>
        <v>Kumi</v>
      </c>
      <c r="G4663" s="28" t="str">
        <f>HYPERLINK("http://api.nsgreg.nga.mil/geo-division/GENC/6/ed3/UG-208","as:GENC:6:ed3:UG-208")</f>
        <v>as:GENC:6:ed3:UG-208</v>
      </c>
    </row>
    <row r="4664" spans="1:7" x14ac:dyDescent="0.2">
      <c r="A4664" s="85"/>
      <c r="B4664" s="25" t="s">
        <v>13807</v>
      </c>
      <c r="C4664" s="25" t="s">
        <v>13808</v>
      </c>
      <c r="D4664" s="25" t="s">
        <v>13778</v>
      </c>
      <c r="E4664" s="26" t="b">
        <v>1</v>
      </c>
      <c r="F4664" s="27" t="str">
        <f>HYPERLINK("http://nsgreg.nga.mil/genc/view?v=122541&amp;gencs=T&amp;end_month=12&amp;end_day=31&amp;end_year=2014","Kween")</f>
        <v>Kween</v>
      </c>
      <c r="G4664" s="28" t="str">
        <f>HYPERLINK("http://api.nsgreg.nga.mil/geo-division/GENC/6/ed3/UG-228","as:GENC:6:ed3:UG-228")</f>
        <v>as:GENC:6:ed3:UG-228</v>
      </c>
    </row>
    <row r="4665" spans="1:7" x14ac:dyDescent="0.2">
      <c r="A4665" s="85"/>
      <c r="B4665" s="25" t="s">
        <v>13809</v>
      </c>
      <c r="C4665" s="25" t="s">
        <v>13810</v>
      </c>
      <c r="D4665" s="25" t="s">
        <v>13778</v>
      </c>
      <c r="E4665" s="26" t="b">
        <v>1</v>
      </c>
      <c r="F4665" s="27" t="str">
        <f>HYPERLINK("http://nsgreg.nga.mil/genc/view?v=122512&amp;gencs=T&amp;end_month=12&amp;end_day=31&amp;end_year=2014","Kyankwanzi")</f>
        <v>Kyankwanzi</v>
      </c>
      <c r="G4665" s="28" t="str">
        <f>HYPERLINK("http://api.nsgreg.nga.mil/geo-division/GENC/6/ed3/UG-123","as:GENC:6:ed3:UG-123")</f>
        <v>as:GENC:6:ed3:UG-123</v>
      </c>
    </row>
    <row r="4666" spans="1:7" x14ac:dyDescent="0.2">
      <c r="A4666" s="85"/>
      <c r="B4666" s="25" t="s">
        <v>13811</v>
      </c>
      <c r="C4666" s="25" t="s">
        <v>13812</v>
      </c>
      <c r="D4666" s="25" t="s">
        <v>13778</v>
      </c>
      <c r="E4666" s="26" t="b">
        <v>1</v>
      </c>
      <c r="F4666" s="27" t="str">
        <f>HYPERLINK("http://nsgreg.nga.mil/genc/view?v=122597&amp;gencs=T&amp;end_month=12&amp;end_day=31&amp;end_year=2014","Kyegegwa")</f>
        <v>Kyegegwa</v>
      </c>
      <c r="G4666" s="28" t="str">
        <f>HYPERLINK("http://api.nsgreg.nga.mil/geo-division/GENC/6/ed3/UG-421","as:GENC:6:ed3:UG-421")</f>
        <v>as:GENC:6:ed3:UG-421</v>
      </c>
    </row>
    <row r="4667" spans="1:7" x14ac:dyDescent="0.2">
      <c r="A4667" s="85"/>
      <c r="B4667" s="25" t="s">
        <v>10902</v>
      </c>
      <c r="C4667" s="25" t="s">
        <v>10903</v>
      </c>
      <c r="D4667" s="25" t="s">
        <v>1790</v>
      </c>
      <c r="E4667" s="26" t="b">
        <v>1</v>
      </c>
      <c r="F4667" s="27" t="str">
        <f>HYPERLINK("http://nsgreg.nga.mil/genc/view?v=122591&amp;gencs=T&amp;end_month=12&amp;end_day=31&amp;end_year=2014","Kyenjojo")</f>
        <v>Kyenjojo</v>
      </c>
      <c r="G4667" s="28" t="str">
        <f>HYPERLINK("http://api.nsgreg.nga.mil/geo-division/GENC/6/ed3/UG-415","as:GENC:6:ed3:UG-415")</f>
        <v>as:GENC:6:ed3:UG-415</v>
      </c>
    </row>
    <row r="4668" spans="1:7" x14ac:dyDescent="0.2">
      <c r="A4668" s="85"/>
      <c r="B4668" s="25" t="s">
        <v>13813</v>
      </c>
      <c r="C4668" s="25" t="s">
        <v>13814</v>
      </c>
      <c r="D4668" s="25" t="s">
        <v>13778</v>
      </c>
      <c r="E4668" s="26" t="b">
        <v>1</v>
      </c>
      <c r="F4668" s="27" t="str">
        <f>HYPERLINK("http://nsgreg.nga.mil/genc/view?v=122572&amp;gencs=T&amp;end_month=12&amp;end_day=31&amp;end_year=2014","Lamwo")</f>
        <v>Lamwo</v>
      </c>
      <c r="G4668" s="28" t="str">
        <f>HYPERLINK("http://api.nsgreg.nga.mil/geo-division/GENC/6/ed3/UG-327","as:GENC:6:ed3:UG-327")</f>
        <v>as:GENC:6:ed3:UG-327</v>
      </c>
    </row>
    <row r="4669" spans="1:7" x14ac:dyDescent="0.2">
      <c r="A4669" s="85"/>
      <c r="B4669" s="25" t="s">
        <v>10904</v>
      </c>
      <c r="C4669" s="25" t="s">
        <v>10905</v>
      </c>
      <c r="D4669" s="25" t="s">
        <v>1790</v>
      </c>
      <c r="E4669" s="26" t="b">
        <v>1</v>
      </c>
      <c r="F4669" s="27" t="str">
        <f>HYPERLINK("http://nsgreg.nga.mil/genc/view?v=122552&amp;gencs=T&amp;end_month=12&amp;end_day=31&amp;end_year=2014","Lira")</f>
        <v>Lira</v>
      </c>
      <c r="G4669" s="28" t="str">
        <f>HYPERLINK("http://api.nsgreg.nga.mil/geo-division/GENC/6/ed3/UG-307","as:GENC:6:ed3:UG-307")</f>
        <v>as:GENC:6:ed3:UG-307</v>
      </c>
    </row>
    <row r="4670" spans="1:7" x14ac:dyDescent="0.2">
      <c r="A4670" s="85"/>
      <c r="B4670" s="25" t="s">
        <v>13815</v>
      </c>
      <c r="C4670" s="25" t="s">
        <v>13816</v>
      </c>
      <c r="D4670" s="25" t="s">
        <v>13778</v>
      </c>
      <c r="E4670" s="26" t="b">
        <v>1</v>
      </c>
      <c r="F4670" s="27" t="str">
        <f>HYPERLINK("http://nsgreg.nga.mil/genc/view?v=122542&amp;gencs=T&amp;end_month=12&amp;end_day=31&amp;end_year=2014","Luuka")</f>
        <v>Luuka</v>
      </c>
      <c r="G4670" s="28" t="str">
        <f>HYPERLINK("http://api.nsgreg.nga.mil/geo-division/GENC/6/ed3/UG-229","as:GENC:6:ed3:UG-229")</f>
        <v>as:GENC:6:ed3:UG-229</v>
      </c>
    </row>
    <row r="4671" spans="1:7" x14ac:dyDescent="0.2">
      <c r="A4671" s="85"/>
      <c r="B4671" s="25" t="s">
        <v>10906</v>
      </c>
      <c r="C4671" s="25" t="s">
        <v>10907</v>
      </c>
      <c r="D4671" s="25" t="s">
        <v>1790</v>
      </c>
      <c r="E4671" s="26" t="b">
        <v>1</v>
      </c>
      <c r="F4671" s="27" t="str">
        <f>HYPERLINK("http://nsgreg.nga.mil/genc/view?v=122493&amp;gencs=T&amp;end_month=12&amp;end_day=31&amp;end_year=2014","Luwero")</f>
        <v>Luwero</v>
      </c>
      <c r="G4671" s="28" t="str">
        <f>HYPERLINK("http://api.nsgreg.nga.mil/geo-division/GENC/6/ed3/UG-104","as:GENC:6:ed3:UG-104")</f>
        <v>as:GENC:6:ed3:UG-104</v>
      </c>
    </row>
    <row r="4672" spans="1:7" x14ac:dyDescent="0.2">
      <c r="A4672" s="85"/>
      <c r="B4672" s="25" t="s">
        <v>13817</v>
      </c>
      <c r="C4672" s="25" t="s">
        <v>13818</v>
      </c>
      <c r="D4672" s="25" t="s">
        <v>13778</v>
      </c>
      <c r="E4672" s="26" t="b">
        <v>1</v>
      </c>
      <c r="F4672" s="27" t="str">
        <f>HYPERLINK("http://nsgreg.nga.mil/genc/view?v=122513&amp;gencs=T&amp;end_month=12&amp;end_day=31&amp;end_year=2014","Lwengo")</f>
        <v>Lwengo</v>
      </c>
      <c r="G4672" s="28" t="str">
        <f>HYPERLINK("http://api.nsgreg.nga.mil/geo-division/GENC/6/ed3/UG-124","as:GENC:6:ed3:UG-124")</f>
        <v>as:GENC:6:ed3:UG-124</v>
      </c>
    </row>
    <row r="4673" spans="1:7" x14ac:dyDescent="0.2">
      <c r="A4673" s="85"/>
      <c r="B4673" s="25" t="s">
        <v>10908</v>
      </c>
      <c r="C4673" s="25" t="s">
        <v>10909</v>
      </c>
      <c r="D4673" s="25" t="s">
        <v>1790</v>
      </c>
      <c r="E4673" s="26" t="b">
        <v>1</v>
      </c>
      <c r="F4673" s="27" t="str">
        <f>HYPERLINK("http://nsgreg.nga.mil/genc/view?v=122505&amp;gencs=T&amp;end_month=12&amp;end_day=31&amp;end_year=2014","Lyantonde")</f>
        <v>Lyantonde</v>
      </c>
      <c r="G4673" s="28" t="str">
        <f>HYPERLINK("http://api.nsgreg.nga.mil/geo-division/GENC/6/ed3/UG-116","as:GENC:6:ed3:UG-116")</f>
        <v>as:GENC:6:ed3:UG-116</v>
      </c>
    </row>
    <row r="4674" spans="1:7" x14ac:dyDescent="0.2">
      <c r="A4674" s="85"/>
      <c r="B4674" s="25" t="s">
        <v>10910</v>
      </c>
      <c r="C4674" s="25" t="s">
        <v>10911</v>
      </c>
      <c r="D4674" s="25" t="s">
        <v>1790</v>
      </c>
      <c r="E4674" s="26" t="b">
        <v>1</v>
      </c>
      <c r="F4674" s="27" t="str">
        <f>HYPERLINK("http://nsgreg.nga.mil/genc/view?v=122534&amp;gencs=T&amp;end_month=12&amp;end_day=31&amp;end_year=2014","Manafwa")</f>
        <v>Manafwa</v>
      </c>
      <c r="G4674" s="28" t="str">
        <f>HYPERLINK("http://api.nsgreg.nga.mil/geo-division/GENC/6/ed3/UG-221","as:GENC:6:ed3:UG-221")</f>
        <v>as:GENC:6:ed3:UG-221</v>
      </c>
    </row>
    <row r="4675" spans="1:7" x14ac:dyDescent="0.2">
      <c r="A4675" s="85"/>
      <c r="B4675" s="25" t="s">
        <v>10912</v>
      </c>
      <c r="C4675" s="25" t="s">
        <v>10913</v>
      </c>
      <c r="D4675" s="25" t="s">
        <v>1790</v>
      </c>
      <c r="E4675" s="26" t="b">
        <v>1</v>
      </c>
      <c r="F4675" s="27" t="str">
        <f>HYPERLINK("http://nsgreg.nga.mil/genc/view?v=122565&amp;gencs=T&amp;end_month=12&amp;end_day=31&amp;end_year=2014","Maracha")</f>
        <v>Maracha</v>
      </c>
      <c r="G4675" s="28" t="str">
        <f>HYPERLINK("http://api.nsgreg.nga.mil/geo-division/GENC/6/ed3/UG-320","as:GENC:6:ed3:UG-320")</f>
        <v>as:GENC:6:ed3:UG-320</v>
      </c>
    </row>
    <row r="4676" spans="1:7" x14ac:dyDescent="0.2">
      <c r="A4676" s="85"/>
      <c r="B4676" s="25" t="s">
        <v>10914</v>
      </c>
      <c r="C4676" s="25" t="s">
        <v>10915</v>
      </c>
      <c r="D4676" s="25" t="s">
        <v>1790</v>
      </c>
      <c r="E4676" s="26" t="b">
        <v>1</v>
      </c>
      <c r="F4676" s="27" t="str">
        <f>HYPERLINK("http://nsgreg.nga.mil/genc/view?v=122494&amp;gencs=T&amp;end_month=12&amp;end_day=31&amp;end_year=2014","Masaka")</f>
        <v>Masaka</v>
      </c>
      <c r="G4676" s="28" t="str">
        <f>HYPERLINK("http://api.nsgreg.nga.mil/geo-division/GENC/6/ed3/UG-105","as:GENC:6:ed3:UG-105")</f>
        <v>as:GENC:6:ed3:UG-105</v>
      </c>
    </row>
    <row r="4677" spans="1:7" x14ac:dyDescent="0.2">
      <c r="A4677" s="85"/>
      <c r="B4677" s="25" t="s">
        <v>10916</v>
      </c>
      <c r="C4677" s="25" t="s">
        <v>10917</v>
      </c>
      <c r="D4677" s="25" t="s">
        <v>1790</v>
      </c>
      <c r="E4677" s="26" t="b">
        <v>1</v>
      </c>
      <c r="F4677" s="27" t="str">
        <f>HYPERLINK("http://nsgreg.nga.mil/genc/view?v=122585&amp;gencs=T&amp;end_month=12&amp;end_day=31&amp;end_year=2014","Masindi")</f>
        <v>Masindi</v>
      </c>
      <c r="G4677" s="28" t="str">
        <f>HYPERLINK("http://api.nsgreg.nga.mil/geo-division/GENC/6/ed3/UG-409","as:GENC:6:ed3:UG-409")</f>
        <v>as:GENC:6:ed3:UG-409</v>
      </c>
    </row>
    <row r="4678" spans="1:7" x14ac:dyDescent="0.2">
      <c r="A4678" s="85"/>
      <c r="B4678" s="25" t="s">
        <v>10918</v>
      </c>
      <c r="C4678" s="25" t="s">
        <v>10919</v>
      </c>
      <c r="D4678" s="25" t="s">
        <v>1790</v>
      </c>
      <c r="E4678" s="26" t="b">
        <v>1</v>
      </c>
      <c r="F4678" s="27" t="str">
        <f>HYPERLINK("http://nsgreg.nga.mil/genc/view?v=122527&amp;gencs=T&amp;end_month=12&amp;end_day=31&amp;end_year=2014","Mayuge")</f>
        <v>Mayuge</v>
      </c>
      <c r="G4678" s="28" t="str">
        <f>HYPERLINK("http://api.nsgreg.nga.mil/geo-division/GENC/6/ed3/UG-214","as:GENC:6:ed3:UG-214")</f>
        <v>as:GENC:6:ed3:UG-214</v>
      </c>
    </row>
    <row r="4679" spans="1:7" x14ac:dyDescent="0.2">
      <c r="A4679" s="85"/>
      <c r="B4679" s="25" t="s">
        <v>10920</v>
      </c>
      <c r="C4679" s="25" t="s">
        <v>10921</v>
      </c>
      <c r="D4679" s="25" t="s">
        <v>1790</v>
      </c>
      <c r="E4679" s="26" t="b">
        <v>1</v>
      </c>
      <c r="F4679" s="27" t="str">
        <f>HYPERLINK("http://nsgreg.nga.mil/genc/view?v=122522&amp;gencs=T&amp;end_month=12&amp;end_day=31&amp;end_year=2014","Mbale")</f>
        <v>Mbale</v>
      </c>
      <c r="G4679" s="28" t="str">
        <f>HYPERLINK("http://api.nsgreg.nga.mil/geo-division/GENC/6/ed3/UG-209","as:GENC:6:ed3:UG-209")</f>
        <v>as:GENC:6:ed3:UG-209</v>
      </c>
    </row>
    <row r="4680" spans="1:7" x14ac:dyDescent="0.2">
      <c r="A4680" s="85"/>
      <c r="B4680" s="25" t="s">
        <v>10922</v>
      </c>
      <c r="C4680" s="25" t="s">
        <v>10923</v>
      </c>
      <c r="D4680" s="25" t="s">
        <v>1790</v>
      </c>
      <c r="E4680" s="26" t="b">
        <v>1</v>
      </c>
      <c r="F4680" s="27" t="str">
        <f>HYPERLINK("http://nsgreg.nga.mil/genc/view?v=122586&amp;gencs=T&amp;end_month=12&amp;end_day=31&amp;end_year=2014","Mbarara")</f>
        <v>Mbarara</v>
      </c>
      <c r="G4680" s="28" t="str">
        <f>HYPERLINK("http://api.nsgreg.nga.mil/geo-division/GENC/6/ed3/UG-410","as:GENC:6:ed3:UG-410")</f>
        <v>as:GENC:6:ed3:UG-410</v>
      </c>
    </row>
    <row r="4681" spans="1:7" x14ac:dyDescent="0.2">
      <c r="A4681" s="85"/>
      <c r="B4681" s="25" t="s">
        <v>13819</v>
      </c>
      <c r="C4681" s="25" t="s">
        <v>13820</v>
      </c>
      <c r="D4681" s="25" t="s">
        <v>13778</v>
      </c>
      <c r="E4681" s="26" t="b">
        <v>1</v>
      </c>
      <c r="F4681" s="27" t="str">
        <f>HYPERLINK("http://nsgreg.nga.mil/genc/view?v=122598&amp;gencs=T&amp;end_month=12&amp;end_day=31&amp;end_year=2014","Mitooma")</f>
        <v>Mitooma</v>
      </c>
      <c r="G4681" s="28" t="str">
        <f>HYPERLINK("http://api.nsgreg.nga.mil/geo-division/GENC/6/ed3/UG-422","as:GENC:6:ed3:UG-422")</f>
        <v>as:GENC:6:ed3:UG-422</v>
      </c>
    </row>
    <row r="4682" spans="1:7" x14ac:dyDescent="0.2">
      <c r="A4682" s="85"/>
      <c r="B4682" s="25" t="s">
        <v>10924</v>
      </c>
      <c r="C4682" s="25" t="s">
        <v>10925</v>
      </c>
      <c r="D4682" s="25" t="s">
        <v>1790</v>
      </c>
      <c r="E4682" s="26" t="b">
        <v>1</v>
      </c>
      <c r="F4682" s="27" t="str">
        <f>HYPERLINK("http://nsgreg.nga.mil/genc/view?v=122503&amp;gencs=T&amp;end_month=12&amp;end_day=31&amp;end_year=2014","Mityana")</f>
        <v>Mityana</v>
      </c>
      <c r="G4682" s="28" t="str">
        <f>HYPERLINK("http://api.nsgreg.nga.mil/geo-division/GENC/6/ed3/UG-114","as:GENC:6:ed3:UG-114")</f>
        <v>as:GENC:6:ed3:UG-114</v>
      </c>
    </row>
    <row r="4683" spans="1:7" x14ac:dyDescent="0.2">
      <c r="A4683" s="85"/>
      <c r="B4683" s="25" t="s">
        <v>10926</v>
      </c>
      <c r="C4683" s="25" t="s">
        <v>10927</v>
      </c>
      <c r="D4683" s="25" t="s">
        <v>1790</v>
      </c>
      <c r="E4683" s="26" t="b">
        <v>1</v>
      </c>
      <c r="F4683" s="27" t="str">
        <f>HYPERLINK("http://nsgreg.nga.mil/genc/view?v=122553&amp;gencs=T&amp;end_month=12&amp;end_day=31&amp;end_year=2014","Moroto")</f>
        <v>Moroto</v>
      </c>
      <c r="G4683" s="28" t="str">
        <f>HYPERLINK("http://api.nsgreg.nga.mil/geo-division/GENC/6/ed3/UG-308","as:GENC:6:ed3:UG-308")</f>
        <v>as:GENC:6:ed3:UG-308</v>
      </c>
    </row>
    <row r="4684" spans="1:7" x14ac:dyDescent="0.2">
      <c r="A4684" s="85"/>
      <c r="B4684" s="25" t="s">
        <v>10928</v>
      </c>
      <c r="C4684" s="25" t="s">
        <v>10929</v>
      </c>
      <c r="D4684" s="25" t="s">
        <v>1790</v>
      </c>
      <c r="E4684" s="26" t="b">
        <v>1</v>
      </c>
      <c r="F4684" s="27" t="str">
        <f>HYPERLINK("http://nsgreg.nga.mil/genc/view?v=122554&amp;gencs=T&amp;end_month=12&amp;end_day=31&amp;end_year=2014","Moyo")</f>
        <v>Moyo</v>
      </c>
      <c r="G4684" s="28" t="str">
        <f>HYPERLINK("http://api.nsgreg.nga.mil/geo-division/GENC/6/ed3/UG-309","as:GENC:6:ed3:UG-309")</f>
        <v>as:GENC:6:ed3:UG-309</v>
      </c>
    </row>
    <row r="4685" spans="1:7" x14ac:dyDescent="0.2">
      <c r="A4685" s="85"/>
      <c r="B4685" s="25" t="s">
        <v>10930</v>
      </c>
      <c r="C4685" s="25" t="s">
        <v>10931</v>
      </c>
      <c r="D4685" s="25" t="s">
        <v>1790</v>
      </c>
      <c r="E4685" s="26" t="b">
        <v>1</v>
      </c>
      <c r="F4685" s="27" t="str">
        <f>HYPERLINK("http://nsgreg.nga.mil/genc/view?v=122495&amp;gencs=T&amp;end_month=12&amp;end_day=31&amp;end_year=2014","Mpigi")</f>
        <v>Mpigi</v>
      </c>
      <c r="G4685" s="28" t="str">
        <f>HYPERLINK("http://api.nsgreg.nga.mil/geo-division/GENC/6/ed3/UG-106","as:GENC:6:ed3:UG-106")</f>
        <v>as:GENC:6:ed3:UG-106</v>
      </c>
    </row>
    <row r="4686" spans="1:7" x14ac:dyDescent="0.2">
      <c r="A4686" s="85"/>
      <c r="B4686" s="25" t="s">
        <v>10932</v>
      </c>
      <c r="C4686" s="25" t="s">
        <v>10933</v>
      </c>
      <c r="D4686" s="25" t="s">
        <v>1790</v>
      </c>
      <c r="E4686" s="26" t="b">
        <v>1</v>
      </c>
      <c r="F4686" s="27" t="str">
        <f>HYPERLINK("http://nsgreg.nga.mil/genc/view?v=122496&amp;gencs=T&amp;end_month=12&amp;end_day=31&amp;end_year=2014","Mubende")</f>
        <v>Mubende</v>
      </c>
      <c r="G4686" s="28" t="str">
        <f>HYPERLINK("http://api.nsgreg.nga.mil/geo-division/GENC/6/ed3/UG-107","as:GENC:6:ed3:UG-107")</f>
        <v>as:GENC:6:ed3:UG-107</v>
      </c>
    </row>
    <row r="4687" spans="1:7" x14ac:dyDescent="0.2">
      <c r="A4687" s="85"/>
      <c r="B4687" s="25" t="s">
        <v>10934</v>
      </c>
      <c r="C4687" s="25" t="s">
        <v>10935</v>
      </c>
      <c r="D4687" s="25" t="s">
        <v>1790</v>
      </c>
      <c r="E4687" s="26" t="b">
        <v>1</v>
      </c>
      <c r="F4687" s="27" t="str">
        <f>HYPERLINK("http://nsgreg.nga.mil/genc/view?v=122497&amp;gencs=T&amp;end_month=12&amp;end_day=31&amp;end_year=2014","Mukono")</f>
        <v>Mukono</v>
      </c>
      <c r="G4687" s="28" t="str">
        <f>HYPERLINK("http://api.nsgreg.nga.mil/geo-division/GENC/6/ed3/UG-108","as:GENC:6:ed3:UG-108")</f>
        <v>as:GENC:6:ed3:UG-108</v>
      </c>
    </row>
    <row r="4688" spans="1:7" x14ac:dyDescent="0.2">
      <c r="A4688" s="85"/>
      <c r="B4688" s="25" t="s">
        <v>10936</v>
      </c>
      <c r="C4688" s="25" t="s">
        <v>10937</v>
      </c>
      <c r="D4688" s="25" t="s">
        <v>1790</v>
      </c>
      <c r="E4688" s="26" t="b">
        <v>1</v>
      </c>
      <c r="F4688" s="27" t="str">
        <f>HYPERLINK("http://nsgreg.nga.mil/genc/view?v=122556&amp;gencs=T&amp;end_month=12&amp;end_day=31&amp;end_year=2014","Nakapiripirit")</f>
        <v>Nakapiripirit</v>
      </c>
      <c r="G4688" s="28" t="str">
        <f>HYPERLINK("http://api.nsgreg.nga.mil/geo-division/GENC/6/ed3/UG-311","as:GENC:6:ed3:UG-311")</f>
        <v>as:GENC:6:ed3:UG-311</v>
      </c>
    </row>
    <row r="4689" spans="1:7" x14ac:dyDescent="0.2">
      <c r="A4689" s="85"/>
      <c r="B4689" s="25" t="s">
        <v>10938</v>
      </c>
      <c r="C4689" s="25" t="s">
        <v>10939</v>
      </c>
      <c r="D4689" s="25" t="s">
        <v>1790</v>
      </c>
      <c r="E4689" s="26" t="b">
        <v>1</v>
      </c>
      <c r="F4689" s="27" t="str">
        <f>HYPERLINK("http://nsgreg.nga.mil/genc/view?v=122504&amp;gencs=T&amp;end_month=12&amp;end_day=31&amp;end_year=2014","Nakaseke")</f>
        <v>Nakaseke</v>
      </c>
      <c r="G4689" s="28" t="str">
        <f>HYPERLINK("http://api.nsgreg.nga.mil/geo-division/GENC/6/ed3/UG-115","as:GENC:6:ed3:UG-115")</f>
        <v>as:GENC:6:ed3:UG-115</v>
      </c>
    </row>
    <row r="4690" spans="1:7" x14ac:dyDescent="0.2">
      <c r="A4690" s="85"/>
      <c r="B4690" s="25" t="s">
        <v>10940</v>
      </c>
      <c r="C4690" s="25" t="s">
        <v>10941</v>
      </c>
      <c r="D4690" s="25" t="s">
        <v>1790</v>
      </c>
      <c r="E4690" s="26" t="b">
        <v>1</v>
      </c>
      <c r="F4690" s="27" t="str">
        <f>HYPERLINK("http://nsgreg.nga.mil/genc/view?v=122498&amp;gencs=T&amp;end_month=12&amp;end_day=31&amp;end_year=2014","Nakasongola")</f>
        <v>Nakasongola</v>
      </c>
      <c r="G4690" s="28" t="str">
        <f>HYPERLINK("http://api.nsgreg.nga.mil/geo-division/GENC/6/ed3/UG-109","as:GENC:6:ed3:UG-109")</f>
        <v>as:GENC:6:ed3:UG-109</v>
      </c>
    </row>
    <row r="4691" spans="1:7" x14ac:dyDescent="0.2">
      <c r="A4691" s="85"/>
      <c r="B4691" s="25" t="s">
        <v>13821</v>
      </c>
      <c r="C4691" s="25" t="s">
        <v>13822</v>
      </c>
      <c r="D4691" s="25" t="s">
        <v>13778</v>
      </c>
      <c r="E4691" s="26" t="b">
        <v>1</v>
      </c>
      <c r="F4691" s="27" t="str">
        <f>HYPERLINK("http://nsgreg.nga.mil/genc/view?v=122543&amp;gencs=T&amp;end_month=12&amp;end_day=31&amp;end_year=2014","Namayingo")</f>
        <v>Namayingo</v>
      </c>
      <c r="G4691" s="28" t="str">
        <f>HYPERLINK("http://api.nsgreg.nga.mil/geo-division/GENC/6/ed3/UG-230","as:GENC:6:ed3:UG-230")</f>
        <v>as:GENC:6:ed3:UG-230</v>
      </c>
    </row>
    <row r="4692" spans="1:7" x14ac:dyDescent="0.2">
      <c r="A4692" s="85"/>
      <c r="B4692" s="25" t="s">
        <v>10942</v>
      </c>
      <c r="C4692" s="25" t="s">
        <v>10943</v>
      </c>
      <c r="D4692" s="25" t="s">
        <v>1790</v>
      </c>
      <c r="E4692" s="26" t="b">
        <v>1</v>
      </c>
      <c r="F4692" s="27" t="str">
        <f>HYPERLINK("http://nsgreg.nga.mil/genc/view?v=122535&amp;gencs=T&amp;end_month=12&amp;end_day=31&amp;end_year=2014","Namutumba")</f>
        <v>Namutumba</v>
      </c>
      <c r="G4692" s="28" t="str">
        <f>HYPERLINK("http://api.nsgreg.nga.mil/geo-division/GENC/6/ed3/UG-222","as:GENC:6:ed3:UG-222")</f>
        <v>as:GENC:6:ed3:UG-222</v>
      </c>
    </row>
    <row r="4693" spans="1:7" x14ac:dyDescent="0.2">
      <c r="A4693" s="85"/>
      <c r="B4693" s="25" t="s">
        <v>13823</v>
      </c>
      <c r="C4693" s="25" t="s">
        <v>13824</v>
      </c>
      <c r="D4693" s="25" t="s">
        <v>13778</v>
      </c>
      <c r="E4693" s="26" t="b">
        <v>1</v>
      </c>
      <c r="F4693" s="27" t="str">
        <f>HYPERLINK("http://nsgreg.nga.mil/genc/view?v=122573&amp;gencs=T&amp;end_month=12&amp;end_day=31&amp;end_year=2014","Napak")</f>
        <v>Napak</v>
      </c>
      <c r="G4693" s="28" t="str">
        <f>HYPERLINK("http://api.nsgreg.nga.mil/geo-division/GENC/6/ed3/UG-328","as:GENC:6:ed3:UG-328")</f>
        <v>as:GENC:6:ed3:UG-328</v>
      </c>
    </row>
    <row r="4694" spans="1:7" x14ac:dyDescent="0.2">
      <c r="A4694" s="85"/>
      <c r="B4694" s="25" t="s">
        <v>10944</v>
      </c>
      <c r="C4694" s="25" t="s">
        <v>10945</v>
      </c>
      <c r="D4694" s="25" t="s">
        <v>1790</v>
      </c>
      <c r="E4694" s="26" t="b">
        <v>1</v>
      </c>
      <c r="F4694" s="27" t="str">
        <f>HYPERLINK("http://nsgreg.nga.mil/genc/view?v=122555&amp;gencs=T&amp;end_month=12&amp;end_day=31&amp;end_year=2014","Nebbi")</f>
        <v>Nebbi</v>
      </c>
      <c r="G4694" s="28" t="str">
        <f>HYPERLINK("http://api.nsgreg.nga.mil/geo-division/GENC/6/ed3/UG-310","as:GENC:6:ed3:UG-310")</f>
        <v>as:GENC:6:ed3:UG-310</v>
      </c>
    </row>
    <row r="4695" spans="1:7" x14ac:dyDescent="0.2">
      <c r="A4695" s="85"/>
      <c r="B4695" s="25" t="s">
        <v>13825</v>
      </c>
      <c r="C4695" s="25" t="s">
        <v>13826</v>
      </c>
      <c r="D4695" s="25" t="s">
        <v>13778</v>
      </c>
      <c r="E4695" s="26" t="b">
        <v>1</v>
      </c>
      <c r="F4695" s="27" t="str">
        <f>HYPERLINK("http://nsgreg.nga.mil/genc/view?v=122544&amp;gencs=T&amp;end_month=12&amp;end_day=31&amp;end_year=2014","Ngora")</f>
        <v>Ngora</v>
      </c>
      <c r="G4695" s="28" t="str">
        <f>HYPERLINK("http://api.nsgreg.nga.mil/geo-division/GENC/6/ed3/UG-231","as:GENC:6:ed3:UG-231")</f>
        <v>as:GENC:6:ed3:UG-231</v>
      </c>
    </row>
    <row r="4696" spans="1:7" x14ac:dyDescent="0.2">
      <c r="A4696" s="85"/>
      <c r="B4696" s="25" t="s">
        <v>10946</v>
      </c>
      <c r="C4696" s="25" t="s">
        <v>4193</v>
      </c>
      <c r="D4696" s="37" t="s">
        <v>3117</v>
      </c>
      <c r="E4696" s="38" t="b">
        <v>0</v>
      </c>
      <c r="F4696" s="27" t="str">
        <f>HYPERLINK("http://nsgreg.nga.mil/genc/view?v=122604&amp;gencs=T&amp;end_month=12&amp;end_day=31&amp;end_year=2014","Northern")</f>
        <v>Northern</v>
      </c>
      <c r="G4696" s="28" t="str">
        <f>HYPERLINK("http://api.nsgreg.nga.mil/geo-division/GENC/6/ed3/UG-N","as:GENC:6:ed3:UG-N")</f>
        <v>as:GENC:6:ed3:UG-N</v>
      </c>
    </row>
    <row r="4697" spans="1:7" x14ac:dyDescent="0.2">
      <c r="A4697" s="85"/>
      <c r="B4697" s="25" t="s">
        <v>13827</v>
      </c>
      <c r="C4697" s="25" t="s">
        <v>13828</v>
      </c>
      <c r="D4697" s="25" t="s">
        <v>13778</v>
      </c>
      <c r="E4697" s="26" t="b">
        <v>1</v>
      </c>
      <c r="F4697" s="27" t="str">
        <f>HYPERLINK("http://nsgreg.nga.mil/genc/view?v=122599&amp;gencs=T&amp;end_month=12&amp;end_day=31&amp;end_year=2014","Ntoroko")</f>
        <v>Ntoroko</v>
      </c>
      <c r="G4697" s="28" t="str">
        <f>HYPERLINK("http://api.nsgreg.nga.mil/geo-division/GENC/6/ed3/UG-423","as:GENC:6:ed3:UG-423")</f>
        <v>as:GENC:6:ed3:UG-423</v>
      </c>
    </row>
    <row r="4698" spans="1:7" x14ac:dyDescent="0.2">
      <c r="A4698" s="85"/>
      <c r="B4698" s="25" t="s">
        <v>10947</v>
      </c>
      <c r="C4698" s="25" t="s">
        <v>10948</v>
      </c>
      <c r="D4698" s="25" t="s">
        <v>1790</v>
      </c>
      <c r="E4698" s="26" t="b">
        <v>1</v>
      </c>
      <c r="F4698" s="27" t="str">
        <f>HYPERLINK("http://nsgreg.nga.mil/genc/view?v=122587&amp;gencs=T&amp;end_month=12&amp;end_day=31&amp;end_year=2014","Ntungamo")</f>
        <v>Ntungamo</v>
      </c>
      <c r="G4698" s="28" t="str">
        <f>HYPERLINK("http://api.nsgreg.nga.mil/geo-division/GENC/6/ed3/UG-411","as:GENC:6:ed3:UG-411")</f>
        <v>as:GENC:6:ed3:UG-411</v>
      </c>
    </row>
    <row r="4699" spans="1:7" x14ac:dyDescent="0.2">
      <c r="A4699" s="85"/>
      <c r="B4699" s="25" t="s">
        <v>13829</v>
      </c>
      <c r="C4699" s="25" t="s">
        <v>13830</v>
      </c>
      <c r="D4699" s="25" t="s">
        <v>13778</v>
      </c>
      <c r="E4699" s="26" t="b">
        <v>1</v>
      </c>
      <c r="F4699" s="27" t="str">
        <f>HYPERLINK("http://nsgreg.nga.mil/genc/view?v=122574&amp;gencs=T&amp;end_month=12&amp;end_day=31&amp;end_year=2014","Nwoya")</f>
        <v>Nwoya</v>
      </c>
      <c r="G4699" s="28" t="str">
        <f>HYPERLINK("http://api.nsgreg.nga.mil/geo-division/GENC/6/ed3/UG-329","as:GENC:6:ed3:UG-329")</f>
        <v>as:GENC:6:ed3:UG-329</v>
      </c>
    </row>
    <row r="4700" spans="1:7" x14ac:dyDescent="0.2">
      <c r="A4700" s="85"/>
      <c r="B4700" s="25" t="s">
        <v>13831</v>
      </c>
      <c r="C4700" s="25" t="s">
        <v>13832</v>
      </c>
      <c r="D4700" s="25" t="s">
        <v>13778</v>
      </c>
      <c r="E4700" s="26" t="b">
        <v>1</v>
      </c>
      <c r="F4700" s="27" t="str">
        <f>HYPERLINK("http://nsgreg.nga.mil/genc/view?v=122575&amp;gencs=T&amp;end_month=12&amp;end_day=31&amp;end_year=2014","Otuke")</f>
        <v>Otuke</v>
      </c>
      <c r="G4700" s="28" t="str">
        <f>HYPERLINK("http://api.nsgreg.nga.mil/geo-division/GENC/6/ed3/UG-330","as:GENC:6:ed3:UG-330")</f>
        <v>as:GENC:6:ed3:UG-330</v>
      </c>
    </row>
    <row r="4701" spans="1:7" x14ac:dyDescent="0.2">
      <c r="A4701" s="85"/>
      <c r="B4701" s="25" t="s">
        <v>10949</v>
      </c>
      <c r="C4701" s="25" t="s">
        <v>10950</v>
      </c>
      <c r="D4701" s="25" t="s">
        <v>1790</v>
      </c>
      <c r="E4701" s="26" t="b">
        <v>1</v>
      </c>
      <c r="F4701" s="27" t="str">
        <f>HYPERLINK("http://nsgreg.nga.mil/genc/view?v=122566&amp;gencs=T&amp;end_month=12&amp;end_day=31&amp;end_year=2014","Oyam")</f>
        <v>Oyam</v>
      </c>
      <c r="G4701" s="28" t="str">
        <f>HYPERLINK("http://api.nsgreg.nga.mil/geo-division/GENC/6/ed3/UG-321","as:GENC:6:ed3:UG-321")</f>
        <v>as:GENC:6:ed3:UG-321</v>
      </c>
    </row>
    <row r="4702" spans="1:7" x14ac:dyDescent="0.2">
      <c r="A4702" s="85"/>
      <c r="B4702" s="25" t="s">
        <v>10951</v>
      </c>
      <c r="C4702" s="25" t="s">
        <v>10952</v>
      </c>
      <c r="D4702" s="25" t="s">
        <v>1790</v>
      </c>
      <c r="E4702" s="26" t="b">
        <v>1</v>
      </c>
      <c r="F4702" s="27" t="str">
        <f>HYPERLINK("http://nsgreg.nga.mil/genc/view?v=122557&amp;gencs=T&amp;end_month=12&amp;end_day=31&amp;end_year=2014","Pader")</f>
        <v>Pader</v>
      </c>
      <c r="G4702" s="28" t="str">
        <f>HYPERLINK("http://api.nsgreg.nga.mil/geo-division/GENC/6/ed3/UG-312","as:GENC:6:ed3:UG-312")</f>
        <v>as:GENC:6:ed3:UG-312</v>
      </c>
    </row>
    <row r="4703" spans="1:7" x14ac:dyDescent="0.2">
      <c r="A4703" s="85"/>
      <c r="B4703" s="25" t="s">
        <v>10953</v>
      </c>
      <c r="C4703" s="25" t="s">
        <v>10954</v>
      </c>
      <c r="D4703" s="25" t="s">
        <v>1790</v>
      </c>
      <c r="E4703" s="26" t="b">
        <v>1</v>
      </c>
      <c r="F4703" s="27" t="str">
        <f>HYPERLINK("http://nsgreg.nga.mil/genc/view?v=122523&amp;gencs=T&amp;end_month=12&amp;end_day=31&amp;end_year=2014","Pallisa")</f>
        <v>Pallisa</v>
      </c>
      <c r="G4703" s="28" t="str">
        <f>HYPERLINK("http://api.nsgreg.nga.mil/geo-division/GENC/6/ed3/UG-210","as:GENC:6:ed3:UG-210")</f>
        <v>as:GENC:6:ed3:UG-210</v>
      </c>
    </row>
    <row r="4704" spans="1:7" x14ac:dyDescent="0.2">
      <c r="A4704" s="85"/>
      <c r="B4704" s="25" t="s">
        <v>10955</v>
      </c>
      <c r="C4704" s="25" t="s">
        <v>10956</v>
      </c>
      <c r="D4704" s="25" t="s">
        <v>1790</v>
      </c>
      <c r="E4704" s="26" t="b">
        <v>1</v>
      </c>
      <c r="F4704" s="27" t="str">
        <f>HYPERLINK("http://nsgreg.nga.mil/genc/view?v=122499&amp;gencs=T&amp;end_month=12&amp;end_day=31&amp;end_year=2014","Rakai")</f>
        <v>Rakai</v>
      </c>
      <c r="G4704" s="28" t="str">
        <f>HYPERLINK("http://api.nsgreg.nga.mil/geo-division/GENC/6/ed3/UG-110","as:GENC:6:ed3:UG-110")</f>
        <v>as:GENC:6:ed3:UG-110</v>
      </c>
    </row>
    <row r="4705" spans="1:7" x14ac:dyDescent="0.2">
      <c r="A4705" s="85"/>
      <c r="B4705" s="25" t="s">
        <v>13833</v>
      </c>
      <c r="C4705" s="25" t="s">
        <v>13834</v>
      </c>
      <c r="D4705" s="25" t="s">
        <v>13778</v>
      </c>
      <c r="E4705" s="26" t="b">
        <v>1</v>
      </c>
      <c r="F4705" s="27" t="str">
        <f>HYPERLINK("http://nsgreg.nga.mil/genc/view?v=122600&amp;gencs=T&amp;end_month=12&amp;end_day=31&amp;end_year=2014","Rubirizi")</f>
        <v>Rubirizi</v>
      </c>
      <c r="G4705" s="28" t="str">
        <f>HYPERLINK("http://api.nsgreg.nga.mil/geo-division/GENC/6/ed3/UG-424","as:GENC:6:ed3:UG-424")</f>
        <v>as:GENC:6:ed3:UG-424</v>
      </c>
    </row>
    <row r="4706" spans="1:7" x14ac:dyDescent="0.2">
      <c r="A4706" s="85"/>
      <c r="B4706" s="25" t="s">
        <v>10957</v>
      </c>
      <c r="C4706" s="25" t="s">
        <v>10958</v>
      </c>
      <c r="D4706" s="25" t="s">
        <v>1790</v>
      </c>
      <c r="E4706" s="26" t="b">
        <v>1</v>
      </c>
      <c r="F4706" s="27" t="str">
        <f>HYPERLINK("http://nsgreg.nga.mil/genc/view?v=122588&amp;gencs=T&amp;end_month=12&amp;end_day=31&amp;end_year=2014","Rukungiri")</f>
        <v>Rukungiri</v>
      </c>
      <c r="G4706" s="28" t="str">
        <f>HYPERLINK("http://api.nsgreg.nga.mil/geo-division/GENC/6/ed3/UG-412","as:GENC:6:ed3:UG-412")</f>
        <v>as:GENC:6:ed3:UG-412</v>
      </c>
    </row>
    <row r="4707" spans="1:7" x14ac:dyDescent="0.2">
      <c r="A4707" s="85"/>
      <c r="B4707" s="25" t="s">
        <v>10959</v>
      </c>
      <c r="C4707" s="25" t="s">
        <v>10960</v>
      </c>
      <c r="D4707" s="25" t="s">
        <v>1790</v>
      </c>
      <c r="E4707" s="26" t="b">
        <v>1</v>
      </c>
      <c r="F4707" s="27" t="str">
        <f>HYPERLINK("http://nsgreg.nga.mil/genc/view?v=122500&amp;gencs=T&amp;end_month=12&amp;end_day=31&amp;end_year=2014","Sembabule")</f>
        <v>Sembabule</v>
      </c>
      <c r="G4707" s="28" t="str">
        <f>HYPERLINK("http://api.nsgreg.nga.mil/geo-division/GENC/6/ed3/UG-111","as:GENC:6:ed3:UG-111")</f>
        <v>as:GENC:6:ed3:UG-111</v>
      </c>
    </row>
    <row r="4708" spans="1:7" x14ac:dyDescent="0.2">
      <c r="A4708" s="85"/>
      <c r="B4708" s="25" t="s">
        <v>13835</v>
      </c>
      <c r="C4708" s="25" t="s">
        <v>13836</v>
      </c>
      <c r="D4708" s="25" t="s">
        <v>13778</v>
      </c>
      <c r="E4708" s="26" t="b">
        <v>1</v>
      </c>
      <c r="F4708" s="27" t="str">
        <f>HYPERLINK("http://nsgreg.nga.mil/genc/view?v=122545&amp;gencs=T&amp;end_month=12&amp;end_day=31&amp;end_year=2014","Serere")</f>
        <v>Serere</v>
      </c>
      <c r="G4708" s="28" t="str">
        <f>HYPERLINK("http://api.nsgreg.nga.mil/geo-division/GENC/6/ed3/UG-232","as:GENC:6:ed3:UG-232")</f>
        <v>as:GENC:6:ed3:UG-232</v>
      </c>
    </row>
    <row r="4709" spans="1:7" x14ac:dyDescent="0.2">
      <c r="A4709" s="85"/>
      <c r="B4709" s="25" t="s">
        <v>13837</v>
      </c>
      <c r="C4709" s="25" t="s">
        <v>13838</v>
      </c>
      <c r="D4709" s="25" t="s">
        <v>13778</v>
      </c>
      <c r="E4709" s="26" t="b">
        <v>1</v>
      </c>
      <c r="F4709" s="27" t="str">
        <f>HYPERLINK("http://nsgreg.nga.mil/genc/view?v=122601&amp;gencs=T&amp;end_month=12&amp;end_day=31&amp;end_year=2014","Sheema")</f>
        <v>Sheema</v>
      </c>
      <c r="G4709" s="28" t="str">
        <f>HYPERLINK("http://api.nsgreg.nga.mil/geo-division/GENC/6/ed3/UG-425","as:GENC:6:ed3:UG-425")</f>
        <v>as:GENC:6:ed3:UG-425</v>
      </c>
    </row>
    <row r="4710" spans="1:7" x14ac:dyDescent="0.2">
      <c r="A4710" s="85"/>
      <c r="B4710" s="25" t="s">
        <v>10961</v>
      </c>
      <c r="C4710" s="25" t="s">
        <v>10962</v>
      </c>
      <c r="D4710" s="25" t="s">
        <v>1790</v>
      </c>
      <c r="E4710" s="26" t="b">
        <v>1</v>
      </c>
      <c r="F4710" s="27" t="str">
        <f>HYPERLINK("http://nsgreg.nga.mil/genc/view?v=122528&amp;gencs=T&amp;end_month=12&amp;end_day=31&amp;end_year=2014","Sironko")</f>
        <v>Sironko</v>
      </c>
      <c r="G4710" s="28" t="str">
        <f>HYPERLINK("http://api.nsgreg.nga.mil/geo-division/GENC/6/ed3/UG-215","as:GENC:6:ed3:UG-215")</f>
        <v>as:GENC:6:ed3:UG-215</v>
      </c>
    </row>
    <row r="4711" spans="1:7" x14ac:dyDescent="0.2">
      <c r="A4711" s="85"/>
      <c r="B4711" s="25" t="s">
        <v>10963</v>
      </c>
      <c r="C4711" s="25" t="s">
        <v>10964</v>
      </c>
      <c r="D4711" s="25" t="s">
        <v>1790</v>
      </c>
      <c r="E4711" s="26" t="b">
        <v>1</v>
      </c>
      <c r="F4711" s="27" t="str">
        <f>HYPERLINK("http://nsgreg.nga.mil/genc/view?v=122524&amp;gencs=T&amp;end_month=12&amp;end_day=31&amp;end_year=2014","Soroti")</f>
        <v>Soroti</v>
      </c>
      <c r="G4711" s="28" t="str">
        <f>HYPERLINK("http://api.nsgreg.nga.mil/geo-division/GENC/6/ed3/UG-211","as:GENC:6:ed3:UG-211")</f>
        <v>as:GENC:6:ed3:UG-211</v>
      </c>
    </row>
    <row r="4712" spans="1:7" x14ac:dyDescent="0.2">
      <c r="A4712" s="85"/>
      <c r="B4712" s="25" t="s">
        <v>10965</v>
      </c>
      <c r="C4712" s="25" t="s">
        <v>10966</v>
      </c>
      <c r="D4712" s="25" t="s">
        <v>1790</v>
      </c>
      <c r="E4712" s="26" t="b">
        <v>1</v>
      </c>
      <c r="F4712" s="27" t="str">
        <f>HYPERLINK("http://nsgreg.nga.mil/genc/view?v=122525&amp;gencs=T&amp;end_month=12&amp;end_day=31&amp;end_year=2014","Tororo")</f>
        <v>Tororo</v>
      </c>
      <c r="G4712" s="28" t="str">
        <f>HYPERLINK("http://api.nsgreg.nga.mil/geo-division/GENC/6/ed3/UG-212","as:GENC:6:ed3:UG-212")</f>
        <v>as:GENC:6:ed3:UG-212</v>
      </c>
    </row>
    <row r="4713" spans="1:7" x14ac:dyDescent="0.2">
      <c r="A4713" s="85"/>
      <c r="B4713" s="25" t="s">
        <v>10967</v>
      </c>
      <c r="C4713" s="25" t="s">
        <v>10968</v>
      </c>
      <c r="D4713" s="25" t="s">
        <v>1790</v>
      </c>
      <c r="E4713" s="26" t="b">
        <v>1</v>
      </c>
      <c r="F4713" s="27" t="str">
        <f>HYPERLINK("http://nsgreg.nga.mil/genc/view?v=122502&amp;gencs=T&amp;end_month=12&amp;end_day=31&amp;end_year=2014","Wakiso")</f>
        <v>Wakiso</v>
      </c>
      <c r="G4713" s="28" t="str">
        <f>HYPERLINK("http://api.nsgreg.nga.mil/geo-division/GENC/6/ed3/UG-113","as:GENC:6:ed3:UG-113")</f>
        <v>as:GENC:6:ed3:UG-113</v>
      </c>
    </row>
    <row r="4714" spans="1:7" x14ac:dyDescent="0.2">
      <c r="A4714" s="85"/>
      <c r="B4714" s="25" t="s">
        <v>10969</v>
      </c>
      <c r="C4714" s="25" t="s">
        <v>4197</v>
      </c>
      <c r="D4714" s="37" t="s">
        <v>3117</v>
      </c>
      <c r="E4714" s="38" t="b">
        <v>0</v>
      </c>
      <c r="F4714" s="27" t="str">
        <f>HYPERLINK("http://nsgreg.nga.mil/genc/view?v=122605&amp;gencs=T&amp;end_month=12&amp;end_day=31&amp;end_year=2014","Western")</f>
        <v>Western</v>
      </c>
      <c r="G4714" s="28" t="str">
        <f>HYPERLINK("http://api.nsgreg.nga.mil/geo-division/GENC/6/ed3/UG-W","as:GENC:6:ed3:UG-W")</f>
        <v>as:GENC:6:ed3:UG-W</v>
      </c>
    </row>
    <row r="4715" spans="1:7" x14ac:dyDescent="0.2">
      <c r="A4715" s="85"/>
      <c r="B4715" s="25" t="s">
        <v>10970</v>
      </c>
      <c r="C4715" s="25" t="s">
        <v>10971</v>
      </c>
      <c r="D4715" s="25" t="s">
        <v>1790</v>
      </c>
      <c r="E4715" s="26" t="b">
        <v>1</v>
      </c>
      <c r="F4715" s="27" t="str">
        <f>HYPERLINK("http://nsgreg.nga.mil/genc/view?v=122558&amp;gencs=T&amp;end_month=12&amp;end_day=31&amp;end_year=2014","Yumbe")</f>
        <v>Yumbe</v>
      </c>
      <c r="G4715" s="28" t="str">
        <f>HYPERLINK("http://api.nsgreg.nga.mil/geo-division/GENC/6/ed3/UG-313","as:GENC:6:ed3:UG-313")</f>
        <v>as:GENC:6:ed3:UG-313</v>
      </c>
    </row>
    <row r="4716" spans="1:7" x14ac:dyDescent="0.2">
      <c r="A4716" s="86"/>
      <c r="B4716" s="29" t="s">
        <v>13839</v>
      </c>
      <c r="C4716" s="29" t="s">
        <v>13840</v>
      </c>
      <c r="D4716" s="29" t="s">
        <v>13778</v>
      </c>
      <c r="E4716" s="30" t="b">
        <v>1</v>
      </c>
      <c r="F4716" s="31" t="str">
        <f>HYPERLINK("http://nsgreg.nga.mil/genc/view?v=122576&amp;gencs=T&amp;end_month=12&amp;end_day=31&amp;end_year=2014","Zombo")</f>
        <v>Zombo</v>
      </c>
      <c r="G4716" s="32" t="str">
        <f>HYPERLINK("http://api.nsgreg.nga.mil/geo-division/GENC/6/ed3/UG-331","as:GENC:6:ed3:UG-331")</f>
        <v>as:GENC:6:ed3:UG-331</v>
      </c>
    </row>
    <row r="4717" spans="1:7" x14ac:dyDescent="0.2">
      <c r="A4717" s="84" t="str">
        <f>HYPERLINK("[#]Codes_for_GE_Names!A264:I264","UKRAINE")</f>
        <v>UKRAINE</v>
      </c>
      <c r="B4717" s="33" t="s">
        <v>10972</v>
      </c>
      <c r="C4717" s="33" t="s">
        <v>13841</v>
      </c>
      <c r="D4717" s="33" t="s">
        <v>1719</v>
      </c>
      <c r="E4717" s="34" t="b">
        <v>1</v>
      </c>
      <c r="F4717" s="35" t="str">
        <f>HYPERLINK("http://nsgreg.nga.mil/genc/view?v=213696&amp;end_month=12&amp;end_day=31&amp;end_year=2014","Cherkas’ka Oblast’")</f>
        <v>Cherkas’ka Oblast’</v>
      </c>
      <c r="G4717" s="36" t="str">
        <f>HYPERLINK("http://api.nsgreg.nga.mil/geo-division/GENC/6/ed3/UA-71","as:GENC:6:ed3:UA-71")</f>
        <v>as:GENC:6:ed3:UA-71</v>
      </c>
    </row>
    <row r="4718" spans="1:7" x14ac:dyDescent="0.2">
      <c r="A4718" s="85"/>
      <c r="B4718" s="25" t="s">
        <v>10974</v>
      </c>
      <c r="C4718" s="25" t="s">
        <v>13842</v>
      </c>
      <c r="D4718" s="25" t="s">
        <v>1719</v>
      </c>
      <c r="E4718" s="26" t="b">
        <v>1</v>
      </c>
      <c r="F4718" s="27" t="str">
        <f>HYPERLINK("http://nsgreg.nga.mil/genc/view?v=213697&amp;end_month=12&amp;end_day=31&amp;end_year=2014","Chernihivs’ka Oblast’")</f>
        <v>Chernihivs’ka Oblast’</v>
      </c>
      <c r="G4718" s="28" t="str">
        <f>HYPERLINK("http://api.nsgreg.nga.mil/geo-division/GENC/6/ed3/UA-74","as:GENC:6:ed3:UA-74")</f>
        <v>as:GENC:6:ed3:UA-74</v>
      </c>
    </row>
    <row r="4719" spans="1:7" x14ac:dyDescent="0.2">
      <c r="A4719" s="85"/>
      <c r="B4719" s="25" t="s">
        <v>10976</v>
      </c>
      <c r="C4719" s="25" t="s">
        <v>13843</v>
      </c>
      <c r="D4719" s="25" t="s">
        <v>1719</v>
      </c>
      <c r="E4719" s="26" t="b">
        <v>1</v>
      </c>
      <c r="F4719" s="27" t="str">
        <f>HYPERLINK("http://nsgreg.nga.mil/genc/view?v=213698&amp;end_month=12&amp;end_day=31&amp;end_year=2014","Chernivets’ka Oblast’")</f>
        <v>Chernivets’ka Oblast’</v>
      </c>
      <c r="G4719" s="28" t="str">
        <f>HYPERLINK("http://api.nsgreg.nga.mil/geo-division/GENC/6/ed3/UA-77","as:GENC:6:ed3:UA-77")</f>
        <v>as:GENC:6:ed3:UA-77</v>
      </c>
    </row>
    <row r="4720" spans="1:7" x14ac:dyDescent="0.2">
      <c r="A4720" s="85"/>
      <c r="B4720" s="25" t="s">
        <v>10978</v>
      </c>
      <c r="C4720" s="25" t="s">
        <v>13844</v>
      </c>
      <c r="D4720" s="25" t="s">
        <v>1719</v>
      </c>
      <c r="E4720" s="26" t="b">
        <v>1</v>
      </c>
      <c r="F4720" s="27" t="str">
        <f>HYPERLINK("http://nsgreg.nga.mil/genc/view?v=213675&amp;end_month=12&amp;end_day=31&amp;end_year=2014","Dnipropetrovs’ka Oblast’")</f>
        <v>Dnipropetrovs’ka Oblast’</v>
      </c>
      <c r="G4720" s="28" t="str">
        <f>HYPERLINK("http://api.nsgreg.nga.mil/geo-division/GENC/6/ed3/UA-12","as:GENC:6:ed3:UA-12")</f>
        <v>as:GENC:6:ed3:UA-12</v>
      </c>
    </row>
    <row r="4721" spans="1:7" x14ac:dyDescent="0.2">
      <c r="A4721" s="85"/>
      <c r="B4721" s="25" t="s">
        <v>10980</v>
      </c>
      <c r="C4721" s="25" t="s">
        <v>13845</v>
      </c>
      <c r="D4721" s="25" t="s">
        <v>1719</v>
      </c>
      <c r="E4721" s="26" t="b">
        <v>1</v>
      </c>
      <c r="F4721" s="27" t="str">
        <f>HYPERLINK("http://nsgreg.nga.mil/genc/view?v=213676&amp;end_month=12&amp;end_day=31&amp;end_year=2014","Donets’ka Oblast’")</f>
        <v>Donets’ka Oblast’</v>
      </c>
      <c r="G4721" s="28" t="str">
        <f>HYPERLINK("http://api.nsgreg.nga.mil/geo-division/GENC/6/ed3/UA-14","as:GENC:6:ed3:UA-14")</f>
        <v>as:GENC:6:ed3:UA-14</v>
      </c>
    </row>
    <row r="4722" spans="1:7" x14ac:dyDescent="0.2">
      <c r="A4722" s="85"/>
      <c r="B4722" s="25" t="s">
        <v>10982</v>
      </c>
      <c r="C4722" s="25" t="s">
        <v>13846</v>
      </c>
      <c r="D4722" s="25" t="s">
        <v>1719</v>
      </c>
      <c r="E4722" s="26" t="b">
        <v>1</v>
      </c>
      <c r="F4722" s="27" t="str">
        <f>HYPERLINK("http://nsgreg.nga.mil/genc/view?v=213680&amp;end_month=12&amp;end_day=31&amp;end_year=2014","Ivano-Frankivs’ka Oblast’")</f>
        <v>Ivano-Frankivs’ka Oblast’</v>
      </c>
      <c r="G4722" s="28" t="str">
        <f>HYPERLINK("http://api.nsgreg.nga.mil/geo-division/GENC/6/ed3/UA-26","as:GENC:6:ed3:UA-26")</f>
        <v>as:GENC:6:ed3:UA-26</v>
      </c>
    </row>
    <row r="4723" spans="1:7" x14ac:dyDescent="0.2">
      <c r="A4723" s="85"/>
      <c r="B4723" s="25" t="s">
        <v>10984</v>
      </c>
      <c r="C4723" s="25" t="s">
        <v>13847</v>
      </c>
      <c r="D4723" s="25" t="s">
        <v>1719</v>
      </c>
      <c r="E4723" s="26" t="b">
        <v>1</v>
      </c>
      <c r="F4723" s="27" t="str">
        <f>HYPERLINK("http://nsgreg.nga.mil/genc/view?v=213693&amp;end_month=12&amp;end_day=31&amp;end_year=2014","Kharkivs’ka Oblast’")</f>
        <v>Kharkivs’ka Oblast’</v>
      </c>
      <c r="G4723" s="28" t="str">
        <f>HYPERLINK("http://api.nsgreg.nga.mil/geo-division/GENC/6/ed3/UA-63","as:GENC:6:ed3:UA-63")</f>
        <v>as:GENC:6:ed3:UA-63</v>
      </c>
    </row>
    <row r="4724" spans="1:7" x14ac:dyDescent="0.2">
      <c r="A4724" s="85"/>
      <c r="B4724" s="25" t="s">
        <v>10986</v>
      </c>
      <c r="C4724" s="25" t="s">
        <v>13848</v>
      </c>
      <c r="D4724" s="25" t="s">
        <v>1719</v>
      </c>
      <c r="E4724" s="26" t="b">
        <v>1</v>
      </c>
      <c r="F4724" s="27" t="str">
        <f>HYPERLINK("http://nsgreg.nga.mil/genc/view?v=213694&amp;end_month=12&amp;end_day=31&amp;end_year=2014","Khersons’ka Oblast’")</f>
        <v>Khersons’ka Oblast’</v>
      </c>
      <c r="G4724" s="28" t="str">
        <f>HYPERLINK("http://api.nsgreg.nga.mil/geo-division/GENC/6/ed3/UA-65","as:GENC:6:ed3:UA-65")</f>
        <v>as:GENC:6:ed3:UA-65</v>
      </c>
    </row>
    <row r="4725" spans="1:7" x14ac:dyDescent="0.2">
      <c r="A4725" s="85"/>
      <c r="B4725" s="25" t="s">
        <v>10988</v>
      </c>
      <c r="C4725" s="25" t="s">
        <v>13849</v>
      </c>
      <c r="D4725" s="25" t="s">
        <v>1719</v>
      </c>
      <c r="E4725" s="26" t="b">
        <v>1</v>
      </c>
      <c r="F4725" s="27" t="str">
        <f>HYPERLINK("http://nsgreg.nga.mil/genc/view?v=213695&amp;end_month=12&amp;end_day=31&amp;end_year=2014","Khmel’nyts’ka Oblast’")</f>
        <v>Khmel’nyts’ka Oblast’</v>
      </c>
      <c r="G4725" s="28" t="str">
        <f>HYPERLINK("http://api.nsgreg.nga.mil/geo-division/GENC/6/ed3/UA-68","as:GENC:6:ed3:UA-68")</f>
        <v>as:GENC:6:ed3:UA-68</v>
      </c>
    </row>
    <row r="4726" spans="1:7" x14ac:dyDescent="0.2">
      <c r="A4726" s="85"/>
      <c r="B4726" s="25" t="s">
        <v>10990</v>
      </c>
      <c r="C4726" s="25" t="s">
        <v>13850</v>
      </c>
      <c r="D4726" s="25" t="s">
        <v>1719</v>
      </c>
      <c r="E4726" s="26" t="b">
        <v>1</v>
      </c>
      <c r="F4726" s="27" t="str">
        <f>HYPERLINK("http://nsgreg.nga.mil/genc/view?v=213683&amp;end_month=12&amp;end_day=31&amp;end_year=2014","Kirovohrads’ka Oblast’")</f>
        <v>Kirovohrads’ka Oblast’</v>
      </c>
      <c r="G4726" s="28" t="str">
        <f>HYPERLINK("http://api.nsgreg.nga.mil/geo-division/GENC/6/ed3/UA-35","as:GENC:6:ed3:UA-35")</f>
        <v>as:GENC:6:ed3:UA-35</v>
      </c>
    </row>
    <row r="4727" spans="1:7" x14ac:dyDescent="0.2">
      <c r="A4727" s="85"/>
      <c r="B4727" s="25" t="s">
        <v>11006</v>
      </c>
      <c r="C4727" s="25" t="s">
        <v>13851</v>
      </c>
      <c r="D4727" s="25" t="s">
        <v>2218</v>
      </c>
      <c r="E4727" s="26" t="b">
        <v>1</v>
      </c>
      <c r="F4727" s="27" t="str">
        <f>HYPERLINK("http://nsgreg.nga.mil/genc/view?v=213685&amp;end_month=12&amp;end_day=31&amp;end_year=2014","Krym, Avtonomna Respublika")</f>
        <v>Krym, Avtonomna Respublika</v>
      </c>
      <c r="G4727" s="28" t="str">
        <f>HYPERLINK("http://api.nsgreg.nga.mil/geo-division/GENC/6/ed3/UA-43","as:GENC:6:ed3:UA-43")</f>
        <v>as:GENC:6:ed3:UA-43</v>
      </c>
    </row>
    <row r="4728" spans="1:7" x14ac:dyDescent="0.2">
      <c r="A4728" s="85"/>
      <c r="B4728" s="25" t="s">
        <v>10992</v>
      </c>
      <c r="C4728" s="25" t="s">
        <v>13852</v>
      </c>
      <c r="D4728" s="25" t="s">
        <v>2046</v>
      </c>
      <c r="E4728" s="26" t="b">
        <v>1</v>
      </c>
      <c r="F4728" s="27" t="str">
        <f>HYPERLINK("http://nsgreg.nga.mil/genc/view?v=213681&amp;end_month=12&amp;end_day=31&amp;end_year=2014","Kyyiv, Misto")</f>
        <v>Kyyiv, Misto</v>
      </c>
      <c r="G4728" s="28" t="str">
        <f>HYPERLINK("http://api.nsgreg.nga.mil/geo-division/GENC/6/ed3/UA-30","as:GENC:6:ed3:UA-30")</f>
        <v>as:GENC:6:ed3:UA-30</v>
      </c>
    </row>
    <row r="4729" spans="1:7" x14ac:dyDescent="0.2">
      <c r="A4729" s="85"/>
      <c r="B4729" s="25" t="s">
        <v>10994</v>
      </c>
      <c r="C4729" s="25" t="s">
        <v>13853</v>
      </c>
      <c r="D4729" s="25" t="s">
        <v>1719</v>
      </c>
      <c r="E4729" s="26" t="b">
        <v>1</v>
      </c>
      <c r="F4729" s="27" t="str">
        <f>HYPERLINK("http://nsgreg.nga.mil/genc/view?v=213682&amp;end_month=12&amp;end_day=31&amp;end_year=2014","Kyyivs’ka Oblast’")</f>
        <v>Kyyivs’ka Oblast’</v>
      </c>
      <c r="G4729" s="28" t="str">
        <f>HYPERLINK("http://api.nsgreg.nga.mil/geo-division/GENC/6/ed3/UA-32","as:GENC:6:ed3:UA-32")</f>
        <v>as:GENC:6:ed3:UA-32</v>
      </c>
    </row>
    <row r="4730" spans="1:7" x14ac:dyDescent="0.2">
      <c r="A4730" s="85"/>
      <c r="B4730" s="25" t="s">
        <v>10998</v>
      </c>
      <c r="C4730" s="25" t="s">
        <v>13854</v>
      </c>
      <c r="D4730" s="25" t="s">
        <v>1719</v>
      </c>
      <c r="E4730" s="26" t="b">
        <v>1</v>
      </c>
      <c r="F4730" s="27" t="str">
        <f>HYPERLINK("http://nsgreg.nga.mil/genc/view?v=213674&amp;end_month=12&amp;end_day=31&amp;end_year=2014","Luhans’ka Oblast’")</f>
        <v>Luhans’ka Oblast’</v>
      </c>
      <c r="G4730" s="28" t="str">
        <f>HYPERLINK("http://api.nsgreg.nga.mil/geo-division/GENC/6/ed3/UA-09","as:GENC:6:ed3:UA-09")</f>
        <v>as:GENC:6:ed3:UA-09</v>
      </c>
    </row>
    <row r="4731" spans="1:7" x14ac:dyDescent="0.2">
      <c r="A4731" s="85"/>
      <c r="B4731" s="25" t="s">
        <v>10996</v>
      </c>
      <c r="C4731" s="25" t="s">
        <v>13855</v>
      </c>
      <c r="D4731" s="25" t="s">
        <v>1719</v>
      </c>
      <c r="E4731" s="26" t="b">
        <v>1</v>
      </c>
      <c r="F4731" s="27" t="str">
        <f>HYPERLINK("http://nsgreg.nga.mil/genc/view?v=213686&amp;end_month=12&amp;end_day=31&amp;end_year=2014","L’vivs’ka Oblast’")</f>
        <v>L’vivs’ka Oblast’</v>
      </c>
      <c r="G4731" s="28" t="str">
        <f>HYPERLINK("http://api.nsgreg.nga.mil/geo-division/GENC/6/ed3/UA-46","as:GENC:6:ed3:UA-46")</f>
        <v>as:GENC:6:ed3:UA-46</v>
      </c>
    </row>
    <row r="4732" spans="1:7" x14ac:dyDescent="0.2">
      <c r="A4732" s="85"/>
      <c r="B4732" s="25" t="s">
        <v>11000</v>
      </c>
      <c r="C4732" s="25" t="s">
        <v>13856</v>
      </c>
      <c r="D4732" s="25" t="s">
        <v>1719</v>
      </c>
      <c r="E4732" s="26" t="b">
        <v>1</v>
      </c>
      <c r="F4732" s="27" t="str">
        <f>HYPERLINK("http://nsgreg.nga.mil/genc/view?v=213687&amp;end_month=12&amp;end_day=31&amp;end_year=2014","Mykolayivs’ka Oblast’")</f>
        <v>Mykolayivs’ka Oblast’</v>
      </c>
      <c r="G4732" s="28" t="str">
        <f>HYPERLINK("http://api.nsgreg.nga.mil/geo-division/GENC/6/ed3/UA-48","as:GENC:6:ed3:UA-48")</f>
        <v>as:GENC:6:ed3:UA-48</v>
      </c>
    </row>
    <row r="4733" spans="1:7" x14ac:dyDescent="0.2">
      <c r="A4733" s="85"/>
      <c r="B4733" s="25" t="s">
        <v>11002</v>
      </c>
      <c r="C4733" s="25" t="s">
        <v>13857</v>
      </c>
      <c r="D4733" s="25" t="s">
        <v>1719</v>
      </c>
      <c r="E4733" s="26" t="b">
        <v>1</v>
      </c>
      <c r="F4733" s="27" t="str">
        <f>HYPERLINK("http://nsgreg.nga.mil/genc/view?v=213688&amp;end_month=12&amp;end_day=31&amp;end_year=2014","Odes’ka Oblast’")</f>
        <v>Odes’ka Oblast’</v>
      </c>
      <c r="G4733" s="28" t="str">
        <f>HYPERLINK("http://api.nsgreg.nga.mil/geo-division/GENC/6/ed3/UA-51","as:GENC:6:ed3:UA-51")</f>
        <v>as:GENC:6:ed3:UA-51</v>
      </c>
    </row>
    <row r="4734" spans="1:7" x14ac:dyDescent="0.2">
      <c r="A4734" s="85"/>
      <c r="B4734" s="25" t="s">
        <v>11004</v>
      </c>
      <c r="C4734" s="25" t="s">
        <v>13858</v>
      </c>
      <c r="D4734" s="25" t="s">
        <v>1719</v>
      </c>
      <c r="E4734" s="26" t="b">
        <v>1</v>
      </c>
      <c r="F4734" s="27" t="str">
        <f>HYPERLINK("http://nsgreg.nga.mil/genc/view?v=213689&amp;end_month=12&amp;end_day=31&amp;end_year=2014","Poltavs’ka Oblast’")</f>
        <v>Poltavs’ka Oblast’</v>
      </c>
      <c r="G4734" s="28" t="str">
        <f>HYPERLINK("http://api.nsgreg.nga.mil/geo-division/GENC/6/ed3/UA-53","as:GENC:6:ed3:UA-53")</f>
        <v>as:GENC:6:ed3:UA-53</v>
      </c>
    </row>
    <row r="4735" spans="1:7" x14ac:dyDescent="0.2">
      <c r="A4735" s="85"/>
      <c r="B4735" s="25" t="s">
        <v>11008</v>
      </c>
      <c r="C4735" s="25" t="s">
        <v>13859</v>
      </c>
      <c r="D4735" s="25" t="s">
        <v>1719</v>
      </c>
      <c r="E4735" s="26" t="b">
        <v>1</v>
      </c>
      <c r="F4735" s="27" t="str">
        <f>HYPERLINK("http://nsgreg.nga.mil/genc/view?v=213690&amp;end_month=12&amp;end_day=31&amp;end_year=2014","Rivnens’ka Oblast’")</f>
        <v>Rivnens’ka Oblast’</v>
      </c>
      <c r="G4735" s="28" t="str">
        <f>HYPERLINK("http://api.nsgreg.nga.mil/geo-division/GENC/6/ed3/UA-56","as:GENC:6:ed3:UA-56")</f>
        <v>as:GENC:6:ed3:UA-56</v>
      </c>
    </row>
    <row r="4736" spans="1:7" x14ac:dyDescent="0.2">
      <c r="A4736" s="85"/>
      <c r="B4736" s="25" t="s">
        <v>11010</v>
      </c>
      <c r="C4736" s="25" t="s">
        <v>13860</v>
      </c>
      <c r="D4736" s="25" t="s">
        <v>2046</v>
      </c>
      <c r="E4736" s="26" t="b">
        <v>1</v>
      </c>
      <c r="F4736" s="27" t="str">
        <f>HYPERLINK("http://nsgreg.nga.mil/genc/view?v=213684&amp;end_month=12&amp;end_day=31&amp;end_year=2014","Sevastopol’, Misto")</f>
        <v>Sevastopol’, Misto</v>
      </c>
      <c r="G4736" s="28" t="str">
        <f>HYPERLINK("http://api.nsgreg.nga.mil/geo-division/GENC/6/ed3/UA-40","as:GENC:6:ed3:UA-40")</f>
        <v>as:GENC:6:ed3:UA-40</v>
      </c>
    </row>
    <row r="4737" spans="1:7" x14ac:dyDescent="0.2">
      <c r="A4737" s="85"/>
      <c r="B4737" s="25" t="s">
        <v>11012</v>
      </c>
      <c r="C4737" s="25" t="s">
        <v>13861</v>
      </c>
      <c r="D4737" s="25" t="s">
        <v>1719</v>
      </c>
      <c r="E4737" s="26" t="b">
        <v>1</v>
      </c>
      <c r="F4737" s="27" t="str">
        <f>HYPERLINK("http://nsgreg.nga.mil/genc/view?v=213691&amp;end_month=12&amp;end_day=31&amp;end_year=2014","Sums’ka Oblast’")</f>
        <v>Sums’ka Oblast’</v>
      </c>
      <c r="G4737" s="28" t="str">
        <f>HYPERLINK("http://api.nsgreg.nga.mil/geo-division/GENC/6/ed3/UA-59","as:GENC:6:ed3:UA-59")</f>
        <v>as:GENC:6:ed3:UA-59</v>
      </c>
    </row>
    <row r="4738" spans="1:7" x14ac:dyDescent="0.2">
      <c r="A4738" s="85"/>
      <c r="B4738" s="25" t="s">
        <v>11014</v>
      </c>
      <c r="C4738" s="25" t="s">
        <v>13862</v>
      </c>
      <c r="D4738" s="25" t="s">
        <v>1719</v>
      </c>
      <c r="E4738" s="26" t="b">
        <v>1</v>
      </c>
      <c r="F4738" s="27" t="str">
        <f>HYPERLINK("http://nsgreg.nga.mil/genc/view?v=213692&amp;end_month=12&amp;end_day=31&amp;end_year=2014","Ternopil’s’ka Oblast’")</f>
        <v>Ternopil’s’ka Oblast’</v>
      </c>
      <c r="G4738" s="28" t="str">
        <f>HYPERLINK("http://api.nsgreg.nga.mil/geo-division/GENC/6/ed3/UA-61","as:GENC:6:ed3:UA-61")</f>
        <v>as:GENC:6:ed3:UA-61</v>
      </c>
    </row>
    <row r="4739" spans="1:7" x14ac:dyDescent="0.2">
      <c r="A4739" s="85"/>
      <c r="B4739" s="25" t="s">
        <v>11016</v>
      </c>
      <c r="C4739" s="25" t="s">
        <v>13863</v>
      </c>
      <c r="D4739" s="25" t="s">
        <v>1719</v>
      </c>
      <c r="E4739" s="26" t="b">
        <v>1</v>
      </c>
      <c r="F4739" s="27" t="str">
        <f>HYPERLINK("http://nsgreg.nga.mil/genc/view?v=213672&amp;end_month=12&amp;end_day=31&amp;end_year=2014","Vinnyts’ka Oblast’")</f>
        <v>Vinnyts’ka Oblast’</v>
      </c>
      <c r="G4739" s="28" t="str">
        <f>HYPERLINK("http://api.nsgreg.nga.mil/geo-division/GENC/6/ed3/UA-05","as:GENC:6:ed3:UA-05")</f>
        <v>as:GENC:6:ed3:UA-05</v>
      </c>
    </row>
    <row r="4740" spans="1:7" x14ac:dyDescent="0.2">
      <c r="A4740" s="85"/>
      <c r="B4740" s="25" t="s">
        <v>11018</v>
      </c>
      <c r="C4740" s="25" t="s">
        <v>13864</v>
      </c>
      <c r="D4740" s="25" t="s">
        <v>1719</v>
      </c>
      <c r="E4740" s="26" t="b">
        <v>1</v>
      </c>
      <c r="F4740" s="27" t="str">
        <f>HYPERLINK("http://nsgreg.nga.mil/genc/view?v=213673&amp;end_month=12&amp;end_day=31&amp;end_year=2014","Volyns’ka Oblast’")</f>
        <v>Volyns’ka Oblast’</v>
      </c>
      <c r="G4740" s="28" t="str">
        <f>HYPERLINK("http://api.nsgreg.nga.mil/geo-division/GENC/6/ed3/UA-07","as:GENC:6:ed3:UA-07")</f>
        <v>as:GENC:6:ed3:UA-07</v>
      </c>
    </row>
    <row r="4741" spans="1:7" x14ac:dyDescent="0.2">
      <c r="A4741" s="85"/>
      <c r="B4741" s="25" t="s">
        <v>11020</v>
      </c>
      <c r="C4741" s="25" t="s">
        <v>13865</v>
      </c>
      <c r="D4741" s="25" t="s">
        <v>1719</v>
      </c>
      <c r="E4741" s="26" t="b">
        <v>1</v>
      </c>
      <c r="F4741" s="27" t="str">
        <f>HYPERLINK("http://nsgreg.nga.mil/genc/view?v=213678&amp;end_month=12&amp;end_day=31&amp;end_year=2014","Zakarpats’ka Oblast’")</f>
        <v>Zakarpats’ka Oblast’</v>
      </c>
      <c r="G4741" s="28" t="str">
        <f>HYPERLINK("http://api.nsgreg.nga.mil/geo-division/GENC/6/ed3/UA-21","as:GENC:6:ed3:UA-21")</f>
        <v>as:GENC:6:ed3:UA-21</v>
      </c>
    </row>
    <row r="4742" spans="1:7" x14ac:dyDescent="0.2">
      <c r="A4742" s="85"/>
      <c r="B4742" s="25" t="s">
        <v>11022</v>
      </c>
      <c r="C4742" s="25" t="s">
        <v>13866</v>
      </c>
      <c r="D4742" s="25" t="s">
        <v>1719</v>
      </c>
      <c r="E4742" s="26" t="b">
        <v>1</v>
      </c>
      <c r="F4742" s="27" t="str">
        <f>HYPERLINK("http://nsgreg.nga.mil/genc/view?v=213679&amp;end_month=12&amp;end_day=31&amp;end_year=2014","Zaporiz’ka Oblast’")</f>
        <v>Zaporiz’ka Oblast’</v>
      </c>
      <c r="G4742" s="28" t="str">
        <f>HYPERLINK("http://api.nsgreg.nga.mil/geo-division/GENC/6/ed3/UA-23","as:GENC:6:ed3:UA-23")</f>
        <v>as:GENC:6:ed3:UA-23</v>
      </c>
    </row>
    <row r="4743" spans="1:7" x14ac:dyDescent="0.2">
      <c r="A4743" s="86"/>
      <c r="B4743" s="29" t="s">
        <v>11024</v>
      </c>
      <c r="C4743" s="29" t="s">
        <v>13867</v>
      </c>
      <c r="D4743" s="29" t="s">
        <v>1719</v>
      </c>
      <c r="E4743" s="30" t="b">
        <v>1</v>
      </c>
      <c r="F4743" s="31" t="str">
        <f>HYPERLINK("http://nsgreg.nga.mil/genc/view?v=213677&amp;end_month=12&amp;end_day=31&amp;end_year=2014","Zhytomyrs’ka Oblast’")</f>
        <v>Zhytomyrs’ka Oblast’</v>
      </c>
      <c r="G4743" s="32" t="str">
        <f>HYPERLINK("http://api.nsgreg.nga.mil/geo-division/GENC/6/ed3/UA-18","as:GENC:6:ed3:UA-18")</f>
        <v>as:GENC:6:ed3:UA-18</v>
      </c>
    </row>
    <row r="4744" spans="1:7" x14ac:dyDescent="0.2">
      <c r="A4744" s="84" t="str">
        <f>HYPERLINK("[#]Codes_for_GE_Names!A265:I265","UNITED ARAB EMIRATES")</f>
        <v>UNITED ARAB EMIRATES</v>
      </c>
      <c r="B4744" s="33" t="s">
        <v>11029</v>
      </c>
      <c r="C4744" s="33" t="s">
        <v>11031</v>
      </c>
      <c r="D4744" s="33" t="s">
        <v>11028</v>
      </c>
      <c r="E4744" s="34" t="b">
        <v>1</v>
      </c>
      <c r="F4744" s="35" t="str">
        <f>HYPERLINK("http://nsgreg.nga.mil/genc/view?v=211167&amp;end_month=12&amp;end_day=31&amp;end_year=2014","Abū Z̧aby")</f>
        <v>Abū Z̧aby</v>
      </c>
      <c r="G4744" s="36" t="str">
        <f>HYPERLINK("http://api.nsgreg.nga.mil/geo-division/GENC/6/ed3/AE-AZ","as:GENC:6:ed3:AE-AZ")</f>
        <v>as:GENC:6:ed3:AE-AZ</v>
      </c>
    </row>
    <row r="4745" spans="1:7" x14ac:dyDescent="0.2">
      <c r="A4745" s="85"/>
      <c r="B4745" s="25" t="s">
        <v>11026</v>
      </c>
      <c r="C4745" s="25" t="s">
        <v>13868</v>
      </c>
      <c r="D4745" s="25" t="s">
        <v>11028</v>
      </c>
      <c r="E4745" s="26" t="b">
        <v>1</v>
      </c>
      <c r="F4745" s="27" t="str">
        <f>HYPERLINK("http://nsgreg.nga.mil/genc/view?v=211166&amp;end_month=12&amp;end_day=31&amp;end_year=2014","‘Ajmān")</f>
        <v>‘Ajmān</v>
      </c>
      <c r="G4745" s="28" t="str">
        <f>HYPERLINK("http://api.nsgreg.nga.mil/geo-division/GENC/6/ed3/AE-AJ","as:GENC:6:ed3:AE-AJ")</f>
        <v>as:GENC:6:ed3:AE-AJ</v>
      </c>
    </row>
    <row r="4746" spans="1:7" x14ac:dyDescent="0.2">
      <c r="A4746" s="85"/>
      <c r="B4746" s="25" t="s">
        <v>11032</v>
      </c>
      <c r="C4746" s="25" t="s">
        <v>11033</v>
      </c>
      <c r="D4746" s="25" t="s">
        <v>11028</v>
      </c>
      <c r="E4746" s="26" t="b">
        <v>1</v>
      </c>
      <c r="F4746" s="27" t="str">
        <f>HYPERLINK("http://nsgreg.nga.mil/genc/view?v=211169&amp;end_month=12&amp;end_day=31&amp;end_year=2014","Al Fujayrah")</f>
        <v>Al Fujayrah</v>
      </c>
      <c r="G4746" s="28" t="str">
        <f>HYPERLINK("http://api.nsgreg.nga.mil/geo-division/GENC/6/ed3/AE-FU","as:GENC:6:ed3:AE-FU")</f>
        <v>as:GENC:6:ed3:AE-FU</v>
      </c>
    </row>
    <row r="4747" spans="1:7" x14ac:dyDescent="0.2">
      <c r="A4747" s="85"/>
      <c r="B4747" s="25" t="s">
        <v>11034</v>
      </c>
      <c r="C4747" s="25" t="s">
        <v>11035</v>
      </c>
      <c r="D4747" s="25" t="s">
        <v>11028</v>
      </c>
      <c r="E4747" s="26" t="b">
        <v>1</v>
      </c>
      <c r="F4747" s="27" t="str">
        <f>HYPERLINK("http://nsgreg.nga.mil/genc/view?v=211171&amp;end_month=12&amp;end_day=31&amp;end_year=2014","Ash Shāriqah")</f>
        <v>Ash Shāriqah</v>
      </c>
      <c r="G4747" s="28" t="str">
        <f>HYPERLINK("http://api.nsgreg.nga.mil/geo-division/GENC/6/ed3/AE-SH","as:GENC:6:ed3:AE-SH")</f>
        <v>as:GENC:6:ed3:AE-SH</v>
      </c>
    </row>
    <row r="4748" spans="1:7" x14ac:dyDescent="0.2">
      <c r="A4748" s="85"/>
      <c r="B4748" s="25" t="s">
        <v>11036</v>
      </c>
      <c r="C4748" s="25" t="s">
        <v>11038</v>
      </c>
      <c r="D4748" s="25" t="s">
        <v>11028</v>
      </c>
      <c r="E4748" s="26" t="b">
        <v>1</v>
      </c>
      <c r="F4748" s="27" t="str">
        <f>HYPERLINK("http://nsgreg.nga.mil/genc/view?v=211168&amp;end_month=12&amp;end_day=31&amp;end_year=2014","Dubayy")</f>
        <v>Dubayy</v>
      </c>
      <c r="G4748" s="28" t="str">
        <f>HYPERLINK("http://api.nsgreg.nga.mil/geo-division/GENC/6/ed3/AE-DU","as:GENC:6:ed3:AE-DU")</f>
        <v>as:GENC:6:ed3:AE-DU</v>
      </c>
    </row>
    <row r="4749" spans="1:7" x14ac:dyDescent="0.2">
      <c r="A4749" s="85"/>
      <c r="B4749" s="25" t="s">
        <v>11039</v>
      </c>
      <c r="C4749" s="25" t="s">
        <v>13869</v>
      </c>
      <c r="D4749" s="25" t="s">
        <v>11028</v>
      </c>
      <c r="E4749" s="26" t="b">
        <v>1</v>
      </c>
      <c r="F4749" s="27" t="str">
        <f>HYPERLINK("http://nsgreg.nga.mil/genc/view?v=211170&amp;end_month=12&amp;end_day=31&amp;end_year=2014","Ra’s al Khaymah")</f>
        <v>Ra’s al Khaymah</v>
      </c>
      <c r="G4749" s="28" t="str">
        <f>HYPERLINK("http://api.nsgreg.nga.mil/geo-division/GENC/6/ed3/AE-RK","as:GENC:6:ed3:AE-RK")</f>
        <v>as:GENC:6:ed3:AE-RK</v>
      </c>
    </row>
    <row r="4750" spans="1:7" x14ac:dyDescent="0.2">
      <c r="A4750" s="86"/>
      <c r="B4750" s="29" t="s">
        <v>11042</v>
      </c>
      <c r="C4750" s="29" t="s">
        <v>11043</v>
      </c>
      <c r="D4750" s="29" t="s">
        <v>11028</v>
      </c>
      <c r="E4750" s="30" t="b">
        <v>1</v>
      </c>
      <c r="F4750" s="31" t="str">
        <f>HYPERLINK("http://nsgreg.nga.mil/genc/view?v=211172&amp;end_month=12&amp;end_day=31&amp;end_year=2014","Umm al Qaywayn")</f>
        <v>Umm al Qaywayn</v>
      </c>
      <c r="G4750" s="32" t="str">
        <f>HYPERLINK("http://api.nsgreg.nga.mil/geo-division/GENC/6/ed3/AE-UQ","as:GENC:6:ed3:AE-UQ")</f>
        <v>as:GENC:6:ed3:AE-UQ</v>
      </c>
    </row>
    <row r="4751" spans="1:7" x14ac:dyDescent="0.2">
      <c r="A4751" s="84" t="str">
        <f>HYPERLINK("[#]Codes_for_GE_Names!A266:I266","UNITED KINGDOM")</f>
        <v>UNITED KINGDOM</v>
      </c>
      <c r="B4751" s="33" t="s">
        <v>11044</v>
      </c>
      <c r="C4751" s="33" t="s">
        <v>11045</v>
      </c>
      <c r="D4751" s="33" t="s">
        <v>11046</v>
      </c>
      <c r="E4751" s="34" t="b">
        <v>1</v>
      </c>
      <c r="F4751" s="35" t="str">
        <f>HYPERLINK("http://nsgreg.nga.mil/genc/view?v=119221&amp;gencs=T&amp;end_month=12&amp;end_day=31&amp;end_year=2014","Aberdeen City")</f>
        <v>Aberdeen City</v>
      </c>
      <c r="G4751" s="36" t="str">
        <f>HYPERLINK("http://api.nsgreg.nga.mil/geo-division/GENC/6/ed3/GB-ABE","as:GENC:6:ed3:GB-ABE")</f>
        <v>as:GENC:6:ed3:GB-ABE</v>
      </c>
    </row>
    <row r="4752" spans="1:7" x14ac:dyDescent="0.2">
      <c r="A4752" s="85"/>
      <c r="B4752" s="25" t="s">
        <v>11047</v>
      </c>
      <c r="C4752" s="25" t="s">
        <v>11048</v>
      </c>
      <c r="D4752" s="25" t="s">
        <v>11046</v>
      </c>
      <c r="E4752" s="26" t="b">
        <v>1</v>
      </c>
      <c r="F4752" s="27" t="str">
        <f>HYPERLINK("http://nsgreg.nga.mil/genc/view?v=119220&amp;gencs=T&amp;end_month=12&amp;end_day=31&amp;end_year=2014","Aberdeenshire")</f>
        <v>Aberdeenshire</v>
      </c>
      <c r="G4752" s="28" t="str">
        <f>HYPERLINK("http://api.nsgreg.nga.mil/geo-division/GENC/6/ed3/GB-ABD","as:GENC:6:ed3:GB-ABD")</f>
        <v>as:GENC:6:ed3:GB-ABD</v>
      </c>
    </row>
    <row r="4753" spans="1:7" x14ac:dyDescent="0.2">
      <c r="A4753" s="85"/>
      <c r="B4753" s="25" t="s">
        <v>11051</v>
      </c>
      <c r="C4753" s="25" t="s">
        <v>11052</v>
      </c>
      <c r="D4753" s="25" t="s">
        <v>11046</v>
      </c>
      <c r="E4753" s="26" t="b">
        <v>1</v>
      </c>
      <c r="F4753" s="27" t="str">
        <f>HYPERLINK("http://nsgreg.nga.mil/genc/view?v=119224&amp;gencs=T&amp;end_month=12&amp;end_day=31&amp;end_year=2014","Angus")</f>
        <v>Angus</v>
      </c>
      <c r="G4753" s="28" t="str">
        <f>HYPERLINK("http://api.nsgreg.nga.mil/geo-division/GENC/6/ed3/GB-ANS","as:GENC:6:ed3:GB-ANS")</f>
        <v>as:GENC:6:ed3:GB-ANS</v>
      </c>
    </row>
    <row r="4754" spans="1:7" x14ac:dyDescent="0.2">
      <c r="A4754" s="85"/>
      <c r="B4754" s="25" t="s">
        <v>11053</v>
      </c>
      <c r="C4754" s="25" t="s">
        <v>11054</v>
      </c>
      <c r="D4754" s="25" t="s">
        <v>1790</v>
      </c>
      <c r="E4754" s="26" t="b">
        <v>1</v>
      </c>
      <c r="F4754" s="27" t="str">
        <f>HYPERLINK("http://nsgreg.nga.mil/genc/view?v=211684&amp;end_month=12&amp;end_day=31&amp;end_year=2014","Antrim")</f>
        <v>Antrim</v>
      </c>
      <c r="G4754" s="28" t="str">
        <f>HYPERLINK("http://api.nsgreg.nga.mil/geo-division/GENC/6/ed3/GB-ANT","as:GENC:6:ed3:GB-ANT")</f>
        <v>as:GENC:6:ed3:GB-ANT</v>
      </c>
    </row>
    <row r="4755" spans="1:7" x14ac:dyDescent="0.2">
      <c r="A4755" s="85"/>
      <c r="B4755" s="25" t="s">
        <v>11056</v>
      </c>
      <c r="C4755" s="25" t="s">
        <v>11057</v>
      </c>
      <c r="D4755" s="25" t="s">
        <v>1790</v>
      </c>
      <c r="E4755" s="26" t="b">
        <v>1</v>
      </c>
      <c r="F4755" s="27" t="str">
        <f>HYPERLINK("http://nsgreg.nga.mil/genc/view?v=211685&amp;end_month=12&amp;end_day=31&amp;end_year=2014","Ards")</f>
        <v>Ards</v>
      </c>
      <c r="G4755" s="28" t="str">
        <f>HYPERLINK("http://api.nsgreg.nga.mil/geo-division/GENC/6/ed3/GB-ARD","as:GENC:6:ed3:GB-ARD")</f>
        <v>as:GENC:6:ed3:GB-ARD</v>
      </c>
    </row>
    <row r="4756" spans="1:7" x14ac:dyDescent="0.2">
      <c r="A4756" s="85"/>
      <c r="B4756" s="25" t="s">
        <v>11058</v>
      </c>
      <c r="C4756" s="25" t="s">
        <v>11059</v>
      </c>
      <c r="D4756" s="25" t="s">
        <v>11046</v>
      </c>
      <c r="E4756" s="26" t="b">
        <v>1</v>
      </c>
      <c r="F4756" s="27" t="str">
        <f>HYPERLINK("http://nsgreg.nga.mil/genc/view?v=119222&amp;gencs=T&amp;end_month=12&amp;end_day=31&amp;end_year=2014","Argyll and Bute")</f>
        <v>Argyll and Bute</v>
      </c>
      <c r="G4756" s="28" t="str">
        <f>HYPERLINK("http://api.nsgreg.nga.mil/geo-division/GENC/6/ed3/GB-AGB","as:GENC:6:ed3:GB-AGB")</f>
        <v>as:GENC:6:ed3:GB-AGB</v>
      </c>
    </row>
    <row r="4757" spans="1:7" x14ac:dyDescent="0.2">
      <c r="A4757" s="85"/>
      <c r="B4757" s="25" t="s">
        <v>11060</v>
      </c>
      <c r="C4757" s="25" t="s">
        <v>11061</v>
      </c>
      <c r="D4757" s="25" t="s">
        <v>1790</v>
      </c>
      <c r="E4757" s="26" t="b">
        <v>1</v>
      </c>
      <c r="F4757" s="27" t="str">
        <f>HYPERLINK("http://nsgreg.nga.mil/genc/view?v=211686&amp;end_month=12&amp;end_day=31&amp;end_year=2014","Armagh")</f>
        <v>Armagh</v>
      </c>
      <c r="G4757" s="28" t="str">
        <f>HYPERLINK("http://api.nsgreg.nga.mil/geo-division/GENC/6/ed3/GB-ARM","as:GENC:6:ed3:GB-ARM")</f>
        <v>as:GENC:6:ed3:GB-ARM</v>
      </c>
    </row>
    <row r="4758" spans="1:7" x14ac:dyDescent="0.2">
      <c r="A4758" s="85"/>
      <c r="B4758" s="25" t="s">
        <v>11062</v>
      </c>
      <c r="C4758" s="25" t="s">
        <v>11063</v>
      </c>
      <c r="D4758" s="25" t="s">
        <v>1790</v>
      </c>
      <c r="E4758" s="26" t="b">
        <v>1</v>
      </c>
      <c r="F4758" s="27" t="str">
        <f>HYPERLINK("http://nsgreg.nga.mil/genc/view?v=211694&amp;end_month=12&amp;end_day=31&amp;end_year=2014","Ballymena")</f>
        <v>Ballymena</v>
      </c>
      <c r="G4758" s="28" t="str">
        <f>HYPERLINK("http://api.nsgreg.nga.mil/geo-division/GENC/6/ed3/GB-BLA","as:GENC:6:ed3:GB-BLA")</f>
        <v>as:GENC:6:ed3:GB-BLA</v>
      </c>
    </row>
    <row r="4759" spans="1:7" x14ac:dyDescent="0.2">
      <c r="A4759" s="85"/>
      <c r="B4759" s="25" t="s">
        <v>11064</v>
      </c>
      <c r="C4759" s="25" t="s">
        <v>11065</v>
      </c>
      <c r="D4759" s="25" t="s">
        <v>1790</v>
      </c>
      <c r="E4759" s="26" t="b">
        <v>1</v>
      </c>
      <c r="F4759" s="27" t="str">
        <f>HYPERLINK("http://nsgreg.nga.mil/genc/view?v=211695&amp;end_month=12&amp;end_day=31&amp;end_year=2014","Ballymoney")</f>
        <v>Ballymoney</v>
      </c>
      <c r="G4759" s="28" t="str">
        <f>HYPERLINK("http://api.nsgreg.nga.mil/geo-division/GENC/6/ed3/GB-BLY","as:GENC:6:ed3:GB-BLY")</f>
        <v>as:GENC:6:ed3:GB-BLY</v>
      </c>
    </row>
    <row r="4760" spans="1:7" x14ac:dyDescent="0.2">
      <c r="A4760" s="85"/>
      <c r="B4760" s="25" t="s">
        <v>11066</v>
      </c>
      <c r="C4760" s="25" t="s">
        <v>11067</v>
      </c>
      <c r="D4760" s="25" t="s">
        <v>1790</v>
      </c>
      <c r="E4760" s="26" t="b">
        <v>1</v>
      </c>
      <c r="F4760" s="27" t="str">
        <f>HYPERLINK("http://nsgreg.nga.mil/genc/view?v=211697&amp;end_month=12&amp;end_day=31&amp;end_year=2014","Banbridge")</f>
        <v>Banbridge</v>
      </c>
      <c r="G4760" s="28" t="str">
        <f>HYPERLINK("http://api.nsgreg.nga.mil/geo-division/GENC/6/ed3/GB-BNB","as:GENC:6:ed3:GB-BNB")</f>
        <v>as:GENC:6:ed3:GB-BNB</v>
      </c>
    </row>
    <row r="4761" spans="1:7" x14ac:dyDescent="0.2">
      <c r="A4761" s="85"/>
      <c r="B4761" s="25" t="s">
        <v>11068</v>
      </c>
      <c r="C4761" s="25" t="s">
        <v>11069</v>
      </c>
      <c r="D4761" s="25" t="s">
        <v>11070</v>
      </c>
      <c r="E4761" s="26" t="b">
        <v>1</v>
      </c>
      <c r="F4761" s="27" t="str">
        <f>HYPERLINK("http://nsgreg.nga.mil/genc/view?v=119231&amp;gencs=T&amp;end_month=12&amp;end_day=31&amp;end_year=2014","Barking and Dagenham")</f>
        <v>Barking and Dagenham</v>
      </c>
      <c r="G4761" s="28" t="str">
        <f>HYPERLINK("http://api.nsgreg.nga.mil/geo-division/GENC/6/ed3/GB-BDG","as:GENC:6:ed3:GB-BDG")</f>
        <v>as:GENC:6:ed3:GB-BDG</v>
      </c>
    </row>
    <row r="4762" spans="1:7" x14ac:dyDescent="0.2">
      <c r="A4762" s="85"/>
      <c r="B4762" s="25" t="s">
        <v>11071</v>
      </c>
      <c r="C4762" s="25" t="s">
        <v>11072</v>
      </c>
      <c r="D4762" s="25" t="s">
        <v>11070</v>
      </c>
      <c r="E4762" s="26" t="b">
        <v>1</v>
      </c>
      <c r="F4762" s="27" t="str">
        <f>HYPERLINK("http://nsgreg.nga.mil/genc/view?v=119243&amp;gencs=T&amp;end_month=12&amp;end_day=31&amp;end_year=2014","Barnet")</f>
        <v>Barnet</v>
      </c>
      <c r="G4762" s="28" t="str">
        <f>HYPERLINK("http://api.nsgreg.nga.mil/geo-division/GENC/6/ed3/GB-BNE","as:GENC:6:ed3:GB-BNE")</f>
        <v>as:GENC:6:ed3:GB-BNE</v>
      </c>
    </row>
    <row r="4763" spans="1:7" x14ac:dyDescent="0.2">
      <c r="A4763" s="85"/>
      <c r="B4763" s="25" t="s">
        <v>11073</v>
      </c>
      <c r="C4763" s="25" t="s">
        <v>11074</v>
      </c>
      <c r="D4763" s="25" t="s">
        <v>11075</v>
      </c>
      <c r="E4763" s="26" t="b">
        <v>1</v>
      </c>
      <c r="F4763" s="27" t="str">
        <f>HYPERLINK("http://nsgreg.nga.mil/genc/view?v=119245&amp;gencs=T&amp;end_month=12&amp;end_day=31&amp;end_year=2014","Barnsley")</f>
        <v>Barnsley</v>
      </c>
      <c r="G4763" s="28" t="str">
        <f>HYPERLINK("http://api.nsgreg.nga.mil/geo-division/GENC/6/ed3/GB-BNS","as:GENC:6:ed3:GB-BNS")</f>
        <v>as:GENC:6:ed3:GB-BNS</v>
      </c>
    </row>
    <row r="4764" spans="1:7" x14ac:dyDescent="0.2">
      <c r="A4764" s="85"/>
      <c r="B4764" s="25" t="s">
        <v>11076</v>
      </c>
      <c r="C4764" s="25" t="s">
        <v>11077</v>
      </c>
      <c r="D4764" s="25" t="s">
        <v>7734</v>
      </c>
      <c r="E4764" s="26" t="b">
        <v>1</v>
      </c>
      <c r="F4764" s="27" t="str">
        <f>HYPERLINK("http://nsgreg.nga.mil/genc/view?v=211687&amp;end_month=12&amp;end_day=31&amp;end_year=2014","Bath and North East Somerset")</f>
        <v>Bath and North East Somerset</v>
      </c>
      <c r="G4764" s="28" t="str">
        <f>HYPERLINK("http://api.nsgreg.nga.mil/geo-division/GENC/6/ed3/GB-BAS","as:GENC:6:ed3:GB-BAS")</f>
        <v>as:GENC:6:ed3:GB-BAS</v>
      </c>
    </row>
    <row r="4765" spans="1:7" x14ac:dyDescent="0.2">
      <c r="A4765" s="85"/>
      <c r="B4765" s="25" t="s">
        <v>11078</v>
      </c>
      <c r="C4765" s="25" t="s">
        <v>11079</v>
      </c>
      <c r="D4765" s="25" t="s">
        <v>7734</v>
      </c>
      <c r="E4765" s="26" t="b">
        <v>1</v>
      </c>
      <c r="F4765" s="27" t="str">
        <f>HYPERLINK("http://nsgreg.nga.mil/genc/view?v=211689&amp;end_month=12&amp;end_day=31&amp;end_year=2014","Bedford")</f>
        <v>Bedford</v>
      </c>
      <c r="G4765" s="28" t="str">
        <f>HYPERLINK("http://api.nsgreg.nga.mil/geo-division/GENC/6/ed3/GB-BDF","as:GENC:6:ed3:GB-BDF")</f>
        <v>as:GENC:6:ed3:GB-BDF</v>
      </c>
    </row>
    <row r="4766" spans="1:7" x14ac:dyDescent="0.2">
      <c r="A4766" s="85"/>
      <c r="B4766" s="25" t="s">
        <v>11080</v>
      </c>
      <c r="C4766" s="25" t="s">
        <v>11081</v>
      </c>
      <c r="D4766" s="25" t="s">
        <v>1790</v>
      </c>
      <c r="E4766" s="26" t="b">
        <v>1</v>
      </c>
      <c r="F4766" s="27" t="str">
        <f>HYPERLINK("http://nsgreg.nga.mil/genc/view?v=211690&amp;end_month=12&amp;end_day=31&amp;end_year=2014","Belfast")</f>
        <v>Belfast</v>
      </c>
      <c r="G4766" s="28" t="str">
        <f>HYPERLINK("http://api.nsgreg.nga.mil/geo-division/GENC/6/ed3/GB-BFS","as:GENC:6:ed3:GB-BFS")</f>
        <v>as:GENC:6:ed3:GB-BFS</v>
      </c>
    </row>
    <row r="4767" spans="1:7" x14ac:dyDescent="0.2">
      <c r="A4767" s="85"/>
      <c r="B4767" s="25" t="s">
        <v>11082</v>
      </c>
      <c r="C4767" s="25" t="s">
        <v>11083</v>
      </c>
      <c r="D4767" s="25" t="s">
        <v>11070</v>
      </c>
      <c r="E4767" s="26" t="b">
        <v>1</v>
      </c>
      <c r="F4767" s="27" t="str">
        <f>HYPERLINK("http://nsgreg.nga.mil/genc/view?v=119233&amp;gencs=T&amp;end_month=12&amp;end_day=31&amp;end_year=2014","Bexley")</f>
        <v>Bexley</v>
      </c>
      <c r="G4767" s="28" t="str">
        <f>HYPERLINK("http://api.nsgreg.nga.mil/geo-division/GENC/6/ed3/GB-BEX","as:GENC:6:ed3:GB-BEX")</f>
        <v>as:GENC:6:ed3:GB-BEX</v>
      </c>
    </row>
    <row r="4768" spans="1:7" x14ac:dyDescent="0.2">
      <c r="A4768" s="85"/>
      <c r="B4768" s="25" t="s">
        <v>11084</v>
      </c>
      <c r="C4768" s="25" t="s">
        <v>11085</v>
      </c>
      <c r="D4768" s="25" t="s">
        <v>11075</v>
      </c>
      <c r="E4768" s="26" t="b">
        <v>1</v>
      </c>
      <c r="F4768" s="27" t="str">
        <f>HYPERLINK("http://nsgreg.nga.mil/genc/view?v=119237&amp;gencs=T&amp;end_month=12&amp;end_day=31&amp;end_year=2014","Birmingham")</f>
        <v>Birmingham</v>
      </c>
      <c r="G4768" s="28" t="str">
        <f>HYPERLINK("http://api.nsgreg.nga.mil/geo-division/GENC/6/ed3/GB-BIR","as:GENC:6:ed3:GB-BIR")</f>
        <v>as:GENC:6:ed3:GB-BIR</v>
      </c>
    </row>
    <row r="4769" spans="1:7" x14ac:dyDescent="0.2">
      <c r="A4769" s="85"/>
      <c r="B4769" s="25" t="s">
        <v>11086</v>
      </c>
      <c r="C4769" s="25" t="s">
        <v>11087</v>
      </c>
      <c r="D4769" s="25" t="s">
        <v>7734</v>
      </c>
      <c r="E4769" s="26" t="b">
        <v>1</v>
      </c>
      <c r="F4769" s="27" t="str">
        <f>HYPERLINK("http://nsgreg.nga.mil/genc/view?v=211688&amp;end_month=12&amp;end_day=31&amp;end_year=2014","Blackburn with Darwen")</f>
        <v>Blackburn with Darwen</v>
      </c>
      <c r="G4769" s="28" t="str">
        <f>HYPERLINK("http://api.nsgreg.nga.mil/geo-division/GENC/6/ed3/GB-BBD","as:GENC:6:ed3:GB-BBD")</f>
        <v>as:GENC:6:ed3:GB-BBD</v>
      </c>
    </row>
    <row r="4770" spans="1:7" x14ac:dyDescent="0.2">
      <c r="A4770" s="85"/>
      <c r="B4770" s="25" t="s">
        <v>11088</v>
      </c>
      <c r="C4770" s="25" t="s">
        <v>11089</v>
      </c>
      <c r="D4770" s="25" t="s">
        <v>7734</v>
      </c>
      <c r="E4770" s="26" t="b">
        <v>1</v>
      </c>
      <c r="F4770" s="27" t="str">
        <f>HYPERLINK("http://nsgreg.nga.mil/genc/view?v=211699&amp;end_month=12&amp;end_day=31&amp;end_year=2014","Blackpool")</f>
        <v>Blackpool</v>
      </c>
      <c r="G4770" s="28" t="str">
        <f>HYPERLINK("http://api.nsgreg.nga.mil/geo-division/GENC/6/ed3/GB-BPL","as:GENC:6:ed3:GB-BPL")</f>
        <v>as:GENC:6:ed3:GB-BPL</v>
      </c>
    </row>
    <row r="4771" spans="1:7" x14ac:dyDescent="0.2">
      <c r="A4771" s="85"/>
      <c r="B4771" s="25" t="s">
        <v>11090</v>
      </c>
      <c r="C4771" s="25" t="s">
        <v>11091</v>
      </c>
      <c r="D4771" s="25" t="s">
        <v>7734</v>
      </c>
      <c r="E4771" s="26" t="b">
        <v>1</v>
      </c>
      <c r="F4771" s="27" t="str">
        <f>HYPERLINK("http://nsgreg.nga.mil/genc/view?v=211692&amp;end_month=12&amp;end_day=31&amp;end_year=2014","Blaenau Gwent")</f>
        <v>Blaenau Gwent</v>
      </c>
      <c r="G4771" s="28" t="str">
        <f>HYPERLINK("http://api.nsgreg.nga.mil/geo-division/GENC/6/ed3/GB-BGW","as:GENC:6:ed3:GB-BGW")</f>
        <v>as:GENC:6:ed3:GB-BGW</v>
      </c>
    </row>
    <row r="4772" spans="1:7" x14ac:dyDescent="0.2">
      <c r="A4772" s="85"/>
      <c r="B4772" s="25" t="s">
        <v>11092</v>
      </c>
      <c r="C4772" s="25" t="s">
        <v>11093</v>
      </c>
      <c r="D4772" s="25" t="s">
        <v>11075</v>
      </c>
      <c r="E4772" s="26" t="b">
        <v>1</v>
      </c>
      <c r="F4772" s="27" t="str">
        <f>HYPERLINK("http://nsgreg.nga.mil/genc/view?v=119246&amp;gencs=T&amp;end_month=12&amp;end_day=31&amp;end_year=2014","Bolton")</f>
        <v>Bolton</v>
      </c>
      <c r="G4772" s="28" t="str">
        <f>HYPERLINK("http://api.nsgreg.nga.mil/geo-division/GENC/6/ed3/GB-BOL","as:GENC:6:ed3:GB-BOL")</f>
        <v>as:GENC:6:ed3:GB-BOL</v>
      </c>
    </row>
    <row r="4773" spans="1:7" x14ac:dyDescent="0.2">
      <c r="A4773" s="85"/>
      <c r="B4773" s="25" t="s">
        <v>11094</v>
      </c>
      <c r="C4773" s="25" t="s">
        <v>11095</v>
      </c>
      <c r="D4773" s="25" t="s">
        <v>7734</v>
      </c>
      <c r="E4773" s="26" t="b">
        <v>1</v>
      </c>
      <c r="F4773" s="27" t="str">
        <f>HYPERLINK("http://nsgreg.nga.mil/genc/view?v=211696&amp;end_month=12&amp;end_day=31&amp;end_year=2014","Bournemouth")</f>
        <v>Bournemouth</v>
      </c>
      <c r="G4773" s="28" t="str">
        <f>HYPERLINK("http://api.nsgreg.nga.mil/geo-division/GENC/6/ed3/GB-BMH","as:GENC:6:ed3:GB-BMH")</f>
        <v>as:GENC:6:ed3:GB-BMH</v>
      </c>
    </row>
    <row r="4774" spans="1:7" x14ac:dyDescent="0.2">
      <c r="A4774" s="85"/>
      <c r="B4774" s="25" t="s">
        <v>11096</v>
      </c>
      <c r="C4774" s="25" t="s">
        <v>11097</v>
      </c>
      <c r="D4774" s="25" t="s">
        <v>7734</v>
      </c>
      <c r="E4774" s="26" t="b">
        <v>1</v>
      </c>
      <c r="F4774" s="27" t="str">
        <f>HYPERLINK("http://nsgreg.nga.mil/genc/view?v=211700&amp;end_month=12&amp;end_day=31&amp;end_year=2014","Bracknell Forest")</f>
        <v>Bracknell Forest</v>
      </c>
      <c r="G4774" s="28" t="str">
        <f>HYPERLINK("http://api.nsgreg.nga.mil/geo-division/GENC/6/ed3/GB-BRC","as:GENC:6:ed3:GB-BRC")</f>
        <v>as:GENC:6:ed3:GB-BRC</v>
      </c>
    </row>
    <row r="4775" spans="1:7" x14ac:dyDescent="0.2">
      <c r="A4775" s="85"/>
      <c r="B4775" s="25" t="s">
        <v>11098</v>
      </c>
      <c r="C4775" s="25" t="s">
        <v>11099</v>
      </c>
      <c r="D4775" s="25" t="s">
        <v>11075</v>
      </c>
      <c r="E4775" s="26" t="b">
        <v>1</v>
      </c>
      <c r="F4775" s="27" t="str">
        <f>HYPERLINK("http://nsgreg.nga.mil/genc/view?v=119249&amp;gencs=T&amp;end_month=12&amp;end_day=31&amp;end_year=2014","Bradford")</f>
        <v>Bradford</v>
      </c>
      <c r="G4775" s="28" t="str">
        <f>HYPERLINK("http://api.nsgreg.nga.mil/geo-division/GENC/6/ed3/GB-BRD","as:GENC:6:ed3:GB-BRD")</f>
        <v>as:GENC:6:ed3:GB-BRD</v>
      </c>
    </row>
    <row r="4776" spans="1:7" x14ac:dyDescent="0.2">
      <c r="A4776" s="85"/>
      <c r="B4776" s="25" t="s">
        <v>11100</v>
      </c>
      <c r="C4776" s="25" t="s">
        <v>11101</v>
      </c>
      <c r="D4776" s="25" t="s">
        <v>11070</v>
      </c>
      <c r="E4776" s="26" t="b">
        <v>1</v>
      </c>
      <c r="F4776" s="27" t="str">
        <f>HYPERLINK("http://nsgreg.nga.mil/genc/view?v=119232&amp;gencs=T&amp;end_month=12&amp;end_day=31&amp;end_year=2014","Brent")</f>
        <v>Brent</v>
      </c>
      <c r="G4776" s="28" t="str">
        <f>HYPERLINK("http://api.nsgreg.nga.mil/geo-division/GENC/6/ed3/GB-BEN","as:GENC:6:ed3:GB-BEN")</f>
        <v>as:GENC:6:ed3:GB-BEN</v>
      </c>
    </row>
    <row r="4777" spans="1:7" x14ac:dyDescent="0.2">
      <c r="A4777" s="85"/>
      <c r="B4777" s="25" t="s">
        <v>11102</v>
      </c>
      <c r="C4777" s="25" t="s">
        <v>11103</v>
      </c>
      <c r="D4777" s="25" t="s">
        <v>7734</v>
      </c>
      <c r="E4777" s="26" t="b">
        <v>1</v>
      </c>
      <c r="F4777" s="27" t="str">
        <f>HYPERLINK("http://nsgreg.nga.mil/genc/view?v=211691&amp;end_month=12&amp;end_day=31&amp;end_year=2014","Bridgend")</f>
        <v>Bridgend</v>
      </c>
      <c r="G4777" s="28" t="str">
        <f>HYPERLINK("http://api.nsgreg.nga.mil/geo-division/GENC/6/ed3/GB-BGE","as:GENC:6:ed3:GB-BGE")</f>
        <v>as:GENC:6:ed3:GB-BGE</v>
      </c>
    </row>
    <row r="4778" spans="1:7" x14ac:dyDescent="0.2">
      <c r="A4778" s="85"/>
      <c r="B4778" s="25" t="s">
        <v>11104</v>
      </c>
      <c r="C4778" s="25" t="s">
        <v>11105</v>
      </c>
      <c r="D4778" s="25" t="s">
        <v>7734</v>
      </c>
      <c r="E4778" s="26" t="b">
        <v>1</v>
      </c>
      <c r="F4778" s="27" t="str">
        <f>HYPERLINK("http://nsgreg.nga.mil/genc/view?v=211698&amp;end_month=12&amp;end_day=31&amp;end_year=2014","Brighton and Hove")</f>
        <v>Brighton and Hove</v>
      </c>
      <c r="G4778" s="28" t="str">
        <f>HYPERLINK("http://api.nsgreg.nga.mil/geo-division/GENC/6/ed3/GB-BNH","as:GENC:6:ed3:GB-BNH")</f>
        <v>as:GENC:6:ed3:GB-BNH</v>
      </c>
    </row>
    <row r="4779" spans="1:7" x14ac:dyDescent="0.2">
      <c r="A4779" s="85"/>
      <c r="B4779" s="25" t="s">
        <v>11106</v>
      </c>
      <c r="C4779" s="25" t="s">
        <v>11107</v>
      </c>
      <c r="D4779" s="25" t="s">
        <v>7734</v>
      </c>
      <c r="E4779" s="26" t="b">
        <v>1</v>
      </c>
      <c r="F4779" s="27" t="str">
        <f>HYPERLINK("http://nsgreg.nga.mil/genc/view?v=211701&amp;end_month=12&amp;end_day=31&amp;end_year=2014","Bristol, City of")</f>
        <v>Bristol, City of</v>
      </c>
      <c r="G4779" s="28" t="str">
        <f>HYPERLINK("http://api.nsgreg.nga.mil/geo-division/GENC/6/ed3/GB-BST","as:GENC:6:ed3:GB-BST")</f>
        <v>as:GENC:6:ed3:GB-BST</v>
      </c>
    </row>
    <row r="4780" spans="1:7" x14ac:dyDescent="0.2">
      <c r="A4780" s="85"/>
      <c r="B4780" s="25" t="s">
        <v>11110</v>
      </c>
      <c r="C4780" s="25" t="s">
        <v>11111</v>
      </c>
      <c r="D4780" s="25" t="s">
        <v>11070</v>
      </c>
      <c r="E4780" s="26" t="b">
        <v>1</v>
      </c>
      <c r="F4780" s="27" t="str">
        <f>HYPERLINK("http://nsgreg.nga.mil/genc/view?v=119250&amp;gencs=T&amp;end_month=12&amp;end_day=31&amp;end_year=2014","Bromley")</f>
        <v>Bromley</v>
      </c>
      <c r="G4780" s="28" t="str">
        <f>HYPERLINK("http://api.nsgreg.nga.mil/geo-division/GENC/6/ed3/GB-BRY","as:GENC:6:ed3:GB-BRY")</f>
        <v>as:GENC:6:ed3:GB-BRY</v>
      </c>
    </row>
    <row r="4781" spans="1:7" x14ac:dyDescent="0.2">
      <c r="A4781" s="85"/>
      <c r="B4781" s="25" t="s">
        <v>11112</v>
      </c>
      <c r="C4781" s="25" t="s">
        <v>11113</v>
      </c>
      <c r="D4781" s="25" t="s">
        <v>1788</v>
      </c>
      <c r="E4781" s="26" t="b">
        <v>1</v>
      </c>
      <c r="F4781" s="27" t="str">
        <f>HYPERLINK("http://nsgreg.nga.mil/genc/view?v=211693&amp;end_month=12&amp;end_day=31&amp;end_year=2014","Buckinghamshire")</f>
        <v>Buckinghamshire</v>
      </c>
      <c r="G4781" s="28" t="str">
        <f>HYPERLINK("http://api.nsgreg.nga.mil/geo-division/GENC/6/ed3/GB-BKM","as:GENC:6:ed3:GB-BKM")</f>
        <v>as:GENC:6:ed3:GB-BKM</v>
      </c>
    </row>
    <row r="4782" spans="1:7" x14ac:dyDescent="0.2">
      <c r="A4782" s="85"/>
      <c r="B4782" s="25" t="s">
        <v>11115</v>
      </c>
      <c r="C4782" s="25" t="s">
        <v>11116</v>
      </c>
      <c r="D4782" s="25" t="s">
        <v>11075</v>
      </c>
      <c r="E4782" s="26" t="b">
        <v>1</v>
      </c>
      <c r="F4782" s="27" t="str">
        <f>HYPERLINK("http://nsgreg.nga.mil/genc/view?v=119252&amp;gencs=T&amp;end_month=12&amp;end_day=31&amp;end_year=2014","Bury")</f>
        <v>Bury</v>
      </c>
      <c r="G4782" s="28" t="str">
        <f>HYPERLINK("http://api.nsgreg.nga.mil/geo-division/GENC/6/ed3/GB-BUR","as:GENC:6:ed3:GB-BUR")</f>
        <v>as:GENC:6:ed3:GB-BUR</v>
      </c>
    </row>
    <row r="4783" spans="1:7" x14ac:dyDescent="0.2">
      <c r="A4783" s="85"/>
      <c r="B4783" s="25" t="s">
        <v>11119</v>
      </c>
      <c r="C4783" s="25" t="s">
        <v>11121</v>
      </c>
      <c r="D4783" s="25" t="s">
        <v>7734</v>
      </c>
      <c r="E4783" s="26" t="b">
        <v>1</v>
      </c>
      <c r="F4783" s="27" t="str">
        <f>HYPERLINK("http://nsgreg.nga.mil/genc/view?v=211703&amp;end_month=12&amp;end_day=31&amp;end_year=2014","Caerphilly")</f>
        <v>Caerphilly</v>
      </c>
      <c r="G4783" s="28" t="str">
        <f>HYPERLINK("http://api.nsgreg.nga.mil/geo-division/GENC/6/ed3/GB-CAY","as:GENC:6:ed3:GB-CAY")</f>
        <v>as:GENC:6:ed3:GB-CAY</v>
      </c>
    </row>
    <row r="4784" spans="1:7" x14ac:dyDescent="0.2">
      <c r="A4784" s="85"/>
      <c r="B4784" s="25" t="s">
        <v>11122</v>
      </c>
      <c r="C4784" s="25" t="s">
        <v>11123</v>
      </c>
      <c r="D4784" s="25" t="s">
        <v>11075</v>
      </c>
      <c r="E4784" s="26" t="b">
        <v>1</v>
      </c>
      <c r="F4784" s="27" t="str">
        <f>HYPERLINK("http://nsgreg.nga.mil/genc/view?v=119262&amp;gencs=T&amp;end_month=12&amp;end_day=31&amp;end_year=2014","Calderdale")</f>
        <v>Calderdale</v>
      </c>
      <c r="G4784" s="28" t="str">
        <f>HYPERLINK("http://api.nsgreg.nga.mil/geo-division/GENC/6/ed3/GB-CLD","as:GENC:6:ed3:GB-CLD")</f>
        <v>as:GENC:6:ed3:GB-CLD</v>
      </c>
    </row>
    <row r="4785" spans="1:7" x14ac:dyDescent="0.2">
      <c r="A4785" s="85"/>
      <c r="B4785" s="25" t="s">
        <v>11124</v>
      </c>
      <c r="C4785" s="25" t="s">
        <v>11125</v>
      </c>
      <c r="D4785" s="25" t="s">
        <v>1788</v>
      </c>
      <c r="E4785" s="26" t="b">
        <v>1</v>
      </c>
      <c r="F4785" s="27" t="str">
        <f>HYPERLINK("http://nsgreg.nga.mil/genc/view?v=211702&amp;end_month=12&amp;end_day=31&amp;end_year=2014","Cambridgeshire")</f>
        <v>Cambridgeshire</v>
      </c>
      <c r="G4785" s="28" t="str">
        <f>HYPERLINK("http://api.nsgreg.nga.mil/geo-division/GENC/6/ed3/GB-CAM","as:GENC:6:ed3:GB-CAM")</f>
        <v>as:GENC:6:ed3:GB-CAM</v>
      </c>
    </row>
    <row r="4786" spans="1:7" x14ac:dyDescent="0.2">
      <c r="A4786" s="85"/>
      <c r="B4786" s="25" t="s">
        <v>11126</v>
      </c>
      <c r="C4786" s="25" t="s">
        <v>11127</v>
      </c>
      <c r="D4786" s="25" t="s">
        <v>11070</v>
      </c>
      <c r="E4786" s="26" t="b">
        <v>1</v>
      </c>
      <c r="F4786" s="27" t="str">
        <f>HYPERLINK("http://nsgreg.nga.mil/genc/view?v=119266&amp;gencs=T&amp;end_month=12&amp;end_day=31&amp;end_year=2014","Camden")</f>
        <v>Camden</v>
      </c>
      <c r="G4786" s="28" t="str">
        <f>HYPERLINK("http://api.nsgreg.nga.mil/geo-division/GENC/6/ed3/GB-CMD","as:GENC:6:ed3:GB-CMD")</f>
        <v>as:GENC:6:ed3:GB-CMD</v>
      </c>
    </row>
    <row r="4787" spans="1:7" x14ac:dyDescent="0.2">
      <c r="A4787" s="85"/>
      <c r="B4787" s="25" t="s">
        <v>11117</v>
      </c>
      <c r="C4787" s="25" t="s">
        <v>11128</v>
      </c>
      <c r="D4787" s="25" t="s">
        <v>7734</v>
      </c>
      <c r="E4787" s="26" t="b">
        <v>1</v>
      </c>
      <c r="F4787" s="27" t="str">
        <f>HYPERLINK("http://nsgreg.nga.mil/genc/view?v=211715&amp;end_month=12&amp;end_day=31&amp;end_year=2014","Cardiff")</f>
        <v>Cardiff</v>
      </c>
      <c r="G4787" s="28" t="str">
        <f>HYPERLINK("http://api.nsgreg.nga.mil/geo-division/GENC/6/ed3/GB-CRF","as:GENC:6:ed3:GB-CRF")</f>
        <v>as:GENC:6:ed3:GB-CRF</v>
      </c>
    </row>
    <row r="4788" spans="1:7" x14ac:dyDescent="0.2">
      <c r="A4788" s="85"/>
      <c r="B4788" s="25" t="s">
        <v>11129</v>
      </c>
      <c r="C4788" s="25" t="s">
        <v>11130</v>
      </c>
      <c r="D4788" s="25" t="s">
        <v>7734</v>
      </c>
      <c r="E4788" s="26" t="b">
        <v>1</v>
      </c>
      <c r="F4788" s="27" t="str">
        <f>HYPERLINK("http://nsgreg.nga.mil/genc/view?v=211713&amp;end_month=12&amp;end_day=31&amp;end_year=2014","Carmarthenshire")</f>
        <v>Carmarthenshire</v>
      </c>
      <c r="G4788" s="28" t="str">
        <f>HYPERLINK("http://api.nsgreg.nga.mil/geo-division/GENC/6/ed3/GB-CMN","as:GENC:6:ed3:GB-CMN")</f>
        <v>as:GENC:6:ed3:GB-CMN</v>
      </c>
    </row>
    <row r="4789" spans="1:7" x14ac:dyDescent="0.2">
      <c r="A4789" s="85"/>
      <c r="B4789" s="25" t="s">
        <v>11131</v>
      </c>
      <c r="C4789" s="25" t="s">
        <v>11132</v>
      </c>
      <c r="D4789" s="25" t="s">
        <v>1790</v>
      </c>
      <c r="E4789" s="26" t="b">
        <v>1</v>
      </c>
      <c r="F4789" s="27" t="str">
        <f>HYPERLINK("http://nsgreg.nga.mil/genc/view?v=211709&amp;end_month=12&amp;end_day=31&amp;end_year=2014","Carrickfergus")</f>
        <v>Carrickfergus</v>
      </c>
      <c r="G4789" s="28" t="str">
        <f>HYPERLINK("http://api.nsgreg.nga.mil/geo-division/GENC/6/ed3/GB-CKF","as:GENC:6:ed3:GB-CKF")</f>
        <v>as:GENC:6:ed3:GB-CKF</v>
      </c>
    </row>
    <row r="4790" spans="1:7" x14ac:dyDescent="0.2">
      <c r="A4790" s="85"/>
      <c r="B4790" s="25" t="s">
        <v>11137</v>
      </c>
      <c r="C4790" s="25" t="s">
        <v>11138</v>
      </c>
      <c r="D4790" s="25" t="s">
        <v>1790</v>
      </c>
      <c r="E4790" s="26" t="b">
        <v>1</v>
      </c>
      <c r="F4790" s="27" t="str">
        <f>HYPERLINK("http://nsgreg.nga.mil/genc/view?v=211716&amp;end_month=12&amp;end_day=31&amp;end_year=2014","Castlereagh")</f>
        <v>Castlereagh</v>
      </c>
      <c r="G4790" s="28" t="str">
        <f>HYPERLINK("http://api.nsgreg.nga.mil/geo-division/GENC/6/ed3/GB-CSR","as:GENC:6:ed3:GB-CSR")</f>
        <v>as:GENC:6:ed3:GB-CSR</v>
      </c>
    </row>
    <row r="4791" spans="1:7" x14ac:dyDescent="0.2">
      <c r="A4791" s="85"/>
      <c r="B4791" s="25" t="s">
        <v>11139</v>
      </c>
      <c r="C4791" s="25" t="s">
        <v>11140</v>
      </c>
      <c r="D4791" s="25" t="s">
        <v>7734</v>
      </c>
      <c r="E4791" s="26" t="b">
        <v>1</v>
      </c>
      <c r="F4791" s="27" t="str">
        <f>HYPERLINK("http://nsgreg.nga.mil/genc/view?v=211704&amp;end_month=12&amp;end_day=31&amp;end_year=2014","Central Bedfordshire")</f>
        <v>Central Bedfordshire</v>
      </c>
      <c r="G4791" s="28" t="str">
        <f>HYPERLINK("http://api.nsgreg.nga.mil/geo-division/GENC/6/ed3/GB-CBF","as:GENC:6:ed3:GB-CBF")</f>
        <v>as:GENC:6:ed3:GB-CBF</v>
      </c>
    </row>
    <row r="4792" spans="1:7" x14ac:dyDescent="0.2">
      <c r="A4792" s="85"/>
      <c r="B4792" s="25" t="s">
        <v>11141</v>
      </c>
      <c r="C4792" s="25" t="s">
        <v>11142</v>
      </c>
      <c r="D4792" s="25" t="s">
        <v>7734</v>
      </c>
      <c r="E4792" s="26" t="b">
        <v>1</v>
      </c>
      <c r="F4792" s="27" t="str">
        <f>HYPERLINK("http://nsgreg.nga.mil/genc/view?v=211705&amp;end_month=12&amp;end_day=31&amp;end_year=2014","Ceredigion")</f>
        <v>Ceredigion</v>
      </c>
      <c r="G4792" s="28" t="str">
        <f>HYPERLINK("http://api.nsgreg.nga.mil/geo-division/GENC/6/ed3/GB-CGN","as:GENC:6:ed3:GB-CGN")</f>
        <v>as:GENC:6:ed3:GB-CGN</v>
      </c>
    </row>
    <row r="4793" spans="1:7" x14ac:dyDescent="0.2">
      <c r="A4793" s="85"/>
      <c r="B4793" s="25" t="s">
        <v>11143</v>
      </c>
      <c r="C4793" s="25" t="s">
        <v>11144</v>
      </c>
      <c r="D4793" s="25" t="s">
        <v>7734</v>
      </c>
      <c r="E4793" s="26" t="b">
        <v>1</v>
      </c>
      <c r="F4793" s="27" t="str">
        <f>HYPERLINK("http://nsgreg.nga.mil/genc/view?v=211707&amp;end_month=12&amp;end_day=31&amp;end_year=2014","Cheshire East")</f>
        <v>Cheshire East</v>
      </c>
      <c r="G4793" s="28" t="str">
        <f>HYPERLINK("http://api.nsgreg.nga.mil/geo-division/GENC/6/ed3/GB-CHE","as:GENC:6:ed3:GB-CHE")</f>
        <v>as:GENC:6:ed3:GB-CHE</v>
      </c>
    </row>
    <row r="4794" spans="1:7" x14ac:dyDescent="0.2">
      <c r="A4794" s="85"/>
      <c r="B4794" s="25" t="s">
        <v>11145</v>
      </c>
      <c r="C4794" s="25" t="s">
        <v>11146</v>
      </c>
      <c r="D4794" s="25" t="s">
        <v>7734</v>
      </c>
      <c r="E4794" s="26" t="b">
        <v>1</v>
      </c>
      <c r="F4794" s="27" t="str">
        <f>HYPERLINK("http://nsgreg.nga.mil/genc/view?v=211708&amp;end_month=12&amp;end_day=31&amp;end_year=2014","Cheshire West and Chester")</f>
        <v>Cheshire West and Chester</v>
      </c>
      <c r="G4794" s="28" t="str">
        <f>HYPERLINK("http://api.nsgreg.nga.mil/geo-division/GENC/6/ed3/GB-CHW","as:GENC:6:ed3:GB-CHW")</f>
        <v>as:GENC:6:ed3:GB-CHW</v>
      </c>
    </row>
    <row r="4795" spans="1:7" x14ac:dyDescent="0.2">
      <c r="A4795" s="85"/>
      <c r="B4795" s="25" t="s">
        <v>11147</v>
      </c>
      <c r="C4795" s="25" t="s">
        <v>11148</v>
      </c>
      <c r="D4795" s="25" t="s">
        <v>11046</v>
      </c>
      <c r="E4795" s="26" t="b">
        <v>1</v>
      </c>
      <c r="F4795" s="27" t="str">
        <f>HYPERLINK("http://nsgreg.nga.mil/genc/view?v=119263&amp;gencs=T&amp;end_month=12&amp;end_day=31&amp;end_year=2014","Clackmannanshire")</f>
        <v>Clackmannanshire</v>
      </c>
      <c r="G4795" s="28" t="str">
        <f>HYPERLINK("http://api.nsgreg.nga.mil/geo-division/GENC/6/ed3/GB-CLK","as:GENC:6:ed3:GB-CLK")</f>
        <v>as:GENC:6:ed3:GB-CLK</v>
      </c>
    </row>
    <row r="4796" spans="1:7" x14ac:dyDescent="0.2">
      <c r="A4796" s="85"/>
      <c r="B4796" s="25" t="s">
        <v>11149</v>
      </c>
      <c r="C4796" s="25" t="s">
        <v>11150</v>
      </c>
      <c r="D4796" s="25" t="s">
        <v>1790</v>
      </c>
      <c r="E4796" s="26" t="b">
        <v>1</v>
      </c>
      <c r="F4796" s="27" t="str">
        <f>HYPERLINK("http://nsgreg.nga.mil/genc/view?v=211711&amp;end_month=12&amp;end_day=31&amp;end_year=2014","Coleraine")</f>
        <v>Coleraine</v>
      </c>
      <c r="G4796" s="28" t="str">
        <f>HYPERLINK("http://api.nsgreg.nga.mil/geo-division/GENC/6/ed3/GB-CLR","as:GENC:6:ed3:GB-CLR")</f>
        <v>as:GENC:6:ed3:GB-CLR</v>
      </c>
    </row>
    <row r="4797" spans="1:7" x14ac:dyDescent="0.2">
      <c r="A4797" s="85"/>
      <c r="B4797" s="25" t="s">
        <v>11151</v>
      </c>
      <c r="C4797" s="25" t="s">
        <v>11152</v>
      </c>
      <c r="D4797" s="25" t="s">
        <v>7734</v>
      </c>
      <c r="E4797" s="26" t="b">
        <v>1</v>
      </c>
      <c r="F4797" s="27" t="str">
        <f>HYPERLINK("http://nsgreg.nga.mil/genc/view?v=211717&amp;end_month=12&amp;end_day=31&amp;end_year=2014","Conwy")</f>
        <v>Conwy</v>
      </c>
      <c r="G4797" s="28" t="str">
        <f>HYPERLINK("http://api.nsgreg.nga.mil/geo-division/GENC/6/ed3/GB-CWY","as:GENC:6:ed3:GB-CWY")</f>
        <v>as:GENC:6:ed3:GB-CWY</v>
      </c>
    </row>
    <row r="4798" spans="1:7" x14ac:dyDescent="0.2">
      <c r="A4798" s="85"/>
      <c r="B4798" s="25" t="s">
        <v>11153</v>
      </c>
      <c r="C4798" s="25" t="s">
        <v>11154</v>
      </c>
      <c r="D4798" s="25" t="s">
        <v>1790</v>
      </c>
      <c r="E4798" s="26" t="b">
        <v>1</v>
      </c>
      <c r="F4798" s="27" t="str">
        <f>HYPERLINK("http://nsgreg.nga.mil/genc/view?v=211710&amp;end_month=12&amp;end_day=31&amp;end_year=2014","Cookstown")</f>
        <v>Cookstown</v>
      </c>
      <c r="G4798" s="28" t="str">
        <f>HYPERLINK("http://api.nsgreg.nga.mil/geo-division/GENC/6/ed3/GB-CKT","as:GENC:6:ed3:GB-CKT")</f>
        <v>as:GENC:6:ed3:GB-CKT</v>
      </c>
    </row>
    <row r="4799" spans="1:7" x14ac:dyDescent="0.2">
      <c r="A4799" s="85"/>
      <c r="B4799" s="25" t="s">
        <v>11155</v>
      </c>
      <c r="C4799" s="25" t="s">
        <v>11156</v>
      </c>
      <c r="D4799" s="25" t="s">
        <v>7734</v>
      </c>
      <c r="E4799" s="26" t="b">
        <v>1</v>
      </c>
      <c r="F4799" s="27" t="str">
        <f>HYPERLINK("http://nsgreg.nga.mil/genc/view?v=211714&amp;end_month=12&amp;end_day=31&amp;end_year=2014","Cornwall")</f>
        <v>Cornwall</v>
      </c>
      <c r="G4799" s="28" t="str">
        <f>HYPERLINK("http://api.nsgreg.nga.mil/geo-division/GENC/6/ed3/GB-CON","as:GENC:6:ed3:GB-CON")</f>
        <v>as:GENC:6:ed3:GB-CON</v>
      </c>
    </row>
    <row r="4800" spans="1:7" x14ac:dyDescent="0.2">
      <c r="A4800" s="85"/>
      <c r="B4800" s="25" t="s">
        <v>11157</v>
      </c>
      <c r="C4800" s="25" t="s">
        <v>11158</v>
      </c>
      <c r="D4800" s="25" t="s">
        <v>11075</v>
      </c>
      <c r="E4800" s="26" t="b">
        <v>1</v>
      </c>
      <c r="F4800" s="27" t="str">
        <f>HYPERLINK("http://nsgreg.nga.mil/genc/view?v=119269&amp;gencs=T&amp;end_month=12&amp;end_day=31&amp;end_year=2014","Coventry")</f>
        <v>Coventry</v>
      </c>
      <c r="G4800" s="28" t="str">
        <f>HYPERLINK("http://api.nsgreg.nga.mil/geo-division/GENC/6/ed3/GB-COV","as:GENC:6:ed3:GB-COV")</f>
        <v>as:GENC:6:ed3:GB-COV</v>
      </c>
    </row>
    <row r="4801" spans="1:7" x14ac:dyDescent="0.2">
      <c r="A4801" s="85"/>
      <c r="B4801" s="25" t="s">
        <v>11159</v>
      </c>
      <c r="C4801" s="25" t="s">
        <v>11160</v>
      </c>
      <c r="D4801" s="25" t="s">
        <v>1790</v>
      </c>
      <c r="E4801" s="26" t="b">
        <v>1</v>
      </c>
      <c r="F4801" s="27" t="str">
        <f>HYPERLINK("http://nsgreg.nga.mil/genc/view?v=211706&amp;end_month=12&amp;end_day=31&amp;end_year=2014","Craigavon")</f>
        <v>Craigavon</v>
      </c>
      <c r="G4801" s="28" t="str">
        <f>HYPERLINK("http://api.nsgreg.nga.mil/geo-division/GENC/6/ed3/GB-CGV","as:GENC:6:ed3:GB-CGV")</f>
        <v>as:GENC:6:ed3:GB-CGV</v>
      </c>
    </row>
    <row r="4802" spans="1:7" x14ac:dyDescent="0.2">
      <c r="A4802" s="85"/>
      <c r="B4802" s="25" t="s">
        <v>11161</v>
      </c>
      <c r="C4802" s="25" t="s">
        <v>11162</v>
      </c>
      <c r="D4802" s="25" t="s">
        <v>11070</v>
      </c>
      <c r="E4802" s="26" t="b">
        <v>1</v>
      </c>
      <c r="F4802" s="27" t="str">
        <f>HYPERLINK("http://nsgreg.nga.mil/genc/view?v=119271&amp;gencs=T&amp;end_month=12&amp;end_day=31&amp;end_year=2014","Croydon")</f>
        <v>Croydon</v>
      </c>
      <c r="G4802" s="28" t="str">
        <f>HYPERLINK("http://api.nsgreg.nga.mil/geo-division/GENC/6/ed3/GB-CRY","as:GENC:6:ed3:GB-CRY")</f>
        <v>as:GENC:6:ed3:GB-CRY</v>
      </c>
    </row>
    <row r="4803" spans="1:7" x14ac:dyDescent="0.2">
      <c r="A4803" s="85"/>
      <c r="B4803" s="25" t="s">
        <v>11163</v>
      </c>
      <c r="C4803" s="25" t="s">
        <v>11164</v>
      </c>
      <c r="D4803" s="25" t="s">
        <v>1788</v>
      </c>
      <c r="E4803" s="26" t="b">
        <v>1</v>
      </c>
      <c r="F4803" s="27" t="str">
        <f>HYPERLINK("http://nsgreg.nga.mil/genc/view?v=211712&amp;end_month=12&amp;end_day=31&amp;end_year=2014","Cumbria")</f>
        <v>Cumbria</v>
      </c>
      <c r="G4803" s="28" t="str">
        <f>HYPERLINK("http://api.nsgreg.nga.mil/geo-division/GENC/6/ed3/GB-CMA","as:GENC:6:ed3:GB-CMA")</f>
        <v>as:GENC:6:ed3:GB-CMA</v>
      </c>
    </row>
    <row r="4804" spans="1:7" x14ac:dyDescent="0.2">
      <c r="A4804" s="85"/>
      <c r="B4804" s="25" t="s">
        <v>11167</v>
      </c>
      <c r="C4804" s="25" t="s">
        <v>11168</v>
      </c>
      <c r="D4804" s="25" t="s">
        <v>7734</v>
      </c>
      <c r="E4804" s="26" t="b">
        <v>1</v>
      </c>
      <c r="F4804" s="27" t="str">
        <f>HYPERLINK("http://nsgreg.nga.mil/genc/view?v=211718&amp;end_month=12&amp;end_day=31&amp;end_year=2014","Darlington")</f>
        <v>Darlington</v>
      </c>
      <c r="G4804" s="28" t="str">
        <f>HYPERLINK("http://api.nsgreg.nga.mil/geo-division/GENC/6/ed3/GB-DAL","as:GENC:6:ed3:GB-DAL")</f>
        <v>as:GENC:6:ed3:GB-DAL</v>
      </c>
    </row>
    <row r="4805" spans="1:7" x14ac:dyDescent="0.2">
      <c r="A4805" s="85"/>
      <c r="B4805" s="25" t="s">
        <v>11169</v>
      </c>
      <c r="C4805" s="25" t="s">
        <v>11170</v>
      </c>
      <c r="D4805" s="25" t="s">
        <v>7734</v>
      </c>
      <c r="E4805" s="26" t="b">
        <v>1</v>
      </c>
      <c r="F4805" s="27" t="str">
        <f>HYPERLINK("http://nsgreg.nga.mil/genc/view?v=211720&amp;end_month=12&amp;end_day=31&amp;end_year=2014","Denbighshire")</f>
        <v>Denbighshire</v>
      </c>
      <c r="G4805" s="28" t="str">
        <f>HYPERLINK("http://api.nsgreg.nga.mil/geo-division/GENC/6/ed3/GB-DEN","as:GENC:6:ed3:GB-DEN")</f>
        <v>as:GENC:6:ed3:GB-DEN</v>
      </c>
    </row>
    <row r="4806" spans="1:7" x14ac:dyDescent="0.2">
      <c r="A4806" s="85"/>
      <c r="B4806" s="25" t="s">
        <v>11171</v>
      </c>
      <c r="C4806" s="25" t="s">
        <v>11172</v>
      </c>
      <c r="D4806" s="25" t="s">
        <v>7734</v>
      </c>
      <c r="E4806" s="26" t="b">
        <v>1</v>
      </c>
      <c r="F4806" s="27" t="str">
        <f>HYPERLINK("http://nsgreg.nga.mil/genc/view?v=211721&amp;end_month=12&amp;end_day=31&amp;end_year=2014","Derby")</f>
        <v>Derby</v>
      </c>
      <c r="G4806" s="28" t="str">
        <f>HYPERLINK("http://api.nsgreg.nga.mil/geo-division/GENC/6/ed3/GB-DER","as:GENC:6:ed3:GB-DER")</f>
        <v>as:GENC:6:ed3:GB-DER</v>
      </c>
    </row>
    <row r="4807" spans="1:7" x14ac:dyDescent="0.2">
      <c r="A4807" s="85"/>
      <c r="B4807" s="25" t="s">
        <v>11173</v>
      </c>
      <c r="C4807" s="25" t="s">
        <v>11174</v>
      </c>
      <c r="D4807" s="25" t="s">
        <v>1788</v>
      </c>
      <c r="E4807" s="26" t="b">
        <v>1</v>
      </c>
      <c r="F4807" s="27" t="str">
        <f>HYPERLINK("http://nsgreg.nga.mil/genc/view?v=211719&amp;end_month=12&amp;end_day=31&amp;end_year=2014","Derbyshire")</f>
        <v>Derbyshire</v>
      </c>
      <c r="G4807" s="28" t="str">
        <f>HYPERLINK("http://api.nsgreg.nga.mil/geo-division/GENC/6/ed3/GB-DBY","as:GENC:6:ed3:GB-DBY")</f>
        <v>as:GENC:6:ed3:GB-DBY</v>
      </c>
    </row>
    <row r="4808" spans="1:7" x14ac:dyDescent="0.2">
      <c r="A4808" s="85"/>
      <c r="B4808" s="25" t="s">
        <v>11175</v>
      </c>
      <c r="C4808" s="25" t="s">
        <v>11176</v>
      </c>
      <c r="D4808" s="25" t="s">
        <v>1790</v>
      </c>
      <c r="E4808" s="26" t="b">
        <v>1</v>
      </c>
      <c r="F4808" s="27" t="str">
        <f>HYPERLINK("http://nsgreg.nga.mil/genc/view?v=211726&amp;end_month=12&amp;end_day=31&amp;end_year=2014","Derry")</f>
        <v>Derry</v>
      </c>
      <c r="G4808" s="28" t="str">
        <f>HYPERLINK("http://api.nsgreg.nga.mil/geo-division/GENC/6/ed3/GB-DRY","as:GENC:6:ed3:GB-DRY")</f>
        <v>as:GENC:6:ed3:GB-DRY</v>
      </c>
    </row>
    <row r="4809" spans="1:7" x14ac:dyDescent="0.2">
      <c r="A4809" s="85"/>
      <c r="B4809" s="25" t="s">
        <v>11177</v>
      </c>
      <c r="C4809" s="25" t="s">
        <v>11178</v>
      </c>
      <c r="D4809" s="25" t="s">
        <v>1788</v>
      </c>
      <c r="E4809" s="26" t="b">
        <v>1</v>
      </c>
      <c r="F4809" s="27" t="str">
        <f>HYPERLINK("http://nsgreg.nga.mil/genc/view?v=211722&amp;end_month=12&amp;end_day=31&amp;end_year=2014","Devon")</f>
        <v>Devon</v>
      </c>
      <c r="G4809" s="28" t="str">
        <f>HYPERLINK("http://api.nsgreg.nga.mil/geo-division/GENC/6/ed3/GB-DEV","as:GENC:6:ed3:GB-DEV")</f>
        <v>as:GENC:6:ed3:GB-DEV</v>
      </c>
    </row>
    <row r="4810" spans="1:7" x14ac:dyDescent="0.2">
      <c r="A4810" s="85"/>
      <c r="B4810" s="25" t="s">
        <v>11179</v>
      </c>
      <c r="C4810" s="25" t="s">
        <v>11180</v>
      </c>
      <c r="D4810" s="25" t="s">
        <v>11075</v>
      </c>
      <c r="E4810" s="26" t="b">
        <v>1</v>
      </c>
      <c r="F4810" s="27" t="str">
        <f>HYPERLINK("http://nsgreg.nga.mil/genc/view?v=119281&amp;gencs=T&amp;end_month=12&amp;end_day=31&amp;end_year=2014","Doncaster")</f>
        <v>Doncaster</v>
      </c>
      <c r="G4810" s="28" t="str">
        <f>HYPERLINK("http://api.nsgreg.nga.mil/geo-division/GENC/6/ed3/GB-DNC","as:GENC:6:ed3:GB-DNC")</f>
        <v>as:GENC:6:ed3:GB-DNC</v>
      </c>
    </row>
    <row r="4811" spans="1:7" x14ac:dyDescent="0.2">
      <c r="A4811" s="85"/>
      <c r="B4811" s="25" t="s">
        <v>11181</v>
      </c>
      <c r="C4811" s="25" t="s">
        <v>11182</v>
      </c>
      <c r="D4811" s="25" t="s">
        <v>1788</v>
      </c>
      <c r="E4811" s="26" t="b">
        <v>1</v>
      </c>
      <c r="F4811" s="27" t="str">
        <f>HYPERLINK("http://nsgreg.nga.mil/genc/view?v=211724&amp;end_month=12&amp;end_day=31&amp;end_year=2014","Dorset")</f>
        <v>Dorset</v>
      </c>
      <c r="G4811" s="28" t="str">
        <f>HYPERLINK("http://api.nsgreg.nga.mil/geo-division/GENC/6/ed3/GB-DOR","as:GENC:6:ed3:GB-DOR")</f>
        <v>as:GENC:6:ed3:GB-DOR</v>
      </c>
    </row>
    <row r="4812" spans="1:7" x14ac:dyDescent="0.2">
      <c r="A4812" s="85"/>
      <c r="B4812" s="25" t="s">
        <v>11183</v>
      </c>
      <c r="C4812" s="25" t="s">
        <v>11184</v>
      </c>
      <c r="D4812" s="25" t="s">
        <v>1790</v>
      </c>
      <c r="E4812" s="26" t="b">
        <v>1</v>
      </c>
      <c r="F4812" s="27" t="str">
        <f>HYPERLINK("http://nsgreg.nga.mil/genc/view?v=211725&amp;end_month=12&amp;end_day=31&amp;end_year=2014","Down")</f>
        <v>Down</v>
      </c>
      <c r="G4812" s="28" t="str">
        <f>HYPERLINK("http://api.nsgreg.nga.mil/geo-division/GENC/6/ed3/GB-DOW","as:GENC:6:ed3:GB-DOW")</f>
        <v>as:GENC:6:ed3:GB-DOW</v>
      </c>
    </row>
    <row r="4813" spans="1:7" x14ac:dyDescent="0.2">
      <c r="A4813" s="85"/>
      <c r="B4813" s="25" t="s">
        <v>11185</v>
      </c>
      <c r="C4813" s="25" t="s">
        <v>11186</v>
      </c>
      <c r="D4813" s="25" t="s">
        <v>11075</v>
      </c>
      <c r="E4813" s="26" t="b">
        <v>1</v>
      </c>
      <c r="F4813" s="27" t="str">
        <f>HYPERLINK("http://nsgreg.nga.mil/genc/view?v=119286&amp;gencs=T&amp;end_month=12&amp;end_day=31&amp;end_year=2014","Dudley")</f>
        <v>Dudley</v>
      </c>
      <c r="G4813" s="28" t="str">
        <f>HYPERLINK("http://api.nsgreg.nga.mil/geo-division/GENC/6/ed3/GB-DUD","as:GENC:6:ed3:GB-DUD")</f>
        <v>as:GENC:6:ed3:GB-DUD</v>
      </c>
    </row>
    <row r="4814" spans="1:7" x14ac:dyDescent="0.2">
      <c r="A4814" s="85"/>
      <c r="B4814" s="25" t="s">
        <v>11187</v>
      </c>
      <c r="C4814" s="25" t="s">
        <v>11188</v>
      </c>
      <c r="D4814" s="25" t="s">
        <v>11046</v>
      </c>
      <c r="E4814" s="26" t="b">
        <v>1</v>
      </c>
      <c r="F4814" s="27" t="str">
        <f>HYPERLINK("http://nsgreg.nga.mil/genc/view?v=119280&amp;gencs=T&amp;end_month=12&amp;end_day=31&amp;end_year=2014","Dumfries and Galloway")</f>
        <v>Dumfries and Galloway</v>
      </c>
      <c r="G4814" s="28" t="str">
        <f>HYPERLINK("http://api.nsgreg.nga.mil/geo-division/GENC/6/ed3/GB-DGY","as:GENC:6:ed3:GB-DGY")</f>
        <v>as:GENC:6:ed3:GB-DGY</v>
      </c>
    </row>
    <row r="4815" spans="1:7" x14ac:dyDescent="0.2">
      <c r="A4815" s="85"/>
      <c r="B4815" s="25" t="s">
        <v>11189</v>
      </c>
      <c r="C4815" s="25" t="s">
        <v>11190</v>
      </c>
      <c r="D4815" s="25" t="s">
        <v>11046</v>
      </c>
      <c r="E4815" s="26" t="b">
        <v>1</v>
      </c>
      <c r="F4815" s="27" t="str">
        <f>HYPERLINK("http://nsgreg.nga.mil/genc/view?v=119282&amp;gencs=T&amp;end_month=12&amp;end_day=31&amp;end_year=2014","Dundee City")</f>
        <v>Dundee City</v>
      </c>
      <c r="G4815" s="28" t="str">
        <f>HYPERLINK("http://api.nsgreg.nga.mil/geo-division/GENC/6/ed3/GB-DND","as:GENC:6:ed3:GB-DND")</f>
        <v>as:GENC:6:ed3:GB-DND</v>
      </c>
    </row>
    <row r="4816" spans="1:7" x14ac:dyDescent="0.2">
      <c r="A4816" s="85"/>
      <c r="B4816" s="25" t="s">
        <v>11191</v>
      </c>
      <c r="C4816" s="25" t="s">
        <v>13870</v>
      </c>
      <c r="D4816" s="25" t="s">
        <v>1790</v>
      </c>
      <c r="E4816" s="26" t="b">
        <v>1</v>
      </c>
      <c r="F4816" s="27" t="str">
        <f>HYPERLINK("http://nsgreg.nga.mil/genc/view?v=211723&amp;end_month=12&amp;end_day=31&amp;end_year=2014","Dungannon and South Tyrone")</f>
        <v>Dungannon and South Tyrone</v>
      </c>
      <c r="G4816" s="28" t="str">
        <f>HYPERLINK("http://api.nsgreg.nga.mil/geo-division/GENC/6/ed3/GB-DGN","as:GENC:6:ed3:GB-DGN")</f>
        <v>as:GENC:6:ed3:GB-DGN</v>
      </c>
    </row>
    <row r="4817" spans="1:7" x14ac:dyDescent="0.2">
      <c r="A4817" s="85"/>
      <c r="B4817" s="25" t="s">
        <v>11193</v>
      </c>
      <c r="C4817" s="25" t="s">
        <v>11194</v>
      </c>
      <c r="D4817" s="25" t="s">
        <v>7734</v>
      </c>
      <c r="E4817" s="26" t="b">
        <v>1</v>
      </c>
      <c r="F4817" s="27" t="str">
        <f>HYPERLINK("http://nsgreg.nga.mil/genc/view?v=211727&amp;end_month=12&amp;end_day=31&amp;end_year=2014","Durham")</f>
        <v>Durham</v>
      </c>
      <c r="G4817" s="28" t="str">
        <f>HYPERLINK("http://api.nsgreg.nga.mil/geo-division/GENC/6/ed3/GB-DUR","as:GENC:6:ed3:GB-DUR")</f>
        <v>as:GENC:6:ed3:GB-DUR</v>
      </c>
    </row>
    <row r="4818" spans="1:7" x14ac:dyDescent="0.2">
      <c r="A4818" s="85"/>
      <c r="B4818" s="25" t="s">
        <v>11195</v>
      </c>
      <c r="C4818" s="25" t="s">
        <v>11196</v>
      </c>
      <c r="D4818" s="25" t="s">
        <v>11070</v>
      </c>
      <c r="E4818" s="26" t="b">
        <v>1</v>
      </c>
      <c r="F4818" s="27" t="str">
        <f>HYPERLINK("http://nsgreg.nga.mil/genc/view?v=119288&amp;gencs=T&amp;end_month=12&amp;end_day=31&amp;end_year=2014","Ealing")</f>
        <v>Ealing</v>
      </c>
      <c r="G4818" s="28" t="str">
        <f>HYPERLINK("http://api.nsgreg.nga.mil/geo-division/GENC/6/ed3/GB-EAL","as:GENC:6:ed3:GB-EAL")</f>
        <v>as:GENC:6:ed3:GB-EAL</v>
      </c>
    </row>
    <row r="4819" spans="1:7" x14ac:dyDescent="0.2">
      <c r="A4819" s="85"/>
      <c r="B4819" s="25" t="s">
        <v>11197</v>
      </c>
      <c r="C4819" s="25" t="s">
        <v>11198</v>
      </c>
      <c r="D4819" s="25" t="s">
        <v>11046</v>
      </c>
      <c r="E4819" s="26" t="b">
        <v>1</v>
      </c>
      <c r="F4819" s="27" t="str">
        <f>HYPERLINK("http://nsgreg.nga.mil/genc/view?v=119289&amp;gencs=T&amp;end_month=12&amp;end_day=31&amp;end_year=2014","East Ayrshire")</f>
        <v>East Ayrshire</v>
      </c>
      <c r="G4819" s="28" t="str">
        <f>HYPERLINK("http://api.nsgreg.nga.mil/geo-division/GENC/6/ed3/GB-EAY","as:GENC:6:ed3:GB-EAY")</f>
        <v>as:GENC:6:ed3:GB-EAY</v>
      </c>
    </row>
    <row r="4820" spans="1:7" x14ac:dyDescent="0.2">
      <c r="A4820" s="85"/>
      <c r="B4820" s="25" t="s">
        <v>11199</v>
      </c>
      <c r="C4820" s="25" t="s">
        <v>11200</v>
      </c>
      <c r="D4820" s="25" t="s">
        <v>11046</v>
      </c>
      <c r="E4820" s="26" t="b">
        <v>1</v>
      </c>
      <c r="F4820" s="27" t="str">
        <f>HYPERLINK("http://nsgreg.nga.mil/genc/view?v=119291&amp;gencs=T&amp;end_month=12&amp;end_day=31&amp;end_year=2014","East Dunbartonshire")</f>
        <v>East Dunbartonshire</v>
      </c>
      <c r="G4820" s="28" t="str">
        <f>HYPERLINK("http://api.nsgreg.nga.mil/geo-division/GENC/6/ed3/GB-EDU","as:GENC:6:ed3:GB-EDU")</f>
        <v>as:GENC:6:ed3:GB-EDU</v>
      </c>
    </row>
    <row r="4821" spans="1:7" x14ac:dyDescent="0.2">
      <c r="A4821" s="85"/>
      <c r="B4821" s="25" t="s">
        <v>11201</v>
      </c>
      <c r="C4821" s="25" t="s">
        <v>11202</v>
      </c>
      <c r="D4821" s="25" t="s">
        <v>11046</v>
      </c>
      <c r="E4821" s="26" t="b">
        <v>1</v>
      </c>
      <c r="F4821" s="27" t="str">
        <f>HYPERLINK("http://nsgreg.nga.mil/genc/view?v=119292&amp;gencs=T&amp;end_month=12&amp;end_day=31&amp;end_year=2014","East Lothian")</f>
        <v>East Lothian</v>
      </c>
      <c r="G4821" s="28" t="str">
        <f>HYPERLINK("http://api.nsgreg.nga.mil/geo-division/GENC/6/ed3/GB-ELN","as:GENC:6:ed3:GB-ELN")</f>
        <v>as:GENC:6:ed3:GB-ELN</v>
      </c>
    </row>
    <row r="4822" spans="1:7" x14ac:dyDescent="0.2">
      <c r="A4822" s="85"/>
      <c r="B4822" s="25" t="s">
        <v>11203</v>
      </c>
      <c r="C4822" s="25" t="s">
        <v>11204</v>
      </c>
      <c r="D4822" s="25" t="s">
        <v>11046</v>
      </c>
      <c r="E4822" s="26" t="b">
        <v>1</v>
      </c>
      <c r="F4822" s="27" t="str">
        <f>HYPERLINK("http://nsgreg.nga.mil/genc/view?v=119296&amp;gencs=T&amp;end_month=12&amp;end_day=31&amp;end_year=2014","East Renfrewshire")</f>
        <v>East Renfrewshire</v>
      </c>
      <c r="G4822" s="28" t="str">
        <f>HYPERLINK("http://api.nsgreg.nga.mil/geo-division/GENC/6/ed3/GB-ERW","as:GENC:6:ed3:GB-ERW")</f>
        <v>as:GENC:6:ed3:GB-ERW</v>
      </c>
    </row>
    <row r="4823" spans="1:7" x14ac:dyDescent="0.2">
      <c r="A4823" s="85"/>
      <c r="B4823" s="25" t="s">
        <v>11205</v>
      </c>
      <c r="C4823" s="25" t="s">
        <v>11206</v>
      </c>
      <c r="D4823" s="25" t="s">
        <v>7734</v>
      </c>
      <c r="E4823" s="26" t="b">
        <v>1</v>
      </c>
      <c r="F4823" s="27" t="str">
        <f>HYPERLINK("http://nsgreg.nga.mil/genc/view?v=211728&amp;end_month=12&amp;end_day=31&amp;end_year=2014","East Riding of Yorkshire")</f>
        <v>East Riding of Yorkshire</v>
      </c>
      <c r="G4823" s="28" t="str">
        <f>HYPERLINK("http://api.nsgreg.nga.mil/geo-division/GENC/6/ed3/GB-ERY","as:GENC:6:ed3:GB-ERY")</f>
        <v>as:GENC:6:ed3:GB-ERY</v>
      </c>
    </row>
    <row r="4824" spans="1:7" x14ac:dyDescent="0.2">
      <c r="A4824" s="85"/>
      <c r="B4824" s="25" t="s">
        <v>11207</v>
      </c>
      <c r="C4824" s="25" t="s">
        <v>11208</v>
      </c>
      <c r="D4824" s="25" t="s">
        <v>1788</v>
      </c>
      <c r="E4824" s="26" t="b">
        <v>1</v>
      </c>
      <c r="F4824" s="27" t="str">
        <f>HYPERLINK("http://nsgreg.nga.mil/genc/view?v=211730&amp;end_month=12&amp;end_day=31&amp;end_year=2014","East Sussex")</f>
        <v>East Sussex</v>
      </c>
      <c r="G4824" s="28" t="str">
        <f>HYPERLINK("http://api.nsgreg.nga.mil/geo-division/GENC/6/ed3/GB-ESX","as:GENC:6:ed3:GB-ESX")</f>
        <v>as:GENC:6:ed3:GB-ESX</v>
      </c>
    </row>
    <row r="4825" spans="1:7" x14ac:dyDescent="0.2">
      <c r="A4825" s="85"/>
      <c r="B4825" s="25" t="s">
        <v>11209</v>
      </c>
      <c r="C4825" s="25" t="s">
        <v>11210</v>
      </c>
      <c r="D4825" s="25" t="s">
        <v>11046</v>
      </c>
      <c r="E4825" s="26" t="b">
        <v>1</v>
      </c>
      <c r="F4825" s="27" t="str">
        <f>HYPERLINK("http://nsgreg.nga.mil/genc/view?v=119290&amp;gencs=T&amp;end_month=12&amp;end_day=31&amp;end_year=2014","Edinburgh, City of")</f>
        <v>Edinburgh, City of</v>
      </c>
      <c r="G4825" s="28" t="str">
        <f>HYPERLINK("http://api.nsgreg.nga.mil/geo-division/GENC/6/ed3/GB-EDH","as:GENC:6:ed3:GB-EDH")</f>
        <v>as:GENC:6:ed3:GB-EDH</v>
      </c>
    </row>
    <row r="4826" spans="1:7" x14ac:dyDescent="0.2">
      <c r="A4826" s="85"/>
      <c r="B4826" s="25" t="s">
        <v>11211</v>
      </c>
      <c r="C4826" s="25" t="s">
        <v>11212</v>
      </c>
      <c r="D4826" s="25" t="s">
        <v>11046</v>
      </c>
      <c r="E4826" s="26" t="b">
        <v>1</v>
      </c>
      <c r="F4826" s="27" t="str">
        <f>HYPERLINK("http://nsgreg.nga.mil/genc/view?v=119293&amp;gencs=T&amp;end_month=12&amp;end_day=31&amp;end_year=2014","Eilean Siar")</f>
        <v>Eilean Siar</v>
      </c>
      <c r="G4826" s="28" t="str">
        <f>HYPERLINK("http://api.nsgreg.nga.mil/geo-division/GENC/6/ed3/GB-ELS","as:GENC:6:ed3:GB-ELS")</f>
        <v>as:GENC:6:ed3:GB-ELS</v>
      </c>
    </row>
    <row r="4827" spans="1:7" x14ac:dyDescent="0.2">
      <c r="A4827" s="85"/>
      <c r="B4827" s="25" t="s">
        <v>11213</v>
      </c>
      <c r="C4827" s="25" t="s">
        <v>11214</v>
      </c>
      <c r="D4827" s="25" t="s">
        <v>11070</v>
      </c>
      <c r="E4827" s="26" t="b">
        <v>1</v>
      </c>
      <c r="F4827" s="27" t="str">
        <f>HYPERLINK("http://nsgreg.nga.mil/genc/view?v=119294&amp;gencs=T&amp;end_month=12&amp;end_day=31&amp;end_year=2014","Enfield")</f>
        <v>Enfield</v>
      </c>
      <c r="G4827" s="28" t="str">
        <f>HYPERLINK("http://api.nsgreg.nga.mil/geo-division/GENC/6/ed3/GB-ENF","as:GENC:6:ed3:GB-ENF")</f>
        <v>as:GENC:6:ed3:GB-ENF</v>
      </c>
    </row>
    <row r="4828" spans="1:7" x14ac:dyDescent="0.2">
      <c r="A4828" s="85"/>
      <c r="B4828" s="25" t="s">
        <v>11215</v>
      </c>
      <c r="C4828" s="25" t="s">
        <v>11216</v>
      </c>
      <c r="D4828" s="37" t="s">
        <v>7688</v>
      </c>
      <c r="E4828" s="38" t="b">
        <v>0</v>
      </c>
      <c r="F4828" s="27" t="str">
        <f>HYPERLINK("http://nsgreg.nga.mil/genc/view?v=119295&amp;gencs=T&amp;end_month=12&amp;end_day=31&amp;end_year=2014","England")</f>
        <v>England</v>
      </c>
      <c r="G4828" s="28" t="str">
        <f>HYPERLINK("http://api.nsgreg.nga.mil/geo-division/GENC/6/ed3/GB-ENG","as:GENC:6:ed3:GB-ENG")</f>
        <v>as:GENC:6:ed3:GB-ENG</v>
      </c>
    </row>
    <row r="4829" spans="1:7" x14ac:dyDescent="0.2">
      <c r="A4829" s="85"/>
      <c r="B4829" s="25" t="s">
        <v>11220</v>
      </c>
      <c r="C4829" s="25" t="s">
        <v>11221</v>
      </c>
      <c r="D4829" s="25" t="s">
        <v>1788</v>
      </c>
      <c r="E4829" s="26" t="b">
        <v>1</v>
      </c>
      <c r="F4829" s="27" t="str">
        <f>HYPERLINK("http://nsgreg.nga.mil/genc/view?v=211729&amp;end_month=12&amp;end_day=31&amp;end_year=2014","Essex")</f>
        <v>Essex</v>
      </c>
      <c r="G4829" s="28" t="str">
        <f>HYPERLINK("http://api.nsgreg.nga.mil/geo-division/GENC/6/ed3/GB-ESS","as:GENC:6:ed3:GB-ESS")</f>
        <v>as:GENC:6:ed3:GB-ESS</v>
      </c>
    </row>
    <row r="4830" spans="1:7" x14ac:dyDescent="0.2">
      <c r="A4830" s="85"/>
      <c r="B4830" s="25" t="s">
        <v>11222</v>
      </c>
      <c r="C4830" s="25" t="s">
        <v>11223</v>
      </c>
      <c r="D4830" s="25" t="s">
        <v>11046</v>
      </c>
      <c r="E4830" s="26" t="b">
        <v>1</v>
      </c>
      <c r="F4830" s="27" t="str">
        <f>HYPERLINK("http://nsgreg.nga.mil/genc/view?v=119300&amp;gencs=T&amp;end_month=12&amp;end_day=31&amp;end_year=2014","Falkirk")</f>
        <v>Falkirk</v>
      </c>
      <c r="G4830" s="28" t="str">
        <f>HYPERLINK("http://api.nsgreg.nga.mil/geo-division/GENC/6/ed3/GB-FAL","as:GENC:6:ed3:GB-FAL")</f>
        <v>as:GENC:6:ed3:GB-FAL</v>
      </c>
    </row>
    <row r="4831" spans="1:7" x14ac:dyDescent="0.2">
      <c r="A4831" s="85"/>
      <c r="B4831" s="25" t="s">
        <v>11224</v>
      </c>
      <c r="C4831" s="25" t="s">
        <v>11225</v>
      </c>
      <c r="D4831" s="25" t="s">
        <v>1790</v>
      </c>
      <c r="E4831" s="26" t="b">
        <v>1</v>
      </c>
      <c r="F4831" s="27" t="str">
        <f>HYPERLINK("http://nsgreg.nga.mil/genc/view?v=211731&amp;end_month=12&amp;end_day=31&amp;end_year=2014","Fermanagh")</f>
        <v>Fermanagh</v>
      </c>
      <c r="G4831" s="28" t="str">
        <f>HYPERLINK("http://api.nsgreg.nga.mil/geo-division/GENC/6/ed3/GB-FER","as:GENC:6:ed3:GB-FER")</f>
        <v>as:GENC:6:ed3:GB-FER</v>
      </c>
    </row>
    <row r="4832" spans="1:7" x14ac:dyDescent="0.2">
      <c r="A4832" s="85"/>
      <c r="B4832" s="25" t="s">
        <v>11226</v>
      </c>
      <c r="C4832" s="25" t="s">
        <v>11227</v>
      </c>
      <c r="D4832" s="25" t="s">
        <v>11046</v>
      </c>
      <c r="E4832" s="26" t="b">
        <v>1</v>
      </c>
      <c r="F4832" s="27" t="str">
        <f>HYPERLINK("http://nsgreg.nga.mil/genc/view?v=119302&amp;gencs=T&amp;end_month=12&amp;end_day=31&amp;end_year=2014","Fife")</f>
        <v>Fife</v>
      </c>
      <c r="G4832" s="28" t="str">
        <f>HYPERLINK("http://api.nsgreg.nga.mil/geo-division/GENC/6/ed3/GB-FIF","as:GENC:6:ed3:GB-FIF")</f>
        <v>as:GENC:6:ed3:GB-FIF</v>
      </c>
    </row>
    <row r="4833" spans="1:7" x14ac:dyDescent="0.2">
      <c r="A4833" s="85"/>
      <c r="B4833" s="25" t="s">
        <v>11228</v>
      </c>
      <c r="C4833" s="25" t="s">
        <v>11229</v>
      </c>
      <c r="D4833" s="25" t="s">
        <v>7734</v>
      </c>
      <c r="E4833" s="26" t="b">
        <v>1</v>
      </c>
      <c r="F4833" s="27" t="str">
        <f>HYPERLINK("http://nsgreg.nga.mil/genc/view?v=211732&amp;end_month=12&amp;end_day=31&amp;end_year=2014","Flintshire")</f>
        <v>Flintshire</v>
      </c>
      <c r="G4833" s="28" t="str">
        <f>HYPERLINK("http://api.nsgreg.nga.mil/geo-division/GENC/6/ed3/GB-FLN","as:GENC:6:ed3:GB-FLN")</f>
        <v>as:GENC:6:ed3:GB-FLN</v>
      </c>
    </row>
    <row r="4834" spans="1:7" x14ac:dyDescent="0.2">
      <c r="A4834" s="85"/>
      <c r="B4834" s="25" t="s">
        <v>11230</v>
      </c>
      <c r="C4834" s="25" t="s">
        <v>11231</v>
      </c>
      <c r="D4834" s="25" t="s">
        <v>11075</v>
      </c>
      <c r="E4834" s="26" t="b">
        <v>1</v>
      </c>
      <c r="F4834" s="27" t="str">
        <f>HYPERLINK("http://nsgreg.nga.mil/genc/view?v=119304&amp;gencs=T&amp;end_month=12&amp;end_day=31&amp;end_year=2014","Gateshead")</f>
        <v>Gateshead</v>
      </c>
      <c r="G4834" s="28" t="str">
        <f>HYPERLINK("http://api.nsgreg.nga.mil/geo-division/GENC/6/ed3/GB-GAT","as:GENC:6:ed3:GB-GAT")</f>
        <v>as:GENC:6:ed3:GB-GAT</v>
      </c>
    </row>
    <row r="4835" spans="1:7" x14ac:dyDescent="0.2">
      <c r="A4835" s="85"/>
      <c r="B4835" s="25" t="s">
        <v>11232</v>
      </c>
      <c r="C4835" s="25" t="s">
        <v>11233</v>
      </c>
      <c r="D4835" s="25" t="s">
        <v>11046</v>
      </c>
      <c r="E4835" s="26" t="b">
        <v>1</v>
      </c>
      <c r="F4835" s="27" t="str">
        <f>HYPERLINK("http://nsgreg.nga.mil/genc/view?v=119305&amp;gencs=T&amp;end_month=12&amp;end_day=31&amp;end_year=2014","Glasgow City")</f>
        <v>Glasgow City</v>
      </c>
      <c r="G4835" s="28" t="str">
        <f>HYPERLINK("http://api.nsgreg.nga.mil/geo-division/GENC/6/ed3/GB-GLG","as:GENC:6:ed3:GB-GLG")</f>
        <v>as:GENC:6:ed3:GB-GLG</v>
      </c>
    </row>
    <row r="4836" spans="1:7" x14ac:dyDescent="0.2">
      <c r="A4836" s="85"/>
      <c r="B4836" s="25" t="s">
        <v>11234</v>
      </c>
      <c r="C4836" s="25" t="s">
        <v>11235</v>
      </c>
      <c r="D4836" s="25" t="s">
        <v>1788</v>
      </c>
      <c r="E4836" s="26" t="b">
        <v>1</v>
      </c>
      <c r="F4836" s="27" t="str">
        <f>HYPERLINK("http://nsgreg.nga.mil/genc/view?v=211733&amp;end_month=12&amp;end_day=31&amp;end_year=2014","Gloucestershire")</f>
        <v>Gloucestershire</v>
      </c>
      <c r="G4836" s="28" t="str">
        <f>HYPERLINK("http://api.nsgreg.nga.mil/geo-division/GENC/6/ed3/GB-GLS","as:GENC:6:ed3:GB-GLS")</f>
        <v>as:GENC:6:ed3:GB-GLS</v>
      </c>
    </row>
    <row r="4837" spans="1:7" x14ac:dyDescent="0.2">
      <c r="A4837" s="85"/>
      <c r="B4837" s="25" t="s">
        <v>11238</v>
      </c>
      <c r="C4837" s="25" t="s">
        <v>11239</v>
      </c>
      <c r="D4837" s="25" t="s">
        <v>11070</v>
      </c>
      <c r="E4837" s="26" t="b">
        <v>1</v>
      </c>
      <c r="F4837" s="27" t="str">
        <f>HYPERLINK("http://nsgreg.nga.mil/genc/view?v=119307&amp;gencs=T&amp;end_month=12&amp;end_day=31&amp;end_year=2014","Greenwich")</f>
        <v>Greenwich</v>
      </c>
      <c r="G4837" s="28" t="str">
        <f>HYPERLINK("http://api.nsgreg.nga.mil/geo-division/GENC/6/ed3/GB-GRE","as:GENC:6:ed3:GB-GRE")</f>
        <v>as:GENC:6:ed3:GB-GRE</v>
      </c>
    </row>
    <row r="4838" spans="1:7" x14ac:dyDescent="0.2">
      <c r="A4838" s="85"/>
      <c r="B4838" s="25" t="s">
        <v>11240</v>
      </c>
      <c r="C4838" s="25" t="s">
        <v>11241</v>
      </c>
      <c r="D4838" s="25" t="s">
        <v>7734</v>
      </c>
      <c r="E4838" s="26" t="b">
        <v>1</v>
      </c>
      <c r="F4838" s="27" t="str">
        <f>HYPERLINK("http://nsgreg.nga.mil/genc/view?v=211734&amp;end_month=12&amp;end_day=31&amp;end_year=2014","Gwynedd")</f>
        <v>Gwynedd</v>
      </c>
      <c r="G4838" s="28" t="str">
        <f>HYPERLINK("http://api.nsgreg.nga.mil/geo-division/GENC/6/ed3/GB-GWN","as:GENC:6:ed3:GB-GWN")</f>
        <v>as:GENC:6:ed3:GB-GWN</v>
      </c>
    </row>
    <row r="4839" spans="1:7" x14ac:dyDescent="0.2">
      <c r="A4839" s="85"/>
      <c r="B4839" s="25" t="s">
        <v>11242</v>
      </c>
      <c r="C4839" s="25" t="s">
        <v>11243</v>
      </c>
      <c r="D4839" s="25" t="s">
        <v>11070</v>
      </c>
      <c r="E4839" s="26" t="b">
        <v>1</v>
      </c>
      <c r="F4839" s="27" t="str">
        <f>HYPERLINK("http://nsgreg.nga.mil/genc/view?v=119312&amp;gencs=T&amp;end_month=12&amp;end_day=31&amp;end_year=2014","Hackney")</f>
        <v>Hackney</v>
      </c>
      <c r="G4839" s="28" t="str">
        <f>HYPERLINK("http://api.nsgreg.nga.mil/geo-division/GENC/6/ed3/GB-HCK","as:GENC:6:ed3:GB-HCK")</f>
        <v>as:GENC:6:ed3:GB-HCK</v>
      </c>
    </row>
    <row r="4840" spans="1:7" x14ac:dyDescent="0.2">
      <c r="A4840" s="85"/>
      <c r="B4840" s="25" t="s">
        <v>11244</v>
      </c>
      <c r="C4840" s="25" t="s">
        <v>11245</v>
      </c>
      <c r="D4840" s="25" t="s">
        <v>7734</v>
      </c>
      <c r="E4840" s="26" t="b">
        <v>1</v>
      </c>
      <c r="F4840" s="27" t="str">
        <f>HYPERLINK("http://nsgreg.nga.mil/genc/view?v=211735&amp;end_month=12&amp;end_day=31&amp;end_year=2014","Halton")</f>
        <v>Halton</v>
      </c>
      <c r="G4840" s="28" t="str">
        <f>HYPERLINK("http://api.nsgreg.nga.mil/geo-division/GENC/6/ed3/GB-HAL","as:GENC:6:ed3:GB-HAL")</f>
        <v>as:GENC:6:ed3:GB-HAL</v>
      </c>
    </row>
    <row r="4841" spans="1:7" x14ac:dyDescent="0.2">
      <c r="A4841" s="85"/>
      <c r="B4841" s="25" t="s">
        <v>11246</v>
      </c>
      <c r="C4841" s="25" t="s">
        <v>11247</v>
      </c>
      <c r="D4841" s="25" t="s">
        <v>11070</v>
      </c>
      <c r="E4841" s="26" t="b">
        <v>1</v>
      </c>
      <c r="F4841" s="27" t="str">
        <f>HYPERLINK("http://nsgreg.nga.mil/genc/view?v=119316&amp;gencs=T&amp;end_month=12&amp;end_day=31&amp;end_year=2014","Hammersmith and Fulham")</f>
        <v>Hammersmith and Fulham</v>
      </c>
      <c r="G4841" s="28" t="str">
        <f>HYPERLINK("http://api.nsgreg.nga.mil/geo-division/GENC/6/ed3/GB-HMF","as:GENC:6:ed3:GB-HMF")</f>
        <v>as:GENC:6:ed3:GB-HMF</v>
      </c>
    </row>
    <row r="4842" spans="1:7" x14ac:dyDescent="0.2">
      <c r="A4842" s="85"/>
      <c r="B4842" s="25" t="s">
        <v>11248</v>
      </c>
      <c r="C4842" s="25" t="s">
        <v>11249</v>
      </c>
      <c r="D4842" s="25" t="s">
        <v>1788</v>
      </c>
      <c r="E4842" s="26" t="b">
        <v>1</v>
      </c>
      <c r="F4842" s="27" t="str">
        <f>HYPERLINK("http://nsgreg.nga.mil/genc/view?v=211736&amp;end_month=12&amp;end_day=31&amp;end_year=2014","Hampshire")</f>
        <v>Hampshire</v>
      </c>
      <c r="G4842" s="28" t="str">
        <f>HYPERLINK("http://api.nsgreg.nga.mil/geo-division/GENC/6/ed3/GB-HAM","as:GENC:6:ed3:GB-HAM")</f>
        <v>as:GENC:6:ed3:GB-HAM</v>
      </c>
    </row>
    <row r="4843" spans="1:7" x14ac:dyDescent="0.2">
      <c r="A4843" s="85"/>
      <c r="B4843" s="25" t="s">
        <v>11250</v>
      </c>
      <c r="C4843" s="25" t="s">
        <v>11251</v>
      </c>
      <c r="D4843" s="25" t="s">
        <v>11070</v>
      </c>
      <c r="E4843" s="26" t="b">
        <v>1</v>
      </c>
      <c r="F4843" s="27" t="str">
        <f>HYPERLINK("http://nsgreg.nga.mil/genc/view?v=119321&amp;gencs=T&amp;end_month=12&amp;end_day=31&amp;end_year=2014","Haringey")</f>
        <v>Haringey</v>
      </c>
      <c r="G4843" s="28" t="str">
        <f>HYPERLINK("http://api.nsgreg.nga.mil/geo-division/GENC/6/ed3/GB-HRY","as:GENC:6:ed3:GB-HRY")</f>
        <v>as:GENC:6:ed3:GB-HRY</v>
      </c>
    </row>
    <row r="4844" spans="1:7" x14ac:dyDescent="0.2">
      <c r="A4844" s="85"/>
      <c r="B4844" s="25" t="s">
        <v>11252</v>
      </c>
      <c r="C4844" s="25" t="s">
        <v>11253</v>
      </c>
      <c r="D4844" s="25" t="s">
        <v>11070</v>
      </c>
      <c r="E4844" s="26" t="b">
        <v>1</v>
      </c>
      <c r="F4844" s="27" t="str">
        <f>HYPERLINK("http://nsgreg.nga.mil/genc/view?v=119320&amp;gencs=T&amp;end_month=12&amp;end_day=31&amp;end_year=2014","Harrow")</f>
        <v>Harrow</v>
      </c>
      <c r="G4844" s="28" t="str">
        <f>HYPERLINK("http://api.nsgreg.nga.mil/geo-division/GENC/6/ed3/GB-HRW","as:GENC:6:ed3:GB-HRW")</f>
        <v>as:GENC:6:ed3:GB-HRW</v>
      </c>
    </row>
    <row r="4845" spans="1:7" x14ac:dyDescent="0.2">
      <c r="A4845" s="85"/>
      <c r="B4845" s="25" t="s">
        <v>11254</v>
      </c>
      <c r="C4845" s="25" t="s">
        <v>11255</v>
      </c>
      <c r="D4845" s="25" t="s">
        <v>7734</v>
      </c>
      <c r="E4845" s="26" t="b">
        <v>1</v>
      </c>
      <c r="F4845" s="27" t="str">
        <f>HYPERLINK("http://nsgreg.nga.mil/genc/view?v=211738&amp;end_month=12&amp;end_day=31&amp;end_year=2014","Hartlepool")</f>
        <v>Hartlepool</v>
      </c>
      <c r="G4845" s="28" t="str">
        <f>HYPERLINK("http://api.nsgreg.nga.mil/geo-division/GENC/6/ed3/GB-HPL","as:GENC:6:ed3:GB-HPL")</f>
        <v>as:GENC:6:ed3:GB-HPL</v>
      </c>
    </row>
    <row r="4846" spans="1:7" x14ac:dyDescent="0.2">
      <c r="A4846" s="85"/>
      <c r="B4846" s="25" t="s">
        <v>11256</v>
      </c>
      <c r="C4846" s="25" t="s">
        <v>11257</v>
      </c>
      <c r="D4846" s="25" t="s">
        <v>11070</v>
      </c>
      <c r="E4846" s="26" t="b">
        <v>1</v>
      </c>
      <c r="F4846" s="27" t="str">
        <f>HYPERLINK("http://nsgreg.nga.mil/genc/view?v=119311&amp;gencs=T&amp;end_month=12&amp;end_day=31&amp;end_year=2014","Havering")</f>
        <v>Havering</v>
      </c>
      <c r="G4846" s="28" t="str">
        <f>HYPERLINK("http://api.nsgreg.nga.mil/geo-division/GENC/6/ed3/GB-HAV","as:GENC:6:ed3:GB-HAV")</f>
        <v>as:GENC:6:ed3:GB-HAV</v>
      </c>
    </row>
    <row r="4847" spans="1:7" x14ac:dyDescent="0.2">
      <c r="A4847" s="85"/>
      <c r="B4847" s="25" t="s">
        <v>11258</v>
      </c>
      <c r="C4847" s="25" t="s">
        <v>11259</v>
      </c>
      <c r="D4847" s="25" t="s">
        <v>7734</v>
      </c>
      <c r="E4847" s="26" t="b">
        <v>1</v>
      </c>
      <c r="F4847" s="27" t="str">
        <f>HYPERLINK("http://nsgreg.nga.mil/genc/view?v=211737&amp;end_month=12&amp;end_day=31&amp;end_year=2014","Herefordshire")</f>
        <v>Herefordshire</v>
      </c>
      <c r="G4847" s="28" t="str">
        <f>HYPERLINK("http://api.nsgreg.nga.mil/geo-division/GENC/6/ed3/GB-HEF","as:GENC:6:ed3:GB-HEF")</f>
        <v>as:GENC:6:ed3:GB-HEF</v>
      </c>
    </row>
    <row r="4848" spans="1:7" x14ac:dyDescent="0.2">
      <c r="A4848" s="85"/>
      <c r="B4848" s="25" t="s">
        <v>11260</v>
      </c>
      <c r="C4848" s="25" t="s">
        <v>11261</v>
      </c>
      <c r="D4848" s="25" t="s">
        <v>1788</v>
      </c>
      <c r="E4848" s="26" t="b">
        <v>1</v>
      </c>
      <c r="F4848" s="27" t="str">
        <f>HYPERLINK("http://nsgreg.nga.mil/genc/view?v=211739&amp;end_month=12&amp;end_day=31&amp;end_year=2014","Hertfordshire")</f>
        <v>Hertfordshire</v>
      </c>
      <c r="G4848" s="28" t="str">
        <f>HYPERLINK("http://api.nsgreg.nga.mil/geo-division/GENC/6/ed3/GB-HRT","as:GENC:6:ed3:GB-HRT")</f>
        <v>as:GENC:6:ed3:GB-HRT</v>
      </c>
    </row>
    <row r="4849" spans="1:7" x14ac:dyDescent="0.2">
      <c r="A4849" s="85"/>
      <c r="B4849" s="25" t="s">
        <v>11262</v>
      </c>
      <c r="C4849" s="25" t="s">
        <v>11263</v>
      </c>
      <c r="D4849" s="25" t="s">
        <v>11046</v>
      </c>
      <c r="E4849" s="26" t="b">
        <v>1</v>
      </c>
      <c r="F4849" s="27" t="str">
        <f>HYPERLINK("http://nsgreg.nga.mil/genc/view?v=119315&amp;gencs=T&amp;end_month=12&amp;end_day=31&amp;end_year=2014","Highland")</f>
        <v>Highland</v>
      </c>
      <c r="G4849" s="28" t="str">
        <f>HYPERLINK("http://api.nsgreg.nga.mil/geo-division/GENC/6/ed3/GB-HLD","as:GENC:6:ed3:GB-HLD")</f>
        <v>as:GENC:6:ed3:GB-HLD</v>
      </c>
    </row>
    <row r="4850" spans="1:7" x14ac:dyDescent="0.2">
      <c r="A4850" s="85"/>
      <c r="B4850" s="25" t="s">
        <v>11264</v>
      </c>
      <c r="C4850" s="25" t="s">
        <v>11265</v>
      </c>
      <c r="D4850" s="25" t="s">
        <v>11070</v>
      </c>
      <c r="E4850" s="26" t="b">
        <v>1</v>
      </c>
      <c r="F4850" s="27" t="str">
        <f>HYPERLINK("http://nsgreg.nga.mil/genc/view?v=119314&amp;gencs=T&amp;end_month=12&amp;end_day=31&amp;end_year=2014","Hillingdon")</f>
        <v>Hillingdon</v>
      </c>
      <c r="G4850" s="28" t="str">
        <f>HYPERLINK("http://api.nsgreg.nga.mil/geo-division/GENC/6/ed3/GB-HIL","as:GENC:6:ed3:GB-HIL")</f>
        <v>as:GENC:6:ed3:GB-HIL</v>
      </c>
    </row>
    <row r="4851" spans="1:7" x14ac:dyDescent="0.2">
      <c r="A4851" s="85"/>
      <c r="B4851" s="25" t="s">
        <v>11266</v>
      </c>
      <c r="C4851" s="25" t="s">
        <v>11267</v>
      </c>
      <c r="D4851" s="25" t="s">
        <v>11070</v>
      </c>
      <c r="E4851" s="26" t="b">
        <v>1</v>
      </c>
      <c r="F4851" s="27" t="str">
        <f>HYPERLINK("http://nsgreg.nga.mil/genc/view?v=119317&amp;gencs=T&amp;end_month=12&amp;end_day=31&amp;end_year=2014","Hounslow")</f>
        <v>Hounslow</v>
      </c>
      <c r="G4851" s="28" t="str">
        <f>HYPERLINK("http://api.nsgreg.nga.mil/geo-division/GENC/6/ed3/GB-HNS","as:GENC:6:ed3:GB-HNS")</f>
        <v>as:GENC:6:ed3:GB-HNS</v>
      </c>
    </row>
    <row r="4852" spans="1:7" x14ac:dyDescent="0.2">
      <c r="A4852" s="85"/>
      <c r="B4852" s="25" t="s">
        <v>11268</v>
      </c>
      <c r="C4852" s="25" t="s">
        <v>11269</v>
      </c>
      <c r="D4852" s="25" t="s">
        <v>11046</v>
      </c>
      <c r="E4852" s="26" t="b">
        <v>1</v>
      </c>
      <c r="F4852" s="27" t="str">
        <f>HYPERLINK("http://nsgreg.nga.mil/genc/view?v=119325&amp;gencs=T&amp;end_month=12&amp;end_day=31&amp;end_year=2014","Inverclyde")</f>
        <v>Inverclyde</v>
      </c>
      <c r="G4852" s="28" t="str">
        <f>HYPERLINK("http://api.nsgreg.nga.mil/geo-division/GENC/6/ed3/GB-IVC","as:GENC:6:ed3:GB-IVC")</f>
        <v>as:GENC:6:ed3:GB-IVC</v>
      </c>
    </row>
    <row r="4853" spans="1:7" x14ac:dyDescent="0.2">
      <c r="A4853" s="85"/>
      <c r="B4853" s="25" t="s">
        <v>11270</v>
      </c>
      <c r="C4853" s="25" t="s">
        <v>11271</v>
      </c>
      <c r="D4853" s="25" t="s">
        <v>7734</v>
      </c>
      <c r="E4853" s="26" t="b">
        <v>1</v>
      </c>
      <c r="F4853" s="27" t="str">
        <f>HYPERLINK("http://nsgreg.nga.mil/genc/view?v=211683&amp;end_month=12&amp;end_day=31&amp;end_year=2014","Isle of Anglesey")</f>
        <v>Isle of Anglesey</v>
      </c>
      <c r="G4853" s="28" t="str">
        <f>HYPERLINK("http://api.nsgreg.nga.mil/geo-division/GENC/6/ed3/GB-AGY","as:GENC:6:ed3:GB-AGY")</f>
        <v>as:GENC:6:ed3:GB-AGY</v>
      </c>
    </row>
    <row r="4854" spans="1:7" x14ac:dyDescent="0.2">
      <c r="A4854" s="85"/>
      <c r="B4854" s="25" t="s">
        <v>11272</v>
      </c>
      <c r="C4854" s="25" t="s">
        <v>11273</v>
      </c>
      <c r="D4854" s="25" t="s">
        <v>7734</v>
      </c>
      <c r="E4854" s="26" t="b">
        <v>1</v>
      </c>
      <c r="F4854" s="27" t="str">
        <f>HYPERLINK("http://nsgreg.nga.mil/genc/view?v=211740&amp;end_month=12&amp;end_day=31&amp;end_year=2014","Isle of Wight")</f>
        <v>Isle of Wight</v>
      </c>
      <c r="G4854" s="28" t="str">
        <f>HYPERLINK("http://api.nsgreg.nga.mil/geo-division/GENC/6/ed3/GB-IOW","as:GENC:6:ed3:GB-IOW")</f>
        <v>as:GENC:6:ed3:GB-IOW</v>
      </c>
    </row>
    <row r="4855" spans="1:7" x14ac:dyDescent="0.2">
      <c r="A4855" s="85"/>
      <c r="B4855" s="25" t="s">
        <v>13871</v>
      </c>
      <c r="C4855" s="25" t="s">
        <v>13872</v>
      </c>
      <c r="D4855" s="25" t="s">
        <v>7734</v>
      </c>
      <c r="E4855" s="26" t="b">
        <v>1</v>
      </c>
      <c r="F4855" s="27" t="str">
        <f>HYPERLINK("http://nsgreg.nga.mil/genc/view?v=119322&amp;gencs=T&amp;end_month=12&amp;end_day=31&amp;end_year=2014","Isles of Scilly")</f>
        <v>Isles of Scilly</v>
      </c>
      <c r="G4855" s="28" t="str">
        <f>HYPERLINK("http://api.nsgreg.nga.mil/geo-division/GENC/6/ed3/GB-IOS","as:GENC:6:ed3:GB-IOS")</f>
        <v>as:GENC:6:ed3:GB-IOS</v>
      </c>
    </row>
    <row r="4856" spans="1:7" x14ac:dyDescent="0.2">
      <c r="A4856" s="85"/>
      <c r="B4856" s="25" t="s">
        <v>11274</v>
      </c>
      <c r="C4856" s="25" t="s">
        <v>11275</v>
      </c>
      <c r="D4856" s="25" t="s">
        <v>11070</v>
      </c>
      <c r="E4856" s="26" t="b">
        <v>1</v>
      </c>
      <c r="F4856" s="27" t="str">
        <f>HYPERLINK("http://nsgreg.nga.mil/genc/view?v=119324&amp;gencs=T&amp;end_month=12&amp;end_day=31&amp;end_year=2014","Islington")</f>
        <v>Islington</v>
      </c>
      <c r="G4856" s="28" t="str">
        <f>HYPERLINK("http://api.nsgreg.nga.mil/geo-division/GENC/6/ed3/GB-ISL","as:GENC:6:ed3:GB-ISL")</f>
        <v>as:GENC:6:ed3:GB-ISL</v>
      </c>
    </row>
    <row r="4857" spans="1:7" x14ac:dyDescent="0.2">
      <c r="A4857" s="85"/>
      <c r="B4857" s="25" t="s">
        <v>11276</v>
      </c>
      <c r="C4857" s="25" t="s">
        <v>11277</v>
      </c>
      <c r="D4857" s="25" t="s">
        <v>11070</v>
      </c>
      <c r="E4857" s="26" t="b">
        <v>1</v>
      </c>
      <c r="F4857" s="27" t="str">
        <f>HYPERLINK("http://nsgreg.nga.mil/genc/view?v=119326&amp;gencs=T&amp;end_month=12&amp;end_day=31&amp;end_year=2014","Kensington and Chelsea")</f>
        <v>Kensington and Chelsea</v>
      </c>
      <c r="G4857" s="28" t="str">
        <f>HYPERLINK("http://api.nsgreg.nga.mil/geo-division/GENC/6/ed3/GB-KEC","as:GENC:6:ed3:GB-KEC")</f>
        <v>as:GENC:6:ed3:GB-KEC</v>
      </c>
    </row>
    <row r="4858" spans="1:7" x14ac:dyDescent="0.2">
      <c r="A4858" s="85"/>
      <c r="B4858" s="25" t="s">
        <v>11278</v>
      </c>
      <c r="C4858" s="25" t="s">
        <v>11279</v>
      </c>
      <c r="D4858" s="25" t="s">
        <v>1788</v>
      </c>
      <c r="E4858" s="26" t="b">
        <v>1</v>
      </c>
      <c r="F4858" s="27" t="str">
        <f>HYPERLINK("http://nsgreg.nga.mil/genc/view?v=211741&amp;end_month=12&amp;end_day=31&amp;end_year=2014","Kent")</f>
        <v>Kent</v>
      </c>
      <c r="G4858" s="28" t="str">
        <f>HYPERLINK("http://api.nsgreg.nga.mil/geo-division/GENC/6/ed3/GB-KEN","as:GENC:6:ed3:GB-KEN")</f>
        <v>as:GENC:6:ed3:GB-KEN</v>
      </c>
    </row>
    <row r="4859" spans="1:7" x14ac:dyDescent="0.2">
      <c r="A4859" s="85"/>
      <c r="B4859" s="25" t="s">
        <v>11280</v>
      </c>
      <c r="C4859" s="25" t="s">
        <v>13873</v>
      </c>
      <c r="D4859" s="25" t="s">
        <v>7734</v>
      </c>
      <c r="E4859" s="26" t="b">
        <v>1</v>
      </c>
      <c r="F4859" s="27" t="str">
        <f>HYPERLINK("http://nsgreg.nga.mil/genc/view?v=211742&amp;end_month=12&amp;end_day=31&amp;end_year=2014","Kingston upon Hull, City of")</f>
        <v>Kingston upon Hull, City of</v>
      </c>
      <c r="G4859" s="28" t="str">
        <f>HYPERLINK("http://api.nsgreg.nga.mil/geo-division/GENC/6/ed3/GB-KHL","as:GENC:6:ed3:GB-KHL")</f>
        <v>as:GENC:6:ed3:GB-KHL</v>
      </c>
    </row>
    <row r="4860" spans="1:7" x14ac:dyDescent="0.2">
      <c r="A4860" s="85"/>
      <c r="B4860" s="25" t="s">
        <v>11282</v>
      </c>
      <c r="C4860" s="25" t="s">
        <v>11283</v>
      </c>
      <c r="D4860" s="25" t="s">
        <v>11070</v>
      </c>
      <c r="E4860" s="26" t="b">
        <v>1</v>
      </c>
      <c r="F4860" s="27" t="str">
        <f>HYPERLINK("http://nsgreg.nga.mil/genc/view?v=119330&amp;gencs=T&amp;end_month=12&amp;end_day=31&amp;end_year=2014","Kingston upon Thames")</f>
        <v>Kingston upon Thames</v>
      </c>
      <c r="G4860" s="28" t="str">
        <f>HYPERLINK("http://api.nsgreg.nga.mil/geo-division/GENC/6/ed3/GB-KTT","as:GENC:6:ed3:GB-KTT")</f>
        <v>as:GENC:6:ed3:GB-KTT</v>
      </c>
    </row>
    <row r="4861" spans="1:7" x14ac:dyDescent="0.2">
      <c r="A4861" s="85"/>
      <c r="B4861" s="25" t="s">
        <v>11284</v>
      </c>
      <c r="C4861" s="25" t="s">
        <v>11285</v>
      </c>
      <c r="D4861" s="25" t="s">
        <v>11075</v>
      </c>
      <c r="E4861" s="26" t="b">
        <v>1</v>
      </c>
      <c r="F4861" s="27" t="str">
        <f>HYPERLINK("http://nsgreg.nga.mil/genc/view?v=119329&amp;gencs=T&amp;end_month=12&amp;end_day=31&amp;end_year=2014","Kirklees")</f>
        <v>Kirklees</v>
      </c>
      <c r="G4861" s="28" t="str">
        <f>HYPERLINK("http://api.nsgreg.nga.mil/geo-division/GENC/6/ed3/GB-KIR","as:GENC:6:ed3:GB-KIR")</f>
        <v>as:GENC:6:ed3:GB-KIR</v>
      </c>
    </row>
    <row r="4862" spans="1:7" x14ac:dyDescent="0.2">
      <c r="A4862" s="85"/>
      <c r="B4862" s="25" t="s">
        <v>11286</v>
      </c>
      <c r="C4862" s="25" t="s">
        <v>11287</v>
      </c>
      <c r="D4862" s="25" t="s">
        <v>11075</v>
      </c>
      <c r="E4862" s="26" t="b">
        <v>1</v>
      </c>
      <c r="F4862" s="27" t="str">
        <f>HYPERLINK("http://nsgreg.nga.mil/genc/view?v=119331&amp;gencs=T&amp;end_month=12&amp;end_day=31&amp;end_year=2014","Knowsley")</f>
        <v>Knowsley</v>
      </c>
      <c r="G4862" s="28" t="str">
        <f>HYPERLINK("http://api.nsgreg.nga.mil/geo-division/GENC/6/ed3/GB-KWL","as:GENC:6:ed3:GB-KWL")</f>
        <v>as:GENC:6:ed3:GB-KWL</v>
      </c>
    </row>
    <row r="4863" spans="1:7" x14ac:dyDescent="0.2">
      <c r="A4863" s="85"/>
      <c r="B4863" s="25" t="s">
        <v>11288</v>
      </c>
      <c r="C4863" s="25" t="s">
        <v>11289</v>
      </c>
      <c r="D4863" s="25" t="s">
        <v>11070</v>
      </c>
      <c r="E4863" s="26" t="b">
        <v>1</v>
      </c>
      <c r="F4863" s="27" t="str">
        <f>HYPERLINK("http://nsgreg.nga.mil/genc/view?v=119333&amp;gencs=T&amp;end_month=12&amp;end_day=31&amp;end_year=2014","Lambeth")</f>
        <v>Lambeth</v>
      </c>
      <c r="G4863" s="28" t="str">
        <f>HYPERLINK("http://api.nsgreg.nga.mil/geo-division/GENC/6/ed3/GB-LBH","as:GENC:6:ed3:GB-LBH")</f>
        <v>as:GENC:6:ed3:GB-LBH</v>
      </c>
    </row>
    <row r="4864" spans="1:7" x14ac:dyDescent="0.2">
      <c r="A4864" s="85"/>
      <c r="B4864" s="25" t="s">
        <v>11290</v>
      </c>
      <c r="C4864" s="25" t="s">
        <v>11291</v>
      </c>
      <c r="D4864" s="25" t="s">
        <v>1788</v>
      </c>
      <c r="E4864" s="26" t="b">
        <v>1</v>
      </c>
      <c r="F4864" s="27" t="str">
        <f>HYPERLINK("http://nsgreg.nga.mil/genc/view?v=211743&amp;end_month=12&amp;end_day=31&amp;end_year=2014","Lancashire")</f>
        <v>Lancashire</v>
      </c>
      <c r="G4864" s="28" t="str">
        <f>HYPERLINK("http://api.nsgreg.nga.mil/geo-division/GENC/6/ed3/GB-LAN","as:GENC:6:ed3:GB-LAN")</f>
        <v>as:GENC:6:ed3:GB-LAN</v>
      </c>
    </row>
    <row r="4865" spans="1:7" x14ac:dyDescent="0.2">
      <c r="A4865" s="85"/>
      <c r="B4865" s="25" t="s">
        <v>11292</v>
      </c>
      <c r="C4865" s="25" t="s">
        <v>11293</v>
      </c>
      <c r="D4865" s="25" t="s">
        <v>1790</v>
      </c>
      <c r="E4865" s="26" t="b">
        <v>1</v>
      </c>
      <c r="F4865" s="27" t="str">
        <f>HYPERLINK("http://nsgreg.nga.mil/genc/view?v=211748&amp;end_month=12&amp;end_day=31&amp;end_year=2014","Larne")</f>
        <v>Larne</v>
      </c>
      <c r="G4865" s="28" t="str">
        <f>HYPERLINK("http://api.nsgreg.nga.mil/geo-division/GENC/6/ed3/GB-LRN","as:GENC:6:ed3:GB-LRN")</f>
        <v>as:GENC:6:ed3:GB-LRN</v>
      </c>
    </row>
    <row r="4866" spans="1:7" x14ac:dyDescent="0.2">
      <c r="A4866" s="85"/>
      <c r="B4866" s="25" t="s">
        <v>11294</v>
      </c>
      <c r="C4866" s="25" t="s">
        <v>11295</v>
      </c>
      <c r="D4866" s="25" t="s">
        <v>11075</v>
      </c>
      <c r="E4866" s="26" t="b">
        <v>1</v>
      </c>
      <c r="F4866" s="27" t="str">
        <f>HYPERLINK("http://nsgreg.nga.mil/genc/view?v=119335&amp;gencs=T&amp;end_month=12&amp;end_day=31&amp;end_year=2014","Leeds")</f>
        <v>Leeds</v>
      </c>
      <c r="G4866" s="28" t="str">
        <f>HYPERLINK("http://api.nsgreg.nga.mil/geo-division/GENC/6/ed3/GB-LDS","as:GENC:6:ed3:GB-LDS")</f>
        <v>as:GENC:6:ed3:GB-LDS</v>
      </c>
    </row>
    <row r="4867" spans="1:7" x14ac:dyDescent="0.2">
      <c r="A4867" s="85"/>
      <c r="B4867" s="25" t="s">
        <v>11296</v>
      </c>
      <c r="C4867" s="25" t="s">
        <v>11297</v>
      </c>
      <c r="D4867" s="25" t="s">
        <v>7734</v>
      </c>
      <c r="E4867" s="26" t="b">
        <v>1</v>
      </c>
      <c r="F4867" s="27" t="str">
        <f>HYPERLINK("http://nsgreg.nga.mil/genc/view?v=211744&amp;end_month=12&amp;end_day=31&amp;end_year=2014","Leicester")</f>
        <v>Leicester</v>
      </c>
      <c r="G4867" s="28" t="str">
        <f>HYPERLINK("http://api.nsgreg.nga.mil/geo-division/GENC/6/ed3/GB-LCE","as:GENC:6:ed3:GB-LCE")</f>
        <v>as:GENC:6:ed3:GB-LCE</v>
      </c>
    </row>
    <row r="4868" spans="1:7" x14ac:dyDescent="0.2">
      <c r="A4868" s="85"/>
      <c r="B4868" s="25" t="s">
        <v>11298</v>
      </c>
      <c r="C4868" s="25" t="s">
        <v>11299</v>
      </c>
      <c r="D4868" s="25" t="s">
        <v>1788</v>
      </c>
      <c r="E4868" s="26" t="b">
        <v>1</v>
      </c>
      <c r="F4868" s="27" t="str">
        <f>HYPERLINK("http://nsgreg.nga.mil/genc/view?v=211745&amp;end_month=12&amp;end_day=31&amp;end_year=2014","Leicestershire")</f>
        <v>Leicestershire</v>
      </c>
      <c r="G4868" s="28" t="str">
        <f>HYPERLINK("http://api.nsgreg.nga.mil/geo-division/GENC/6/ed3/GB-LEC","as:GENC:6:ed3:GB-LEC")</f>
        <v>as:GENC:6:ed3:GB-LEC</v>
      </c>
    </row>
    <row r="4869" spans="1:7" x14ac:dyDescent="0.2">
      <c r="A4869" s="85"/>
      <c r="B4869" s="25" t="s">
        <v>11300</v>
      </c>
      <c r="C4869" s="25" t="s">
        <v>11301</v>
      </c>
      <c r="D4869" s="25" t="s">
        <v>11070</v>
      </c>
      <c r="E4869" s="26" t="b">
        <v>1</v>
      </c>
      <c r="F4869" s="27" t="str">
        <f>HYPERLINK("http://nsgreg.nga.mil/genc/view?v=119337&amp;gencs=T&amp;end_month=12&amp;end_day=31&amp;end_year=2014","Lewisham")</f>
        <v>Lewisham</v>
      </c>
      <c r="G4869" s="28" t="str">
        <f>HYPERLINK("http://api.nsgreg.nga.mil/geo-division/GENC/6/ed3/GB-LEW","as:GENC:6:ed3:GB-LEW")</f>
        <v>as:GENC:6:ed3:GB-LEW</v>
      </c>
    </row>
    <row r="4870" spans="1:7" x14ac:dyDescent="0.2">
      <c r="A4870" s="85"/>
      <c r="B4870" s="25" t="s">
        <v>11302</v>
      </c>
      <c r="C4870" s="25" t="s">
        <v>11303</v>
      </c>
      <c r="D4870" s="25" t="s">
        <v>1790</v>
      </c>
      <c r="E4870" s="26" t="b">
        <v>1</v>
      </c>
      <c r="F4870" s="27" t="str">
        <f>HYPERLINK("http://nsgreg.nga.mil/genc/view?v=211747&amp;end_month=12&amp;end_day=31&amp;end_year=2014","Limavady")</f>
        <v>Limavady</v>
      </c>
      <c r="G4870" s="28" t="str">
        <f>HYPERLINK("http://api.nsgreg.nga.mil/geo-division/GENC/6/ed3/GB-LMV","as:GENC:6:ed3:GB-LMV")</f>
        <v>as:GENC:6:ed3:GB-LMV</v>
      </c>
    </row>
    <row r="4871" spans="1:7" x14ac:dyDescent="0.2">
      <c r="A4871" s="85"/>
      <c r="B4871" s="25" t="s">
        <v>11304</v>
      </c>
      <c r="C4871" s="25" t="s">
        <v>11305</v>
      </c>
      <c r="D4871" s="25" t="s">
        <v>1788</v>
      </c>
      <c r="E4871" s="26" t="b">
        <v>1</v>
      </c>
      <c r="F4871" s="27" t="str">
        <f>HYPERLINK("http://nsgreg.nga.mil/genc/view?v=211746&amp;end_month=12&amp;end_day=31&amp;end_year=2014","Lincolnshire")</f>
        <v>Lincolnshire</v>
      </c>
      <c r="G4871" s="28" t="str">
        <f>HYPERLINK("http://api.nsgreg.nga.mil/geo-division/GENC/6/ed3/GB-LIN","as:GENC:6:ed3:GB-LIN")</f>
        <v>as:GENC:6:ed3:GB-LIN</v>
      </c>
    </row>
    <row r="4872" spans="1:7" x14ac:dyDescent="0.2">
      <c r="A4872" s="85"/>
      <c r="B4872" s="25" t="s">
        <v>11306</v>
      </c>
      <c r="C4872" s="25" t="s">
        <v>11307</v>
      </c>
      <c r="D4872" s="25" t="s">
        <v>1790</v>
      </c>
      <c r="E4872" s="26" t="b">
        <v>1</v>
      </c>
      <c r="F4872" s="27" t="str">
        <f>HYPERLINK("http://nsgreg.nga.mil/genc/view?v=211749&amp;end_month=12&amp;end_day=31&amp;end_year=2014","Lisburn")</f>
        <v>Lisburn</v>
      </c>
      <c r="G4872" s="28" t="str">
        <f>HYPERLINK("http://api.nsgreg.nga.mil/geo-division/GENC/6/ed3/GB-LSB","as:GENC:6:ed3:GB-LSB")</f>
        <v>as:GENC:6:ed3:GB-LSB</v>
      </c>
    </row>
    <row r="4873" spans="1:7" x14ac:dyDescent="0.2">
      <c r="A4873" s="85"/>
      <c r="B4873" s="25" t="s">
        <v>11308</v>
      </c>
      <c r="C4873" s="25" t="s">
        <v>11309</v>
      </c>
      <c r="D4873" s="25" t="s">
        <v>11075</v>
      </c>
      <c r="E4873" s="26" t="b">
        <v>1</v>
      </c>
      <c r="F4873" s="27" t="str">
        <f>HYPERLINK("http://nsgreg.nga.mil/genc/view?v=119339&amp;gencs=T&amp;end_month=12&amp;end_day=31&amp;end_year=2014","Liverpool")</f>
        <v>Liverpool</v>
      </c>
      <c r="G4873" s="28" t="str">
        <f>HYPERLINK("http://api.nsgreg.nga.mil/geo-division/GENC/6/ed3/GB-LIV","as:GENC:6:ed3:GB-LIV")</f>
        <v>as:GENC:6:ed3:GB-LIV</v>
      </c>
    </row>
    <row r="4874" spans="1:7" x14ac:dyDescent="0.2">
      <c r="A4874" s="85"/>
      <c r="B4874" s="25" t="s">
        <v>11310</v>
      </c>
      <c r="C4874" s="25" t="s">
        <v>11311</v>
      </c>
      <c r="D4874" s="25" t="s">
        <v>11312</v>
      </c>
      <c r="E4874" s="26" t="b">
        <v>1</v>
      </c>
      <c r="F4874" s="27" t="str">
        <f>HYPERLINK("http://nsgreg.nga.mil/genc/view?v=119341&amp;gencs=T&amp;end_month=12&amp;end_day=31&amp;end_year=2014","London, City of")</f>
        <v>London, City of</v>
      </c>
      <c r="G4874" s="28" t="str">
        <f>HYPERLINK("http://api.nsgreg.nga.mil/geo-division/GENC/6/ed3/GB-LND","as:GENC:6:ed3:GB-LND")</f>
        <v>as:GENC:6:ed3:GB-LND</v>
      </c>
    </row>
    <row r="4875" spans="1:7" x14ac:dyDescent="0.2">
      <c r="A4875" s="85"/>
      <c r="B4875" s="25" t="s">
        <v>11313</v>
      </c>
      <c r="C4875" s="25" t="s">
        <v>11314</v>
      </c>
      <c r="D4875" s="25" t="s">
        <v>7734</v>
      </c>
      <c r="E4875" s="26" t="b">
        <v>1</v>
      </c>
      <c r="F4875" s="27" t="str">
        <f>HYPERLINK("http://nsgreg.nga.mil/genc/view?v=211750&amp;end_month=12&amp;end_day=31&amp;end_year=2014","Luton")</f>
        <v>Luton</v>
      </c>
      <c r="G4875" s="28" t="str">
        <f>HYPERLINK("http://api.nsgreg.nga.mil/geo-division/GENC/6/ed3/GB-LUT","as:GENC:6:ed3:GB-LUT")</f>
        <v>as:GENC:6:ed3:GB-LUT</v>
      </c>
    </row>
    <row r="4876" spans="1:7" x14ac:dyDescent="0.2">
      <c r="A4876" s="85"/>
      <c r="B4876" s="25" t="s">
        <v>11315</v>
      </c>
      <c r="C4876" s="25" t="s">
        <v>11316</v>
      </c>
      <c r="D4876" s="25" t="s">
        <v>1790</v>
      </c>
      <c r="E4876" s="26" t="b">
        <v>1</v>
      </c>
      <c r="F4876" s="27" t="str">
        <f>HYPERLINK("http://nsgreg.nga.mil/genc/view?v=211753&amp;end_month=12&amp;end_day=31&amp;end_year=2014","Magherafelt")</f>
        <v>Magherafelt</v>
      </c>
      <c r="G4876" s="28" t="str">
        <f>HYPERLINK("http://api.nsgreg.nga.mil/geo-division/GENC/6/ed3/GB-MFT","as:GENC:6:ed3:GB-MFT")</f>
        <v>as:GENC:6:ed3:GB-MFT</v>
      </c>
    </row>
    <row r="4877" spans="1:7" x14ac:dyDescent="0.2">
      <c r="A4877" s="85"/>
      <c r="B4877" s="25" t="s">
        <v>11317</v>
      </c>
      <c r="C4877" s="25" t="s">
        <v>5720</v>
      </c>
      <c r="D4877" s="25" t="s">
        <v>11075</v>
      </c>
      <c r="E4877" s="26" t="b">
        <v>1</v>
      </c>
      <c r="F4877" s="27" t="str">
        <f>HYPERLINK("http://nsgreg.nga.mil/genc/view?v=119345&amp;gencs=T&amp;end_month=12&amp;end_day=31&amp;end_year=2014","Manchester")</f>
        <v>Manchester</v>
      </c>
      <c r="G4877" s="28" t="str">
        <f>HYPERLINK("http://api.nsgreg.nga.mil/geo-division/GENC/6/ed3/GB-MAN","as:GENC:6:ed3:GB-MAN")</f>
        <v>as:GENC:6:ed3:GB-MAN</v>
      </c>
    </row>
    <row r="4878" spans="1:7" x14ac:dyDescent="0.2">
      <c r="A4878" s="85"/>
      <c r="B4878" s="25" t="s">
        <v>11318</v>
      </c>
      <c r="C4878" s="25" t="s">
        <v>11319</v>
      </c>
      <c r="D4878" s="25" t="s">
        <v>7734</v>
      </c>
      <c r="E4878" s="26" t="b">
        <v>1</v>
      </c>
      <c r="F4878" s="27" t="str">
        <f>HYPERLINK("http://nsgreg.nga.mil/genc/view?v=211752&amp;end_month=12&amp;end_day=31&amp;end_year=2014","Medway")</f>
        <v>Medway</v>
      </c>
      <c r="G4878" s="28" t="str">
        <f>HYPERLINK("http://api.nsgreg.nga.mil/geo-division/GENC/6/ed3/GB-MDW","as:GENC:6:ed3:GB-MDW")</f>
        <v>as:GENC:6:ed3:GB-MDW</v>
      </c>
    </row>
    <row r="4879" spans="1:7" x14ac:dyDescent="0.2">
      <c r="A4879" s="85"/>
      <c r="B4879" s="25" t="s">
        <v>11320</v>
      </c>
      <c r="C4879" s="25" t="s">
        <v>11322</v>
      </c>
      <c r="D4879" s="25" t="s">
        <v>7734</v>
      </c>
      <c r="E4879" s="26" t="b">
        <v>1</v>
      </c>
      <c r="F4879" s="27" t="str">
        <f>HYPERLINK("http://nsgreg.nga.mil/genc/view?v=211756&amp;end_month=12&amp;end_day=31&amp;end_year=2014","Merthyr Tydfil")</f>
        <v>Merthyr Tydfil</v>
      </c>
      <c r="G4879" s="28" t="str">
        <f>HYPERLINK("http://api.nsgreg.nga.mil/geo-division/GENC/6/ed3/GB-MTY","as:GENC:6:ed3:GB-MTY")</f>
        <v>as:GENC:6:ed3:GB-MTY</v>
      </c>
    </row>
    <row r="4880" spans="1:7" x14ac:dyDescent="0.2">
      <c r="A4880" s="85"/>
      <c r="B4880" s="25" t="s">
        <v>11323</v>
      </c>
      <c r="C4880" s="25" t="s">
        <v>11324</v>
      </c>
      <c r="D4880" s="25" t="s">
        <v>11070</v>
      </c>
      <c r="E4880" s="26" t="b">
        <v>1</v>
      </c>
      <c r="F4880" s="27" t="str">
        <f>HYPERLINK("http://nsgreg.nga.mil/genc/view?v=119352&amp;gencs=T&amp;end_month=12&amp;end_day=31&amp;end_year=2014","Merton")</f>
        <v>Merton</v>
      </c>
      <c r="G4880" s="28" t="str">
        <f>HYPERLINK("http://api.nsgreg.nga.mil/geo-division/GENC/6/ed3/GB-MRT","as:GENC:6:ed3:GB-MRT")</f>
        <v>as:GENC:6:ed3:GB-MRT</v>
      </c>
    </row>
    <row r="4881" spans="1:7" x14ac:dyDescent="0.2">
      <c r="A4881" s="85"/>
      <c r="B4881" s="25" t="s">
        <v>11325</v>
      </c>
      <c r="C4881" s="25" t="s">
        <v>11326</v>
      </c>
      <c r="D4881" s="25" t="s">
        <v>7734</v>
      </c>
      <c r="E4881" s="26" t="b">
        <v>1</v>
      </c>
      <c r="F4881" s="27" t="str">
        <f>HYPERLINK("http://nsgreg.nga.mil/genc/view?v=211751&amp;end_month=12&amp;end_day=31&amp;end_year=2014","Middlesbrough")</f>
        <v>Middlesbrough</v>
      </c>
      <c r="G4881" s="28" t="str">
        <f>HYPERLINK("http://api.nsgreg.nga.mil/geo-division/GENC/6/ed3/GB-MDB","as:GENC:6:ed3:GB-MDB")</f>
        <v>as:GENC:6:ed3:GB-MDB</v>
      </c>
    </row>
    <row r="4882" spans="1:7" x14ac:dyDescent="0.2">
      <c r="A4882" s="85"/>
      <c r="B4882" s="25" t="s">
        <v>11327</v>
      </c>
      <c r="C4882" s="25" t="s">
        <v>11328</v>
      </c>
      <c r="D4882" s="25" t="s">
        <v>11046</v>
      </c>
      <c r="E4882" s="26" t="b">
        <v>1</v>
      </c>
      <c r="F4882" s="27" t="str">
        <f>HYPERLINK("http://nsgreg.nga.mil/genc/view?v=119350&amp;gencs=T&amp;end_month=12&amp;end_day=31&amp;end_year=2014","Midlothian")</f>
        <v>Midlothian</v>
      </c>
      <c r="G4882" s="28" t="str">
        <f>HYPERLINK("http://api.nsgreg.nga.mil/geo-division/GENC/6/ed3/GB-MLN","as:GENC:6:ed3:GB-MLN")</f>
        <v>as:GENC:6:ed3:GB-MLN</v>
      </c>
    </row>
    <row r="4883" spans="1:7" x14ac:dyDescent="0.2">
      <c r="A4883" s="85"/>
      <c r="B4883" s="25" t="s">
        <v>11329</v>
      </c>
      <c r="C4883" s="25" t="s">
        <v>11330</v>
      </c>
      <c r="D4883" s="25" t="s">
        <v>7734</v>
      </c>
      <c r="E4883" s="26" t="b">
        <v>1</v>
      </c>
      <c r="F4883" s="27" t="str">
        <f>HYPERLINK("http://nsgreg.nga.mil/genc/view?v=211754&amp;end_month=12&amp;end_day=31&amp;end_year=2014","Milton Keynes")</f>
        <v>Milton Keynes</v>
      </c>
      <c r="G4883" s="28" t="str">
        <f>HYPERLINK("http://api.nsgreg.nga.mil/geo-division/GENC/6/ed3/GB-MIK","as:GENC:6:ed3:GB-MIK")</f>
        <v>as:GENC:6:ed3:GB-MIK</v>
      </c>
    </row>
    <row r="4884" spans="1:7" x14ac:dyDescent="0.2">
      <c r="A4884" s="85"/>
      <c r="B4884" s="25" t="s">
        <v>11331</v>
      </c>
      <c r="C4884" s="25" t="s">
        <v>11332</v>
      </c>
      <c r="D4884" s="25" t="s">
        <v>7734</v>
      </c>
      <c r="E4884" s="26" t="b">
        <v>1</v>
      </c>
      <c r="F4884" s="27" t="str">
        <f>HYPERLINK("http://nsgreg.nga.mil/genc/view?v=211755&amp;end_month=12&amp;end_day=31&amp;end_year=2014","Monmouthshire")</f>
        <v>Monmouthshire</v>
      </c>
      <c r="G4884" s="28" t="str">
        <f>HYPERLINK("http://api.nsgreg.nga.mil/geo-division/GENC/6/ed3/GB-MON","as:GENC:6:ed3:GB-MON")</f>
        <v>as:GENC:6:ed3:GB-MON</v>
      </c>
    </row>
    <row r="4885" spans="1:7" x14ac:dyDescent="0.2">
      <c r="A4885" s="85"/>
      <c r="B4885" s="25" t="s">
        <v>11333</v>
      </c>
      <c r="C4885" s="25" t="s">
        <v>11334</v>
      </c>
      <c r="D4885" s="25" t="s">
        <v>11046</v>
      </c>
      <c r="E4885" s="26" t="b">
        <v>1</v>
      </c>
      <c r="F4885" s="27" t="str">
        <f>HYPERLINK("http://nsgreg.nga.mil/genc/view?v=119353&amp;gencs=T&amp;end_month=12&amp;end_day=31&amp;end_year=2014","Moray")</f>
        <v>Moray</v>
      </c>
      <c r="G4885" s="28" t="str">
        <f>HYPERLINK("http://api.nsgreg.nga.mil/geo-division/GENC/6/ed3/GB-MRY","as:GENC:6:ed3:GB-MRY")</f>
        <v>as:GENC:6:ed3:GB-MRY</v>
      </c>
    </row>
    <row r="4886" spans="1:7" x14ac:dyDescent="0.2">
      <c r="A4886" s="85"/>
      <c r="B4886" s="25" t="s">
        <v>11335</v>
      </c>
      <c r="C4886" s="25" t="s">
        <v>11336</v>
      </c>
      <c r="D4886" s="25" t="s">
        <v>1790</v>
      </c>
      <c r="E4886" s="26" t="b">
        <v>1</v>
      </c>
      <c r="F4886" s="27" t="str">
        <f>HYPERLINK("http://nsgreg.nga.mil/genc/view?v=211757&amp;end_month=12&amp;end_day=31&amp;end_year=2014","Moyle")</f>
        <v>Moyle</v>
      </c>
      <c r="G4886" s="28" t="str">
        <f>HYPERLINK("http://api.nsgreg.nga.mil/geo-division/GENC/6/ed3/GB-MYL","as:GENC:6:ed3:GB-MYL")</f>
        <v>as:GENC:6:ed3:GB-MYL</v>
      </c>
    </row>
    <row r="4887" spans="1:7" x14ac:dyDescent="0.2">
      <c r="A4887" s="85"/>
      <c r="B4887" s="25" t="s">
        <v>11135</v>
      </c>
      <c r="C4887" s="25" t="s">
        <v>11337</v>
      </c>
      <c r="D4887" s="25" t="s">
        <v>7734</v>
      </c>
      <c r="E4887" s="26" t="b">
        <v>1</v>
      </c>
      <c r="F4887" s="27" t="str">
        <f>HYPERLINK("http://nsgreg.nga.mil/genc/view?v=211767&amp;end_month=12&amp;end_day=31&amp;end_year=2014","Neath Port Talbot")</f>
        <v>Neath Port Talbot</v>
      </c>
      <c r="G4887" s="28" t="str">
        <f>HYPERLINK("http://api.nsgreg.nga.mil/geo-division/GENC/6/ed3/GB-NTL","as:GENC:6:ed3:GB-NTL")</f>
        <v>as:GENC:6:ed3:GB-NTL</v>
      </c>
    </row>
    <row r="4888" spans="1:7" x14ac:dyDescent="0.2">
      <c r="A4888" s="85"/>
      <c r="B4888" s="25" t="s">
        <v>11338</v>
      </c>
      <c r="C4888" s="25" t="s">
        <v>11339</v>
      </c>
      <c r="D4888" s="25" t="s">
        <v>11075</v>
      </c>
      <c r="E4888" s="26" t="b">
        <v>1</v>
      </c>
      <c r="F4888" s="27" t="str">
        <f>HYPERLINK("http://nsgreg.nga.mil/genc/view?v=119360&amp;gencs=T&amp;end_month=12&amp;end_day=31&amp;end_year=2014","Newcastle upon Tyne")</f>
        <v>Newcastle upon Tyne</v>
      </c>
      <c r="G4888" s="28" t="str">
        <f>HYPERLINK("http://api.nsgreg.nga.mil/geo-division/GENC/6/ed3/GB-NET","as:GENC:6:ed3:GB-NET")</f>
        <v>as:GENC:6:ed3:GB-NET</v>
      </c>
    </row>
    <row r="4889" spans="1:7" x14ac:dyDescent="0.2">
      <c r="A4889" s="85"/>
      <c r="B4889" s="25" t="s">
        <v>11340</v>
      </c>
      <c r="C4889" s="25" t="s">
        <v>11341</v>
      </c>
      <c r="D4889" s="25" t="s">
        <v>11070</v>
      </c>
      <c r="E4889" s="26" t="b">
        <v>1</v>
      </c>
      <c r="F4889" s="27" t="str">
        <f>HYPERLINK("http://nsgreg.nga.mil/genc/view?v=119372&amp;gencs=T&amp;end_month=12&amp;end_day=31&amp;end_year=2014","Newham")</f>
        <v>Newham</v>
      </c>
      <c r="G4889" s="28" t="str">
        <f>HYPERLINK("http://api.nsgreg.nga.mil/geo-division/GENC/6/ed3/GB-NWM","as:GENC:6:ed3:GB-NWM")</f>
        <v>as:GENC:6:ed3:GB-NWM</v>
      </c>
    </row>
    <row r="4890" spans="1:7" x14ac:dyDescent="0.2">
      <c r="A4890" s="85"/>
      <c r="B4890" s="25" t="s">
        <v>11133</v>
      </c>
      <c r="C4890" s="25" t="s">
        <v>11342</v>
      </c>
      <c r="D4890" s="25" t="s">
        <v>7734</v>
      </c>
      <c r="E4890" s="26" t="b">
        <v>1</v>
      </c>
      <c r="F4890" s="27" t="str">
        <f>HYPERLINK("http://nsgreg.nga.mil/genc/view?v=211769&amp;end_month=12&amp;end_day=31&amp;end_year=2014","Newport")</f>
        <v>Newport</v>
      </c>
      <c r="G4890" s="28" t="str">
        <f>HYPERLINK("http://api.nsgreg.nga.mil/geo-division/GENC/6/ed3/GB-NWP","as:GENC:6:ed3:GB-NWP")</f>
        <v>as:GENC:6:ed3:GB-NWP</v>
      </c>
    </row>
    <row r="4891" spans="1:7" x14ac:dyDescent="0.2">
      <c r="A4891" s="85"/>
      <c r="B4891" s="25" t="s">
        <v>11343</v>
      </c>
      <c r="C4891" s="25" t="s">
        <v>11344</v>
      </c>
      <c r="D4891" s="25" t="s">
        <v>1790</v>
      </c>
      <c r="E4891" s="26" t="b">
        <v>1</v>
      </c>
      <c r="F4891" s="27" t="str">
        <f>HYPERLINK("http://nsgreg.nga.mil/genc/view?v=211771&amp;end_month=12&amp;end_day=31&amp;end_year=2014","Newry and Mourne")</f>
        <v>Newry and Mourne</v>
      </c>
      <c r="G4891" s="28" t="str">
        <f>HYPERLINK("http://api.nsgreg.nga.mil/geo-division/GENC/6/ed3/GB-NYM","as:GENC:6:ed3:GB-NYM")</f>
        <v>as:GENC:6:ed3:GB-NYM</v>
      </c>
    </row>
    <row r="4892" spans="1:7" x14ac:dyDescent="0.2">
      <c r="A4892" s="85"/>
      <c r="B4892" s="25" t="s">
        <v>11345</v>
      </c>
      <c r="C4892" s="25" t="s">
        <v>11346</v>
      </c>
      <c r="D4892" s="25" t="s">
        <v>1790</v>
      </c>
      <c r="E4892" s="26" t="b">
        <v>1</v>
      </c>
      <c r="F4892" s="27" t="str">
        <f>HYPERLINK("http://nsgreg.nga.mil/genc/view?v=211765&amp;end_month=12&amp;end_day=31&amp;end_year=2014","Newtownabbey")</f>
        <v>Newtownabbey</v>
      </c>
      <c r="G4892" s="28" t="str">
        <f>HYPERLINK("http://api.nsgreg.nga.mil/geo-division/GENC/6/ed3/GB-NTA","as:GENC:6:ed3:GB-NTA")</f>
        <v>as:GENC:6:ed3:GB-NTA</v>
      </c>
    </row>
    <row r="4893" spans="1:7" x14ac:dyDescent="0.2">
      <c r="A4893" s="85"/>
      <c r="B4893" s="25" t="s">
        <v>11347</v>
      </c>
      <c r="C4893" s="25" t="s">
        <v>11348</v>
      </c>
      <c r="D4893" s="25" t="s">
        <v>1788</v>
      </c>
      <c r="E4893" s="26" t="b">
        <v>1</v>
      </c>
      <c r="F4893" s="27" t="str">
        <f>HYPERLINK("http://nsgreg.nga.mil/genc/view?v=211761&amp;end_month=12&amp;end_day=31&amp;end_year=2014","Norfolk")</f>
        <v>Norfolk</v>
      </c>
      <c r="G4893" s="28" t="str">
        <f>HYPERLINK("http://api.nsgreg.nga.mil/geo-division/GENC/6/ed3/GB-NFK","as:GENC:6:ed3:GB-NFK")</f>
        <v>as:GENC:6:ed3:GB-NFK</v>
      </c>
    </row>
    <row r="4894" spans="1:7" x14ac:dyDescent="0.2">
      <c r="A4894" s="85"/>
      <c r="B4894" s="25" t="s">
        <v>11365</v>
      </c>
      <c r="C4894" s="25" t="s">
        <v>11366</v>
      </c>
      <c r="D4894" s="25" t="s">
        <v>1788</v>
      </c>
      <c r="E4894" s="26" t="b">
        <v>1</v>
      </c>
      <c r="F4894" s="27" t="str">
        <f>HYPERLINK("http://nsgreg.nga.mil/genc/view?v=211766&amp;end_month=12&amp;end_day=31&amp;end_year=2014","Northamptonshire")</f>
        <v>Northamptonshire</v>
      </c>
      <c r="G4894" s="28" t="str">
        <f>HYPERLINK("http://api.nsgreg.nga.mil/geo-division/GENC/6/ed3/GB-NTH","as:GENC:6:ed3:GB-NTH")</f>
        <v>as:GENC:6:ed3:GB-NTH</v>
      </c>
    </row>
    <row r="4895" spans="1:7" x14ac:dyDescent="0.2">
      <c r="A4895" s="85"/>
      <c r="B4895" s="25" t="s">
        <v>11349</v>
      </c>
      <c r="C4895" s="25" t="s">
        <v>11350</v>
      </c>
      <c r="D4895" s="25" t="s">
        <v>11046</v>
      </c>
      <c r="E4895" s="26" t="b">
        <v>1</v>
      </c>
      <c r="F4895" s="27" t="str">
        <f>HYPERLINK("http://nsgreg.nga.mil/genc/view?v=119356&amp;gencs=T&amp;end_month=12&amp;end_day=31&amp;end_year=2014","North Ayrshire")</f>
        <v>North Ayrshire</v>
      </c>
      <c r="G4895" s="28" t="str">
        <f>HYPERLINK("http://api.nsgreg.nga.mil/geo-division/GENC/6/ed3/GB-NAY","as:GENC:6:ed3:GB-NAY")</f>
        <v>as:GENC:6:ed3:GB-NAY</v>
      </c>
    </row>
    <row r="4896" spans="1:7" x14ac:dyDescent="0.2">
      <c r="A4896" s="85"/>
      <c r="B4896" s="25" t="s">
        <v>11351</v>
      </c>
      <c r="C4896" s="25" t="s">
        <v>11352</v>
      </c>
      <c r="D4896" s="25" t="s">
        <v>1790</v>
      </c>
      <c r="E4896" s="26" t="b">
        <v>1</v>
      </c>
      <c r="F4896" s="27" t="str">
        <f>HYPERLINK("http://nsgreg.nga.mil/genc/view?v=211759&amp;end_month=12&amp;end_day=31&amp;end_year=2014","North Down")</f>
        <v>North Down</v>
      </c>
      <c r="G4896" s="28" t="str">
        <f>HYPERLINK("http://api.nsgreg.nga.mil/geo-division/GENC/6/ed3/GB-NDN","as:GENC:6:ed3:GB-NDN")</f>
        <v>as:GENC:6:ed3:GB-NDN</v>
      </c>
    </row>
    <row r="4897" spans="1:7" x14ac:dyDescent="0.2">
      <c r="A4897" s="85"/>
      <c r="B4897" s="25" t="s">
        <v>11353</v>
      </c>
      <c r="C4897" s="25" t="s">
        <v>11354</v>
      </c>
      <c r="D4897" s="25" t="s">
        <v>7734</v>
      </c>
      <c r="E4897" s="26" t="b">
        <v>1</v>
      </c>
      <c r="F4897" s="27" t="str">
        <f>HYPERLINK("http://nsgreg.nga.mil/genc/view?v=211760&amp;end_month=12&amp;end_day=31&amp;end_year=2014","North East Lincolnshire")</f>
        <v>North East Lincolnshire</v>
      </c>
      <c r="G4897" s="28" t="str">
        <f>HYPERLINK("http://api.nsgreg.nga.mil/geo-division/GENC/6/ed3/GB-NEL","as:GENC:6:ed3:GB-NEL")</f>
        <v>as:GENC:6:ed3:GB-NEL</v>
      </c>
    </row>
    <row r="4898" spans="1:7" x14ac:dyDescent="0.2">
      <c r="A4898" s="85"/>
      <c r="B4898" s="25" t="s">
        <v>11367</v>
      </c>
      <c r="C4898" s="25" t="s">
        <v>11368</v>
      </c>
      <c r="D4898" s="37" t="s">
        <v>1719</v>
      </c>
      <c r="E4898" s="38" t="b">
        <v>0</v>
      </c>
      <c r="F4898" s="27" t="str">
        <f>HYPERLINK("http://nsgreg.nga.mil/genc/view?v=119363&amp;gencs=T&amp;end_month=12&amp;end_day=31&amp;end_year=2014","Northern Ireland")</f>
        <v>Northern Ireland</v>
      </c>
      <c r="G4898" s="28" t="str">
        <f>HYPERLINK("http://api.nsgreg.nga.mil/geo-division/GENC/6/ed3/GB-NIR","as:GENC:6:ed3:GB-NIR")</f>
        <v>as:GENC:6:ed3:GB-NIR</v>
      </c>
    </row>
    <row r="4899" spans="1:7" x14ac:dyDescent="0.2">
      <c r="A4899" s="85"/>
      <c r="B4899" s="25" t="s">
        <v>11355</v>
      </c>
      <c r="C4899" s="25" t="s">
        <v>11356</v>
      </c>
      <c r="D4899" s="25" t="s">
        <v>11046</v>
      </c>
      <c r="E4899" s="26" t="b">
        <v>1</v>
      </c>
      <c r="F4899" s="27" t="str">
        <f>HYPERLINK("http://nsgreg.nga.mil/genc/view?v=119364&amp;gencs=T&amp;end_month=12&amp;end_day=31&amp;end_year=2014","North Lanarkshire")</f>
        <v>North Lanarkshire</v>
      </c>
      <c r="G4899" s="28" t="str">
        <f>HYPERLINK("http://api.nsgreg.nga.mil/geo-division/GENC/6/ed3/GB-NLK","as:GENC:6:ed3:GB-NLK")</f>
        <v>as:GENC:6:ed3:GB-NLK</v>
      </c>
    </row>
    <row r="4900" spans="1:7" x14ac:dyDescent="0.2">
      <c r="A4900" s="85"/>
      <c r="B4900" s="25" t="s">
        <v>11357</v>
      </c>
      <c r="C4900" s="25" t="s">
        <v>11358</v>
      </c>
      <c r="D4900" s="25" t="s">
        <v>7734</v>
      </c>
      <c r="E4900" s="26" t="b">
        <v>1</v>
      </c>
      <c r="F4900" s="27" t="str">
        <f>HYPERLINK("http://nsgreg.nga.mil/genc/view?v=211763&amp;end_month=12&amp;end_day=31&amp;end_year=2014","North Lincolnshire")</f>
        <v>North Lincolnshire</v>
      </c>
      <c r="G4900" s="28" t="str">
        <f>HYPERLINK("http://api.nsgreg.nga.mil/geo-division/GENC/6/ed3/GB-NLN","as:GENC:6:ed3:GB-NLN")</f>
        <v>as:GENC:6:ed3:GB-NLN</v>
      </c>
    </row>
    <row r="4901" spans="1:7" x14ac:dyDescent="0.2">
      <c r="A4901" s="85"/>
      <c r="B4901" s="25" t="s">
        <v>11359</v>
      </c>
      <c r="C4901" s="25" t="s">
        <v>11360</v>
      </c>
      <c r="D4901" s="25" t="s">
        <v>7734</v>
      </c>
      <c r="E4901" s="26" t="b">
        <v>1</v>
      </c>
      <c r="F4901" s="27" t="str">
        <f>HYPERLINK("http://nsgreg.nga.mil/genc/view?v=211764&amp;end_month=12&amp;end_day=31&amp;end_year=2014","North Somerset")</f>
        <v>North Somerset</v>
      </c>
      <c r="G4901" s="28" t="str">
        <f>HYPERLINK("http://api.nsgreg.nga.mil/geo-division/GENC/6/ed3/GB-NSM","as:GENC:6:ed3:GB-NSM")</f>
        <v>as:GENC:6:ed3:GB-NSM</v>
      </c>
    </row>
    <row r="4902" spans="1:7" x14ac:dyDescent="0.2">
      <c r="A4902" s="85"/>
      <c r="B4902" s="25" t="s">
        <v>11361</v>
      </c>
      <c r="C4902" s="25" t="s">
        <v>11362</v>
      </c>
      <c r="D4902" s="25" t="s">
        <v>11075</v>
      </c>
      <c r="E4902" s="26" t="b">
        <v>1</v>
      </c>
      <c r="F4902" s="27" t="str">
        <f>HYPERLINK("http://nsgreg.nga.mil/genc/view?v=119371&amp;gencs=T&amp;end_month=12&amp;end_day=31&amp;end_year=2014","North Tyneside")</f>
        <v>North Tyneside</v>
      </c>
      <c r="G4902" s="28" t="str">
        <f>HYPERLINK("http://api.nsgreg.nga.mil/geo-division/GENC/6/ed3/GB-NTY","as:GENC:6:ed3:GB-NTY")</f>
        <v>as:GENC:6:ed3:GB-NTY</v>
      </c>
    </row>
    <row r="4903" spans="1:7" x14ac:dyDescent="0.2">
      <c r="A4903" s="85"/>
      <c r="B4903" s="25" t="s">
        <v>11369</v>
      </c>
      <c r="C4903" s="25" t="s">
        <v>11370</v>
      </c>
      <c r="D4903" s="25" t="s">
        <v>7734</v>
      </c>
      <c r="E4903" s="26" t="b">
        <v>1</v>
      </c>
      <c r="F4903" s="27" t="str">
        <f>HYPERLINK("http://nsgreg.nga.mil/genc/view?v=211758&amp;end_month=12&amp;end_day=31&amp;end_year=2014","Northumberland")</f>
        <v>Northumberland</v>
      </c>
      <c r="G4903" s="28" t="str">
        <f>HYPERLINK("http://api.nsgreg.nga.mil/geo-division/GENC/6/ed3/GB-NBL","as:GENC:6:ed3:GB-NBL")</f>
        <v>as:GENC:6:ed3:GB-NBL</v>
      </c>
    </row>
    <row r="4904" spans="1:7" x14ac:dyDescent="0.2">
      <c r="A4904" s="85"/>
      <c r="B4904" s="25" t="s">
        <v>11363</v>
      </c>
      <c r="C4904" s="25" t="s">
        <v>11364</v>
      </c>
      <c r="D4904" s="25" t="s">
        <v>1788</v>
      </c>
      <c r="E4904" s="26" t="b">
        <v>1</v>
      </c>
      <c r="F4904" s="27" t="str">
        <f>HYPERLINK("http://nsgreg.nga.mil/genc/view?v=211770&amp;end_month=12&amp;end_day=31&amp;end_year=2014","North Yorkshire")</f>
        <v>North Yorkshire</v>
      </c>
      <c r="G4904" s="28" t="str">
        <f>HYPERLINK("http://api.nsgreg.nga.mil/geo-division/GENC/6/ed3/GB-NYK","as:GENC:6:ed3:GB-NYK")</f>
        <v>as:GENC:6:ed3:GB-NYK</v>
      </c>
    </row>
    <row r="4905" spans="1:7" x14ac:dyDescent="0.2">
      <c r="A4905" s="85"/>
      <c r="B4905" s="25" t="s">
        <v>11371</v>
      </c>
      <c r="C4905" s="25" t="s">
        <v>11372</v>
      </c>
      <c r="D4905" s="25" t="s">
        <v>7734</v>
      </c>
      <c r="E4905" s="26" t="b">
        <v>1</v>
      </c>
      <c r="F4905" s="27" t="str">
        <f>HYPERLINK("http://nsgreg.nga.mil/genc/view?v=211762&amp;end_month=12&amp;end_day=31&amp;end_year=2014","Nottingham")</f>
        <v>Nottingham</v>
      </c>
      <c r="G4905" s="28" t="str">
        <f>HYPERLINK("http://api.nsgreg.nga.mil/geo-division/GENC/6/ed3/GB-NGM","as:GENC:6:ed3:GB-NGM")</f>
        <v>as:GENC:6:ed3:GB-NGM</v>
      </c>
    </row>
    <row r="4906" spans="1:7" x14ac:dyDescent="0.2">
      <c r="A4906" s="85"/>
      <c r="B4906" s="25" t="s">
        <v>11373</v>
      </c>
      <c r="C4906" s="25" t="s">
        <v>11374</v>
      </c>
      <c r="D4906" s="25" t="s">
        <v>1788</v>
      </c>
      <c r="E4906" s="26" t="b">
        <v>1</v>
      </c>
      <c r="F4906" s="27" t="str">
        <f>HYPERLINK("http://nsgreg.nga.mil/genc/view?v=211768&amp;end_month=12&amp;end_day=31&amp;end_year=2014","Nottinghamshire")</f>
        <v>Nottinghamshire</v>
      </c>
      <c r="G4906" s="28" t="str">
        <f>HYPERLINK("http://api.nsgreg.nga.mil/geo-division/GENC/6/ed3/GB-NTT","as:GENC:6:ed3:GB-NTT")</f>
        <v>as:GENC:6:ed3:GB-NTT</v>
      </c>
    </row>
    <row r="4907" spans="1:7" x14ac:dyDescent="0.2">
      <c r="A4907" s="85"/>
      <c r="B4907" s="25" t="s">
        <v>11375</v>
      </c>
      <c r="C4907" s="25" t="s">
        <v>11376</v>
      </c>
      <c r="D4907" s="25" t="s">
        <v>11075</v>
      </c>
      <c r="E4907" s="26" t="b">
        <v>1</v>
      </c>
      <c r="F4907" s="27" t="str">
        <f>HYPERLINK("http://nsgreg.nga.mil/genc/view?v=119376&amp;gencs=T&amp;end_month=12&amp;end_day=31&amp;end_year=2014","Oldham")</f>
        <v>Oldham</v>
      </c>
      <c r="G4907" s="28" t="str">
        <f>HYPERLINK("http://api.nsgreg.nga.mil/geo-division/GENC/6/ed3/GB-OLD","as:GENC:6:ed3:GB-OLD")</f>
        <v>as:GENC:6:ed3:GB-OLD</v>
      </c>
    </row>
    <row r="4908" spans="1:7" x14ac:dyDescent="0.2">
      <c r="A4908" s="85"/>
      <c r="B4908" s="25" t="s">
        <v>11377</v>
      </c>
      <c r="C4908" s="25" t="s">
        <v>11378</v>
      </c>
      <c r="D4908" s="25" t="s">
        <v>1790</v>
      </c>
      <c r="E4908" s="26" t="b">
        <v>1</v>
      </c>
      <c r="F4908" s="27" t="str">
        <f>HYPERLINK("http://nsgreg.nga.mil/genc/view?v=211772&amp;end_month=12&amp;end_day=31&amp;end_year=2014","Omagh")</f>
        <v>Omagh</v>
      </c>
      <c r="G4908" s="28" t="str">
        <f>HYPERLINK("http://api.nsgreg.nga.mil/geo-division/GENC/6/ed3/GB-OMH","as:GENC:6:ed3:GB-OMH")</f>
        <v>as:GENC:6:ed3:GB-OMH</v>
      </c>
    </row>
    <row r="4909" spans="1:7" x14ac:dyDescent="0.2">
      <c r="A4909" s="85"/>
      <c r="B4909" s="25" t="s">
        <v>11379</v>
      </c>
      <c r="C4909" s="25" t="s">
        <v>11380</v>
      </c>
      <c r="D4909" s="25" t="s">
        <v>11046</v>
      </c>
      <c r="E4909" s="26" t="b">
        <v>1</v>
      </c>
      <c r="F4909" s="27" t="str">
        <f>HYPERLINK("http://nsgreg.nga.mil/genc/view?v=119378&amp;gencs=T&amp;end_month=12&amp;end_day=31&amp;end_year=2014","Orkney Islands")</f>
        <v>Orkney Islands</v>
      </c>
      <c r="G4909" s="28" t="str">
        <f>HYPERLINK("http://api.nsgreg.nga.mil/geo-division/GENC/6/ed3/GB-ORK","as:GENC:6:ed3:GB-ORK")</f>
        <v>as:GENC:6:ed3:GB-ORK</v>
      </c>
    </row>
    <row r="4910" spans="1:7" x14ac:dyDescent="0.2">
      <c r="A4910" s="85"/>
      <c r="B4910" s="25" t="s">
        <v>11381</v>
      </c>
      <c r="C4910" s="25" t="s">
        <v>11382</v>
      </c>
      <c r="D4910" s="25" t="s">
        <v>1788</v>
      </c>
      <c r="E4910" s="26" t="b">
        <v>1</v>
      </c>
      <c r="F4910" s="27" t="str">
        <f>HYPERLINK("http://nsgreg.nga.mil/genc/view?v=211773&amp;end_month=12&amp;end_day=31&amp;end_year=2014","Oxfordshire")</f>
        <v>Oxfordshire</v>
      </c>
      <c r="G4910" s="28" t="str">
        <f>HYPERLINK("http://api.nsgreg.nga.mil/geo-division/GENC/6/ed3/GB-OXF","as:GENC:6:ed3:GB-OXF")</f>
        <v>as:GENC:6:ed3:GB-OXF</v>
      </c>
    </row>
    <row r="4911" spans="1:7" x14ac:dyDescent="0.2">
      <c r="A4911" s="85"/>
      <c r="B4911" s="25" t="s">
        <v>11383</v>
      </c>
      <c r="C4911" s="25" t="s">
        <v>11384</v>
      </c>
      <c r="D4911" s="25" t="s">
        <v>7734</v>
      </c>
      <c r="E4911" s="26" t="b">
        <v>1</v>
      </c>
      <c r="F4911" s="27" t="str">
        <f>HYPERLINK("http://nsgreg.nga.mil/genc/view?v=211774&amp;end_month=12&amp;end_day=31&amp;end_year=2014","Pembrokeshire")</f>
        <v>Pembrokeshire</v>
      </c>
      <c r="G4911" s="28" t="str">
        <f>HYPERLINK("http://api.nsgreg.nga.mil/geo-division/GENC/6/ed3/GB-PEM","as:GENC:6:ed3:GB-PEM")</f>
        <v>as:GENC:6:ed3:GB-PEM</v>
      </c>
    </row>
    <row r="4912" spans="1:7" x14ac:dyDescent="0.2">
      <c r="A4912" s="85"/>
      <c r="B4912" s="25" t="s">
        <v>11386</v>
      </c>
      <c r="C4912" s="25" t="s">
        <v>11387</v>
      </c>
      <c r="D4912" s="25" t="s">
        <v>11046</v>
      </c>
      <c r="E4912" s="26" t="b">
        <v>1</v>
      </c>
      <c r="F4912" s="27" t="str">
        <f>HYPERLINK("http://nsgreg.nga.mil/genc/view?v=119381&amp;gencs=T&amp;end_month=12&amp;end_day=31&amp;end_year=2014","Perth and Kinross")</f>
        <v>Perth and Kinross</v>
      </c>
      <c r="G4912" s="28" t="str">
        <f>HYPERLINK("http://api.nsgreg.nga.mil/geo-division/GENC/6/ed3/GB-PKN","as:GENC:6:ed3:GB-PKN")</f>
        <v>as:GENC:6:ed3:GB-PKN</v>
      </c>
    </row>
    <row r="4913" spans="1:7" x14ac:dyDescent="0.2">
      <c r="A4913" s="85"/>
      <c r="B4913" s="25" t="s">
        <v>11388</v>
      </c>
      <c r="C4913" s="25" t="s">
        <v>11389</v>
      </c>
      <c r="D4913" s="25" t="s">
        <v>7734</v>
      </c>
      <c r="E4913" s="26" t="b">
        <v>1</v>
      </c>
      <c r="F4913" s="27" t="str">
        <f>HYPERLINK("http://nsgreg.nga.mil/genc/view?v=211779&amp;end_month=12&amp;end_day=31&amp;end_year=2014","Peterborough")</f>
        <v>Peterborough</v>
      </c>
      <c r="G4913" s="28" t="str">
        <f>HYPERLINK("http://api.nsgreg.nga.mil/geo-division/GENC/6/ed3/GB-PTE","as:GENC:6:ed3:GB-PTE")</f>
        <v>as:GENC:6:ed3:GB-PTE</v>
      </c>
    </row>
    <row r="4914" spans="1:7" x14ac:dyDescent="0.2">
      <c r="A4914" s="85"/>
      <c r="B4914" s="25" t="s">
        <v>11390</v>
      </c>
      <c r="C4914" s="25" t="s">
        <v>11391</v>
      </c>
      <c r="D4914" s="25" t="s">
        <v>7734</v>
      </c>
      <c r="E4914" s="26" t="b">
        <v>1</v>
      </c>
      <c r="F4914" s="27" t="str">
        <f>HYPERLINK("http://nsgreg.nga.mil/genc/view?v=211775&amp;end_month=12&amp;end_day=31&amp;end_year=2014","Plymouth")</f>
        <v>Plymouth</v>
      </c>
      <c r="G4914" s="28" t="str">
        <f>HYPERLINK("http://api.nsgreg.nga.mil/geo-division/GENC/6/ed3/GB-PLY","as:GENC:6:ed3:GB-PLY")</f>
        <v>as:GENC:6:ed3:GB-PLY</v>
      </c>
    </row>
    <row r="4915" spans="1:7" x14ac:dyDescent="0.2">
      <c r="A4915" s="85"/>
      <c r="B4915" s="25" t="s">
        <v>11392</v>
      </c>
      <c r="C4915" s="25" t="s">
        <v>11393</v>
      </c>
      <c r="D4915" s="25" t="s">
        <v>7734</v>
      </c>
      <c r="E4915" s="26" t="b">
        <v>1</v>
      </c>
      <c r="F4915" s="27" t="str">
        <f>HYPERLINK("http://nsgreg.nga.mil/genc/view?v=211776&amp;end_month=12&amp;end_day=31&amp;end_year=2014","Poole")</f>
        <v>Poole</v>
      </c>
      <c r="G4915" s="28" t="str">
        <f>HYPERLINK("http://api.nsgreg.nga.mil/geo-division/GENC/6/ed3/GB-POL","as:GENC:6:ed3:GB-POL")</f>
        <v>as:GENC:6:ed3:GB-POL</v>
      </c>
    </row>
    <row r="4916" spans="1:7" x14ac:dyDescent="0.2">
      <c r="A4916" s="85"/>
      <c r="B4916" s="25" t="s">
        <v>11394</v>
      </c>
      <c r="C4916" s="25" t="s">
        <v>11395</v>
      </c>
      <c r="D4916" s="25" t="s">
        <v>7734</v>
      </c>
      <c r="E4916" s="26" t="b">
        <v>1</v>
      </c>
      <c r="F4916" s="27" t="str">
        <f>HYPERLINK("http://nsgreg.nga.mil/genc/view?v=211777&amp;end_month=12&amp;end_day=31&amp;end_year=2014","Portsmouth")</f>
        <v>Portsmouth</v>
      </c>
      <c r="G4916" s="28" t="str">
        <f>HYPERLINK("http://api.nsgreg.nga.mil/geo-division/GENC/6/ed3/GB-POR","as:GENC:6:ed3:GB-POR")</f>
        <v>as:GENC:6:ed3:GB-POR</v>
      </c>
    </row>
    <row r="4917" spans="1:7" x14ac:dyDescent="0.2">
      <c r="A4917" s="85"/>
      <c r="B4917" s="25" t="s">
        <v>11396</v>
      </c>
      <c r="C4917" s="25" t="s">
        <v>11397</v>
      </c>
      <c r="D4917" s="25" t="s">
        <v>7734</v>
      </c>
      <c r="E4917" s="26" t="b">
        <v>1</v>
      </c>
      <c r="F4917" s="27" t="str">
        <f>HYPERLINK("http://nsgreg.nga.mil/genc/view?v=211778&amp;end_month=12&amp;end_day=31&amp;end_year=2014","Powys")</f>
        <v>Powys</v>
      </c>
      <c r="G4917" s="28" t="str">
        <f>HYPERLINK("http://api.nsgreg.nga.mil/geo-division/GENC/6/ed3/GB-POW","as:GENC:6:ed3:GB-POW")</f>
        <v>as:GENC:6:ed3:GB-POW</v>
      </c>
    </row>
    <row r="4918" spans="1:7" x14ac:dyDescent="0.2">
      <c r="A4918" s="85"/>
      <c r="B4918" s="25" t="s">
        <v>11398</v>
      </c>
      <c r="C4918" s="25" t="s">
        <v>11399</v>
      </c>
      <c r="D4918" s="25" t="s">
        <v>7734</v>
      </c>
      <c r="E4918" s="26" t="b">
        <v>1</v>
      </c>
      <c r="F4918" s="27" t="str">
        <f>HYPERLINK("http://nsgreg.nga.mil/genc/view?v=211782&amp;end_month=12&amp;end_day=31&amp;end_year=2014","Reading")</f>
        <v>Reading</v>
      </c>
      <c r="G4918" s="28" t="str">
        <f>HYPERLINK("http://api.nsgreg.nga.mil/geo-division/GENC/6/ed3/GB-RDG","as:GENC:6:ed3:GB-RDG")</f>
        <v>as:GENC:6:ed3:GB-RDG</v>
      </c>
    </row>
    <row r="4919" spans="1:7" x14ac:dyDescent="0.2">
      <c r="A4919" s="85"/>
      <c r="B4919" s="25" t="s">
        <v>11400</v>
      </c>
      <c r="C4919" s="25" t="s">
        <v>11401</v>
      </c>
      <c r="D4919" s="25" t="s">
        <v>11070</v>
      </c>
      <c r="E4919" s="26" t="b">
        <v>1</v>
      </c>
      <c r="F4919" s="27" t="str">
        <f>HYPERLINK("http://nsgreg.nga.mil/genc/view?v=119390&amp;gencs=T&amp;end_month=12&amp;end_day=31&amp;end_year=2014","Redbridge")</f>
        <v>Redbridge</v>
      </c>
      <c r="G4919" s="28" t="str">
        <f>HYPERLINK("http://api.nsgreg.nga.mil/geo-division/GENC/6/ed3/GB-RDB","as:GENC:6:ed3:GB-RDB")</f>
        <v>as:GENC:6:ed3:GB-RDB</v>
      </c>
    </row>
    <row r="4920" spans="1:7" x14ac:dyDescent="0.2">
      <c r="A4920" s="85"/>
      <c r="B4920" s="25" t="s">
        <v>11402</v>
      </c>
      <c r="C4920" s="25" t="s">
        <v>11403</v>
      </c>
      <c r="D4920" s="25" t="s">
        <v>7734</v>
      </c>
      <c r="E4920" s="26" t="b">
        <v>1</v>
      </c>
      <c r="F4920" s="27" t="str">
        <f>HYPERLINK("http://nsgreg.nga.mil/genc/view?v=211780&amp;end_month=12&amp;end_day=31&amp;end_year=2014","Redcar and Cleveland")</f>
        <v>Redcar and Cleveland</v>
      </c>
      <c r="G4920" s="28" t="str">
        <f>HYPERLINK("http://api.nsgreg.nga.mil/geo-division/GENC/6/ed3/GB-RCC","as:GENC:6:ed3:GB-RCC")</f>
        <v>as:GENC:6:ed3:GB-RCC</v>
      </c>
    </row>
    <row r="4921" spans="1:7" x14ac:dyDescent="0.2">
      <c r="A4921" s="85"/>
      <c r="B4921" s="25" t="s">
        <v>11404</v>
      </c>
      <c r="C4921" s="25" t="s">
        <v>11405</v>
      </c>
      <c r="D4921" s="25" t="s">
        <v>11046</v>
      </c>
      <c r="E4921" s="26" t="b">
        <v>1</v>
      </c>
      <c r="F4921" s="27" t="str">
        <f>HYPERLINK("http://nsgreg.nga.mil/genc/view?v=119392&amp;gencs=T&amp;end_month=12&amp;end_day=31&amp;end_year=2014","Renfrewshire")</f>
        <v>Renfrewshire</v>
      </c>
      <c r="G4921" s="28" t="str">
        <f>HYPERLINK("http://api.nsgreg.nga.mil/geo-division/GENC/6/ed3/GB-RFW","as:GENC:6:ed3:GB-RFW")</f>
        <v>as:GENC:6:ed3:GB-RFW</v>
      </c>
    </row>
    <row r="4922" spans="1:7" x14ac:dyDescent="0.2">
      <c r="A4922" s="85"/>
      <c r="B4922" s="25" t="s">
        <v>11406</v>
      </c>
      <c r="C4922" s="25" t="s">
        <v>13874</v>
      </c>
      <c r="D4922" s="25" t="s">
        <v>7734</v>
      </c>
      <c r="E4922" s="26" t="b">
        <v>1</v>
      </c>
      <c r="F4922" s="27" t="str">
        <f>HYPERLINK("http://nsgreg.nga.mil/genc/view?v=211781&amp;end_month=12&amp;end_day=31&amp;end_year=2014","Rhondda Cynon Taff")</f>
        <v>Rhondda Cynon Taff</v>
      </c>
      <c r="G4922" s="28" t="str">
        <f>HYPERLINK("http://api.nsgreg.nga.mil/geo-division/GENC/6/ed3/GB-RCT","as:GENC:6:ed3:GB-RCT")</f>
        <v>as:GENC:6:ed3:GB-RCT</v>
      </c>
    </row>
    <row r="4923" spans="1:7" x14ac:dyDescent="0.2">
      <c r="A4923" s="85"/>
      <c r="B4923" s="25" t="s">
        <v>11409</v>
      </c>
      <c r="C4923" s="25" t="s">
        <v>11410</v>
      </c>
      <c r="D4923" s="25" t="s">
        <v>11070</v>
      </c>
      <c r="E4923" s="26" t="b">
        <v>1</v>
      </c>
      <c r="F4923" s="27" t="str">
        <f>HYPERLINK("http://nsgreg.nga.mil/genc/view?v=119393&amp;gencs=T&amp;end_month=12&amp;end_day=31&amp;end_year=2014","Richmond upon Thames")</f>
        <v>Richmond upon Thames</v>
      </c>
      <c r="G4923" s="28" t="str">
        <f>HYPERLINK("http://api.nsgreg.nga.mil/geo-division/GENC/6/ed3/GB-RIC","as:GENC:6:ed3:GB-RIC")</f>
        <v>as:GENC:6:ed3:GB-RIC</v>
      </c>
    </row>
    <row r="4924" spans="1:7" x14ac:dyDescent="0.2">
      <c r="A4924" s="85"/>
      <c r="B4924" s="25" t="s">
        <v>11411</v>
      </c>
      <c r="C4924" s="25" t="s">
        <v>11412</v>
      </c>
      <c r="D4924" s="25" t="s">
        <v>11075</v>
      </c>
      <c r="E4924" s="26" t="b">
        <v>1</v>
      </c>
      <c r="F4924" s="27" t="str">
        <f>HYPERLINK("http://nsgreg.nga.mil/genc/view?v=119388&amp;gencs=T&amp;end_month=12&amp;end_day=31&amp;end_year=2014","Rochdale")</f>
        <v>Rochdale</v>
      </c>
      <c r="G4924" s="28" t="str">
        <f>HYPERLINK("http://api.nsgreg.nga.mil/geo-division/GENC/6/ed3/GB-RCH","as:GENC:6:ed3:GB-RCH")</f>
        <v>as:GENC:6:ed3:GB-RCH</v>
      </c>
    </row>
    <row r="4925" spans="1:7" x14ac:dyDescent="0.2">
      <c r="A4925" s="85"/>
      <c r="B4925" s="25" t="s">
        <v>11413</v>
      </c>
      <c r="C4925" s="25" t="s">
        <v>11414</v>
      </c>
      <c r="D4925" s="25" t="s">
        <v>11075</v>
      </c>
      <c r="E4925" s="26" t="b">
        <v>1</v>
      </c>
      <c r="F4925" s="27" t="str">
        <f>HYPERLINK("http://nsgreg.nga.mil/genc/view?v=119394&amp;gencs=T&amp;end_month=12&amp;end_day=31&amp;end_year=2014","Rotherham")</f>
        <v>Rotherham</v>
      </c>
      <c r="G4925" s="28" t="str">
        <f>HYPERLINK("http://api.nsgreg.nga.mil/geo-division/GENC/6/ed3/GB-ROT","as:GENC:6:ed3:GB-ROT")</f>
        <v>as:GENC:6:ed3:GB-ROT</v>
      </c>
    </row>
    <row r="4926" spans="1:7" x14ac:dyDescent="0.2">
      <c r="A4926" s="85"/>
      <c r="B4926" s="25" t="s">
        <v>11415</v>
      </c>
      <c r="C4926" s="25" t="s">
        <v>11416</v>
      </c>
      <c r="D4926" s="25" t="s">
        <v>7734</v>
      </c>
      <c r="E4926" s="26" t="b">
        <v>1</v>
      </c>
      <c r="F4926" s="27" t="str">
        <f>HYPERLINK("http://nsgreg.nga.mil/genc/view?v=211783&amp;end_month=12&amp;end_day=31&amp;end_year=2014","Rutland")</f>
        <v>Rutland</v>
      </c>
      <c r="G4926" s="28" t="str">
        <f>HYPERLINK("http://api.nsgreg.nga.mil/geo-division/GENC/6/ed3/GB-RUT","as:GENC:6:ed3:GB-RUT")</f>
        <v>as:GENC:6:ed3:GB-RUT</v>
      </c>
    </row>
    <row r="4927" spans="1:7" x14ac:dyDescent="0.2">
      <c r="A4927" s="85"/>
      <c r="B4927" s="25" t="s">
        <v>11417</v>
      </c>
      <c r="C4927" s="25" t="s">
        <v>11418</v>
      </c>
      <c r="D4927" s="25" t="s">
        <v>11075</v>
      </c>
      <c r="E4927" s="26" t="b">
        <v>1</v>
      </c>
      <c r="F4927" s="27" t="str">
        <f>HYPERLINK("http://nsgreg.nga.mil/genc/view?v=119407&amp;gencs=T&amp;end_month=12&amp;end_day=31&amp;end_year=2014","Salford")</f>
        <v>Salford</v>
      </c>
      <c r="G4927" s="28" t="str">
        <f>HYPERLINK("http://api.nsgreg.nga.mil/geo-division/GENC/6/ed3/GB-SLF","as:GENC:6:ed3:GB-SLF")</f>
        <v>as:GENC:6:ed3:GB-SLF</v>
      </c>
    </row>
    <row r="4928" spans="1:7" x14ac:dyDescent="0.2">
      <c r="A4928" s="85"/>
      <c r="B4928" s="25" t="s">
        <v>11419</v>
      </c>
      <c r="C4928" s="25" t="s">
        <v>11420</v>
      </c>
      <c r="D4928" s="25" t="s">
        <v>11075</v>
      </c>
      <c r="E4928" s="26" t="b">
        <v>1</v>
      </c>
      <c r="F4928" s="27" t="str">
        <f>HYPERLINK("http://nsgreg.nga.mil/genc/view?v=119396&amp;gencs=T&amp;end_month=12&amp;end_day=31&amp;end_year=2014","Sandwell")</f>
        <v>Sandwell</v>
      </c>
      <c r="G4928" s="28" t="str">
        <f>HYPERLINK("http://api.nsgreg.nga.mil/geo-division/GENC/6/ed3/GB-SAW","as:GENC:6:ed3:GB-SAW")</f>
        <v>as:GENC:6:ed3:GB-SAW</v>
      </c>
    </row>
    <row r="4929" spans="1:7" x14ac:dyDescent="0.2">
      <c r="A4929" s="85"/>
      <c r="B4929" s="25" t="s">
        <v>11421</v>
      </c>
      <c r="C4929" s="25" t="s">
        <v>11422</v>
      </c>
      <c r="D4929" s="37" t="s">
        <v>7688</v>
      </c>
      <c r="E4929" s="38" t="b">
        <v>0</v>
      </c>
      <c r="F4929" s="27" t="str">
        <f>HYPERLINK("http://nsgreg.nga.mil/genc/view?v=119399&amp;gencs=T&amp;end_month=12&amp;end_day=31&amp;end_year=2014","Scotland")</f>
        <v>Scotland</v>
      </c>
      <c r="G4929" s="28" t="str">
        <f>HYPERLINK("http://api.nsgreg.nga.mil/geo-division/GENC/6/ed3/GB-SCT","as:GENC:6:ed3:GB-SCT")</f>
        <v>as:GENC:6:ed3:GB-SCT</v>
      </c>
    </row>
    <row r="4930" spans="1:7" x14ac:dyDescent="0.2">
      <c r="A4930" s="85"/>
      <c r="B4930" s="25" t="s">
        <v>11423</v>
      </c>
      <c r="C4930" s="25" t="s">
        <v>11424</v>
      </c>
      <c r="D4930" s="25" t="s">
        <v>11046</v>
      </c>
      <c r="E4930" s="26" t="b">
        <v>1</v>
      </c>
      <c r="F4930" s="27" t="str">
        <f>HYPERLINK("http://nsgreg.nga.mil/genc/view?v=119398&amp;gencs=T&amp;end_month=12&amp;end_day=31&amp;end_year=2014","Scottish Borders, The")</f>
        <v>Scottish Borders, The</v>
      </c>
      <c r="G4930" s="28" t="str">
        <f>HYPERLINK("http://api.nsgreg.nga.mil/geo-division/GENC/6/ed3/GB-SCB","as:GENC:6:ed3:GB-SCB")</f>
        <v>as:GENC:6:ed3:GB-SCB</v>
      </c>
    </row>
    <row r="4931" spans="1:7" x14ac:dyDescent="0.2">
      <c r="A4931" s="85"/>
      <c r="B4931" s="25" t="s">
        <v>11425</v>
      </c>
      <c r="C4931" s="25" t="s">
        <v>11426</v>
      </c>
      <c r="D4931" s="25" t="s">
        <v>11075</v>
      </c>
      <c r="E4931" s="26" t="b">
        <v>1</v>
      </c>
      <c r="F4931" s="27" t="str">
        <f>HYPERLINK("http://nsgreg.nga.mil/genc/view?v=119401&amp;gencs=T&amp;end_month=12&amp;end_day=31&amp;end_year=2014","Sefton")</f>
        <v>Sefton</v>
      </c>
      <c r="G4931" s="28" t="str">
        <f>HYPERLINK("http://api.nsgreg.nga.mil/geo-division/GENC/6/ed3/GB-SFT","as:GENC:6:ed3:GB-SFT")</f>
        <v>as:GENC:6:ed3:GB-SFT</v>
      </c>
    </row>
    <row r="4932" spans="1:7" x14ac:dyDescent="0.2">
      <c r="A4932" s="85"/>
      <c r="B4932" s="25" t="s">
        <v>11427</v>
      </c>
      <c r="C4932" s="25" t="s">
        <v>11428</v>
      </c>
      <c r="D4932" s="25" t="s">
        <v>11075</v>
      </c>
      <c r="E4932" s="26" t="b">
        <v>1</v>
      </c>
      <c r="F4932" s="27" t="str">
        <f>HYPERLINK("http://nsgreg.nga.mil/genc/view?v=119403&amp;gencs=T&amp;end_month=12&amp;end_day=31&amp;end_year=2014","Sheffield")</f>
        <v>Sheffield</v>
      </c>
      <c r="G4932" s="28" t="str">
        <f>HYPERLINK("http://api.nsgreg.nga.mil/geo-division/GENC/6/ed3/GB-SHF","as:GENC:6:ed3:GB-SHF")</f>
        <v>as:GENC:6:ed3:GB-SHF</v>
      </c>
    </row>
    <row r="4933" spans="1:7" x14ac:dyDescent="0.2">
      <c r="A4933" s="85"/>
      <c r="B4933" s="25" t="s">
        <v>11429</v>
      </c>
      <c r="C4933" s="25" t="s">
        <v>11430</v>
      </c>
      <c r="D4933" s="25" t="s">
        <v>11046</v>
      </c>
      <c r="E4933" s="26" t="b">
        <v>1</v>
      </c>
      <c r="F4933" s="27" t="str">
        <f>HYPERLINK("http://nsgreg.nga.mil/genc/view?v=119455&amp;gencs=T&amp;end_month=12&amp;end_day=31&amp;end_year=2014","Shetland Islands")</f>
        <v>Shetland Islands</v>
      </c>
      <c r="G4933" s="28" t="str">
        <f>HYPERLINK("http://api.nsgreg.nga.mil/geo-division/GENC/6/ed3/GB-ZET","as:GENC:6:ed3:GB-ZET")</f>
        <v>as:GENC:6:ed3:GB-ZET</v>
      </c>
    </row>
    <row r="4934" spans="1:7" x14ac:dyDescent="0.2">
      <c r="A4934" s="85"/>
      <c r="B4934" s="25" t="s">
        <v>11431</v>
      </c>
      <c r="C4934" s="25" t="s">
        <v>11432</v>
      </c>
      <c r="D4934" s="25" t="s">
        <v>7734</v>
      </c>
      <c r="E4934" s="26" t="b">
        <v>1</v>
      </c>
      <c r="F4934" s="27" t="str">
        <f>HYPERLINK("http://nsgreg.nga.mil/genc/view?v=211786&amp;end_month=12&amp;end_day=31&amp;end_year=2014","Shropshire")</f>
        <v>Shropshire</v>
      </c>
      <c r="G4934" s="28" t="str">
        <f>HYPERLINK("http://api.nsgreg.nga.mil/geo-division/GENC/6/ed3/GB-SHR","as:GENC:6:ed3:GB-SHR")</f>
        <v>as:GENC:6:ed3:GB-SHR</v>
      </c>
    </row>
    <row r="4935" spans="1:7" x14ac:dyDescent="0.2">
      <c r="A4935" s="85"/>
      <c r="B4935" s="25" t="s">
        <v>11440</v>
      </c>
      <c r="C4935" s="25" t="s">
        <v>11441</v>
      </c>
      <c r="D4935" s="25" t="s">
        <v>7734</v>
      </c>
      <c r="E4935" s="26" t="b">
        <v>1</v>
      </c>
      <c r="F4935" s="27" t="str">
        <f>HYPERLINK("http://nsgreg.nga.mil/genc/view?v=211787&amp;end_month=12&amp;end_day=31&amp;end_year=2014","Slough")</f>
        <v>Slough</v>
      </c>
      <c r="G4935" s="28" t="str">
        <f>HYPERLINK("http://api.nsgreg.nga.mil/geo-division/GENC/6/ed3/GB-SLG","as:GENC:6:ed3:GB-SLG")</f>
        <v>as:GENC:6:ed3:GB-SLG</v>
      </c>
    </row>
    <row r="4936" spans="1:7" x14ac:dyDescent="0.2">
      <c r="A4936" s="85"/>
      <c r="B4936" s="25" t="s">
        <v>11442</v>
      </c>
      <c r="C4936" s="25" t="s">
        <v>11443</v>
      </c>
      <c r="D4936" s="25" t="s">
        <v>11075</v>
      </c>
      <c r="E4936" s="26" t="b">
        <v>1</v>
      </c>
      <c r="F4936" s="27" t="str">
        <f>HYPERLINK("http://nsgreg.nga.mil/genc/view?v=119411&amp;gencs=T&amp;end_month=12&amp;end_day=31&amp;end_year=2014","Solihull")</f>
        <v>Solihull</v>
      </c>
      <c r="G4936" s="28" t="str">
        <f>HYPERLINK("http://api.nsgreg.nga.mil/geo-division/GENC/6/ed3/GB-SOL","as:GENC:6:ed3:GB-SOL")</f>
        <v>as:GENC:6:ed3:GB-SOL</v>
      </c>
    </row>
    <row r="4937" spans="1:7" x14ac:dyDescent="0.2">
      <c r="A4937" s="85"/>
      <c r="B4937" s="25" t="s">
        <v>11444</v>
      </c>
      <c r="C4937" s="25" t="s">
        <v>11445</v>
      </c>
      <c r="D4937" s="25" t="s">
        <v>1788</v>
      </c>
      <c r="E4937" s="26" t="b">
        <v>1</v>
      </c>
      <c r="F4937" s="27" t="str">
        <f>HYPERLINK("http://nsgreg.nga.mil/genc/view?v=211788&amp;end_month=12&amp;end_day=31&amp;end_year=2014","Somerset")</f>
        <v>Somerset</v>
      </c>
      <c r="G4937" s="28" t="str">
        <f>HYPERLINK("http://api.nsgreg.nga.mil/geo-division/GENC/6/ed3/GB-SOM","as:GENC:6:ed3:GB-SOM")</f>
        <v>as:GENC:6:ed3:GB-SOM</v>
      </c>
    </row>
    <row r="4938" spans="1:7" x14ac:dyDescent="0.2">
      <c r="A4938" s="85"/>
      <c r="B4938" s="25" t="s">
        <v>11454</v>
      </c>
      <c r="C4938" s="25" t="s">
        <v>11455</v>
      </c>
      <c r="D4938" s="25" t="s">
        <v>7734</v>
      </c>
      <c r="E4938" s="26" t="b">
        <v>1</v>
      </c>
      <c r="F4938" s="27" t="str">
        <f>HYPERLINK("http://nsgreg.nga.mil/genc/view?v=211793&amp;end_month=12&amp;end_day=31&amp;end_year=2014","Southampton")</f>
        <v>Southampton</v>
      </c>
      <c r="G4938" s="28" t="str">
        <f>HYPERLINK("http://api.nsgreg.nga.mil/geo-division/GENC/6/ed3/GB-STH","as:GENC:6:ed3:GB-STH")</f>
        <v>as:GENC:6:ed3:GB-STH</v>
      </c>
    </row>
    <row r="4939" spans="1:7" x14ac:dyDescent="0.2">
      <c r="A4939" s="85"/>
      <c r="B4939" s="25" t="s">
        <v>11446</v>
      </c>
      <c r="C4939" s="25" t="s">
        <v>11447</v>
      </c>
      <c r="D4939" s="25" t="s">
        <v>11046</v>
      </c>
      <c r="E4939" s="26" t="b">
        <v>1</v>
      </c>
      <c r="F4939" s="27" t="str">
        <f>HYPERLINK("http://nsgreg.nga.mil/genc/view?v=119397&amp;gencs=T&amp;end_month=12&amp;end_day=31&amp;end_year=2014","South Ayrshire")</f>
        <v>South Ayrshire</v>
      </c>
      <c r="G4939" s="28" t="str">
        <f>HYPERLINK("http://api.nsgreg.nga.mil/geo-division/GENC/6/ed3/GB-SAY","as:GENC:6:ed3:GB-SAY")</f>
        <v>as:GENC:6:ed3:GB-SAY</v>
      </c>
    </row>
    <row r="4940" spans="1:7" x14ac:dyDescent="0.2">
      <c r="A4940" s="85"/>
      <c r="B4940" s="25" t="s">
        <v>11456</v>
      </c>
      <c r="C4940" s="25" t="s">
        <v>11457</v>
      </c>
      <c r="D4940" s="25" t="s">
        <v>7734</v>
      </c>
      <c r="E4940" s="26" t="b">
        <v>1</v>
      </c>
      <c r="F4940" s="27" t="str">
        <f>HYPERLINK("http://nsgreg.nga.mil/genc/view?v=211789&amp;end_month=12&amp;end_day=31&amp;end_year=2014","Southend-on-Sea")</f>
        <v>Southend-on-Sea</v>
      </c>
      <c r="G4940" s="28" t="str">
        <f>HYPERLINK("http://api.nsgreg.nga.mil/geo-division/GENC/6/ed3/GB-SOS","as:GENC:6:ed3:GB-SOS")</f>
        <v>as:GENC:6:ed3:GB-SOS</v>
      </c>
    </row>
    <row r="4941" spans="1:7" x14ac:dyDescent="0.2">
      <c r="A4941" s="85"/>
      <c r="B4941" s="25" t="s">
        <v>11448</v>
      </c>
      <c r="C4941" s="25" t="s">
        <v>11449</v>
      </c>
      <c r="D4941" s="25" t="s">
        <v>7734</v>
      </c>
      <c r="E4941" s="26" t="b">
        <v>1</v>
      </c>
      <c r="F4941" s="27" t="str">
        <f>HYPERLINK("http://nsgreg.nga.mil/genc/view?v=211785&amp;end_month=12&amp;end_day=31&amp;end_year=2014","South Gloucestershire")</f>
        <v>South Gloucestershire</v>
      </c>
      <c r="G4941" s="28" t="str">
        <f>HYPERLINK("http://api.nsgreg.nga.mil/geo-division/GENC/6/ed3/GB-SGC","as:GENC:6:ed3:GB-SGC")</f>
        <v>as:GENC:6:ed3:GB-SGC</v>
      </c>
    </row>
    <row r="4942" spans="1:7" x14ac:dyDescent="0.2">
      <c r="A4942" s="85"/>
      <c r="B4942" s="25" t="s">
        <v>11450</v>
      </c>
      <c r="C4942" s="25" t="s">
        <v>11451</v>
      </c>
      <c r="D4942" s="25" t="s">
        <v>11046</v>
      </c>
      <c r="E4942" s="26" t="b">
        <v>1</v>
      </c>
      <c r="F4942" s="27" t="str">
        <f>HYPERLINK("http://nsgreg.nga.mil/genc/view?v=119409&amp;gencs=T&amp;end_month=12&amp;end_day=31&amp;end_year=2014","South Lanarkshire")</f>
        <v>South Lanarkshire</v>
      </c>
      <c r="G4942" s="28" t="str">
        <f>HYPERLINK("http://api.nsgreg.nga.mil/geo-division/GENC/6/ed3/GB-SLK","as:GENC:6:ed3:GB-SLK")</f>
        <v>as:GENC:6:ed3:GB-SLK</v>
      </c>
    </row>
    <row r="4943" spans="1:7" x14ac:dyDescent="0.2">
      <c r="A4943" s="85"/>
      <c r="B4943" s="25" t="s">
        <v>11452</v>
      </c>
      <c r="C4943" s="25" t="s">
        <v>11453</v>
      </c>
      <c r="D4943" s="25" t="s">
        <v>11075</v>
      </c>
      <c r="E4943" s="26" t="b">
        <v>1</v>
      </c>
      <c r="F4943" s="27" t="str">
        <f>HYPERLINK("http://nsgreg.nga.mil/genc/view?v=119422&amp;gencs=T&amp;end_month=12&amp;end_day=31&amp;end_year=2014","South Tyneside")</f>
        <v>South Tyneside</v>
      </c>
      <c r="G4943" s="28" t="str">
        <f>HYPERLINK("http://api.nsgreg.nga.mil/geo-division/GENC/6/ed3/GB-STY","as:GENC:6:ed3:GB-STY")</f>
        <v>as:GENC:6:ed3:GB-STY</v>
      </c>
    </row>
    <row r="4944" spans="1:7" x14ac:dyDescent="0.2">
      <c r="A4944" s="85"/>
      <c r="B4944" s="25" t="s">
        <v>11458</v>
      </c>
      <c r="C4944" s="25" t="s">
        <v>11459</v>
      </c>
      <c r="D4944" s="25" t="s">
        <v>11070</v>
      </c>
      <c r="E4944" s="26" t="b">
        <v>1</v>
      </c>
      <c r="F4944" s="27" t="str">
        <f>HYPERLINK("http://nsgreg.nga.mil/genc/view?v=119425&amp;gencs=T&amp;end_month=12&amp;end_day=31&amp;end_year=2014","Southwark")</f>
        <v>Southwark</v>
      </c>
      <c r="G4944" s="28" t="str">
        <f>HYPERLINK("http://api.nsgreg.nga.mil/geo-division/GENC/6/ed3/GB-SWK","as:GENC:6:ed3:GB-SWK")</f>
        <v>as:GENC:6:ed3:GB-SWK</v>
      </c>
    </row>
    <row r="4945" spans="1:7" x14ac:dyDescent="0.2">
      <c r="A4945" s="85"/>
      <c r="B4945" s="25" t="s">
        <v>11462</v>
      </c>
      <c r="C4945" s="25" t="s">
        <v>11463</v>
      </c>
      <c r="D4945" s="25" t="s">
        <v>1788</v>
      </c>
      <c r="E4945" s="26" t="b">
        <v>1</v>
      </c>
      <c r="F4945" s="27" t="str">
        <f>HYPERLINK("http://nsgreg.nga.mil/genc/view?v=211794&amp;end_month=12&amp;end_day=31&amp;end_year=2014","Staffordshire")</f>
        <v>Staffordshire</v>
      </c>
      <c r="G4945" s="28" t="str">
        <f>HYPERLINK("http://api.nsgreg.nga.mil/geo-division/GENC/6/ed3/GB-STS","as:GENC:6:ed3:GB-STS")</f>
        <v>as:GENC:6:ed3:GB-STS</v>
      </c>
    </row>
    <row r="4946" spans="1:7" x14ac:dyDescent="0.2">
      <c r="A4946" s="85"/>
      <c r="B4946" s="25" t="s">
        <v>11460</v>
      </c>
      <c r="C4946" s="25" t="s">
        <v>11461</v>
      </c>
      <c r="D4946" s="25" t="s">
        <v>11075</v>
      </c>
      <c r="E4946" s="26" t="b">
        <v>1</v>
      </c>
      <c r="F4946" s="27" t="str">
        <f>HYPERLINK("http://nsgreg.nga.mil/genc/view?v=119404&amp;gencs=T&amp;end_month=12&amp;end_day=31&amp;end_year=2014","St. Helens")</f>
        <v>St. Helens</v>
      </c>
      <c r="G4946" s="28" t="str">
        <f>HYPERLINK("http://api.nsgreg.nga.mil/geo-division/GENC/6/ed3/GB-SHN","as:GENC:6:ed3:GB-SHN")</f>
        <v>as:GENC:6:ed3:GB-SHN</v>
      </c>
    </row>
    <row r="4947" spans="1:7" x14ac:dyDescent="0.2">
      <c r="A4947" s="85"/>
      <c r="B4947" s="25" t="s">
        <v>11464</v>
      </c>
      <c r="C4947" s="25" t="s">
        <v>11465</v>
      </c>
      <c r="D4947" s="25" t="s">
        <v>11046</v>
      </c>
      <c r="E4947" s="26" t="b">
        <v>1</v>
      </c>
      <c r="F4947" s="27" t="str">
        <f>HYPERLINK("http://nsgreg.nga.mil/genc/view?v=119417&amp;gencs=T&amp;end_month=12&amp;end_day=31&amp;end_year=2014","Stirling")</f>
        <v>Stirling</v>
      </c>
      <c r="G4947" s="28" t="str">
        <f>HYPERLINK("http://api.nsgreg.nga.mil/geo-division/GENC/6/ed3/GB-STG","as:GENC:6:ed3:GB-STG")</f>
        <v>as:GENC:6:ed3:GB-STG</v>
      </c>
    </row>
    <row r="4948" spans="1:7" x14ac:dyDescent="0.2">
      <c r="A4948" s="85"/>
      <c r="B4948" s="25" t="s">
        <v>11466</v>
      </c>
      <c r="C4948" s="25" t="s">
        <v>11467</v>
      </c>
      <c r="D4948" s="25" t="s">
        <v>11075</v>
      </c>
      <c r="E4948" s="26" t="b">
        <v>1</v>
      </c>
      <c r="F4948" s="27" t="str">
        <f>HYPERLINK("http://nsgreg.nga.mil/genc/view?v=119406&amp;gencs=T&amp;end_month=12&amp;end_day=31&amp;end_year=2014","Stockport")</f>
        <v>Stockport</v>
      </c>
      <c r="G4948" s="28" t="str">
        <f>HYPERLINK("http://api.nsgreg.nga.mil/geo-division/GENC/6/ed3/GB-SKP","as:GENC:6:ed3:GB-SKP")</f>
        <v>as:GENC:6:ed3:GB-SKP</v>
      </c>
    </row>
    <row r="4949" spans="1:7" x14ac:dyDescent="0.2">
      <c r="A4949" s="85"/>
      <c r="B4949" s="25" t="s">
        <v>11468</v>
      </c>
      <c r="C4949" s="25" t="s">
        <v>11469</v>
      </c>
      <c r="D4949" s="25" t="s">
        <v>7734</v>
      </c>
      <c r="E4949" s="26" t="b">
        <v>1</v>
      </c>
      <c r="F4949" s="27" t="str">
        <f>HYPERLINK("http://nsgreg.nga.mil/genc/view?v=211795&amp;end_month=12&amp;end_day=31&amp;end_year=2014","Stockton-on-Tees")</f>
        <v>Stockton-on-Tees</v>
      </c>
      <c r="G4949" s="28" t="str">
        <f>HYPERLINK("http://api.nsgreg.nga.mil/geo-division/GENC/6/ed3/GB-STT","as:GENC:6:ed3:GB-STT")</f>
        <v>as:GENC:6:ed3:GB-STT</v>
      </c>
    </row>
    <row r="4950" spans="1:7" x14ac:dyDescent="0.2">
      <c r="A4950" s="85"/>
      <c r="B4950" s="25" t="s">
        <v>11470</v>
      </c>
      <c r="C4950" s="25" t="s">
        <v>11471</v>
      </c>
      <c r="D4950" s="25" t="s">
        <v>7734</v>
      </c>
      <c r="E4950" s="26" t="b">
        <v>1</v>
      </c>
      <c r="F4950" s="27" t="str">
        <f>HYPERLINK("http://nsgreg.nga.mil/genc/view?v=211792&amp;end_month=12&amp;end_day=31&amp;end_year=2014","Stoke-on-Trent")</f>
        <v>Stoke-on-Trent</v>
      </c>
      <c r="G4950" s="28" t="str">
        <f>HYPERLINK("http://api.nsgreg.nga.mil/geo-division/GENC/6/ed3/GB-STE","as:GENC:6:ed3:GB-STE")</f>
        <v>as:GENC:6:ed3:GB-STE</v>
      </c>
    </row>
    <row r="4951" spans="1:7" x14ac:dyDescent="0.2">
      <c r="A4951" s="85"/>
      <c r="B4951" s="25" t="s">
        <v>11472</v>
      </c>
      <c r="C4951" s="25" t="s">
        <v>11473</v>
      </c>
      <c r="D4951" s="25" t="s">
        <v>1790</v>
      </c>
      <c r="E4951" s="26" t="b">
        <v>1</v>
      </c>
      <c r="F4951" s="27" t="str">
        <f>HYPERLINK("http://nsgreg.nga.mil/genc/view?v=211791&amp;end_month=12&amp;end_day=31&amp;end_year=2014","Strabane")</f>
        <v>Strabane</v>
      </c>
      <c r="G4951" s="28" t="str">
        <f>HYPERLINK("http://api.nsgreg.nga.mil/geo-division/GENC/6/ed3/GB-STB","as:GENC:6:ed3:GB-STB")</f>
        <v>as:GENC:6:ed3:GB-STB</v>
      </c>
    </row>
    <row r="4952" spans="1:7" x14ac:dyDescent="0.2">
      <c r="A4952" s="85"/>
      <c r="B4952" s="25" t="s">
        <v>11474</v>
      </c>
      <c r="C4952" s="25" t="s">
        <v>11475</v>
      </c>
      <c r="D4952" s="25" t="s">
        <v>1788</v>
      </c>
      <c r="E4952" s="26" t="b">
        <v>1</v>
      </c>
      <c r="F4952" s="27" t="str">
        <f>HYPERLINK("http://nsgreg.nga.mil/genc/view?v=211784&amp;end_month=12&amp;end_day=31&amp;end_year=2014","Suffolk")</f>
        <v>Suffolk</v>
      </c>
      <c r="G4952" s="28" t="str">
        <f>HYPERLINK("http://api.nsgreg.nga.mil/geo-division/GENC/6/ed3/GB-SFK","as:GENC:6:ed3:GB-SFK")</f>
        <v>as:GENC:6:ed3:GB-SFK</v>
      </c>
    </row>
    <row r="4953" spans="1:7" x14ac:dyDescent="0.2">
      <c r="A4953" s="85"/>
      <c r="B4953" s="25" t="s">
        <v>11476</v>
      </c>
      <c r="C4953" s="25" t="s">
        <v>11477</v>
      </c>
      <c r="D4953" s="25" t="s">
        <v>11075</v>
      </c>
      <c r="E4953" s="26" t="b">
        <v>1</v>
      </c>
      <c r="F4953" s="27" t="str">
        <f>HYPERLINK("http://nsgreg.nga.mil/genc/view?v=119410&amp;gencs=T&amp;end_month=12&amp;end_day=31&amp;end_year=2014","Sunderland")</f>
        <v>Sunderland</v>
      </c>
      <c r="G4953" s="28" t="str">
        <f>HYPERLINK("http://api.nsgreg.nga.mil/geo-division/GENC/6/ed3/GB-SND","as:GENC:6:ed3:GB-SND")</f>
        <v>as:GENC:6:ed3:GB-SND</v>
      </c>
    </row>
    <row r="4954" spans="1:7" x14ac:dyDescent="0.2">
      <c r="A4954" s="85"/>
      <c r="B4954" s="25" t="s">
        <v>11478</v>
      </c>
      <c r="C4954" s="25" t="s">
        <v>11479</v>
      </c>
      <c r="D4954" s="25" t="s">
        <v>1788</v>
      </c>
      <c r="E4954" s="26" t="b">
        <v>1</v>
      </c>
      <c r="F4954" s="27" t="str">
        <f>HYPERLINK("http://nsgreg.nga.mil/genc/view?v=211790&amp;end_month=12&amp;end_day=31&amp;end_year=2014","Surrey")</f>
        <v>Surrey</v>
      </c>
      <c r="G4954" s="28" t="str">
        <f>HYPERLINK("http://api.nsgreg.nga.mil/geo-division/GENC/6/ed3/GB-SRY","as:GENC:6:ed3:GB-SRY")</f>
        <v>as:GENC:6:ed3:GB-SRY</v>
      </c>
    </row>
    <row r="4955" spans="1:7" x14ac:dyDescent="0.2">
      <c r="A4955" s="85"/>
      <c r="B4955" s="25" t="s">
        <v>11480</v>
      </c>
      <c r="C4955" s="25" t="s">
        <v>11481</v>
      </c>
      <c r="D4955" s="25" t="s">
        <v>11070</v>
      </c>
      <c r="E4955" s="26" t="b">
        <v>1</v>
      </c>
      <c r="F4955" s="27" t="str">
        <f>HYPERLINK("http://nsgreg.nga.mil/genc/view?v=119419&amp;gencs=T&amp;end_month=12&amp;end_day=31&amp;end_year=2014","Sutton")</f>
        <v>Sutton</v>
      </c>
      <c r="G4955" s="28" t="str">
        <f>HYPERLINK("http://api.nsgreg.nga.mil/geo-division/GENC/6/ed3/GB-STN","as:GENC:6:ed3:GB-STN")</f>
        <v>as:GENC:6:ed3:GB-STN</v>
      </c>
    </row>
    <row r="4956" spans="1:7" x14ac:dyDescent="0.2">
      <c r="A4956" s="85"/>
      <c r="B4956" s="25" t="s">
        <v>11049</v>
      </c>
      <c r="C4956" s="25" t="s">
        <v>11482</v>
      </c>
      <c r="D4956" s="25" t="s">
        <v>7734</v>
      </c>
      <c r="E4956" s="26" t="b">
        <v>1</v>
      </c>
      <c r="F4956" s="27" t="str">
        <f>HYPERLINK("http://nsgreg.nga.mil/genc/view?v=211796&amp;end_month=12&amp;end_day=31&amp;end_year=2014","Swansea")</f>
        <v>Swansea</v>
      </c>
      <c r="G4956" s="28" t="str">
        <f>HYPERLINK("http://api.nsgreg.nga.mil/geo-division/GENC/6/ed3/GB-SWA","as:GENC:6:ed3:GB-SWA")</f>
        <v>as:GENC:6:ed3:GB-SWA</v>
      </c>
    </row>
    <row r="4957" spans="1:7" x14ac:dyDescent="0.2">
      <c r="A4957" s="85"/>
      <c r="B4957" s="25" t="s">
        <v>11483</v>
      </c>
      <c r="C4957" s="25" t="s">
        <v>11484</v>
      </c>
      <c r="D4957" s="25" t="s">
        <v>7734</v>
      </c>
      <c r="E4957" s="26" t="b">
        <v>1</v>
      </c>
      <c r="F4957" s="27" t="str">
        <f>HYPERLINK("http://nsgreg.nga.mil/genc/view?v=211797&amp;end_month=12&amp;end_day=31&amp;end_year=2014","Swindon")</f>
        <v>Swindon</v>
      </c>
      <c r="G4957" s="28" t="str">
        <f>HYPERLINK("http://api.nsgreg.nga.mil/geo-division/GENC/6/ed3/GB-SWD","as:GENC:6:ed3:GB-SWD")</f>
        <v>as:GENC:6:ed3:GB-SWD</v>
      </c>
    </row>
    <row r="4958" spans="1:7" x14ac:dyDescent="0.2">
      <c r="A4958" s="85"/>
      <c r="B4958" s="25" t="s">
        <v>11485</v>
      </c>
      <c r="C4958" s="25" t="s">
        <v>11486</v>
      </c>
      <c r="D4958" s="25" t="s">
        <v>11075</v>
      </c>
      <c r="E4958" s="26" t="b">
        <v>1</v>
      </c>
      <c r="F4958" s="27" t="str">
        <f>HYPERLINK("http://nsgreg.nga.mil/genc/view?v=119426&amp;gencs=T&amp;end_month=12&amp;end_day=31&amp;end_year=2014","Tameside")</f>
        <v>Tameside</v>
      </c>
      <c r="G4958" s="28" t="str">
        <f>HYPERLINK("http://api.nsgreg.nga.mil/geo-division/GENC/6/ed3/GB-TAM","as:GENC:6:ed3:GB-TAM")</f>
        <v>as:GENC:6:ed3:GB-TAM</v>
      </c>
    </row>
    <row r="4959" spans="1:7" x14ac:dyDescent="0.2">
      <c r="A4959" s="85"/>
      <c r="B4959" s="25" t="s">
        <v>11487</v>
      </c>
      <c r="C4959" s="25" t="s">
        <v>11488</v>
      </c>
      <c r="D4959" s="25" t="s">
        <v>7734</v>
      </c>
      <c r="E4959" s="26" t="b">
        <v>1</v>
      </c>
      <c r="F4959" s="27" t="str">
        <f>HYPERLINK("http://nsgreg.nga.mil/genc/view?v=211798&amp;end_month=12&amp;end_day=31&amp;end_year=2014","Telford and Wrekin")</f>
        <v>Telford and Wrekin</v>
      </c>
      <c r="G4959" s="28" t="str">
        <f>HYPERLINK("http://api.nsgreg.nga.mil/geo-division/GENC/6/ed3/GB-TFW","as:GENC:6:ed3:GB-TFW")</f>
        <v>as:GENC:6:ed3:GB-TFW</v>
      </c>
    </row>
    <row r="4960" spans="1:7" x14ac:dyDescent="0.2">
      <c r="A4960" s="85"/>
      <c r="B4960" s="25" t="s">
        <v>11489</v>
      </c>
      <c r="C4960" s="25" t="s">
        <v>11490</v>
      </c>
      <c r="D4960" s="25" t="s">
        <v>7734</v>
      </c>
      <c r="E4960" s="26" t="b">
        <v>1</v>
      </c>
      <c r="F4960" s="27" t="str">
        <f>HYPERLINK("http://nsgreg.nga.mil/genc/view?v=211799&amp;end_month=12&amp;end_day=31&amp;end_year=2014","Thurrock")</f>
        <v>Thurrock</v>
      </c>
      <c r="G4960" s="28" t="str">
        <f>HYPERLINK("http://api.nsgreg.nga.mil/geo-division/GENC/6/ed3/GB-THR","as:GENC:6:ed3:GB-THR")</f>
        <v>as:GENC:6:ed3:GB-THR</v>
      </c>
    </row>
    <row r="4961" spans="1:7" x14ac:dyDescent="0.2">
      <c r="A4961" s="85"/>
      <c r="B4961" s="25" t="s">
        <v>11493</v>
      </c>
      <c r="C4961" s="25" t="s">
        <v>11494</v>
      </c>
      <c r="D4961" s="25" t="s">
        <v>7734</v>
      </c>
      <c r="E4961" s="26" t="b">
        <v>1</v>
      </c>
      <c r="F4961" s="27" t="str">
        <f>HYPERLINK("http://nsgreg.nga.mil/genc/view?v=211800&amp;end_month=12&amp;end_day=31&amp;end_year=2014","Torbay")</f>
        <v>Torbay</v>
      </c>
      <c r="G4961" s="28" t="str">
        <f>HYPERLINK("http://api.nsgreg.nga.mil/geo-division/GENC/6/ed3/GB-TOB","as:GENC:6:ed3:GB-TOB")</f>
        <v>as:GENC:6:ed3:GB-TOB</v>
      </c>
    </row>
    <row r="4962" spans="1:7" x14ac:dyDescent="0.2">
      <c r="A4962" s="85"/>
      <c r="B4962" s="25" t="s">
        <v>11491</v>
      </c>
      <c r="C4962" s="25" t="s">
        <v>11495</v>
      </c>
      <c r="D4962" s="25" t="s">
        <v>7734</v>
      </c>
      <c r="E4962" s="26" t="b">
        <v>1</v>
      </c>
      <c r="F4962" s="27" t="str">
        <f>HYPERLINK("http://nsgreg.nga.mil/genc/view?v=211801&amp;end_month=12&amp;end_day=31&amp;end_year=2014","Torfaen")</f>
        <v>Torfaen</v>
      </c>
      <c r="G4962" s="28" t="str">
        <f>HYPERLINK("http://api.nsgreg.nga.mil/geo-division/GENC/6/ed3/GB-TOF","as:GENC:6:ed3:GB-TOF")</f>
        <v>as:GENC:6:ed3:GB-TOF</v>
      </c>
    </row>
    <row r="4963" spans="1:7" x14ac:dyDescent="0.2">
      <c r="A4963" s="85"/>
      <c r="B4963" s="25" t="s">
        <v>11496</v>
      </c>
      <c r="C4963" s="25" t="s">
        <v>11497</v>
      </c>
      <c r="D4963" s="25" t="s">
        <v>11070</v>
      </c>
      <c r="E4963" s="26" t="b">
        <v>1</v>
      </c>
      <c r="F4963" s="27" t="str">
        <f>HYPERLINK("http://nsgreg.nga.mil/genc/view?v=119432&amp;gencs=T&amp;end_month=12&amp;end_day=31&amp;end_year=2014","Tower Hamlets")</f>
        <v>Tower Hamlets</v>
      </c>
      <c r="G4963" s="28" t="str">
        <f>HYPERLINK("http://api.nsgreg.nga.mil/geo-division/GENC/6/ed3/GB-TWH","as:GENC:6:ed3:GB-TWH")</f>
        <v>as:GENC:6:ed3:GB-TWH</v>
      </c>
    </row>
    <row r="4964" spans="1:7" x14ac:dyDescent="0.2">
      <c r="A4964" s="85"/>
      <c r="B4964" s="25" t="s">
        <v>11498</v>
      </c>
      <c r="C4964" s="25" t="s">
        <v>11499</v>
      </c>
      <c r="D4964" s="25" t="s">
        <v>11075</v>
      </c>
      <c r="E4964" s="26" t="b">
        <v>1</v>
      </c>
      <c r="F4964" s="27" t="str">
        <f>HYPERLINK("http://nsgreg.nga.mil/genc/view?v=119431&amp;gencs=T&amp;end_month=12&amp;end_day=31&amp;end_year=2014","Trafford")</f>
        <v>Trafford</v>
      </c>
      <c r="G4964" s="28" t="str">
        <f>HYPERLINK("http://api.nsgreg.nga.mil/geo-division/GENC/6/ed3/GB-TRF","as:GENC:6:ed3:GB-TRF")</f>
        <v>as:GENC:6:ed3:GB-TRF</v>
      </c>
    </row>
    <row r="4965" spans="1:7" x14ac:dyDescent="0.2">
      <c r="A4965" s="85"/>
      <c r="B4965" s="25" t="s">
        <v>11108</v>
      </c>
      <c r="C4965" s="25" t="s">
        <v>11501</v>
      </c>
      <c r="D4965" s="25" t="s">
        <v>7734</v>
      </c>
      <c r="E4965" s="26" t="b">
        <v>1</v>
      </c>
      <c r="F4965" s="27" t="str">
        <f>HYPERLINK("http://nsgreg.nga.mil/genc/view?v=211802&amp;end_month=12&amp;end_day=31&amp;end_year=2014","Vale of Glamorgan, The")</f>
        <v>Vale of Glamorgan, The</v>
      </c>
      <c r="G4965" s="28" t="str">
        <f>HYPERLINK("http://api.nsgreg.nga.mil/geo-division/GENC/6/ed3/GB-VGL","as:GENC:6:ed3:GB-VGL")</f>
        <v>as:GENC:6:ed3:GB-VGL</v>
      </c>
    </row>
    <row r="4966" spans="1:7" x14ac:dyDescent="0.2">
      <c r="A4966" s="85"/>
      <c r="B4966" s="25" t="s">
        <v>11502</v>
      </c>
      <c r="C4966" s="25" t="s">
        <v>11503</v>
      </c>
      <c r="D4966" s="25" t="s">
        <v>11075</v>
      </c>
      <c r="E4966" s="26" t="b">
        <v>1</v>
      </c>
      <c r="F4966" s="27" t="str">
        <f>HYPERLINK("http://nsgreg.nga.mil/genc/view?v=119440&amp;gencs=T&amp;end_month=12&amp;end_day=31&amp;end_year=2014","Wakefield")</f>
        <v>Wakefield</v>
      </c>
      <c r="G4966" s="28" t="str">
        <f>HYPERLINK("http://api.nsgreg.nga.mil/geo-division/GENC/6/ed3/GB-WKF","as:GENC:6:ed3:GB-WKF")</f>
        <v>as:GENC:6:ed3:GB-WKF</v>
      </c>
    </row>
    <row r="4967" spans="1:7" x14ac:dyDescent="0.2">
      <c r="A4967" s="85"/>
      <c r="B4967" s="25" t="s">
        <v>11165</v>
      </c>
      <c r="C4967" s="25" t="s">
        <v>11504</v>
      </c>
      <c r="D4967" s="37" t="s">
        <v>7688</v>
      </c>
      <c r="E4967" s="38" t="b">
        <v>0</v>
      </c>
      <c r="F4967" s="27" t="str">
        <f>HYPERLINK("http://nsgreg.nga.mil/genc/view?v=211806&amp;end_month=12&amp;end_day=31&amp;end_year=2014","Wales")</f>
        <v>Wales</v>
      </c>
      <c r="G4967" s="28" t="str">
        <f>HYPERLINK("http://api.nsgreg.nga.mil/geo-division/GENC/6/ed3/GB-WLS","as:GENC:6:ed3:GB-WLS")</f>
        <v>as:GENC:6:ed3:GB-WLS</v>
      </c>
    </row>
    <row r="4968" spans="1:7" x14ac:dyDescent="0.2">
      <c r="A4968" s="85"/>
      <c r="B4968" s="25" t="s">
        <v>11505</v>
      </c>
      <c r="C4968" s="25" t="s">
        <v>11506</v>
      </c>
      <c r="D4968" s="25" t="s">
        <v>11075</v>
      </c>
      <c r="E4968" s="26" t="b">
        <v>1</v>
      </c>
      <c r="F4968" s="27" t="str">
        <f>HYPERLINK("http://nsgreg.nga.mil/genc/view?v=119441&amp;gencs=T&amp;end_month=12&amp;end_day=31&amp;end_year=2014","Walsall")</f>
        <v>Walsall</v>
      </c>
      <c r="G4968" s="28" t="str">
        <f>HYPERLINK("http://api.nsgreg.nga.mil/geo-division/GENC/6/ed3/GB-WLL","as:GENC:6:ed3:GB-WLL")</f>
        <v>as:GENC:6:ed3:GB-WLL</v>
      </c>
    </row>
    <row r="4969" spans="1:7" x14ac:dyDescent="0.2">
      <c r="A4969" s="85"/>
      <c r="B4969" s="25" t="s">
        <v>11507</v>
      </c>
      <c r="C4969" s="25" t="s">
        <v>11508</v>
      </c>
      <c r="D4969" s="25" t="s">
        <v>11070</v>
      </c>
      <c r="E4969" s="26" t="b">
        <v>1</v>
      </c>
      <c r="F4969" s="27" t="str">
        <f>HYPERLINK("http://nsgreg.nga.mil/genc/view?v=119437&amp;gencs=T&amp;end_month=12&amp;end_day=31&amp;end_year=2014","Waltham Forest")</f>
        <v>Waltham Forest</v>
      </c>
      <c r="G4969" s="28" t="str">
        <f>HYPERLINK("http://api.nsgreg.nga.mil/geo-division/GENC/6/ed3/GB-WFT","as:GENC:6:ed3:GB-WFT")</f>
        <v>as:GENC:6:ed3:GB-WFT</v>
      </c>
    </row>
    <row r="4970" spans="1:7" x14ac:dyDescent="0.2">
      <c r="A4970" s="85"/>
      <c r="B4970" s="25" t="s">
        <v>11509</v>
      </c>
      <c r="C4970" s="25" t="s">
        <v>11510</v>
      </c>
      <c r="D4970" s="25" t="s">
        <v>11070</v>
      </c>
      <c r="E4970" s="26" t="b">
        <v>1</v>
      </c>
      <c r="F4970" s="27" t="str">
        <f>HYPERLINK("http://nsgreg.nga.mil/genc/view?v=119445&amp;gencs=T&amp;end_month=12&amp;end_day=31&amp;end_year=2014","Wandsworth")</f>
        <v>Wandsworth</v>
      </c>
      <c r="G4970" s="28" t="str">
        <f>HYPERLINK("http://api.nsgreg.nga.mil/geo-division/GENC/6/ed3/GB-WND","as:GENC:6:ed3:GB-WND")</f>
        <v>as:GENC:6:ed3:GB-WND</v>
      </c>
    </row>
    <row r="4971" spans="1:7" x14ac:dyDescent="0.2">
      <c r="A4971" s="85"/>
      <c r="B4971" s="25" t="s">
        <v>11511</v>
      </c>
      <c r="C4971" s="25" t="s">
        <v>11512</v>
      </c>
      <c r="D4971" s="25" t="s">
        <v>7734</v>
      </c>
      <c r="E4971" s="26" t="b">
        <v>1</v>
      </c>
      <c r="F4971" s="27" t="str">
        <f>HYPERLINK("http://nsgreg.nga.mil/genc/view?v=211810&amp;end_month=12&amp;end_day=31&amp;end_year=2014","Warrington")</f>
        <v>Warrington</v>
      </c>
      <c r="G4971" s="28" t="str">
        <f>HYPERLINK("http://api.nsgreg.nga.mil/geo-division/GENC/6/ed3/GB-WRT","as:GENC:6:ed3:GB-WRT")</f>
        <v>as:GENC:6:ed3:GB-WRT</v>
      </c>
    </row>
    <row r="4972" spans="1:7" x14ac:dyDescent="0.2">
      <c r="A4972" s="85"/>
      <c r="B4972" s="25" t="s">
        <v>11513</v>
      </c>
      <c r="C4972" s="25" t="s">
        <v>11514</v>
      </c>
      <c r="D4972" s="25" t="s">
        <v>11114</v>
      </c>
      <c r="E4972" s="26" t="b">
        <v>1</v>
      </c>
      <c r="F4972" s="27" t="str">
        <f>HYPERLINK("http://nsgreg.nga.mil/genc/view?v=211803&amp;end_month=12&amp;end_day=31&amp;end_year=2014","Warwickshire")</f>
        <v>Warwickshire</v>
      </c>
      <c r="G4972" s="28" t="str">
        <f>HYPERLINK("http://api.nsgreg.nga.mil/geo-division/GENC/6/ed3/GB-WAR","as:GENC:6:ed3:GB-WAR")</f>
        <v>as:GENC:6:ed3:GB-WAR</v>
      </c>
    </row>
    <row r="4973" spans="1:7" x14ac:dyDescent="0.2">
      <c r="A4973" s="85"/>
      <c r="B4973" s="25" t="s">
        <v>11515</v>
      </c>
      <c r="C4973" s="25" t="s">
        <v>11516</v>
      </c>
      <c r="D4973" s="25" t="s">
        <v>7734</v>
      </c>
      <c r="E4973" s="26" t="b">
        <v>1</v>
      </c>
      <c r="F4973" s="27" t="str">
        <f>HYPERLINK("http://nsgreg.nga.mil/genc/view?v=211804&amp;end_month=12&amp;end_day=31&amp;end_year=2014","West Berkshire")</f>
        <v>West Berkshire</v>
      </c>
      <c r="G4973" s="28" t="str">
        <f>HYPERLINK("http://api.nsgreg.nga.mil/geo-division/GENC/6/ed3/GB-WBK","as:GENC:6:ed3:GB-WBK")</f>
        <v>as:GENC:6:ed3:GB-WBK</v>
      </c>
    </row>
    <row r="4974" spans="1:7" x14ac:dyDescent="0.2">
      <c r="A4974" s="85"/>
      <c r="B4974" s="25" t="s">
        <v>11517</v>
      </c>
      <c r="C4974" s="25" t="s">
        <v>11518</v>
      </c>
      <c r="D4974" s="25" t="s">
        <v>11046</v>
      </c>
      <c r="E4974" s="26" t="b">
        <v>1</v>
      </c>
      <c r="F4974" s="27" t="str">
        <f>HYPERLINK("http://nsgreg.nga.mil/genc/view?v=119436&amp;gencs=T&amp;end_month=12&amp;end_day=31&amp;end_year=2014","West Dunbartonshire")</f>
        <v>West Dunbartonshire</v>
      </c>
      <c r="G4974" s="28" t="str">
        <f>HYPERLINK("http://api.nsgreg.nga.mil/geo-division/GENC/6/ed3/GB-WDU","as:GENC:6:ed3:GB-WDU")</f>
        <v>as:GENC:6:ed3:GB-WDU</v>
      </c>
    </row>
    <row r="4975" spans="1:7" x14ac:dyDescent="0.2">
      <c r="A4975" s="85"/>
      <c r="B4975" s="25" t="s">
        <v>11519</v>
      </c>
      <c r="C4975" s="25" t="s">
        <v>11520</v>
      </c>
      <c r="D4975" s="25" t="s">
        <v>11046</v>
      </c>
      <c r="E4975" s="26" t="b">
        <v>1</v>
      </c>
      <c r="F4975" s="27" t="str">
        <f>HYPERLINK("http://nsgreg.nga.mil/genc/view?v=119442&amp;gencs=T&amp;end_month=12&amp;end_day=31&amp;end_year=2014","West Lothian")</f>
        <v>West Lothian</v>
      </c>
      <c r="G4975" s="28" t="str">
        <f>HYPERLINK("http://api.nsgreg.nga.mil/geo-division/GENC/6/ed3/GB-WLN","as:GENC:6:ed3:GB-WLN")</f>
        <v>as:GENC:6:ed3:GB-WLN</v>
      </c>
    </row>
    <row r="4976" spans="1:7" x14ac:dyDescent="0.2">
      <c r="A4976" s="85"/>
      <c r="B4976" s="25" t="s">
        <v>11523</v>
      </c>
      <c r="C4976" s="25" t="s">
        <v>11524</v>
      </c>
      <c r="D4976" s="25" t="s">
        <v>11070</v>
      </c>
      <c r="E4976" s="26" t="b">
        <v>1</v>
      </c>
      <c r="F4976" s="27" t="str">
        <f>HYPERLINK("http://nsgreg.nga.mil/genc/view?v=119452&amp;gencs=T&amp;end_month=12&amp;end_day=31&amp;end_year=2014","Westminster")</f>
        <v>Westminster</v>
      </c>
      <c r="G4976" s="28" t="str">
        <f>HYPERLINK("http://api.nsgreg.nga.mil/geo-division/GENC/6/ed3/GB-WSM","as:GENC:6:ed3:GB-WSM")</f>
        <v>as:GENC:6:ed3:GB-WSM</v>
      </c>
    </row>
    <row r="4977" spans="1:7" x14ac:dyDescent="0.2">
      <c r="A4977" s="85"/>
      <c r="B4977" s="25" t="s">
        <v>11521</v>
      </c>
      <c r="C4977" s="25" t="s">
        <v>11522</v>
      </c>
      <c r="D4977" s="25" t="s">
        <v>1788</v>
      </c>
      <c r="E4977" s="26" t="b">
        <v>1</v>
      </c>
      <c r="F4977" s="27" t="str">
        <f>HYPERLINK("http://nsgreg.nga.mil/genc/view?v=211812&amp;end_month=12&amp;end_day=31&amp;end_year=2014","West Sussex")</f>
        <v>West Sussex</v>
      </c>
      <c r="G4977" s="28" t="str">
        <f>HYPERLINK("http://api.nsgreg.nga.mil/geo-division/GENC/6/ed3/GB-WSX","as:GENC:6:ed3:GB-WSX")</f>
        <v>as:GENC:6:ed3:GB-WSX</v>
      </c>
    </row>
    <row r="4978" spans="1:7" x14ac:dyDescent="0.2">
      <c r="A4978" s="85"/>
      <c r="B4978" s="25" t="s">
        <v>11525</v>
      </c>
      <c r="C4978" s="25" t="s">
        <v>11526</v>
      </c>
      <c r="D4978" s="25" t="s">
        <v>11075</v>
      </c>
      <c r="E4978" s="26" t="b">
        <v>1</v>
      </c>
      <c r="F4978" s="27" t="str">
        <f>HYPERLINK("http://nsgreg.nga.mil/genc/view?v=119438&amp;gencs=T&amp;end_month=12&amp;end_day=31&amp;end_year=2014","Wigan")</f>
        <v>Wigan</v>
      </c>
      <c r="G4978" s="28" t="str">
        <f>HYPERLINK("http://api.nsgreg.nga.mil/geo-division/GENC/6/ed3/GB-WGN","as:GENC:6:ed3:GB-WGN")</f>
        <v>as:GENC:6:ed3:GB-WGN</v>
      </c>
    </row>
    <row r="4979" spans="1:7" x14ac:dyDescent="0.2">
      <c r="A4979" s="85"/>
      <c r="B4979" s="25" t="s">
        <v>11527</v>
      </c>
      <c r="C4979" s="25" t="s">
        <v>11528</v>
      </c>
      <c r="D4979" s="25" t="s">
        <v>7734</v>
      </c>
      <c r="E4979" s="26" t="b">
        <v>1</v>
      </c>
      <c r="F4979" s="27" t="str">
        <f>HYPERLINK("http://nsgreg.nga.mil/genc/view?v=211805&amp;end_month=12&amp;end_day=31&amp;end_year=2014","Wiltshire")</f>
        <v>Wiltshire</v>
      </c>
      <c r="G4979" s="28" t="str">
        <f>HYPERLINK("http://api.nsgreg.nga.mil/geo-division/GENC/6/ed3/GB-WIL","as:GENC:6:ed3:GB-WIL")</f>
        <v>as:GENC:6:ed3:GB-WIL</v>
      </c>
    </row>
    <row r="4980" spans="1:7" x14ac:dyDescent="0.2">
      <c r="A4980" s="85"/>
      <c r="B4980" s="25" t="s">
        <v>11529</v>
      </c>
      <c r="C4980" s="25" t="s">
        <v>11530</v>
      </c>
      <c r="D4980" s="25" t="s">
        <v>7734</v>
      </c>
      <c r="E4980" s="26" t="b">
        <v>1</v>
      </c>
      <c r="F4980" s="27" t="str">
        <f>HYPERLINK("http://nsgreg.nga.mil/genc/view?v=211807&amp;end_month=12&amp;end_day=31&amp;end_year=2014","Windsor and Maidenhead")</f>
        <v>Windsor and Maidenhead</v>
      </c>
      <c r="G4980" s="28" t="str">
        <f>HYPERLINK("http://api.nsgreg.nga.mil/geo-division/GENC/6/ed3/GB-WNM","as:GENC:6:ed3:GB-WNM")</f>
        <v>as:GENC:6:ed3:GB-WNM</v>
      </c>
    </row>
    <row r="4981" spans="1:7" x14ac:dyDescent="0.2">
      <c r="A4981" s="85"/>
      <c r="B4981" s="25" t="s">
        <v>11531</v>
      </c>
      <c r="C4981" s="25" t="s">
        <v>11532</v>
      </c>
      <c r="D4981" s="25" t="s">
        <v>11075</v>
      </c>
      <c r="E4981" s="26" t="b">
        <v>1</v>
      </c>
      <c r="F4981" s="27" t="str">
        <f>HYPERLINK("http://nsgreg.nga.mil/genc/view?v=119449&amp;gencs=T&amp;end_month=12&amp;end_day=31&amp;end_year=2014","Wirral")</f>
        <v>Wirral</v>
      </c>
      <c r="G4981" s="28" t="str">
        <f>HYPERLINK("http://api.nsgreg.nga.mil/geo-division/GENC/6/ed3/GB-WRL","as:GENC:6:ed3:GB-WRL")</f>
        <v>as:GENC:6:ed3:GB-WRL</v>
      </c>
    </row>
    <row r="4982" spans="1:7" x14ac:dyDescent="0.2">
      <c r="A4982" s="85"/>
      <c r="B4982" s="25" t="s">
        <v>11533</v>
      </c>
      <c r="C4982" s="25" t="s">
        <v>11534</v>
      </c>
      <c r="D4982" s="25" t="s">
        <v>7734</v>
      </c>
      <c r="E4982" s="26" t="b">
        <v>1</v>
      </c>
      <c r="F4982" s="27" t="str">
        <f>HYPERLINK("http://nsgreg.nga.mil/genc/view?v=211808&amp;end_month=12&amp;end_day=31&amp;end_year=2014","Wokingham")</f>
        <v>Wokingham</v>
      </c>
      <c r="G4982" s="28" t="str">
        <f>HYPERLINK("http://api.nsgreg.nga.mil/geo-division/GENC/6/ed3/GB-WOK","as:GENC:6:ed3:GB-WOK")</f>
        <v>as:GENC:6:ed3:GB-WOK</v>
      </c>
    </row>
    <row r="4983" spans="1:7" x14ac:dyDescent="0.2">
      <c r="A4983" s="85"/>
      <c r="B4983" s="25" t="s">
        <v>11535</v>
      </c>
      <c r="C4983" s="25" t="s">
        <v>11536</v>
      </c>
      <c r="D4983" s="25" t="s">
        <v>11075</v>
      </c>
      <c r="E4983" s="26" t="b">
        <v>1</v>
      </c>
      <c r="F4983" s="27" t="str">
        <f>HYPERLINK("http://nsgreg.nga.mil/genc/view?v=119444&amp;gencs=T&amp;end_month=12&amp;end_day=31&amp;end_year=2014","Wolverhampton")</f>
        <v>Wolverhampton</v>
      </c>
      <c r="G4983" s="28" t="str">
        <f>HYPERLINK("http://api.nsgreg.nga.mil/geo-division/GENC/6/ed3/GB-WLV","as:GENC:6:ed3:GB-WLV")</f>
        <v>as:GENC:6:ed3:GB-WLV</v>
      </c>
    </row>
    <row r="4984" spans="1:7" x14ac:dyDescent="0.2">
      <c r="A4984" s="85"/>
      <c r="B4984" s="25" t="s">
        <v>11537</v>
      </c>
      <c r="C4984" s="25" t="s">
        <v>11538</v>
      </c>
      <c r="D4984" s="25" t="s">
        <v>1788</v>
      </c>
      <c r="E4984" s="26" t="b">
        <v>1</v>
      </c>
      <c r="F4984" s="27" t="str">
        <f>HYPERLINK("http://nsgreg.nga.mil/genc/view?v=211809&amp;end_month=12&amp;end_day=31&amp;end_year=2014","Worcestershire")</f>
        <v>Worcestershire</v>
      </c>
      <c r="G4984" s="28" t="str">
        <f>HYPERLINK("http://api.nsgreg.nga.mil/geo-division/GENC/6/ed3/GB-WOR","as:GENC:6:ed3:GB-WOR")</f>
        <v>as:GENC:6:ed3:GB-WOR</v>
      </c>
    </row>
    <row r="4985" spans="1:7" x14ac:dyDescent="0.2">
      <c r="A4985" s="85"/>
      <c r="B4985" s="25" t="s">
        <v>11539</v>
      </c>
      <c r="C4985" s="25" t="s">
        <v>11541</v>
      </c>
      <c r="D4985" s="25" t="s">
        <v>7734</v>
      </c>
      <c r="E4985" s="26" t="b">
        <v>1</v>
      </c>
      <c r="F4985" s="27" t="str">
        <f>HYPERLINK("http://nsgreg.nga.mil/genc/view?v=211811&amp;end_month=12&amp;end_day=31&amp;end_year=2014","Wrexham")</f>
        <v>Wrexham</v>
      </c>
      <c r="G4985" s="28" t="str">
        <f>HYPERLINK("http://api.nsgreg.nga.mil/geo-division/GENC/6/ed3/GB-WRX","as:GENC:6:ed3:GB-WRX")</f>
        <v>as:GENC:6:ed3:GB-WRX</v>
      </c>
    </row>
    <row r="4986" spans="1:7" x14ac:dyDescent="0.2">
      <c r="A4986" s="86"/>
      <c r="B4986" s="29" t="s">
        <v>11542</v>
      </c>
      <c r="C4986" s="29" t="s">
        <v>11543</v>
      </c>
      <c r="D4986" s="29" t="s">
        <v>7734</v>
      </c>
      <c r="E4986" s="30" t="b">
        <v>1</v>
      </c>
      <c r="F4986" s="31" t="str">
        <f>HYPERLINK("http://nsgreg.nga.mil/genc/view?v=211813&amp;end_month=12&amp;end_day=31&amp;end_year=2014","York")</f>
        <v>York</v>
      </c>
      <c r="G4986" s="32" t="str">
        <f>HYPERLINK("http://api.nsgreg.nga.mil/geo-division/GENC/6/ed3/GB-YOR","as:GENC:6:ed3:GB-YOR")</f>
        <v>as:GENC:6:ed3:GB-YOR</v>
      </c>
    </row>
    <row r="4987" spans="1:7" x14ac:dyDescent="0.2">
      <c r="A4987" s="84" t="str">
        <f>HYPERLINK("[#]Codes_for_GE_Names!A267:I267","UNITED STATES")</f>
        <v>UNITED STATES</v>
      </c>
      <c r="B4987" s="33" t="s">
        <v>11544</v>
      </c>
      <c r="C4987" s="33" t="s">
        <v>11545</v>
      </c>
      <c r="D4987" s="33" t="s">
        <v>2113</v>
      </c>
      <c r="E4987" s="34" t="b">
        <v>1</v>
      </c>
      <c r="F4987" s="35" t="str">
        <f>HYPERLINK("http://nsgreg.nga.mil/genc/view?v=122616&amp;gencs=T&amp;end_month=12&amp;end_day=31&amp;end_year=2014","Alabama")</f>
        <v>Alabama</v>
      </c>
      <c r="G4987" s="36" t="str">
        <f>HYPERLINK("http://api.nsgreg.nga.mil/geo-division/GENC/6/ed3/US-AL","as:GENC:6:ed3:US-AL")</f>
        <v>as:GENC:6:ed3:US-AL</v>
      </c>
    </row>
    <row r="4988" spans="1:7" x14ac:dyDescent="0.2">
      <c r="A4988" s="85"/>
      <c r="B4988" s="25" t="s">
        <v>11546</v>
      </c>
      <c r="C4988" s="25" t="s">
        <v>11547</v>
      </c>
      <c r="D4988" s="25" t="s">
        <v>2113</v>
      </c>
      <c r="E4988" s="26" t="b">
        <v>1</v>
      </c>
      <c r="F4988" s="27" t="str">
        <f>HYPERLINK("http://nsgreg.nga.mil/genc/view?v=122615&amp;gencs=T&amp;end_month=12&amp;end_day=31&amp;end_year=2014","Alaska")</f>
        <v>Alaska</v>
      </c>
      <c r="G4988" s="28" t="str">
        <f>HYPERLINK("http://api.nsgreg.nga.mil/geo-division/GENC/6/ed3/US-AK","as:GENC:6:ed3:US-AK")</f>
        <v>as:GENC:6:ed3:US-AK</v>
      </c>
    </row>
    <row r="4989" spans="1:7" x14ac:dyDescent="0.2">
      <c r="A4989" s="85"/>
      <c r="B4989" s="25" t="s">
        <v>11551</v>
      </c>
      <c r="C4989" s="25" t="s">
        <v>11552</v>
      </c>
      <c r="D4989" s="25" t="s">
        <v>2113</v>
      </c>
      <c r="E4989" s="26" t="b">
        <v>1</v>
      </c>
      <c r="F4989" s="27" t="str">
        <f>HYPERLINK("http://nsgreg.nga.mil/genc/view?v=122619&amp;gencs=T&amp;end_month=12&amp;end_day=31&amp;end_year=2014","Arizona")</f>
        <v>Arizona</v>
      </c>
      <c r="G4989" s="28" t="str">
        <f>HYPERLINK("http://api.nsgreg.nga.mil/geo-division/GENC/6/ed3/US-AZ","as:GENC:6:ed3:US-AZ")</f>
        <v>as:GENC:6:ed3:US-AZ</v>
      </c>
    </row>
    <row r="4990" spans="1:7" x14ac:dyDescent="0.2">
      <c r="A4990" s="85"/>
      <c r="B4990" s="25" t="s">
        <v>11553</v>
      </c>
      <c r="C4990" s="25" t="s">
        <v>11554</v>
      </c>
      <c r="D4990" s="25" t="s">
        <v>2113</v>
      </c>
      <c r="E4990" s="26" t="b">
        <v>1</v>
      </c>
      <c r="F4990" s="27" t="str">
        <f>HYPERLINK("http://nsgreg.nga.mil/genc/view?v=122617&amp;gencs=T&amp;end_month=12&amp;end_day=31&amp;end_year=2014","Arkansas")</f>
        <v>Arkansas</v>
      </c>
      <c r="G4990" s="28" t="str">
        <f>HYPERLINK("http://api.nsgreg.nga.mil/geo-division/GENC/6/ed3/US-AR","as:GENC:6:ed3:US-AR")</f>
        <v>as:GENC:6:ed3:US-AR</v>
      </c>
    </row>
    <row r="4991" spans="1:7" x14ac:dyDescent="0.2">
      <c r="A4991" s="85"/>
      <c r="B4991" s="25" t="s">
        <v>11555</v>
      </c>
      <c r="C4991" s="25" t="s">
        <v>11556</v>
      </c>
      <c r="D4991" s="25" t="s">
        <v>2113</v>
      </c>
      <c r="E4991" s="26" t="b">
        <v>1</v>
      </c>
      <c r="F4991" s="27" t="str">
        <f>HYPERLINK("http://nsgreg.nga.mil/genc/view?v=122620&amp;gencs=T&amp;end_month=12&amp;end_day=31&amp;end_year=2014","California")</f>
        <v>California</v>
      </c>
      <c r="G4991" s="28" t="str">
        <f>HYPERLINK("http://api.nsgreg.nga.mil/geo-division/GENC/6/ed3/US-CA","as:GENC:6:ed3:US-CA")</f>
        <v>as:GENC:6:ed3:US-CA</v>
      </c>
    </row>
    <row r="4992" spans="1:7" x14ac:dyDescent="0.2">
      <c r="A4992" s="85"/>
      <c r="B4992" s="25" t="s">
        <v>11557</v>
      </c>
      <c r="C4992" s="25" t="s">
        <v>11558</v>
      </c>
      <c r="D4992" s="25" t="s">
        <v>2113</v>
      </c>
      <c r="E4992" s="26" t="b">
        <v>1</v>
      </c>
      <c r="F4992" s="27" t="str">
        <f>HYPERLINK("http://nsgreg.nga.mil/genc/view?v=122621&amp;gencs=T&amp;end_month=12&amp;end_day=31&amp;end_year=2014","Colorado")</f>
        <v>Colorado</v>
      </c>
      <c r="G4992" s="28" t="str">
        <f>HYPERLINK("http://api.nsgreg.nga.mil/geo-division/GENC/6/ed3/US-CO","as:GENC:6:ed3:US-CO")</f>
        <v>as:GENC:6:ed3:US-CO</v>
      </c>
    </row>
    <row r="4993" spans="1:7" x14ac:dyDescent="0.2">
      <c r="A4993" s="85"/>
      <c r="B4993" s="25" t="s">
        <v>11559</v>
      </c>
      <c r="C4993" s="25" t="s">
        <v>11560</v>
      </c>
      <c r="D4993" s="25" t="s">
        <v>2113</v>
      </c>
      <c r="E4993" s="26" t="b">
        <v>1</v>
      </c>
      <c r="F4993" s="27" t="str">
        <f>HYPERLINK("http://nsgreg.nga.mil/genc/view?v=122622&amp;gencs=T&amp;end_month=12&amp;end_day=31&amp;end_year=2014","Connecticut")</f>
        <v>Connecticut</v>
      </c>
      <c r="G4993" s="28" t="str">
        <f>HYPERLINK("http://api.nsgreg.nga.mil/geo-division/GENC/6/ed3/US-CT","as:GENC:6:ed3:US-CT")</f>
        <v>as:GENC:6:ed3:US-CT</v>
      </c>
    </row>
    <row r="4994" spans="1:7" x14ac:dyDescent="0.2">
      <c r="A4994" s="85"/>
      <c r="B4994" s="25" t="s">
        <v>11561</v>
      </c>
      <c r="C4994" s="25" t="s">
        <v>11562</v>
      </c>
      <c r="D4994" s="25" t="s">
        <v>2113</v>
      </c>
      <c r="E4994" s="26" t="b">
        <v>1</v>
      </c>
      <c r="F4994" s="27" t="str">
        <f>HYPERLINK("http://nsgreg.nga.mil/genc/view?v=122624&amp;gencs=T&amp;end_month=12&amp;end_day=31&amp;end_year=2014","Delaware")</f>
        <v>Delaware</v>
      </c>
      <c r="G4994" s="28" t="str">
        <f>HYPERLINK("http://api.nsgreg.nga.mil/geo-division/GENC/6/ed3/US-DE","as:GENC:6:ed3:US-DE")</f>
        <v>as:GENC:6:ed3:US-DE</v>
      </c>
    </row>
    <row r="4995" spans="1:7" x14ac:dyDescent="0.2">
      <c r="A4995" s="85"/>
      <c r="B4995" s="25" t="s">
        <v>11563</v>
      </c>
      <c r="C4995" s="25" t="s">
        <v>11564</v>
      </c>
      <c r="D4995" s="25" t="s">
        <v>1790</v>
      </c>
      <c r="E4995" s="26" t="b">
        <v>1</v>
      </c>
      <c r="F4995" s="27" t="str">
        <f>HYPERLINK("http://nsgreg.nga.mil/genc/view?v=122623&amp;gencs=T&amp;end_month=12&amp;end_day=31&amp;end_year=2014","District of Columbia")</f>
        <v>District of Columbia</v>
      </c>
      <c r="G4995" s="28" t="str">
        <f>HYPERLINK("http://api.nsgreg.nga.mil/geo-division/GENC/6/ed3/US-DC","as:GENC:6:ed3:US-DC")</f>
        <v>as:GENC:6:ed3:US-DC</v>
      </c>
    </row>
    <row r="4996" spans="1:7" x14ac:dyDescent="0.2">
      <c r="A4996" s="85"/>
      <c r="B4996" s="25" t="s">
        <v>11565</v>
      </c>
      <c r="C4996" s="25" t="s">
        <v>11566</v>
      </c>
      <c r="D4996" s="25" t="s">
        <v>2113</v>
      </c>
      <c r="E4996" s="26" t="b">
        <v>1</v>
      </c>
      <c r="F4996" s="27" t="str">
        <f>HYPERLINK("http://nsgreg.nga.mil/genc/view?v=122625&amp;gencs=T&amp;end_month=12&amp;end_day=31&amp;end_year=2014","Florida")</f>
        <v>Florida</v>
      </c>
      <c r="G4996" s="28" t="str">
        <f>HYPERLINK("http://api.nsgreg.nga.mil/geo-division/GENC/6/ed3/US-FL","as:GENC:6:ed3:US-FL")</f>
        <v>as:GENC:6:ed3:US-FL</v>
      </c>
    </row>
    <row r="4997" spans="1:7" x14ac:dyDescent="0.2">
      <c r="A4997" s="85"/>
      <c r="B4997" s="25" t="s">
        <v>11567</v>
      </c>
      <c r="C4997" s="25" t="s">
        <v>11568</v>
      </c>
      <c r="D4997" s="25" t="s">
        <v>2113</v>
      </c>
      <c r="E4997" s="26" t="b">
        <v>1</v>
      </c>
      <c r="F4997" s="27" t="str">
        <f>HYPERLINK("http://nsgreg.nga.mil/genc/view?v=122626&amp;gencs=T&amp;end_month=12&amp;end_day=31&amp;end_year=2014","Georgia")</f>
        <v>Georgia</v>
      </c>
      <c r="G4997" s="28" t="str">
        <f>HYPERLINK("http://api.nsgreg.nga.mil/geo-division/GENC/6/ed3/US-GA","as:GENC:6:ed3:US-GA")</f>
        <v>as:GENC:6:ed3:US-GA</v>
      </c>
    </row>
    <row r="4998" spans="1:7" x14ac:dyDescent="0.2">
      <c r="A4998" s="85"/>
      <c r="B4998" s="25" t="s">
        <v>11571</v>
      </c>
      <c r="C4998" s="25" t="s">
        <v>11572</v>
      </c>
      <c r="D4998" s="25" t="s">
        <v>2113</v>
      </c>
      <c r="E4998" s="26" t="b">
        <v>1</v>
      </c>
      <c r="F4998" s="27" t="str">
        <f>HYPERLINK("http://nsgreg.nga.mil/genc/view?v=122628&amp;gencs=T&amp;end_month=12&amp;end_day=31&amp;end_year=2014","Hawaii")</f>
        <v>Hawaii</v>
      </c>
      <c r="G4998" s="28" t="str">
        <f>HYPERLINK("http://api.nsgreg.nga.mil/geo-division/GENC/6/ed3/US-HI","as:GENC:6:ed3:US-HI")</f>
        <v>as:GENC:6:ed3:US-HI</v>
      </c>
    </row>
    <row r="4999" spans="1:7" x14ac:dyDescent="0.2">
      <c r="A4999" s="85"/>
      <c r="B4999" s="25" t="s">
        <v>11573</v>
      </c>
      <c r="C4999" s="25" t="s">
        <v>11574</v>
      </c>
      <c r="D4999" s="25" t="s">
        <v>2113</v>
      </c>
      <c r="E4999" s="26" t="b">
        <v>1</v>
      </c>
      <c r="F4999" s="27" t="str">
        <f>HYPERLINK("http://nsgreg.nga.mil/genc/view?v=122630&amp;gencs=T&amp;end_month=12&amp;end_day=31&amp;end_year=2014","Idaho")</f>
        <v>Idaho</v>
      </c>
      <c r="G4999" s="28" t="str">
        <f>HYPERLINK("http://api.nsgreg.nga.mil/geo-division/GENC/6/ed3/US-ID","as:GENC:6:ed3:US-ID")</f>
        <v>as:GENC:6:ed3:US-ID</v>
      </c>
    </row>
    <row r="5000" spans="1:7" x14ac:dyDescent="0.2">
      <c r="A5000" s="85"/>
      <c r="B5000" s="25" t="s">
        <v>11575</v>
      </c>
      <c r="C5000" s="25" t="s">
        <v>11576</v>
      </c>
      <c r="D5000" s="25" t="s">
        <v>2113</v>
      </c>
      <c r="E5000" s="26" t="b">
        <v>1</v>
      </c>
      <c r="F5000" s="27" t="str">
        <f>HYPERLINK("http://nsgreg.nga.mil/genc/view?v=122631&amp;gencs=T&amp;end_month=12&amp;end_day=31&amp;end_year=2014","Illinois")</f>
        <v>Illinois</v>
      </c>
      <c r="G5000" s="28" t="str">
        <f>HYPERLINK("http://api.nsgreg.nga.mil/geo-division/GENC/6/ed3/US-IL","as:GENC:6:ed3:US-IL")</f>
        <v>as:GENC:6:ed3:US-IL</v>
      </c>
    </row>
    <row r="5001" spans="1:7" x14ac:dyDescent="0.2">
      <c r="A5001" s="85"/>
      <c r="B5001" s="25" t="s">
        <v>11577</v>
      </c>
      <c r="C5001" s="25" t="s">
        <v>11578</v>
      </c>
      <c r="D5001" s="25" t="s">
        <v>2113</v>
      </c>
      <c r="E5001" s="26" t="b">
        <v>1</v>
      </c>
      <c r="F5001" s="27" t="str">
        <f>HYPERLINK("http://nsgreg.nga.mil/genc/view?v=122632&amp;gencs=T&amp;end_month=12&amp;end_day=31&amp;end_year=2014","Indiana")</f>
        <v>Indiana</v>
      </c>
      <c r="G5001" s="28" t="str">
        <f>HYPERLINK("http://api.nsgreg.nga.mil/geo-division/GENC/6/ed3/US-IN","as:GENC:6:ed3:US-IN")</f>
        <v>as:GENC:6:ed3:US-IN</v>
      </c>
    </row>
    <row r="5002" spans="1:7" x14ac:dyDescent="0.2">
      <c r="A5002" s="85"/>
      <c r="B5002" s="25" t="s">
        <v>11579</v>
      </c>
      <c r="C5002" s="25" t="s">
        <v>11580</v>
      </c>
      <c r="D5002" s="25" t="s">
        <v>2113</v>
      </c>
      <c r="E5002" s="26" t="b">
        <v>1</v>
      </c>
      <c r="F5002" s="27" t="str">
        <f>HYPERLINK("http://nsgreg.nga.mil/genc/view?v=122629&amp;gencs=T&amp;end_month=12&amp;end_day=31&amp;end_year=2014","Iowa")</f>
        <v>Iowa</v>
      </c>
      <c r="G5002" s="28" t="str">
        <f>HYPERLINK("http://api.nsgreg.nga.mil/geo-division/GENC/6/ed3/US-IA","as:GENC:6:ed3:US-IA")</f>
        <v>as:GENC:6:ed3:US-IA</v>
      </c>
    </row>
    <row r="5003" spans="1:7" x14ac:dyDescent="0.2">
      <c r="A5003" s="85"/>
      <c r="B5003" s="25" t="s">
        <v>11581</v>
      </c>
      <c r="C5003" s="25" t="s">
        <v>11582</v>
      </c>
      <c r="D5003" s="25" t="s">
        <v>2113</v>
      </c>
      <c r="E5003" s="26" t="b">
        <v>1</v>
      </c>
      <c r="F5003" s="27" t="str">
        <f>HYPERLINK("http://nsgreg.nga.mil/genc/view?v=122633&amp;gencs=T&amp;end_month=12&amp;end_day=31&amp;end_year=2014","Kansas")</f>
        <v>Kansas</v>
      </c>
      <c r="G5003" s="28" t="str">
        <f>HYPERLINK("http://api.nsgreg.nga.mil/geo-division/GENC/6/ed3/US-KS","as:GENC:6:ed3:US-KS")</f>
        <v>as:GENC:6:ed3:US-KS</v>
      </c>
    </row>
    <row r="5004" spans="1:7" x14ac:dyDescent="0.2">
      <c r="A5004" s="85"/>
      <c r="B5004" s="25" t="s">
        <v>11583</v>
      </c>
      <c r="C5004" s="25" t="s">
        <v>11584</v>
      </c>
      <c r="D5004" s="25" t="s">
        <v>2113</v>
      </c>
      <c r="E5004" s="26" t="b">
        <v>1</v>
      </c>
      <c r="F5004" s="27" t="str">
        <f>HYPERLINK("http://nsgreg.nga.mil/genc/view?v=122634&amp;gencs=T&amp;end_month=12&amp;end_day=31&amp;end_year=2014","Kentucky")</f>
        <v>Kentucky</v>
      </c>
      <c r="G5004" s="28" t="str">
        <f>HYPERLINK("http://api.nsgreg.nga.mil/geo-division/GENC/6/ed3/US-KY","as:GENC:6:ed3:US-KY")</f>
        <v>as:GENC:6:ed3:US-KY</v>
      </c>
    </row>
    <row r="5005" spans="1:7" x14ac:dyDescent="0.2">
      <c r="A5005" s="85"/>
      <c r="B5005" s="25" t="s">
        <v>11585</v>
      </c>
      <c r="C5005" s="25" t="s">
        <v>11586</v>
      </c>
      <c r="D5005" s="25" t="s">
        <v>2113</v>
      </c>
      <c r="E5005" s="26" t="b">
        <v>1</v>
      </c>
      <c r="F5005" s="27" t="str">
        <f>HYPERLINK("http://nsgreg.nga.mil/genc/view?v=122635&amp;gencs=T&amp;end_month=12&amp;end_day=31&amp;end_year=2014","Louisiana")</f>
        <v>Louisiana</v>
      </c>
      <c r="G5005" s="28" t="str">
        <f>HYPERLINK("http://api.nsgreg.nga.mil/geo-division/GENC/6/ed3/US-LA","as:GENC:6:ed3:US-LA")</f>
        <v>as:GENC:6:ed3:US-LA</v>
      </c>
    </row>
    <row r="5006" spans="1:7" x14ac:dyDescent="0.2">
      <c r="A5006" s="85"/>
      <c r="B5006" s="25" t="s">
        <v>11587</v>
      </c>
      <c r="C5006" s="25" t="s">
        <v>11588</v>
      </c>
      <c r="D5006" s="25" t="s">
        <v>2113</v>
      </c>
      <c r="E5006" s="26" t="b">
        <v>1</v>
      </c>
      <c r="F5006" s="27" t="str">
        <f>HYPERLINK("http://nsgreg.nga.mil/genc/view?v=122638&amp;gencs=T&amp;end_month=12&amp;end_day=31&amp;end_year=2014","Maine")</f>
        <v>Maine</v>
      </c>
      <c r="G5006" s="28" t="str">
        <f>HYPERLINK("http://api.nsgreg.nga.mil/geo-division/GENC/6/ed3/US-ME","as:GENC:6:ed3:US-ME")</f>
        <v>as:GENC:6:ed3:US-ME</v>
      </c>
    </row>
    <row r="5007" spans="1:7" x14ac:dyDescent="0.2">
      <c r="A5007" s="85"/>
      <c r="B5007" s="25" t="s">
        <v>11589</v>
      </c>
      <c r="C5007" s="25" t="s">
        <v>6381</v>
      </c>
      <c r="D5007" s="25" t="s">
        <v>2113</v>
      </c>
      <c r="E5007" s="26" t="b">
        <v>1</v>
      </c>
      <c r="F5007" s="27" t="str">
        <f>HYPERLINK("http://nsgreg.nga.mil/genc/view?v=122637&amp;gencs=T&amp;end_month=12&amp;end_day=31&amp;end_year=2014","Maryland")</f>
        <v>Maryland</v>
      </c>
      <c r="G5007" s="28" t="str">
        <f>HYPERLINK("http://api.nsgreg.nga.mil/geo-division/GENC/6/ed3/US-MD","as:GENC:6:ed3:US-MD")</f>
        <v>as:GENC:6:ed3:US-MD</v>
      </c>
    </row>
    <row r="5008" spans="1:7" x14ac:dyDescent="0.2">
      <c r="A5008" s="85"/>
      <c r="B5008" s="25" t="s">
        <v>11590</v>
      </c>
      <c r="C5008" s="25" t="s">
        <v>11591</v>
      </c>
      <c r="D5008" s="25" t="s">
        <v>2113</v>
      </c>
      <c r="E5008" s="26" t="b">
        <v>1</v>
      </c>
      <c r="F5008" s="27" t="str">
        <f>HYPERLINK("http://nsgreg.nga.mil/genc/view?v=122636&amp;gencs=T&amp;end_month=12&amp;end_day=31&amp;end_year=2014","Massachusetts")</f>
        <v>Massachusetts</v>
      </c>
      <c r="G5008" s="28" t="str">
        <f>HYPERLINK("http://api.nsgreg.nga.mil/geo-division/GENC/6/ed3/US-MA","as:GENC:6:ed3:US-MA")</f>
        <v>as:GENC:6:ed3:US-MA</v>
      </c>
    </row>
    <row r="5009" spans="1:7" x14ac:dyDescent="0.2">
      <c r="A5009" s="85"/>
      <c r="B5009" s="25" t="s">
        <v>11592</v>
      </c>
      <c r="C5009" s="25" t="s">
        <v>11593</v>
      </c>
      <c r="D5009" s="25" t="s">
        <v>2113</v>
      </c>
      <c r="E5009" s="26" t="b">
        <v>1</v>
      </c>
      <c r="F5009" s="27" t="str">
        <f>HYPERLINK("http://nsgreg.nga.mil/genc/view?v=122639&amp;gencs=T&amp;end_month=12&amp;end_day=31&amp;end_year=2014","Michigan")</f>
        <v>Michigan</v>
      </c>
      <c r="G5009" s="28" t="str">
        <f>HYPERLINK("http://api.nsgreg.nga.mil/geo-division/GENC/6/ed3/US-MI","as:GENC:6:ed3:US-MI")</f>
        <v>as:GENC:6:ed3:US-MI</v>
      </c>
    </row>
    <row r="5010" spans="1:7" x14ac:dyDescent="0.2">
      <c r="A5010" s="85"/>
      <c r="B5010" s="25" t="s">
        <v>11594</v>
      </c>
      <c r="C5010" s="25" t="s">
        <v>11595</v>
      </c>
      <c r="D5010" s="25" t="s">
        <v>2113</v>
      </c>
      <c r="E5010" s="26" t="b">
        <v>1</v>
      </c>
      <c r="F5010" s="27" t="str">
        <f>HYPERLINK("http://nsgreg.nga.mil/genc/view?v=122640&amp;gencs=T&amp;end_month=12&amp;end_day=31&amp;end_year=2014","Minnesota")</f>
        <v>Minnesota</v>
      </c>
      <c r="G5010" s="28" t="str">
        <f>HYPERLINK("http://api.nsgreg.nga.mil/geo-division/GENC/6/ed3/US-MN","as:GENC:6:ed3:US-MN")</f>
        <v>as:GENC:6:ed3:US-MN</v>
      </c>
    </row>
    <row r="5011" spans="1:7" x14ac:dyDescent="0.2">
      <c r="A5011" s="85"/>
      <c r="B5011" s="25" t="s">
        <v>11596</v>
      </c>
      <c r="C5011" s="25" t="s">
        <v>11597</v>
      </c>
      <c r="D5011" s="25" t="s">
        <v>2113</v>
      </c>
      <c r="E5011" s="26" t="b">
        <v>1</v>
      </c>
      <c r="F5011" s="27" t="str">
        <f>HYPERLINK("http://nsgreg.nga.mil/genc/view?v=122643&amp;gencs=T&amp;end_month=12&amp;end_day=31&amp;end_year=2014","Mississippi")</f>
        <v>Mississippi</v>
      </c>
      <c r="G5011" s="28" t="str">
        <f>HYPERLINK("http://api.nsgreg.nga.mil/geo-division/GENC/6/ed3/US-MS","as:GENC:6:ed3:US-MS")</f>
        <v>as:GENC:6:ed3:US-MS</v>
      </c>
    </row>
    <row r="5012" spans="1:7" x14ac:dyDescent="0.2">
      <c r="A5012" s="85"/>
      <c r="B5012" s="25" t="s">
        <v>11598</v>
      </c>
      <c r="C5012" s="25" t="s">
        <v>11599</v>
      </c>
      <c r="D5012" s="25" t="s">
        <v>2113</v>
      </c>
      <c r="E5012" s="26" t="b">
        <v>1</v>
      </c>
      <c r="F5012" s="27" t="str">
        <f>HYPERLINK("http://nsgreg.nga.mil/genc/view?v=122641&amp;gencs=T&amp;end_month=12&amp;end_day=31&amp;end_year=2014","Missouri")</f>
        <v>Missouri</v>
      </c>
      <c r="G5012" s="28" t="str">
        <f>HYPERLINK("http://api.nsgreg.nga.mil/geo-division/GENC/6/ed3/US-MO","as:GENC:6:ed3:US-MO")</f>
        <v>as:GENC:6:ed3:US-MO</v>
      </c>
    </row>
    <row r="5013" spans="1:7" x14ac:dyDescent="0.2">
      <c r="A5013" s="85"/>
      <c r="B5013" s="25" t="s">
        <v>11600</v>
      </c>
      <c r="C5013" s="25" t="s">
        <v>2817</v>
      </c>
      <c r="D5013" s="25" t="s">
        <v>2113</v>
      </c>
      <c r="E5013" s="26" t="b">
        <v>1</v>
      </c>
      <c r="F5013" s="27" t="str">
        <f>HYPERLINK("http://nsgreg.nga.mil/genc/view?v=122644&amp;gencs=T&amp;end_month=12&amp;end_day=31&amp;end_year=2014","Montana")</f>
        <v>Montana</v>
      </c>
      <c r="G5013" s="28" t="str">
        <f>HYPERLINK("http://api.nsgreg.nga.mil/geo-division/GENC/6/ed3/US-MT","as:GENC:6:ed3:US-MT")</f>
        <v>as:GENC:6:ed3:US-MT</v>
      </c>
    </row>
    <row r="5014" spans="1:7" x14ac:dyDescent="0.2">
      <c r="A5014" s="85"/>
      <c r="B5014" s="25" t="s">
        <v>11601</v>
      </c>
      <c r="C5014" s="25" t="s">
        <v>11602</v>
      </c>
      <c r="D5014" s="25" t="s">
        <v>2113</v>
      </c>
      <c r="E5014" s="26" t="b">
        <v>1</v>
      </c>
      <c r="F5014" s="27" t="str">
        <f>HYPERLINK("http://nsgreg.nga.mil/genc/view?v=122647&amp;gencs=T&amp;end_month=12&amp;end_day=31&amp;end_year=2014","Nebraska")</f>
        <v>Nebraska</v>
      </c>
      <c r="G5014" s="28" t="str">
        <f>HYPERLINK("http://api.nsgreg.nga.mil/geo-division/GENC/6/ed3/US-NE","as:GENC:6:ed3:US-NE")</f>
        <v>as:GENC:6:ed3:US-NE</v>
      </c>
    </row>
    <row r="5015" spans="1:7" x14ac:dyDescent="0.2">
      <c r="A5015" s="85"/>
      <c r="B5015" s="25" t="s">
        <v>11603</v>
      </c>
      <c r="C5015" s="25" t="s">
        <v>11604</v>
      </c>
      <c r="D5015" s="25" t="s">
        <v>2113</v>
      </c>
      <c r="E5015" s="26" t="b">
        <v>1</v>
      </c>
      <c r="F5015" s="27" t="str">
        <f>HYPERLINK("http://nsgreg.nga.mil/genc/view?v=122651&amp;gencs=T&amp;end_month=12&amp;end_day=31&amp;end_year=2014","Nevada")</f>
        <v>Nevada</v>
      </c>
      <c r="G5015" s="28" t="str">
        <f>HYPERLINK("http://api.nsgreg.nga.mil/geo-division/GENC/6/ed3/US-NV","as:GENC:6:ed3:US-NV")</f>
        <v>as:GENC:6:ed3:US-NV</v>
      </c>
    </row>
    <row r="5016" spans="1:7" x14ac:dyDescent="0.2">
      <c r="A5016" s="85"/>
      <c r="B5016" s="25" t="s">
        <v>11605</v>
      </c>
      <c r="C5016" s="25" t="s">
        <v>11606</v>
      </c>
      <c r="D5016" s="25" t="s">
        <v>2113</v>
      </c>
      <c r="E5016" s="26" t="b">
        <v>1</v>
      </c>
      <c r="F5016" s="27" t="str">
        <f>HYPERLINK("http://nsgreg.nga.mil/genc/view?v=122648&amp;gencs=T&amp;end_month=12&amp;end_day=31&amp;end_year=2014","New Hampshire")</f>
        <v>New Hampshire</v>
      </c>
      <c r="G5016" s="28" t="str">
        <f>HYPERLINK("http://api.nsgreg.nga.mil/geo-division/GENC/6/ed3/US-NH","as:GENC:6:ed3:US-NH")</f>
        <v>as:GENC:6:ed3:US-NH</v>
      </c>
    </row>
    <row r="5017" spans="1:7" x14ac:dyDescent="0.2">
      <c r="A5017" s="85"/>
      <c r="B5017" s="25" t="s">
        <v>11607</v>
      </c>
      <c r="C5017" s="25" t="s">
        <v>11608</v>
      </c>
      <c r="D5017" s="25" t="s">
        <v>2113</v>
      </c>
      <c r="E5017" s="26" t="b">
        <v>1</v>
      </c>
      <c r="F5017" s="27" t="str">
        <f>HYPERLINK("http://nsgreg.nga.mil/genc/view?v=122649&amp;gencs=T&amp;end_month=12&amp;end_day=31&amp;end_year=2014","New Jersey")</f>
        <v>New Jersey</v>
      </c>
      <c r="G5017" s="28" t="str">
        <f>HYPERLINK("http://api.nsgreg.nga.mil/geo-division/GENC/6/ed3/US-NJ","as:GENC:6:ed3:US-NJ")</f>
        <v>as:GENC:6:ed3:US-NJ</v>
      </c>
    </row>
    <row r="5018" spans="1:7" x14ac:dyDescent="0.2">
      <c r="A5018" s="85"/>
      <c r="B5018" s="25" t="s">
        <v>11609</v>
      </c>
      <c r="C5018" s="25" t="s">
        <v>11610</v>
      </c>
      <c r="D5018" s="25" t="s">
        <v>2113</v>
      </c>
      <c r="E5018" s="26" t="b">
        <v>1</v>
      </c>
      <c r="F5018" s="27" t="str">
        <f>HYPERLINK("http://nsgreg.nga.mil/genc/view?v=122650&amp;gencs=T&amp;end_month=12&amp;end_day=31&amp;end_year=2014","New Mexico")</f>
        <v>New Mexico</v>
      </c>
      <c r="G5018" s="28" t="str">
        <f>HYPERLINK("http://api.nsgreg.nga.mil/geo-division/GENC/6/ed3/US-NM","as:GENC:6:ed3:US-NM")</f>
        <v>as:GENC:6:ed3:US-NM</v>
      </c>
    </row>
    <row r="5019" spans="1:7" x14ac:dyDescent="0.2">
      <c r="A5019" s="85"/>
      <c r="B5019" s="25" t="s">
        <v>11611</v>
      </c>
      <c r="C5019" s="25" t="s">
        <v>11612</v>
      </c>
      <c r="D5019" s="25" t="s">
        <v>2113</v>
      </c>
      <c r="E5019" s="26" t="b">
        <v>1</v>
      </c>
      <c r="F5019" s="27" t="str">
        <f>HYPERLINK("http://nsgreg.nga.mil/genc/view?v=122652&amp;gencs=T&amp;end_month=12&amp;end_day=31&amp;end_year=2014","New York")</f>
        <v>New York</v>
      </c>
      <c r="G5019" s="28" t="str">
        <f>HYPERLINK("http://api.nsgreg.nga.mil/geo-division/GENC/6/ed3/US-NY","as:GENC:6:ed3:US-NY")</f>
        <v>as:GENC:6:ed3:US-NY</v>
      </c>
    </row>
    <row r="5020" spans="1:7" x14ac:dyDescent="0.2">
      <c r="A5020" s="85"/>
      <c r="B5020" s="25" t="s">
        <v>11613</v>
      </c>
      <c r="C5020" s="25" t="s">
        <v>11614</v>
      </c>
      <c r="D5020" s="25" t="s">
        <v>2113</v>
      </c>
      <c r="E5020" s="26" t="b">
        <v>1</v>
      </c>
      <c r="F5020" s="27" t="str">
        <f>HYPERLINK("http://nsgreg.nga.mil/genc/view?v=122645&amp;gencs=T&amp;end_month=12&amp;end_day=31&amp;end_year=2014","North Carolina")</f>
        <v>North Carolina</v>
      </c>
      <c r="G5020" s="28" t="str">
        <f>HYPERLINK("http://api.nsgreg.nga.mil/geo-division/GENC/6/ed3/US-NC","as:GENC:6:ed3:US-NC")</f>
        <v>as:GENC:6:ed3:US-NC</v>
      </c>
    </row>
    <row r="5021" spans="1:7" x14ac:dyDescent="0.2">
      <c r="A5021" s="85"/>
      <c r="B5021" s="25" t="s">
        <v>11615</v>
      </c>
      <c r="C5021" s="25" t="s">
        <v>11616</v>
      </c>
      <c r="D5021" s="25" t="s">
        <v>2113</v>
      </c>
      <c r="E5021" s="26" t="b">
        <v>1</v>
      </c>
      <c r="F5021" s="27" t="str">
        <f>HYPERLINK("http://nsgreg.nga.mil/genc/view?v=122646&amp;gencs=T&amp;end_month=12&amp;end_day=31&amp;end_year=2014","North Dakota")</f>
        <v>North Dakota</v>
      </c>
      <c r="G5021" s="28" t="str">
        <f>HYPERLINK("http://api.nsgreg.nga.mil/geo-division/GENC/6/ed3/US-ND","as:GENC:6:ed3:US-ND")</f>
        <v>as:GENC:6:ed3:US-ND</v>
      </c>
    </row>
    <row r="5022" spans="1:7" x14ac:dyDescent="0.2">
      <c r="A5022" s="85"/>
      <c r="B5022" s="25" t="s">
        <v>11619</v>
      </c>
      <c r="C5022" s="25" t="s">
        <v>11620</v>
      </c>
      <c r="D5022" s="25" t="s">
        <v>2113</v>
      </c>
      <c r="E5022" s="26" t="b">
        <v>1</v>
      </c>
      <c r="F5022" s="27" t="str">
        <f>HYPERLINK("http://nsgreg.nga.mil/genc/view?v=122653&amp;gencs=T&amp;end_month=12&amp;end_day=31&amp;end_year=2014","Ohio")</f>
        <v>Ohio</v>
      </c>
      <c r="G5022" s="28" t="str">
        <f>HYPERLINK("http://api.nsgreg.nga.mil/geo-division/GENC/6/ed3/US-OH","as:GENC:6:ed3:US-OH")</f>
        <v>as:GENC:6:ed3:US-OH</v>
      </c>
    </row>
    <row r="5023" spans="1:7" x14ac:dyDescent="0.2">
      <c r="A5023" s="85"/>
      <c r="B5023" s="25" t="s">
        <v>11621</v>
      </c>
      <c r="C5023" s="25" t="s">
        <v>11622</v>
      </c>
      <c r="D5023" s="25" t="s">
        <v>2113</v>
      </c>
      <c r="E5023" s="26" t="b">
        <v>1</v>
      </c>
      <c r="F5023" s="27" t="str">
        <f>HYPERLINK("http://nsgreg.nga.mil/genc/view?v=122654&amp;gencs=T&amp;end_month=12&amp;end_day=31&amp;end_year=2014","Oklahoma")</f>
        <v>Oklahoma</v>
      </c>
      <c r="G5023" s="28" t="str">
        <f>HYPERLINK("http://api.nsgreg.nga.mil/geo-division/GENC/6/ed3/US-OK","as:GENC:6:ed3:US-OK")</f>
        <v>as:GENC:6:ed3:US-OK</v>
      </c>
    </row>
    <row r="5024" spans="1:7" x14ac:dyDescent="0.2">
      <c r="A5024" s="85"/>
      <c r="B5024" s="25" t="s">
        <v>11623</v>
      </c>
      <c r="C5024" s="25" t="s">
        <v>11624</v>
      </c>
      <c r="D5024" s="25" t="s">
        <v>2113</v>
      </c>
      <c r="E5024" s="26" t="b">
        <v>1</v>
      </c>
      <c r="F5024" s="27" t="str">
        <f>HYPERLINK("http://nsgreg.nga.mil/genc/view?v=122655&amp;gencs=T&amp;end_month=12&amp;end_day=31&amp;end_year=2014","Oregon")</f>
        <v>Oregon</v>
      </c>
      <c r="G5024" s="28" t="str">
        <f>HYPERLINK("http://api.nsgreg.nga.mil/geo-division/GENC/6/ed3/US-OR","as:GENC:6:ed3:US-OR")</f>
        <v>as:GENC:6:ed3:US-OR</v>
      </c>
    </row>
    <row r="5025" spans="1:7" x14ac:dyDescent="0.2">
      <c r="A5025" s="85"/>
      <c r="B5025" s="25" t="s">
        <v>11625</v>
      </c>
      <c r="C5025" s="25" t="s">
        <v>11626</v>
      </c>
      <c r="D5025" s="25" t="s">
        <v>2113</v>
      </c>
      <c r="E5025" s="26" t="b">
        <v>1</v>
      </c>
      <c r="F5025" s="27" t="str">
        <f>HYPERLINK("http://nsgreg.nga.mil/genc/view?v=122656&amp;gencs=T&amp;end_month=12&amp;end_day=31&amp;end_year=2014","Pennsylvania")</f>
        <v>Pennsylvania</v>
      </c>
      <c r="G5025" s="28" t="str">
        <f>HYPERLINK("http://api.nsgreg.nga.mil/geo-division/GENC/6/ed3/US-PA","as:GENC:6:ed3:US-PA")</f>
        <v>as:GENC:6:ed3:US-PA</v>
      </c>
    </row>
    <row r="5026" spans="1:7" x14ac:dyDescent="0.2">
      <c r="A5026" s="85"/>
      <c r="B5026" s="25" t="s">
        <v>11629</v>
      </c>
      <c r="C5026" s="25" t="s">
        <v>11630</v>
      </c>
      <c r="D5026" s="25" t="s">
        <v>2113</v>
      </c>
      <c r="E5026" s="26" t="b">
        <v>1</v>
      </c>
      <c r="F5026" s="27" t="str">
        <f>HYPERLINK("http://nsgreg.nga.mil/genc/view?v=122658&amp;gencs=T&amp;end_month=12&amp;end_day=31&amp;end_year=2014","Rhode Island")</f>
        <v>Rhode Island</v>
      </c>
      <c r="G5026" s="28" t="str">
        <f>HYPERLINK("http://api.nsgreg.nga.mil/geo-division/GENC/6/ed3/US-RI","as:GENC:6:ed3:US-RI")</f>
        <v>as:GENC:6:ed3:US-RI</v>
      </c>
    </row>
    <row r="5027" spans="1:7" x14ac:dyDescent="0.2">
      <c r="A5027" s="85"/>
      <c r="B5027" s="25" t="s">
        <v>11631</v>
      </c>
      <c r="C5027" s="25" t="s">
        <v>11632</v>
      </c>
      <c r="D5027" s="25" t="s">
        <v>2113</v>
      </c>
      <c r="E5027" s="26" t="b">
        <v>1</v>
      </c>
      <c r="F5027" s="27" t="str">
        <f>HYPERLINK("http://nsgreg.nga.mil/genc/view?v=122659&amp;gencs=T&amp;end_month=12&amp;end_day=31&amp;end_year=2014","South Carolina")</f>
        <v>South Carolina</v>
      </c>
      <c r="G5027" s="28" t="str">
        <f>HYPERLINK("http://api.nsgreg.nga.mil/geo-division/GENC/6/ed3/US-SC","as:GENC:6:ed3:US-SC")</f>
        <v>as:GENC:6:ed3:US-SC</v>
      </c>
    </row>
    <row r="5028" spans="1:7" x14ac:dyDescent="0.2">
      <c r="A5028" s="85"/>
      <c r="B5028" s="25" t="s">
        <v>11633</v>
      </c>
      <c r="C5028" s="25" t="s">
        <v>11634</v>
      </c>
      <c r="D5028" s="25" t="s">
        <v>2113</v>
      </c>
      <c r="E5028" s="26" t="b">
        <v>1</v>
      </c>
      <c r="F5028" s="27" t="str">
        <f>HYPERLINK("http://nsgreg.nga.mil/genc/view?v=122660&amp;gencs=T&amp;end_month=12&amp;end_day=31&amp;end_year=2014","South Dakota")</f>
        <v>South Dakota</v>
      </c>
      <c r="G5028" s="28" t="str">
        <f>HYPERLINK("http://api.nsgreg.nga.mil/geo-division/GENC/6/ed3/US-SD","as:GENC:6:ed3:US-SD")</f>
        <v>as:GENC:6:ed3:US-SD</v>
      </c>
    </row>
    <row r="5029" spans="1:7" x14ac:dyDescent="0.2">
      <c r="A5029" s="85"/>
      <c r="B5029" s="25" t="s">
        <v>11635</v>
      </c>
      <c r="C5029" s="25" t="s">
        <v>11636</v>
      </c>
      <c r="D5029" s="25" t="s">
        <v>2113</v>
      </c>
      <c r="E5029" s="26" t="b">
        <v>1</v>
      </c>
      <c r="F5029" s="27" t="str">
        <f>HYPERLINK("http://nsgreg.nga.mil/genc/view?v=122661&amp;gencs=T&amp;end_month=12&amp;end_day=31&amp;end_year=2014","Tennessee")</f>
        <v>Tennessee</v>
      </c>
      <c r="G5029" s="28" t="str">
        <f>HYPERLINK("http://api.nsgreg.nga.mil/geo-division/GENC/6/ed3/US-TN","as:GENC:6:ed3:US-TN")</f>
        <v>as:GENC:6:ed3:US-TN</v>
      </c>
    </row>
    <row r="5030" spans="1:7" x14ac:dyDescent="0.2">
      <c r="A5030" s="85"/>
      <c r="B5030" s="25" t="s">
        <v>11637</v>
      </c>
      <c r="C5030" s="25" t="s">
        <v>11638</v>
      </c>
      <c r="D5030" s="25" t="s">
        <v>2113</v>
      </c>
      <c r="E5030" s="26" t="b">
        <v>1</v>
      </c>
      <c r="F5030" s="27" t="str">
        <f>HYPERLINK("http://nsgreg.nga.mil/genc/view?v=122662&amp;gencs=T&amp;end_month=12&amp;end_day=31&amp;end_year=2014","Texas")</f>
        <v>Texas</v>
      </c>
      <c r="G5030" s="28" t="str">
        <f>HYPERLINK("http://api.nsgreg.nga.mil/geo-division/GENC/6/ed3/US-TX","as:GENC:6:ed3:US-TX")</f>
        <v>as:GENC:6:ed3:US-TX</v>
      </c>
    </row>
    <row r="5031" spans="1:7" x14ac:dyDescent="0.2">
      <c r="A5031" s="85"/>
      <c r="B5031" s="25" t="s">
        <v>11641</v>
      </c>
      <c r="C5031" s="25" t="s">
        <v>11642</v>
      </c>
      <c r="D5031" s="25" t="s">
        <v>2113</v>
      </c>
      <c r="E5031" s="26" t="b">
        <v>1</v>
      </c>
      <c r="F5031" s="27" t="str">
        <f>HYPERLINK("http://nsgreg.nga.mil/genc/view?v=122664&amp;gencs=T&amp;end_month=12&amp;end_day=31&amp;end_year=2014","Utah")</f>
        <v>Utah</v>
      </c>
      <c r="G5031" s="28" t="str">
        <f>HYPERLINK("http://api.nsgreg.nga.mil/geo-division/GENC/6/ed3/US-UT","as:GENC:6:ed3:US-UT")</f>
        <v>as:GENC:6:ed3:US-UT</v>
      </c>
    </row>
    <row r="5032" spans="1:7" x14ac:dyDescent="0.2">
      <c r="A5032" s="85"/>
      <c r="B5032" s="25" t="s">
        <v>11643</v>
      </c>
      <c r="C5032" s="25" t="s">
        <v>11644</v>
      </c>
      <c r="D5032" s="25" t="s">
        <v>2113</v>
      </c>
      <c r="E5032" s="26" t="b">
        <v>1</v>
      </c>
      <c r="F5032" s="27" t="str">
        <f>HYPERLINK("http://nsgreg.nga.mil/genc/view?v=122667&amp;gencs=T&amp;end_month=12&amp;end_day=31&amp;end_year=2014","Vermont")</f>
        <v>Vermont</v>
      </c>
      <c r="G5032" s="28" t="str">
        <f>HYPERLINK("http://api.nsgreg.nga.mil/geo-division/GENC/6/ed3/US-VT","as:GENC:6:ed3:US-VT")</f>
        <v>as:GENC:6:ed3:US-VT</v>
      </c>
    </row>
    <row r="5033" spans="1:7" x14ac:dyDescent="0.2">
      <c r="A5033" s="85"/>
      <c r="B5033" s="25" t="s">
        <v>11647</v>
      </c>
      <c r="C5033" s="25" t="s">
        <v>11648</v>
      </c>
      <c r="D5033" s="25" t="s">
        <v>2113</v>
      </c>
      <c r="E5033" s="26" t="b">
        <v>1</v>
      </c>
      <c r="F5033" s="27" t="str">
        <f>HYPERLINK("http://nsgreg.nga.mil/genc/view?v=122665&amp;gencs=T&amp;end_month=12&amp;end_day=31&amp;end_year=2014","Virginia")</f>
        <v>Virginia</v>
      </c>
      <c r="G5033" s="28" t="str">
        <f>HYPERLINK("http://api.nsgreg.nga.mil/geo-division/GENC/6/ed3/US-VA","as:GENC:6:ed3:US-VA")</f>
        <v>as:GENC:6:ed3:US-VA</v>
      </c>
    </row>
    <row r="5034" spans="1:7" x14ac:dyDescent="0.2">
      <c r="A5034" s="85"/>
      <c r="B5034" s="25" t="s">
        <v>11649</v>
      </c>
      <c r="C5034" s="25" t="s">
        <v>11650</v>
      </c>
      <c r="D5034" s="25" t="s">
        <v>2113</v>
      </c>
      <c r="E5034" s="26" t="b">
        <v>1</v>
      </c>
      <c r="F5034" s="27" t="str">
        <f>HYPERLINK("http://nsgreg.nga.mil/genc/view?v=122668&amp;gencs=T&amp;end_month=12&amp;end_day=31&amp;end_year=2014","Washington")</f>
        <v>Washington</v>
      </c>
      <c r="G5034" s="28" t="str">
        <f>HYPERLINK("http://api.nsgreg.nga.mil/geo-division/GENC/6/ed3/US-WA","as:GENC:6:ed3:US-WA")</f>
        <v>as:GENC:6:ed3:US-WA</v>
      </c>
    </row>
    <row r="5035" spans="1:7" x14ac:dyDescent="0.2">
      <c r="A5035" s="85"/>
      <c r="B5035" s="25" t="s">
        <v>11651</v>
      </c>
      <c r="C5035" s="25" t="s">
        <v>11652</v>
      </c>
      <c r="D5035" s="25" t="s">
        <v>2113</v>
      </c>
      <c r="E5035" s="26" t="b">
        <v>1</v>
      </c>
      <c r="F5035" s="27" t="str">
        <f>HYPERLINK("http://nsgreg.nga.mil/genc/view?v=122670&amp;gencs=T&amp;end_month=12&amp;end_day=31&amp;end_year=2014","West Virginia")</f>
        <v>West Virginia</v>
      </c>
      <c r="G5035" s="28" t="str">
        <f>HYPERLINK("http://api.nsgreg.nga.mil/geo-division/GENC/6/ed3/US-WV","as:GENC:6:ed3:US-WV")</f>
        <v>as:GENC:6:ed3:US-WV</v>
      </c>
    </row>
    <row r="5036" spans="1:7" x14ac:dyDescent="0.2">
      <c r="A5036" s="85"/>
      <c r="B5036" s="25" t="s">
        <v>11653</v>
      </c>
      <c r="C5036" s="25" t="s">
        <v>11654</v>
      </c>
      <c r="D5036" s="25" t="s">
        <v>2113</v>
      </c>
      <c r="E5036" s="26" t="b">
        <v>1</v>
      </c>
      <c r="F5036" s="27" t="str">
        <f>HYPERLINK("http://nsgreg.nga.mil/genc/view?v=122669&amp;gencs=T&amp;end_month=12&amp;end_day=31&amp;end_year=2014","Wisconsin")</f>
        <v>Wisconsin</v>
      </c>
      <c r="G5036" s="28" t="str">
        <f>HYPERLINK("http://api.nsgreg.nga.mil/geo-division/GENC/6/ed3/US-WI","as:GENC:6:ed3:US-WI")</f>
        <v>as:GENC:6:ed3:US-WI</v>
      </c>
    </row>
    <row r="5037" spans="1:7" x14ac:dyDescent="0.2">
      <c r="A5037" s="86"/>
      <c r="B5037" s="29" t="s">
        <v>11655</v>
      </c>
      <c r="C5037" s="29" t="s">
        <v>11656</v>
      </c>
      <c r="D5037" s="29" t="s">
        <v>2113</v>
      </c>
      <c r="E5037" s="30" t="b">
        <v>1</v>
      </c>
      <c r="F5037" s="31" t="str">
        <f>HYPERLINK("http://nsgreg.nga.mil/genc/view?v=122671&amp;gencs=T&amp;end_month=12&amp;end_day=31&amp;end_year=2014","Wyoming")</f>
        <v>Wyoming</v>
      </c>
      <c r="G5037" s="32" t="str">
        <f>HYPERLINK("http://api.nsgreg.nga.mil/geo-division/GENC/6/ed3/US-WY","as:GENC:6:ed3:US-WY")</f>
        <v>as:GENC:6:ed3:US-WY</v>
      </c>
    </row>
    <row r="5038" spans="1:7" x14ac:dyDescent="0.2">
      <c r="A5038" s="84" t="str">
        <f>HYPERLINK("[#]Codes_for_GE_Names!A269:I269","URUGUAY")</f>
        <v>URUGUAY</v>
      </c>
      <c r="B5038" s="33" t="s">
        <v>11668</v>
      </c>
      <c r="C5038" s="33" t="s">
        <v>11669</v>
      </c>
      <c r="D5038" s="33" t="s">
        <v>2590</v>
      </c>
      <c r="E5038" s="34" t="b">
        <v>1</v>
      </c>
      <c r="F5038" s="35" t="str">
        <f>HYPERLINK("http://nsgreg.nga.mil/genc/view?v=122672&amp;gencs=T&amp;end_month=12&amp;end_day=31&amp;end_year=2014","Artigas")</f>
        <v>Artigas</v>
      </c>
      <c r="G5038" s="36" t="str">
        <f>HYPERLINK("http://api.nsgreg.nga.mil/geo-division/GENC/6/ed3/UY-AR","as:GENC:6:ed3:UY-AR")</f>
        <v>as:GENC:6:ed3:UY-AR</v>
      </c>
    </row>
    <row r="5039" spans="1:7" x14ac:dyDescent="0.2">
      <c r="A5039" s="85"/>
      <c r="B5039" s="25" t="s">
        <v>11670</v>
      </c>
      <c r="C5039" s="25" t="s">
        <v>11671</v>
      </c>
      <c r="D5039" s="25" t="s">
        <v>2590</v>
      </c>
      <c r="E5039" s="26" t="b">
        <v>1</v>
      </c>
      <c r="F5039" s="27" t="str">
        <f>HYPERLINK("http://nsgreg.nga.mil/genc/view?v=122673&amp;gencs=T&amp;end_month=12&amp;end_day=31&amp;end_year=2014","Canelones")</f>
        <v>Canelones</v>
      </c>
      <c r="G5039" s="28" t="str">
        <f>HYPERLINK("http://api.nsgreg.nga.mil/geo-division/GENC/6/ed3/UY-CA","as:GENC:6:ed3:UY-CA")</f>
        <v>as:GENC:6:ed3:UY-CA</v>
      </c>
    </row>
    <row r="5040" spans="1:7" x14ac:dyDescent="0.2">
      <c r="A5040" s="85"/>
      <c r="B5040" s="25" t="s">
        <v>11672</v>
      </c>
      <c r="C5040" s="25" t="s">
        <v>11673</v>
      </c>
      <c r="D5040" s="25" t="s">
        <v>2590</v>
      </c>
      <c r="E5040" s="26" t="b">
        <v>1</v>
      </c>
      <c r="F5040" s="27" t="str">
        <f>HYPERLINK("http://nsgreg.nga.mil/genc/view?v=122674&amp;gencs=T&amp;end_month=12&amp;end_day=31&amp;end_year=2014","Cerro Largo")</f>
        <v>Cerro Largo</v>
      </c>
      <c r="G5040" s="28" t="str">
        <f>HYPERLINK("http://api.nsgreg.nga.mil/geo-division/GENC/6/ed3/UY-CL","as:GENC:6:ed3:UY-CL")</f>
        <v>as:GENC:6:ed3:UY-CL</v>
      </c>
    </row>
    <row r="5041" spans="1:7" x14ac:dyDescent="0.2">
      <c r="A5041" s="85"/>
      <c r="B5041" s="25" t="s">
        <v>11674</v>
      </c>
      <c r="C5041" s="25" t="s">
        <v>11675</v>
      </c>
      <c r="D5041" s="25" t="s">
        <v>2590</v>
      </c>
      <c r="E5041" s="26" t="b">
        <v>1</v>
      </c>
      <c r="F5041" s="27" t="str">
        <f>HYPERLINK("http://nsgreg.nga.mil/genc/view?v=122675&amp;gencs=T&amp;end_month=12&amp;end_day=31&amp;end_year=2014","Colonia")</f>
        <v>Colonia</v>
      </c>
      <c r="G5041" s="28" t="str">
        <f>HYPERLINK("http://api.nsgreg.nga.mil/geo-division/GENC/6/ed3/UY-CO","as:GENC:6:ed3:UY-CO")</f>
        <v>as:GENC:6:ed3:UY-CO</v>
      </c>
    </row>
    <row r="5042" spans="1:7" x14ac:dyDescent="0.2">
      <c r="A5042" s="85"/>
      <c r="B5042" s="25" t="s">
        <v>11676</v>
      </c>
      <c r="C5042" s="25" t="s">
        <v>11677</v>
      </c>
      <c r="D5042" s="25" t="s">
        <v>2590</v>
      </c>
      <c r="E5042" s="26" t="b">
        <v>1</v>
      </c>
      <c r="F5042" s="27" t="str">
        <f>HYPERLINK("http://nsgreg.nga.mil/genc/view?v=122676&amp;gencs=T&amp;end_month=12&amp;end_day=31&amp;end_year=2014","Durazno")</f>
        <v>Durazno</v>
      </c>
      <c r="G5042" s="28" t="str">
        <f>HYPERLINK("http://api.nsgreg.nga.mil/geo-division/GENC/6/ed3/UY-DU","as:GENC:6:ed3:UY-DU")</f>
        <v>as:GENC:6:ed3:UY-DU</v>
      </c>
    </row>
    <row r="5043" spans="1:7" x14ac:dyDescent="0.2">
      <c r="A5043" s="85"/>
      <c r="B5043" s="25" t="s">
        <v>11678</v>
      </c>
      <c r="C5043" s="25" t="s">
        <v>11679</v>
      </c>
      <c r="D5043" s="25" t="s">
        <v>2590</v>
      </c>
      <c r="E5043" s="26" t="b">
        <v>1</v>
      </c>
      <c r="F5043" s="27" t="str">
        <f>HYPERLINK("http://nsgreg.nga.mil/genc/view?v=122678&amp;gencs=T&amp;end_month=12&amp;end_day=31&amp;end_year=2014","Flores")</f>
        <v>Flores</v>
      </c>
      <c r="G5043" s="28" t="str">
        <f>HYPERLINK("http://api.nsgreg.nga.mil/geo-division/GENC/6/ed3/UY-FS","as:GENC:6:ed3:UY-FS")</f>
        <v>as:GENC:6:ed3:UY-FS</v>
      </c>
    </row>
    <row r="5044" spans="1:7" x14ac:dyDescent="0.2">
      <c r="A5044" s="85"/>
      <c r="B5044" s="25" t="s">
        <v>11680</v>
      </c>
      <c r="C5044" s="25" t="s">
        <v>11566</v>
      </c>
      <c r="D5044" s="25" t="s">
        <v>2590</v>
      </c>
      <c r="E5044" s="26" t="b">
        <v>1</v>
      </c>
      <c r="F5044" s="27" t="str">
        <f>HYPERLINK("http://nsgreg.nga.mil/genc/view?v=122677&amp;gencs=T&amp;end_month=12&amp;end_day=31&amp;end_year=2014","Florida")</f>
        <v>Florida</v>
      </c>
      <c r="G5044" s="28" t="str">
        <f>HYPERLINK("http://api.nsgreg.nga.mil/geo-division/GENC/6/ed3/UY-FD","as:GENC:6:ed3:UY-FD")</f>
        <v>as:GENC:6:ed3:UY-FD</v>
      </c>
    </row>
    <row r="5045" spans="1:7" x14ac:dyDescent="0.2">
      <c r="A5045" s="85"/>
      <c r="B5045" s="25" t="s">
        <v>11681</v>
      </c>
      <c r="C5045" s="25" t="s">
        <v>11682</v>
      </c>
      <c r="D5045" s="25" t="s">
        <v>2590</v>
      </c>
      <c r="E5045" s="26" t="b">
        <v>1</v>
      </c>
      <c r="F5045" s="27" t="str">
        <f>HYPERLINK("http://nsgreg.nga.mil/genc/view?v=122679&amp;gencs=T&amp;end_month=12&amp;end_day=31&amp;end_year=2014","Lavalleja")</f>
        <v>Lavalleja</v>
      </c>
      <c r="G5045" s="28" t="str">
        <f>HYPERLINK("http://api.nsgreg.nga.mil/geo-division/GENC/6/ed3/UY-LA","as:GENC:6:ed3:UY-LA")</f>
        <v>as:GENC:6:ed3:UY-LA</v>
      </c>
    </row>
    <row r="5046" spans="1:7" x14ac:dyDescent="0.2">
      <c r="A5046" s="85"/>
      <c r="B5046" s="25" t="s">
        <v>11683</v>
      </c>
      <c r="C5046" s="25" t="s">
        <v>11684</v>
      </c>
      <c r="D5046" s="25" t="s">
        <v>2590</v>
      </c>
      <c r="E5046" s="26" t="b">
        <v>1</v>
      </c>
      <c r="F5046" s="27" t="str">
        <f>HYPERLINK("http://nsgreg.nga.mil/genc/view?v=122680&amp;gencs=T&amp;end_month=12&amp;end_day=31&amp;end_year=2014","Maldonado")</f>
        <v>Maldonado</v>
      </c>
      <c r="G5046" s="28" t="str">
        <f>HYPERLINK("http://api.nsgreg.nga.mil/geo-division/GENC/6/ed3/UY-MA","as:GENC:6:ed3:UY-MA")</f>
        <v>as:GENC:6:ed3:UY-MA</v>
      </c>
    </row>
    <row r="5047" spans="1:7" x14ac:dyDescent="0.2">
      <c r="A5047" s="85"/>
      <c r="B5047" s="25" t="s">
        <v>11685</v>
      </c>
      <c r="C5047" s="25" t="s">
        <v>11686</v>
      </c>
      <c r="D5047" s="25" t="s">
        <v>2590</v>
      </c>
      <c r="E5047" s="26" t="b">
        <v>1</v>
      </c>
      <c r="F5047" s="27" t="str">
        <f>HYPERLINK("http://nsgreg.nga.mil/genc/view?v=122681&amp;gencs=T&amp;end_month=12&amp;end_day=31&amp;end_year=2014","Montevideo")</f>
        <v>Montevideo</v>
      </c>
      <c r="G5047" s="28" t="str">
        <f>HYPERLINK("http://api.nsgreg.nga.mil/geo-division/GENC/6/ed3/UY-MO","as:GENC:6:ed3:UY-MO")</f>
        <v>as:GENC:6:ed3:UY-MO</v>
      </c>
    </row>
    <row r="5048" spans="1:7" x14ac:dyDescent="0.2">
      <c r="A5048" s="85"/>
      <c r="B5048" s="25" t="s">
        <v>11687</v>
      </c>
      <c r="C5048" s="25" t="s">
        <v>11688</v>
      </c>
      <c r="D5048" s="25" t="s">
        <v>2590</v>
      </c>
      <c r="E5048" s="26" t="b">
        <v>1</v>
      </c>
      <c r="F5048" s="27" t="str">
        <f>HYPERLINK("http://nsgreg.nga.mil/genc/view?v=122682&amp;gencs=T&amp;end_month=12&amp;end_day=31&amp;end_year=2014","Paysandú")</f>
        <v>Paysandú</v>
      </c>
      <c r="G5048" s="28" t="str">
        <f>HYPERLINK("http://api.nsgreg.nga.mil/geo-division/GENC/6/ed3/UY-PA","as:GENC:6:ed3:UY-PA")</f>
        <v>as:GENC:6:ed3:UY-PA</v>
      </c>
    </row>
    <row r="5049" spans="1:7" x14ac:dyDescent="0.2">
      <c r="A5049" s="85"/>
      <c r="B5049" s="25" t="s">
        <v>11693</v>
      </c>
      <c r="C5049" s="25" t="s">
        <v>2068</v>
      </c>
      <c r="D5049" s="25" t="s">
        <v>2590</v>
      </c>
      <c r="E5049" s="26" t="b">
        <v>1</v>
      </c>
      <c r="F5049" s="27" t="str">
        <f>HYPERLINK("http://nsgreg.nga.mil/genc/view?v=122683&amp;gencs=T&amp;end_month=12&amp;end_day=31&amp;end_year=2014","Río Negro")</f>
        <v>Río Negro</v>
      </c>
      <c r="G5049" s="28" t="str">
        <f>HYPERLINK("http://api.nsgreg.nga.mil/geo-division/GENC/6/ed3/UY-RN","as:GENC:6:ed3:UY-RN")</f>
        <v>as:GENC:6:ed3:UY-RN</v>
      </c>
    </row>
    <row r="5050" spans="1:7" x14ac:dyDescent="0.2">
      <c r="A5050" s="85"/>
      <c r="B5050" s="25" t="s">
        <v>11689</v>
      </c>
      <c r="C5050" s="25" t="s">
        <v>11690</v>
      </c>
      <c r="D5050" s="25" t="s">
        <v>2590</v>
      </c>
      <c r="E5050" s="26" t="b">
        <v>1</v>
      </c>
      <c r="F5050" s="27" t="str">
        <f>HYPERLINK("http://nsgreg.nga.mil/genc/view?v=122685&amp;gencs=T&amp;end_month=12&amp;end_day=31&amp;end_year=2014","Rivera")</f>
        <v>Rivera</v>
      </c>
      <c r="G5050" s="28" t="str">
        <f>HYPERLINK("http://api.nsgreg.nga.mil/geo-division/GENC/6/ed3/UY-RV","as:GENC:6:ed3:UY-RV")</f>
        <v>as:GENC:6:ed3:UY-RV</v>
      </c>
    </row>
    <row r="5051" spans="1:7" x14ac:dyDescent="0.2">
      <c r="A5051" s="85"/>
      <c r="B5051" s="25" t="s">
        <v>11691</v>
      </c>
      <c r="C5051" s="25" t="s">
        <v>11692</v>
      </c>
      <c r="D5051" s="25" t="s">
        <v>2590</v>
      </c>
      <c r="E5051" s="26" t="b">
        <v>1</v>
      </c>
      <c r="F5051" s="27" t="str">
        <f>HYPERLINK("http://nsgreg.nga.mil/genc/view?v=122684&amp;gencs=T&amp;end_month=12&amp;end_day=31&amp;end_year=2014","Rocha")</f>
        <v>Rocha</v>
      </c>
      <c r="G5051" s="28" t="str">
        <f>HYPERLINK("http://api.nsgreg.nga.mil/geo-division/GENC/6/ed3/UY-RO","as:GENC:6:ed3:UY-RO")</f>
        <v>as:GENC:6:ed3:UY-RO</v>
      </c>
    </row>
    <row r="5052" spans="1:7" x14ac:dyDescent="0.2">
      <c r="A5052" s="85"/>
      <c r="B5052" s="25" t="s">
        <v>11694</v>
      </c>
      <c r="C5052" s="25" t="s">
        <v>11695</v>
      </c>
      <c r="D5052" s="25" t="s">
        <v>2590</v>
      </c>
      <c r="E5052" s="26" t="b">
        <v>1</v>
      </c>
      <c r="F5052" s="27" t="str">
        <f>HYPERLINK("http://nsgreg.nga.mil/genc/view?v=122686&amp;gencs=T&amp;end_month=12&amp;end_day=31&amp;end_year=2014","Salto")</f>
        <v>Salto</v>
      </c>
      <c r="G5052" s="28" t="str">
        <f>HYPERLINK("http://api.nsgreg.nga.mil/geo-division/GENC/6/ed3/UY-SA","as:GENC:6:ed3:UY-SA")</f>
        <v>as:GENC:6:ed3:UY-SA</v>
      </c>
    </row>
    <row r="5053" spans="1:7" x14ac:dyDescent="0.2">
      <c r="A5053" s="85"/>
      <c r="B5053" s="25" t="s">
        <v>11696</v>
      </c>
      <c r="C5053" s="25" t="s">
        <v>3511</v>
      </c>
      <c r="D5053" s="25" t="s">
        <v>2590</v>
      </c>
      <c r="E5053" s="26" t="b">
        <v>1</v>
      </c>
      <c r="F5053" s="27" t="str">
        <f>HYPERLINK("http://nsgreg.nga.mil/genc/view?v=122687&amp;gencs=T&amp;end_month=12&amp;end_day=31&amp;end_year=2014","San José")</f>
        <v>San José</v>
      </c>
      <c r="G5053" s="28" t="str">
        <f>HYPERLINK("http://api.nsgreg.nga.mil/geo-division/GENC/6/ed3/UY-SJ","as:GENC:6:ed3:UY-SJ")</f>
        <v>as:GENC:6:ed3:UY-SJ</v>
      </c>
    </row>
    <row r="5054" spans="1:7" x14ac:dyDescent="0.2">
      <c r="A5054" s="85"/>
      <c r="B5054" s="25" t="s">
        <v>11697</v>
      </c>
      <c r="C5054" s="25" t="s">
        <v>11698</v>
      </c>
      <c r="D5054" s="25" t="s">
        <v>2590</v>
      </c>
      <c r="E5054" s="26" t="b">
        <v>1</v>
      </c>
      <c r="F5054" s="27" t="str">
        <f>HYPERLINK("http://nsgreg.nga.mil/genc/view?v=122688&amp;gencs=T&amp;end_month=12&amp;end_day=31&amp;end_year=2014","Soriano")</f>
        <v>Soriano</v>
      </c>
      <c r="G5054" s="28" t="str">
        <f>HYPERLINK("http://api.nsgreg.nga.mil/geo-division/GENC/6/ed3/UY-SO","as:GENC:6:ed3:UY-SO")</f>
        <v>as:GENC:6:ed3:UY-SO</v>
      </c>
    </row>
    <row r="5055" spans="1:7" x14ac:dyDescent="0.2">
      <c r="A5055" s="85"/>
      <c r="B5055" s="25" t="s">
        <v>11699</v>
      </c>
      <c r="C5055" s="25" t="s">
        <v>11700</v>
      </c>
      <c r="D5055" s="25" t="s">
        <v>2590</v>
      </c>
      <c r="E5055" s="26" t="b">
        <v>1</v>
      </c>
      <c r="F5055" s="27" t="str">
        <f>HYPERLINK("http://nsgreg.nga.mil/genc/view?v=122689&amp;gencs=T&amp;end_month=12&amp;end_day=31&amp;end_year=2014","Tacuarembó")</f>
        <v>Tacuarembó</v>
      </c>
      <c r="G5055" s="28" t="str">
        <f>HYPERLINK("http://api.nsgreg.nga.mil/geo-division/GENC/6/ed3/UY-TA","as:GENC:6:ed3:UY-TA")</f>
        <v>as:GENC:6:ed3:UY-TA</v>
      </c>
    </row>
    <row r="5056" spans="1:7" x14ac:dyDescent="0.2">
      <c r="A5056" s="86"/>
      <c r="B5056" s="29" t="s">
        <v>11701</v>
      </c>
      <c r="C5056" s="29" t="s">
        <v>11702</v>
      </c>
      <c r="D5056" s="29" t="s">
        <v>2590</v>
      </c>
      <c r="E5056" s="30" t="b">
        <v>1</v>
      </c>
      <c r="F5056" s="31" t="str">
        <f>HYPERLINK("http://nsgreg.nga.mil/genc/view?v=122690&amp;gencs=T&amp;end_month=12&amp;end_day=31&amp;end_year=2014","Treinta y Tres")</f>
        <v>Treinta y Tres</v>
      </c>
      <c r="G5056" s="32" t="str">
        <f>HYPERLINK("http://api.nsgreg.nga.mil/geo-division/GENC/6/ed3/UY-TT","as:GENC:6:ed3:UY-TT")</f>
        <v>as:GENC:6:ed3:UY-TT</v>
      </c>
    </row>
    <row r="5057" spans="1:7" x14ac:dyDescent="0.2">
      <c r="A5057" s="84" t="str">
        <f>HYPERLINK("[#]Codes_for_GE_Names!A270:I270","UZBEKISTAN")</f>
        <v>UZBEKISTAN</v>
      </c>
      <c r="B5057" s="33" t="s">
        <v>11703</v>
      </c>
      <c r="C5057" s="33" t="s">
        <v>11704</v>
      </c>
      <c r="D5057" s="33" t="s">
        <v>2087</v>
      </c>
      <c r="E5057" s="34" t="b">
        <v>1</v>
      </c>
      <c r="F5057" s="35" t="str">
        <f>HYPERLINK("http://nsgreg.nga.mil/genc/view?v=122691&amp;gencs=T&amp;end_month=12&amp;end_day=31&amp;end_year=2014","Andijon")</f>
        <v>Andijon</v>
      </c>
      <c r="G5057" s="36" t="str">
        <f>HYPERLINK("http://api.nsgreg.nga.mil/geo-division/GENC/6/ed3/UZ-AN","as:GENC:6:ed3:UZ-AN")</f>
        <v>as:GENC:6:ed3:UZ-AN</v>
      </c>
    </row>
    <row r="5058" spans="1:7" x14ac:dyDescent="0.2">
      <c r="A5058" s="85"/>
      <c r="B5058" s="25" t="s">
        <v>11705</v>
      </c>
      <c r="C5058" s="25" t="s">
        <v>11706</v>
      </c>
      <c r="D5058" s="25" t="s">
        <v>2087</v>
      </c>
      <c r="E5058" s="26" t="b">
        <v>1</v>
      </c>
      <c r="F5058" s="27" t="str">
        <f>HYPERLINK("http://nsgreg.nga.mil/genc/view?v=122692&amp;gencs=T&amp;end_month=12&amp;end_day=31&amp;end_year=2014","Buxoro")</f>
        <v>Buxoro</v>
      </c>
      <c r="G5058" s="28" t="str">
        <f>HYPERLINK("http://api.nsgreg.nga.mil/geo-division/GENC/6/ed3/UZ-BU","as:GENC:6:ed3:UZ-BU")</f>
        <v>as:GENC:6:ed3:UZ-BU</v>
      </c>
    </row>
    <row r="5059" spans="1:7" x14ac:dyDescent="0.2">
      <c r="A5059" s="85"/>
      <c r="B5059" s="25" t="s">
        <v>11707</v>
      </c>
      <c r="C5059" s="25" t="s">
        <v>13875</v>
      </c>
      <c r="D5059" s="25" t="s">
        <v>2087</v>
      </c>
      <c r="E5059" s="26" t="b">
        <v>1</v>
      </c>
      <c r="F5059" s="27" t="str">
        <f>HYPERLINK("http://nsgreg.nga.mil/genc/view?v=122693&amp;gencs=T&amp;end_month=12&amp;end_day=31&amp;end_year=2014","Farg‘ona")</f>
        <v>Farg‘ona</v>
      </c>
      <c r="G5059" s="28" t="str">
        <f>HYPERLINK("http://api.nsgreg.nga.mil/geo-division/GENC/6/ed3/UZ-FA","as:GENC:6:ed3:UZ-FA")</f>
        <v>as:GENC:6:ed3:UZ-FA</v>
      </c>
    </row>
    <row r="5060" spans="1:7" x14ac:dyDescent="0.2">
      <c r="A5060" s="85"/>
      <c r="B5060" s="25" t="s">
        <v>11709</v>
      </c>
      <c r="C5060" s="25" t="s">
        <v>11710</v>
      </c>
      <c r="D5060" s="25" t="s">
        <v>2087</v>
      </c>
      <c r="E5060" s="26" t="b">
        <v>1</v>
      </c>
      <c r="F5060" s="27" t="str">
        <f>HYPERLINK("http://nsgreg.nga.mil/genc/view?v=122694&amp;gencs=T&amp;end_month=12&amp;end_day=31&amp;end_year=2014","Jizzax")</f>
        <v>Jizzax</v>
      </c>
      <c r="G5060" s="28" t="str">
        <f>HYPERLINK("http://api.nsgreg.nga.mil/geo-division/GENC/6/ed3/UZ-JI","as:GENC:6:ed3:UZ-JI")</f>
        <v>as:GENC:6:ed3:UZ-JI</v>
      </c>
    </row>
    <row r="5061" spans="1:7" x14ac:dyDescent="0.2">
      <c r="A5061" s="85"/>
      <c r="B5061" s="25" t="s">
        <v>11711</v>
      </c>
      <c r="C5061" s="25" t="s">
        <v>11712</v>
      </c>
      <c r="D5061" s="25" t="s">
        <v>2087</v>
      </c>
      <c r="E5061" s="26" t="b">
        <v>1</v>
      </c>
      <c r="F5061" s="27" t="str">
        <f>HYPERLINK("http://nsgreg.nga.mil/genc/view?v=122695&amp;gencs=T&amp;end_month=12&amp;end_day=31&amp;end_year=2014","Namangan")</f>
        <v>Namangan</v>
      </c>
      <c r="G5061" s="28" t="str">
        <f>HYPERLINK("http://api.nsgreg.nga.mil/geo-division/GENC/6/ed3/UZ-NG","as:GENC:6:ed3:UZ-NG")</f>
        <v>as:GENC:6:ed3:UZ-NG</v>
      </c>
    </row>
    <row r="5062" spans="1:7" x14ac:dyDescent="0.2">
      <c r="A5062" s="85"/>
      <c r="B5062" s="25" t="s">
        <v>11713</v>
      </c>
      <c r="C5062" s="25" t="s">
        <v>11714</v>
      </c>
      <c r="D5062" s="25" t="s">
        <v>2087</v>
      </c>
      <c r="E5062" s="26" t="b">
        <v>1</v>
      </c>
      <c r="F5062" s="27" t="str">
        <f>HYPERLINK("http://nsgreg.nga.mil/genc/view?v=122696&amp;gencs=T&amp;end_month=12&amp;end_day=31&amp;end_year=2014","Navoiy")</f>
        <v>Navoiy</v>
      </c>
      <c r="G5062" s="28" t="str">
        <f>HYPERLINK("http://api.nsgreg.nga.mil/geo-division/GENC/6/ed3/UZ-NW","as:GENC:6:ed3:UZ-NW")</f>
        <v>as:GENC:6:ed3:UZ-NW</v>
      </c>
    </row>
    <row r="5063" spans="1:7" x14ac:dyDescent="0.2">
      <c r="A5063" s="85"/>
      <c r="B5063" s="25" t="s">
        <v>11715</v>
      </c>
      <c r="C5063" s="25" t="s">
        <v>11716</v>
      </c>
      <c r="D5063" s="25" t="s">
        <v>2087</v>
      </c>
      <c r="E5063" s="26" t="b">
        <v>1</v>
      </c>
      <c r="F5063" s="27" t="str">
        <f>HYPERLINK("http://nsgreg.nga.mil/genc/view?v=122697&amp;gencs=T&amp;end_month=12&amp;end_day=31&amp;end_year=2014","Qashqadaryo")</f>
        <v>Qashqadaryo</v>
      </c>
      <c r="G5063" s="28" t="str">
        <f>HYPERLINK("http://api.nsgreg.nga.mil/geo-division/GENC/6/ed3/UZ-QA","as:GENC:6:ed3:UZ-QA")</f>
        <v>as:GENC:6:ed3:UZ-QA</v>
      </c>
    </row>
    <row r="5064" spans="1:7" x14ac:dyDescent="0.2">
      <c r="A5064" s="85"/>
      <c r="B5064" s="25" t="s">
        <v>11717</v>
      </c>
      <c r="C5064" s="25" t="s">
        <v>13876</v>
      </c>
      <c r="D5064" s="25" t="s">
        <v>8683</v>
      </c>
      <c r="E5064" s="26" t="b">
        <v>1</v>
      </c>
      <c r="F5064" s="27" t="str">
        <f>HYPERLINK("http://nsgreg.nga.mil/genc/view?v=213714&amp;end_month=12&amp;end_day=31&amp;end_year=2014","Qoraqalpog‘iston")</f>
        <v>Qoraqalpog‘iston</v>
      </c>
      <c r="G5064" s="28" t="str">
        <f>HYPERLINK("http://api.nsgreg.nga.mil/geo-division/GENC/6/ed3/UZ-QR","as:GENC:6:ed3:UZ-QR")</f>
        <v>as:GENC:6:ed3:UZ-QR</v>
      </c>
    </row>
    <row r="5065" spans="1:7" x14ac:dyDescent="0.2">
      <c r="A5065" s="85"/>
      <c r="B5065" s="25" t="s">
        <v>11719</v>
      </c>
      <c r="C5065" s="25" t="s">
        <v>11720</v>
      </c>
      <c r="D5065" s="25" t="s">
        <v>2087</v>
      </c>
      <c r="E5065" s="26" t="b">
        <v>1</v>
      </c>
      <c r="F5065" s="27" t="str">
        <f>HYPERLINK("http://nsgreg.nga.mil/genc/view?v=122699&amp;gencs=T&amp;end_month=12&amp;end_day=31&amp;end_year=2014","Samarqand")</f>
        <v>Samarqand</v>
      </c>
      <c r="G5065" s="28" t="str">
        <f>HYPERLINK("http://api.nsgreg.nga.mil/geo-division/GENC/6/ed3/UZ-SA","as:GENC:6:ed3:UZ-SA")</f>
        <v>as:GENC:6:ed3:UZ-SA</v>
      </c>
    </row>
    <row r="5066" spans="1:7" x14ac:dyDescent="0.2">
      <c r="A5066" s="85"/>
      <c r="B5066" s="25" t="s">
        <v>11721</v>
      </c>
      <c r="C5066" s="25" t="s">
        <v>11722</v>
      </c>
      <c r="D5066" s="25" t="s">
        <v>2087</v>
      </c>
      <c r="E5066" s="26" t="b">
        <v>1</v>
      </c>
      <c r="F5066" s="27" t="str">
        <f>HYPERLINK("http://nsgreg.nga.mil/genc/view?v=122700&amp;gencs=T&amp;end_month=12&amp;end_day=31&amp;end_year=2014","Sirdaryo")</f>
        <v>Sirdaryo</v>
      </c>
      <c r="G5066" s="28" t="str">
        <f>HYPERLINK("http://api.nsgreg.nga.mil/geo-division/GENC/6/ed3/UZ-SI","as:GENC:6:ed3:UZ-SI")</f>
        <v>as:GENC:6:ed3:UZ-SI</v>
      </c>
    </row>
    <row r="5067" spans="1:7" x14ac:dyDescent="0.2">
      <c r="A5067" s="85"/>
      <c r="B5067" s="25" t="s">
        <v>11723</v>
      </c>
      <c r="C5067" s="25" t="s">
        <v>11724</v>
      </c>
      <c r="D5067" s="25" t="s">
        <v>2087</v>
      </c>
      <c r="E5067" s="26" t="b">
        <v>1</v>
      </c>
      <c r="F5067" s="27" t="str">
        <f>HYPERLINK("http://nsgreg.nga.mil/genc/view?v=122701&amp;gencs=T&amp;end_month=12&amp;end_day=31&amp;end_year=2014","Surxondaryo")</f>
        <v>Surxondaryo</v>
      </c>
      <c r="G5067" s="28" t="str">
        <f>HYPERLINK("http://api.nsgreg.nga.mil/geo-division/GENC/6/ed3/UZ-SU","as:GENC:6:ed3:UZ-SU")</f>
        <v>as:GENC:6:ed3:UZ-SU</v>
      </c>
    </row>
    <row r="5068" spans="1:7" x14ac:dyDescent="0.2">
      <c r="A5068" s="85"/>
      <c r="B5068" s="25" t="s">
        <v>11725</v>
      </c>
      <c r="C5068" s="25" t="s">
        <v>11726</v>
      </c>
      <c r="D5068" s="25" t="s">
        <v>2046</v>
      </c>
      <c r="E5068" s="26" t="b">
        <v>1</v>
      </c>
      <c r="F5068" s="27" t="str">
        <f>HYPERLINK("http://nsgreg.nga.mil/genc/view?v=122702&amp;gencs=T&amp;end_month=12&amp;end_day=31&amp;end_year=2014","Toshkent")</f>
        <v>Toshkent</v>
      </c>
      <c r="G5068" s="28" t="str">
        <f>HYPERLINK("http://api.nsgreg.nga.mil/geo-division/GENC/6/ed3/UZ-TK","as:GENC:6:ed3:UZ-TK")</f>
        <v>as:GENC:6:ed3:UZ-TK</v>
      </c>
    </row>
    <row r="5069" spans="1:7" x14ac:dyDescent="0.2">
      <c r="A5069" s="85"/>
      <c r="B5069" s="25" t="s">
        <v>11727</v>
      </c>
      <c r="C5069" s="25" t="s">
        <v>11726</v>
      </c>
      <c r="D5069" s="25" t="s">
        <v>2087</v>
      </c>
      <c r="E5069" s="26" t="b">
        <v>1</v>
      </c>
      <c r="F5069" s="27" t="str">
        <f>HYPERLINK("http://nsgreg.nga.mil/genc/view?v=122703&amp;gencs=T&amp;end_month=12&amp;end_day=31&amp;end_year=2014","Toshkent")</f>
        <v>Toshkent</v>
      </c>
      <c r="G5069" s="28" t="str">
        <f>HYPERLINK("http://api.nsgreg.nga.mil/geo-division/GENC/6/ed3/UZ-TO","as:GENC:6:ed3:UZ-TO")</f>
        <v>as:GENC:6:ed3:UZ-TO</v>
      </c>
    </row>
    <row r="5070" spans="1:7" x14ac:dyDescent="0.2">
      <c r="A5070" s="86"/>
      <c r="B5070" s="29" t="s">
        <v>11728</v>
      </c>
      <c r="C5070" s="29" t="s">
        <v>11729</v>
      </c>
      <c r="D5070" s="29" t="s">
        <v>2087</v>
      </c>
      <c r="E5070" s="30" t="b">
        <v>1</v>
      </c>
      <c r="F5070" s="31" t="str">
        <f>HYPERLINK("http://nsgreg.nga.mil/genc/view?v=122704&amp;gencs=T&amp;end_month=12&amp;end_day=31&amp;end_year=2014","Xorazm")</f>
        <v>Xorazm</v>
      </c>
      <c r="G5070" s="32" t="str">
        <f>HYPERLINK("http://api.nsgreg.nga.mil/geo-division/GENC/6/ed3/UZ-XO","as:GENC:6:ed3:UZ-XO")</f>
        <v>as:GENC:6:ed3:UZ-XO</v>
      </c>
    </row>
    <row r="5071" spans="1:7" x14ac:dyDescent="0.2">
      <c r="A5071" s="84" t="str">
        <f>HYPERLINK("[#]Codes_for_GE_Names!A271:I271","VANUATU")</f>
        <v>VANUATU</v>
      </c>
      <c r="B5071" s="33" t="s">
        <v>11730</v>
      </c>
      <c r="C5071" s="33" t="s">
        <v>11731</v>
      </c>
      <c r="D5071" s="33" t="s">
        <v>1719</v>
      </c>
      <c r="E5071" s="34" t="b">
        <v>1</v>
      </c>
      <c r="F5071" s="35" t="str">
        <f>HYPERLINK("http://nsgreg.nga.mil/genc/view?v=213723&amp;end_month=12&amp;end_day=31&amp;end_year=2014","Malampa")</f>
        <v>Malampa</v>
      </c>
      <c r="G5071" s="36" t="str">
        <f>HYPERLINK("http://api.nsgreg.nga.mil/geo-division/GENC/6/ed3/VU-MAP","as:GENC:6:ed3:VU-MAP")</f>
        <v>as:GENC:6:ed3:VU-MAP</v>
      </c>
    </row>
    <row r="5072" spans="1:7" x14ac:dyDescent="0.2">
      <c r="A5072" s="85"/>
      <c r="B5072" s="25" t="s">
        <v>11732</v>
      </c>
      <c r="C5072" s="25" t="s">
        <v>13877</v>
      </c>
      <c r="D5072" s="25" t="s">
        <v>1719</v>
      </c>
      <c r="E5072" s="26" t="b">
        <v>1</v>
      </c>
      <c r="F5072" s="27" t="str">
        <f>HYPERLINK("http://nsgreg.nga.mil/genc/view?v=213724&amp;end_month=12&amp;end_day=31&amp;end_year=2014","Penama")</f>
        <v>Penama</v>
      </c>
      <c r="G5072" s="28" t="str">
        <f>HYPERLINK("http://api.nsgreg.nga.mil/geo-division/GENC/6/ed3/VU-PAM","as:GENC:6:ed3:VU-PAM")</f>
        <v>as:GENC:6:ed3:VU-PAM</v>
      </c>
    </row>
    <row r="5073" spans="1:7" x14ac:dyDescent="0.2">
      <c r="A5073" s="85"/>
      <c r="B5073" s="25" t="s">
        <v>11734</v>
      </c>
      <c r="C5073" s="25" t="s">
        <v>11735</v>
      </c>
      <c r="D5073" s="25" t="s">
        <v>1719</v>
      </c>
      <c r="E5073" s="26" t="b">
        <v>1</v>
      </c>
      <c r="F5073" s="27" t="str">
        <f>HYPERLINK("http://nsgreg.nga.mil/genc/view?v=213725&amp;end_month=12&amp;end_day=31&amp;end_year=2014","Sanma")</f>
        <v>Sanma</v>
      </c>
      <c r="G5073" s="28" t="str">
        <f>HYPERLINK("http://api.nsgreg.nga.mil/geo-division/GENC/6/ed3/VU-SAM","as:GENC:6:ed3:VU-SAM")</f>
        <v>as:GENC:6:ed3:VU-SAM</v>
      </c>
    </row>
    <row r="5074" spans="1:7" x14ac:dyDescent="0.2">
      <c r="A5074" s="85"/>
      <c r="B5074" s="25" t="s">
        <v>11736</v>
      </c>
      <c r="C5074" s="25" t="s">
        <v>13878</v>
      </c>
      <c r="D5074" s="25" t="s">
        <v>1719</v>
      </c>
      <c r="E5074" s="26" t="b">
        <v>1</v>
      </c>
      <c r="F5074" s="27" t="str">
        <f>HYPERLINK("http://nsgreg.nga.mil/genc/view?v=213726&amp;end_month=12&amp;end_day=31&amp;end_year=2014","Shefa")</f>
        <v>Shefa</v>
      </c>
      <c r="G5074" s="28" t="str">
        <f>HYPERLINK("http://api.nsgreg.nga.mil/geo-division/GENC/6/ed3/VU-SEE","as:GENC:6:ed3:VU-SEE")</f>
        <v>as:GENC:6:ed3:VU-SEE</v>
      </c>
    </row>
    <row r="5075" spans="1:7" x14ac:dyDescent="0.2">
      <c r="A5075" s="85"/>
      <c r="B5075" s="25" t="s">
        <v>11738</v>
      </c>
      <c r="C5075" s="25" t="s">
        <v>13879</v>
      </c>
      <c r="D5075" s="25" t="s">
        <v>1719</v>
      </c>
      <c r="E5075" s="26" t="b">
        <v>1</v>
      </c>
      <c r="F5075" s="27" t="str">
        <f>HYPERLINK("http://nsgreg.nga.mil/genc/view?v=213727&amp;end_month=12&amp;end_day=31&amp;end_year=2014","Tafea")</f>
        <v>Tafea</v>
      </c>
      <c r="G5075" s="28" t="str">
        <f>HYPERLINK("http://api.nsgreg.nga.mil/geo-division/GENC/6/ed3/VU-TAE","as:GENC:6:ed3:VU-TAE")</f>
        <v>as:GENC:6:ed3:VU-TAE</v>
      </c>
    </row>
    <row r="5076" spans="1:7" x14ac:dyDescent="0.2">
      <c r="A5076" s="86"/>
      <c r="B5076" s="29" t="s">
        <v>11740</v>
      </c>
      <c r="C5076" s="29" t="s">
        <v>11741</v>
      </c>
      <c r="D5076" s="29" t="s">
        <v>1719</v>
      </c>
      <c r="E5076" s="30" t="b">
        <v>1</v>
      </c>
      <c r="F5076" s="31" t="str">
        <f>HYPERLINK("http://nsgreg.nga.mil/genc/view?v=213728&amp;end_month=12&amp;end_day=31&amp;end_year=2014","Torba")</f>
        <v>Torba</v>
      </c>
      <c r="G5076" s="32" t="str">
        <f>HYPERLINK("http://api.nsgreg.nga.mil/geo-division/GENC/6/ed3/VU-TOB","as:GENC:6:ed3:VU-TOB")</f>
        <v>as:GENC:6:ed3:VU-TOB</v>
      </c>
    </row>
    <row r="5077" spans="1:7" x14ac:dyDescent="0.2">
      <c r="A5077" s="84" t="str">
        <f>HYPERLINK("[#]Codes_for_GE_Names!A273:I273","VENEZUELA")</f>
        <v>VENEZUELA</v>
      </c>
      <c r="B5077" s="33" t="s">
        <v>11743</v>
      </c>
      <c r="C5077" s="33" t="s">
        <v>2744</v>
      </c>
      <c r="D5077" s="33" t="s">
        <v>2113</v>
      </c>
      <c r="E5077" s="34" t="b">
        <v>1</v>
      </c>
      <c r="F5077" s="35" t="str">
        <f>HYPERLINK("http://nsgreg.nga.mil/genc/view?v=122735&amp;gencs=T&amp;end_month=12&amp;end_day=31&amp;end_year=2014","Amazonas")</f>
        <v>Amazonas</v>
      </c>
      <c r="G5077" s="36" t="str">
        <f>HYPERLINK("http://api.nsgreg.nga.mil/geo-division/GENC/6/ed3/VE-Z","as:GENC:6:ed3:VE-Z")</f>
        <v>as:GENC:6:ed3:VE-Z</v>
      </c>
    </row>
    <row r="5078" spans="1:7" x14ac:dyDescent="0.2">
      <c r="A5078" s="85"/>
      <c r="B5078" s="25" t="s">
        <v>11744</v>
      </c>
      <c r="C5078" s="25" t="s">
        <v>11745</v>
      </c>
      <c r="D5078" s="25" t="s">
        <v>2113</v>
      </c>
      <c r="E5078" s="26" t="b">
        <v>1</v>
      </c>
      <c r="F5078" s="27" t="str">
        <f>HYPERLINK("http://nsgreg.nga.mil/genc/view?v=122712&amp;gencs=T&amp;end_month=12&amp;end_day=31&amp;end_year=2014","Anzoátegui")</f>
        <v>Anzoátegui</v>
      </c>
      <c r="G5078" s="28" t="str">
        <f>HYPERLINK("http://api.nsgreg.nga.mil/geo-division/GENC/6/ed3/VE-B","as:GENC:6:ed3:VE-B")</f>
        <v>as:GENC:6:ed3:VE-B</v>
      </c>
    </row>
    <row r="5079" spans="1:7" x14ac:dyDescent="0.2">
      <c r="A5079" s="85"/>
      <c r="B5079" s="25" t="s">
        <v>11746</v>
      </c>
      <c r="C5079" s="25" t="s">
        <v>11747</v>
      </c>
      <c r="D5079" s="25" t="s">
        <v>2113</v>
      </c>
      <c r="E5079" s="26" t="b">
        <v>1</v>
      </c>
      <c r="F5079" s="27" t="str">
        <f>HYPERLINK("http://nsgreg.nga.mil/genc/view?v=122713&amp;gencs=T&amp;end_month=12&amp;end_day=31&amp;end_year=2014","Apure")</f>
        <v>Apure</v>
      </c>
      <c r="G5079" s="28" t="str">
        <f>HYPERLINK("http://api.nsgreg.nga.mil/geo-division/GENC/6/ed3/VE-C","as:GENC:6:ed3:VE-C")</f>
        <v>as:GENC:6:ed3:VE-C</v>
      </c>
    </row>
    <row r="5080" spans="1:7" x14ac:dyDescent="0.2">
      <c r="A5080" s="85"/>
      <c r="B5080" s="25" t="s">
        <v>11748</v>
      </c>
      <c r="C5080" s="25" t="s">
        <v>11749</v>
      </c>
      <c r="D5080" s="25" t="s">
        <v>2113</v>
      </c>
      <c r="E5080" s="26" t="b">
        <v>1</v>
      </c>
      <c r="F5080" s="27" t="str">
        <f>HYPERLINK("http://nsgreg.nga.mil/genc/view?v=122714&amp;gencs=T&amp;end_month=12&amp;end_day=31&amp;end_year=2014","Aragua")</f>
        <v>Aragua</v>
      </c>
      <c r="G5080" s="28" t="str">
        <f>HYPERLINK("http://api.nsgreg.nga.mil/geo-division/GENC/6/ed3/VE-D","as:GENC:6:ed3:VE-D")</f>
        <v>as:GENC:6:ed3:VE-D</v>
      </c>
    </row>
    <row r="5081" spans="1:7" x14ac:dyDescent="0.2">
      <c r="A5081" s="85"/>
      <c r="B5081" s="25" t="s">
        <v>11750</v>
      </c>
      <c r="C5081" s="25" t="s">
        <v>11751</v>
      </c>
      <c r="D5081" s="25" t="s">
        <v>2113</v>
      </c>
      <c r="E5081" s="26" t="b">
        <v>1</v>
      </c>
      <c r="F5081" s="27" t="str">
        <f>HYPERLINK("http://nsgreg.nga.mil/genc/view?v=122715&amp;gencs=T&amp;end_month=12&amp;end_day=31&amp;end_year=2014","Barinas")</f>
        <v>Barinas</v>
      </c>
      <c r="G5081" s="28" t="str">
        <f>HYPERLINK("http://api.nsgreg.nga.mil/geo-division/GENC/6/ed3/VE-E","as:GENC:6:ed3:VE-E")</f>
        <v>as:GENC:6:ed3:VE-E</v>
      </c>
    </row>
    <row r="5082" spans="1:7" x14ac:dyDescent="0.2">
      <c r="A5082" s="85"/>
      <c r="B5082" s="25" t="s">
        <v>11752</v>
      </c>
      <c r="C5082" s="25" t="s">
        <v>3384</v>
      </c>
      <c r="D5082" s="25" t="s">
        <v>2113</v>
      </c>
      <c r="E5082" s="26" t="b">
        <v>1</v>
      </c>
      <c r="F5082" s="27" t="str">
        <f>HYPERLINK("http://nsgreg.nga.mil/genc/view?v=122716&amp;gencs=T&amp;end_month=12&amp;end_day=31&amp;end_year=2014","Bolívar")</f>
        <v>Bolívar</v>
      </c>
      <c r="G5082" s="28" t="str">
        <f>HYPERLINK("http://api.nsgreg.nga.mil/geo-division/GENC/6/ed3/VE-F","as:GENC:6:ed3:VE-F")</f>
        <v>as:GENC:6:ed3:VE-F</v>
      </c>
    </row>
    <row r="5083" spans="1:7" x14ac:dyDescent="0.2">
      <c r="A5083" s="85"/>
      <c r="B5083" s="25" t="s">
        <v>11753</v>
      </c>
      <c r="C5083" s="25" t="s">
        <v>11754</v>
      </c>
      <c r="D5083" s="25" t="s">
        <v>2113</v>
      </c>
      <c r="E5083" s="26" t="b">
        <v>1</v>
      </c>
      <c r="F5083" s="27" t="str">
        <f>HYPERLINK("http://nsgreg.nga.mil/genc/view?v=122717&amp;gencs=T&amp;end_month=12&amp;end_day=31&amp;end_year=2014","Carabobo")</f>
        <v>Carabobo</v>
      </c>
      <c r="G5083" s="28" t="str">
        <f>HYPERLINK("http://api.nsgreg.nga.mil/geo-division/GENC/6/ed3/VE-G","as:GENC:6:ed3:VE-G")</f>
        <v>as:GENC:6:ed3:VE-G</v>
      </c>
    </row>
    <row r="5084" spans="1:7" x14ac:dyDescent="0.2">
      <c r="A5084" s="85"/>
      <c r="B5084" s="25" t="s">
        <v>11755</v>
      </c>
      <c r="C5084" s="25" t="s">
        <v>11756</v>
      </c>
      <c r="D5084" s="25" t="s">
        <v>2113</v>
      </c>
      <c r="E5084" s="26" t="b">
        <v>1</v>
      </c>
      <c r="F5084" s="27" t="str">
        <f>HYPERLINK("http://nsgreg.nga.mil/genc/view?v=122718&amp;gencs=T&amp;end_month=12&amp;end_day=31&amp;end_year=2014","Cojedes")</f>
        <v>Cojedes</v>
      </c>
      <c r="G5084" s="28" t="str">
        <f>HYPERLINK("http://api.nsgreg.nga.mil/geo-division/GENC/6/ed3/VE-H","as:GENC:6:ed3:VE-H")</f>
        <v>as:GENC:6:ed3:VE-H</v>
      </c>
    </row>
    <row r="5085" spans="1:7" x14ac:dyDescent="0.2">
      <c r="A5085" s="85"/>
      <c r="B5085" s="25" t="s">
        <v>11757</v>
      </c>
      <c r="C5085" s="25" t="s">
        <v>11758</v>
      </c>
      <c r="D5085" s="25" t="s">
        <v>2113</v>
      </c>
      <c r="E5085" s="26" t="b">
        <v>1</v>
      </c>
      <c r="F5085" s="27" t="str">
        <f>HYPERLINK("http://nsgreg.nga.mil/genc/view?v=122734&amp;gencs=T&amp;end_month=12&amp;end_day=31&amp;end_year=2014","Delta Amacuro")</f>
        <v>Delta Amacuro</v>
      </c>
      <c r="G5085" s="28" t="str">
        <f>HYPERLINK("http://api.nsgreg.nga.mil/geo-division/GENC/6/ed3/VE-Y","as:GENC:6:ed3:VE-Y")</f>
        <v>as:GENC:6:ed3:VE-Y</v>
      </c>
    </row>
    <row r="5086" spans="1:7" x14ac:dyDescent="0.2">
      <c r="A5086" s="85"/>
      <c r="B5086" s="25" t="s">
        <v>11759</v>
      </c>
      <c r="C5086" s="25" t="s">
        <v>11760</v>
      </c>
      <c r="D5086" s="25" t="s">
        <v>11761</v>
      </c>
      <c r="E5086" s="26" t="b">
        <v>1</v>
      </c>
      <c r="F5086" s="27" t="str">
        <f>HYPERLINK("http://nsgreg.nga.mil/genc/view?v=213716&amp;end_month=12&amp;end_day=31&amp;end_year=2014","Dependencias Federales")</f>
        <v>Dependencias Federales</v>
      </c>
      <c r="G5086" s="28" t="str">
        <f>HYPERLINK("http://api.nsgreg.nga.mil/geo-division/GENC/6/ed3/VE-W","as:GENC:6:ed3:VE-W")</f>
        <v>as:GENC:6:ed3:VE-W</v>
      </c>
    </row>
    <row r="5087" spans="1:7" x14ac:dyDescent="0.2">
      <c r="A5087" s="85"/>
      <c r="B5087" s="25" t="s">
        <v>11762</v>
      </c>
      <c r="C5087" s="25" t="s">
        <v>11763</v>
      </c>
      <c r="D5087" s="25" t="s">
        <v>3404</v>
      </c>
      <c r="E5087" s="26" t="b">
        <v>1</v>
      </c>
      <c r="F5087" s="27" t="str">
        <f>HYPERLINK("http://nsgreg.nga.mil/genc/view?v=213715&amp;end_month=12&amp;end_day=31&amp;end_year=2014","Distrito Capital")</f>
        <v>Distrito Capital</v>
      </c>
      <c r="G5087" s="28" t="str">
        <f>HYPERLINK("http://api.nsgreg.nga.mil/geo-division/GENC/6/ed3/VE-A","as:GENC:6:ed3:VE-A")</f>
        <v>as:GENC:6:ed3:VE-A</v>
      </c>
    </row>
    <row r="5088" spans="1:7" x14ac:dyDescent="0.2">
      <c r="A5088" s="85"/>
      <c r="B5088" s="25" t="s">
        <v>11764</v>
      </c>
      <c r="C5088" s="25" t="s">
        <v>11765</v>
      </c>
      <c r="D5088" s="25" t="s">
        <v>2113</v>
      </c>
      <c r="E5088" s="26" t="b">
        <v>1</v>
      </c>
      <c r="F5088" s="27" t="str">
        <f>HYPERLINK("http://nsgreg.nga.mil/genc/view?v=122719&amp;gencs=T&amp;end_month=12&amp;end_day=31&amp;end_year=2014","Falcón")</f>
        <v>Falcón</v>
      </c>
      <c r="G5088" s="28" t="str">
        <f>HYPERLINK("http://api.nsgreg.nga.mil/geo-division/GENC/6/ed3/VE-I","as:GENC:6:ed3:VE-I")</f>
        <v>as:GENC:6:ed3:VE-I</v>
      </c>
    </row>
    <row r="5089" spans="1:7" x14ac:dyDescent="0.2">
      <c r="A5089" s="85"/>
      <c r="B5089" s="25" t="s">
        <v>11766</v>
      </c>
      <c r="C5089" s="25" t="s">
        <v>11767</v>
      </c>
      <c r="D5089" s="25" t="s">
        <v>2113</v>
      </c>
      <c r="E5089" s="26" t="b">
        <v>1</v>
      </c>
      <c r="F5089" s="27" t="str">
        <f>HYPERLINK("http://nsgreg.nga.mil/genc/view?v=122720&amp;gencs=T&amp;end_month=12&amp;end_day=31&amp;end_year=2014","Guárico")</f>
        <v>Guárico</v>
      </c>
      <c r="G5089" s="28" t="str">
        <f>HYPERLINK("http://api.nsgreg.nga.mil/geo-division/GENC/6/ed3/VE-J","as:GENC:6:ed3:VE-J")</f>
        <v>as:GENC:6:ed3:VE-J</v>
      </c>
    </row>
    <row r="5090" spans="1:7" x14ac:dyDescent="0.2">
      <c r="A5090" s="85"/>
      <c r="B5090" s="25" t="s">
        <v>11768</v>
      </c>
      <c r="C5090" s="25" t="s">
        <v>11769</v>
      </c>
      <c r="D5090" s="25" t="s">
        <v>2113</v>
      </c>
      <c r="E5090" s="26" t="b">
        <v>1</v>
      </c>
      <c r="F5090" s="27" t="str">
        <f>HYPERLINK("http://nsgreg.nga.mil/genc/view?v=122721&amp;gencs=T&amp;end_month=12&amp;end_day=31&amp;end_year=2014","Lara")</f>
        <v>Lara</v>
      </c>
      <c r="G5090" s="28" t="str">
        <f>HYPERLINK("http://api.nsgreg.nga.mil/geo-division/GENC/6/ed3/VE-K","as:GENC:6:ed3:VE-K")</f>
        <v>as:GENC:6:ed3:VE-K</v>
      </c>
    </row>
    <row r="5091" spans="1:7" x14ac:dyDescent="0.2">
      <c r="A5091" s="85"/>
      <c r="B5091" s="25" t="s">
        <v>11774</v>
      </c>
      <c r="C5091" s="25" t="s">
        <v>11775</v>
      </c>
      <c r="D5091" s="25" t="s">
        <v>2113</v>
      </c>
      <c r="E5091" s="26" t="b">
        <v>1</v>
      </c>
      <c r="F5091" s="27" t="str">
        <f>HYPERLINK("http://nsgreg.nga.mil/genc/view?v=122722&amp;gencs=T&amp;end_month=12&amp;end_day=31&amp;end_year=2014","Mérida")</f>
        <v>Mérida</v>
      </c>
      <c r="G5091" s="28" t="str">
        <f>HYPERLINK("http://api.nsgreg.nga.mil/geo-division/GENC/6/ed3/VE-L","as:GENC:6:ed3:VE-L")</f>
        <v>as:GENC:6:ed3:VE-L</v>
      </c>
    </row>
    <row r="5092" spans="1:7" x14ac:dyDescent="0.2">
      <c r="A5092" s="85"/>
      <c r="B5092" s="25" t="s">
        <v>11770</v>
      </c>
      <c r="C5092" s="25" t="s">
        <v>11771</v>
      </c>
      <c r="D5092" s="25" t="s">
        <v>2113</v>
      </c>
      <c r="E5092" s="26" t="b">
        <v>1</v>
      </c>
      <c r="F5092" s="27" t="str">
        <f>HYPERLINK("http://nsgreg.nga.mil/genc/view?v=122723&amp;gencs=T&amp;end_month=12&amp;end_day=31&amp;end_year=2014","Miranda")</f>
        <v>Miranda</v>
      </c>
      <c r="G5092" s="28" t="str">
        <f>HYPERLINK("http://api.nsgreg.nga.mil/geo-division/GENC/6/ed3/VE-M","as:GENC:6:ed3:VE-M")</f>
        <v>as:GENC:6:ed3:VE-M</v>
      </c>
    </row>
    <row r="5093" spans="1:7" x14ac:dyDescent="0.2">
      <c r="A5093" s="85"/>
      <c r="B5093" s="25" t="s">
        <v>11772</v>
      </c>
      <c r="C5093" s="25" t="s">
        <v>11773</v>
      </c>
      <c r="D5093" s="25" t="s">
        <v>2113</v>
      </c>
      <c r="E5093" s="26" t="b">
        <v>1</v>
      </c>
      <c r="F5093" s="27" t="str">
        <f>HYPERLINK("http://nsgreg.nga.mil/genc/view?v=122724&amp;gencs=T&amp;end_month=12&amp;end_day=31&amp;end_year=2014","Monagas")</f>
        <v>Monagas</v>
      </c>
      <c r="G5093" s="28" t="str">
        <f>HYPERLINK("http://api.nsgreg.nga.mil/geo-division/GENC/6/ed3/VE-N","as:GENC:6:ed3:VE-N")</f>
        <v>as:GENC:6:ed3:VE-N</v>
      </c>
    </row>
    <row r="5094" spans="1:7" x14ac:dyDescent="0.2">
      <c r="A5094" s="85"/>
      <c r="B5094" s="25" t="s">
        <v>11776</v>
      </c>
      <c r="C5094" s="25" t="s">
        <v>11777</v>
      </c>
      <c r="D5094" s="25" t="s">
        <v>2113</v>
      </c>
      <c r="E5094" s="26" t="b">
        <v>1</v>
      </c>
      <c r="F5094" s="27" t="str">
        <f>HYPERLINK("http://nsgreg.nga.mil/genc/view?v=122725&amp;gencs=T&amp;end_month=12&amp;end_day=31&amp;end_year=2014","Nueva Esparta")</f>
        <v>Nueva Esparta</v>
      </c>
      <c r="G5094" s="28" t="str">
        <f>HYPERLINK("http://api.nsgreg.nga.mil/geo-division/GENC/6/ed3/VE-O","as:GENC:6:ed3:VE-O")</f>
        <v>as:GENC:6:ed3:VE-O</v>
      </c>
    </row>
    <row r="5095" spans="1:7" x14ac:dyDescent="0.2">
      <c r="A5095" s="85"/>
      <c r="B5095" s="25" t="s">
        <v>11778</v>
      </c>
      <c r="C5095" s="25" t="s">
        <v>11779</v>
      </c>
      <c r="D5095" s="25" t="s">
        <v>2113</v>
      </c>
      <c r="E5095" s="26" t="b">
        <v>1</v>
      </c>
      <c r="F5095" s="27" t="str">
        <f>HYPERLINK("http://nsgreg.nga.mil/genc/view?v=122726&amp;gencs=T&amp;end_month=12&amp;end_day=31&amp;end_year=2014","Portuguesa")</f>
        <v>Portuguesa</v>
      </c>
      <c r="G5095" s="28" t="str">
        <f>HYPERLINK("http://api.nsgreg.nga.mil/geo-division/GENC/6/ed3/VE-P","as:GENC:6:ed3:VE-P")</f>
        <v>as:GENC:6:ed3:VE-P</v>
      </c>
    </row>
    <row r="5096" spans="1:7" x14ac:dyDescent="0.2">
      <c r="A5096" s="85"/>
      <c r="B5096" s="25" t="s">
        <v>11780</v>
      </c>
      <c r="C5096" s="25" t="s">
        <v>3432</v>
      </c>
      <c r="D5096" s="25" t="s">
        <v>2113</v>
      </c>
      <c r="E5096" s="26" t="b">
        <v>1</v>
      </c>
      <c r="F5096" s="27" t="str">
        <f>HYPERLINK("http://nsgreg.nga.mil/genc/view?v=122727&amp;gencs=T&amp;end_month=12&amp;end_day=31&amp;end_year=2014","Sucre")</f>
        <v>Sucre</v>
      </c>
      <c r="G5096" s="28" t="str">
        <f>HYPERLINK("http://api.nsgreg.nga.mil/geo-division/GENC/6/ed3/VE-R","as:GENC:6:ed3:VE-R")</f>
        <v>as:GENC:6:ed3:VE-R</v>
      </c>
    </row>
    <row r="5097" spans="1:7" x14ac:dyDescent="0.2">
      <c r="A5097" s="85"/>
      <c r="B5097" s="25" t="s">
        <v>11783</v>
      </c>
      <c r="C5097" s="25" t="s">
        <v>11784</v>
      </c>
      <c r="D5097" s="25" t="s">
        <v>2113</v>
      </c>
      <c r="E5097" s="26" t="b">
        <v>1</v>
      </c>
      <c r="F5097" s="27" t="str">
        <f>HYPERLINK("http://nsgreg.nga.mil/genc/view?v=122728&amp;gencs=T&amp;end_month=12&amp;end_day=31&amp;end_year=2014","Táchira")</f>
        <v>Táchira</v>
      </c>
      <c r="G5097" s="28" t="str">
        <f>HYPERLINK("http://api.nsgreg.nga.mil/geo-division/GENC/6/ed3/VE-S","as:GENC:6:ed3:VE-S")</f>
        <v>as:GENC:6:ed3:VE-S</v>
      </c>
    </row>
    <row r="5098" spans="1:7" x14ac:dyDescent="0.2">
      <c r="A5098" s="85"/>
      <c r="B5098" s="25" t="s">
        <v>11781</v>
      </c>
      <c r="C5098" s="25" t="s">
        <v>11782</v>
      </c>
      <c r="D5098" s="25" t="s">
        <v>2113</v>
      </c>
      <c r="E5098" s="26" t="b">
        <v>1</v>
      </c>
      <c r="F5098" s="27" t="str">
        <f>HYPERLINK("http://nsgreg.nga.mil/genc/view?v=122729&amp;gencs=T&amp;end_month=12&amp;end_day=31&amp;end_year=2014","Trujillo")</f>
        <v>Trujillo</v>
      </c>
      <c r="G5098" s="28" t="str">
        <f>HYPERLINK("http://api.nsgreg.nga.mil/geo-division/GENC/6/ed3/VE-T","as:GENC:6:ed3:VE-T")</f>
        <v>as:GENC:6:ed3:VE-T</v>
      </c>
    </row>
    <row r="5099" spans="1:7" x14ac:dyDescent="0.2">
      <c r="A5099" s="85"/>
      <c r="B5099" s="25" t="s">
        <v>11785</v>
      </c>
      <c r="C5099" s="25" t="s">
        <v>11786</v>
      </c>
      <c r="D5099" s="25" t="s">
        <v>2113</v>
      </c>
      <c r="E5099" s="26" t="b">
        <v>1</v>
      </c>
      <c r="F5099" s="27" t="str">
        <f>HYPERLINK("http://nsgreg.nga.mil/genc/view?v=122733&amp;gencs=T&amp;end_month=12&amp;end_day=31&amp;end_year=2014","Vargas")</f>
        <v>Vargas</v>
      </c>
      <c r="G5099" s="28" t="str">
        <f>HYPERLINK("http://api.nsgreg.nga.mil/geo-division/GENC/6/ed3/VE-X","as:GENC:6:ed3:VE-X")</f>
        <v>as:GENC:6:ed3:VE-X</v>
      </c>
    </row>
    <row r="5100" spans="1:7" x14ac:dyDescent="0.2">
      <c r="A5100" s="85"/>
      <c r="B5100" s="25" t="s">
        <v>11787</v>
      </c>
      <c r="C5100" s="25" t="s">
        <v>11788</v>
      </c>
      <c r="D5100" s="25" t="s">
        <v>2113</v>
      </c>
      <c r="E5100" s="26" t="b">
        <v>1</v>
      </c>
      <c r="F5100" s="27" t="str">
        <f>HYPERLINK("http://nsgreg.nga.mil/genc/view?v=122730&amp;gencs=T&amp;end_month=12&amp;end_day=31&amp;end_year=2014","Yaracuy")</f>
        <v>Yaracuy</v>
      </c>
      <c r="G5100" s="28" t="str">
        <f>HYPERLINK("http://api.nsgreg.nga.mil/geo-division/GENC/6/ed3/VE-U","as:GENC:6:ed3:VE-U")</f>
        <v>as:GENC:6:ed3:VE-U</v>
      </c>
    </row>
    <row r="5101" spans="1:7" x14ac:dyDescent="0.2">
      <c r="A5101" s="86"/>
      <c r="B5101" s="29" t="s">
        <v>11789</v>
      </c>
      <c r="C5101" s="29" t="s">
        <v>11790</v>
      </c>
      <c r="D5101" s="29" t="s">
        <v>2113</v>
      </c>
      <c r="E5101" s="30" t="b">
        <v>1</v>
      </c>
      <c r="F5101" s="31" t="str">
        <f>HYPERLINK("http://nsgreg.nga.mil/genc/view?v=122731&amp;gencs=T&amp;end_month=12&amp;end_day=31&amp;end_year=2014","Zulia")</f>
        <v>Zulia</v>
      </c>
      <c r="G5101" s="32" t="str">
        <f>HYPERLINK("http://api.nsgreg.nga.mil/geo-division/GENC/6/ed3/VE-V","as:GENC:6:ed3:VE-V")</f>
        <v>as:GENC:6:ed3:VE-V</v>
      </c>
    </row>
    <row r="5102" spans="1:7" x14ac:dyDescent="0.2">
      <c r="A5102" s="84" t="str">
        <f>HYPERLINK("[#]Codes_for_GE_Names!A274:I274","VIETNAM")</f>
        <v>VIETNAM</v>
      </c>
      <c r="B5102" s="33" t="s">
        <v>11791</v>
      </c>
      <c r="C5102" s="33" t="s">
        <v>11792</v>
      </c>
      <c r="D5102" s="33" t="s">
        <v>1719</v>
      </c>
      <c r="E5102" s="34" t="b">
        <v>1</v>
      </c>
      <c r="F5102" s="35" t="str">
        <f>HYPERLINK("http://nsgreg.nga.mil/genc/view?v=122770&amp;gencs=T&amp;end_month=12&amp;end_day=31&amp;end_year=2014","An Giang")</f>
        <v>An Giang</v>
      </c>
      <c r="G5102" s="36" t="str">
        <f>HYPERLINK("http://api.nsgreg.nga.mil/geo-division/GENC/6/ed3/VN-44","as:GENC:6:ed3:VN-44")</f>
        <v>as:GENC:6:ed3:VN-44</v>
      </c>
    </row>
    <row r="5103" spans="1:7" x14ac:dyDescent="0.2">
      <c r="A5103" s="85"/>
      <c r="B5103" s="25" t="s">
        <v>11795</v>
      </c>
      <c r="C5103" s="25" t="s">
        <v>13880</v>
      </c>
      <c r="D5103" s="25" t="s">
        <v>1719</v>
      </c>
      <c r="E5103" s="26" t="b">
        <v>1</v>
      </c>
      <c r="F5103" s="27" t="str">
        <f>HYPERLINK("http://nsgreg.nga.mil/genc/view?v=122779&amp;gencs=T&amp;end_month=12&amp;end_day=31&amp;end_year=2014","Bắc Giang")</f>
        <v>Bắc Giang</v>
      </c>
      <c r="G5103" s="28" t="str">
        <f>HYPERLINK("http://api.nsgreg.nga.mil/geo-division/GENC/6/ed3/VN-54","as:GENC:6:ed3:VN-54")</f>
        <v>as:GENC:6:ed3:VN-54</v>
      </c>
    </row>
    <row r="5104" spans="1:7" x14ac:dyDescent="0.2">
      <c r="A5104" s="85"/>
      <c r="B5104" s="25" t="s">
        <v>11797</v>
      </c>
      <c r="C5104" s="25" t="s">
        <v>13881</v>
      </c>
      <c r="D5104" s="25" t="s">
        <v>1719</v>
      </c>
      <c r="E5104" s="26" t="b">
        <v>1</v>
      </c>
      <c r="F5104" s="27" t="str">
        <f>HYPERLINK("http://nsgreg.nga.mil/genc/view?v=122778&amp;gencs=T&amp;end_month=12&amp;end_day=31&amp;end_year=2014","Bắc Kạn")</f>
        <v>Bắc Kạn</v>
      </c>
      <c r="G5104" s="28" t="str">
        <f>HYPERLINK("http://api.nsgreg.nga.mil/geo-division/GENC/6/ed3/VN-53","as:GENC:6:ed3:VN-53")</f>
        <v>as:GENC:6:ed3:VN-53</v>
      </c>
    </row>
    <row r="5105" spans="1:7" x14ac:dyDescent="0.2">
      <c r="A5105" s="85"/>
      <c r="B5105" s="25" t="s">
        <v>11799</v>
      </c>
      <c r="C5105" s="25" t="s">
        <v>13882</v>
      </c>
      <c r="D5105" s="25" t="s">
        <v>1719</v>
      </c>
      <c r="E5105" s="26" t="b">
        <v>1</v>
      </c>
      <c r="F5105" s="27" t="str">
        <f>HYPERLINK("http://nsgreg.nga.mil/genc/view?v=122780&amp;gencs=T&amp;end_month=12&amp;end_day=31&amp;end_year=2014","Bạc Liêu")</f>
        <v>Bạc Liêu</v>
      </c>
      <c r="G5105" s="28" t="str">
        <f>HYPERLINK("http://api.nsgreg.nga.mil/geo-division/GENC/6/ed3/VN-55","as:GENC:6:ed3:VN-55")</f>
        <v>as:GENC:6:ed3:VN-55</v>
      </c>
    </row>
    <row r="5106" spans="1:7" x14ac:dyDescent="0.2">
      <c r="A5106" s="85"/>
      <c r="B5106" s="25" t="s">
        <v>11801</v>
      </c>
      <c r="C5106" s="25" t="s">
        <v>13883</v>
      </c>
      <c r="D5106" s="25" t="s">
        <v>1719</v>
      </c>
      <c r="E5106" s="26" t="b">
        <v>1</v>
      </c>
      <c r="F5106" s="27" t="str">
        <f>HYPERLINK("http://nsgreg.nga.mil/genc/view?v=122781&amp;gencs=T&amp;end_month=12&amp;end_day=31&amp;end_year=2014","Bắc Ninh")</f>
        <v>Bắc Ninh</v>
      </c>
      <c r="G5106" s="28" t="str">
        <f>HYPERLINK("http://api.nsgreg.nga.mil/geo-division/GENC/6/ed3/VN-56","as:GENC:6:ed3:VN-56")</f>
        <v>as:GENC:6:ed3:VN-56</v>
      </c>
    </row>
    <row r="5107" spans="1:7" x14ac:dyDescent="0.2">
      <c r="A5107" s="85"/>
      <c r="B5107" s="25" t="s">
        <v>11793</v>
      </c>
      <c r="C5107" s="25" t="s">
        <v>13884</v>
      </c>
      <c r="D5107" s="25" t="s">
        <v>1719</v>
      </c>
      <c r="E5107" s="26" t="b">
        <v>1</v>
      </c>
      <c r="F5107" s="27" t="str">
        <f>HYPERLINK("http://nsgreg.nga.mil/genc/view?v=213801&amp;end_month=12&amp;end_day=31&amp;end_year=2014","Bà Rịa-Vũng Tàu")</f>
        <v>Bà Rịa-Vũng Tàu</v>
      </c>
      <c r="G5107" s="28" t="str">
        <f>HYPERLINK("http://api.nsgreg.nga.mil/geo-division/GENC/6/ed3/VN-43","as:GENC:6:ed3:VN-43")</f>
        <v>as:GENC:6:ed3:VN-43</v>
      </c>
    </row>
    <row r="5108" spans="1:7" x14ac:dyDescent="0.2">
      <c r="A5108" s="85"/>
      <c r="B5108" s="25" t="s">
        <v>11803</v>
      </c>
      <c r="C5108" s="25" t="s">
        <v>13885</v>
      </c>
      <c r="D5108" s="25" t="s">
        <v>1719</v>
      </c>
      <c r="E5108" s="26" t="b">
        <v>1</v>
      </c>
      <c r="F5108" s="27" t="str">
        <f>HYPERLINK("http://nsgreg.nga.mil/genc/view?v=122775&amp;gencs=T&amp;end_month=12&amp;end_day=31&amp;end_year=2014","Bến Tre")</f>
        <v>Bến Tre</v>
      </c>
      <c r="G5108" s="28" t="str">
        <f>HYPERLINK("http://api.nsgreg.nga.mil/geo-division/GENC/6/ed3/VN-50","as:GENC:6:ed3:VN-50")</f>
        <v>as:GENC:6:ed3:VN-50</v>
      </c>
    </row>
    <row r="5109" spans="1:7" x14ac:dyDescent="0.2">
      <c r="A5109" s="85"/>
      <c r="B5109" s="25" t="s">
        <v>11805</v>
      </c>
      <c r="C5109" s="25" t="s">
        <v>13886</v>
      </c>
      <c r="D5109" s="25" t="s">
        <v>1719</v>
      </c>
      <c r="E5109" s="26" t="b">
        <v>1</v>
      </c>
      <c r="F5109" s="27" t="str">
        <f>HYPERLINK("http://nsgreg.nga.mil/genc/view?v=122759&amp;gencs=T&amp;end_month=12&amp;end_day=31&amp;end_year=2014","Bình Định")</f>
        <v>Bình Định</v>
      </c>
      <c r="G5109" s="28" t="str">
        <f>HYPERLINK("http://api.nsgreg.nga.mil/geo-division/GENC/6/ed3/VN-31","as:GENC:6:ed3:VN-31")</f>
        <v>as:GENC:6:ed3:VN-31</v>
      </c>
    </row>
    <row r="5110" spans="1:7" x14ac:dyDescent="0.2">
      <c r="A5110" s="85"/>
      <c r="B5110" s="25" t="s">
        <v>11807</v>
      </c>
      <c r="C5110" s="25" t="s">
        <v>13887</v>
      </c>
      <c r="D5110" s="25" t="s">
        <v>1719</v>
      </c>
      <c r="E5110" s="26" t="b">
        <v>1</v>
      </c>
      <c r="F5110" s="27" t="str">
        <f>HYPERLINK("http://nsgreg.nga.mil/genc/view?v=122782&amp;gencs=T&amp;end_month=12&amp;end_day=31&amp;end_year=2014","Bình Dương")</f>
        <v>Bình Dương</v>
      </c>
      <c r="G5110" s="28" t="str">
        <f>HYPERLINK("http://api.nsgreg.nga.mil/geo-division/GENC/6/ed3/VN-57","as:GENC:6:ed3:VN-57")</f>
        <v>as:GENC:6:ed3:VN-57</v>
      </c>
    </row>
    <row r="5111" spans="1:7" x14ac:dyDescent="0.2">
      <c r="A5111" s="85"/>
      <c r="B5111" s="25" t="s">
        <v>11809</v>
      </c>
      <c r="C5111" s="25" t="s">
        <v>13888</v>
      </c>
      <c r="D5111" s="25" t="s">
        <v>1719</v>
      </c>
      <c r="E5111" s="26" t="b">
        <v>1</v>
      </c>
      <c r="F5111" s="27" t="str">
        <f>HYPERLINK("http://nsgreg.nga.mil/genc/view?v=122783&amp;gencs=T&amp;end_month=12&amp;end_day=31&amp;end_year=2014","Bình Phước")</f>
        <v>Bình Phước</v>
      </c>
      <c r="G5111" s="28" t="str">
        <f>HYPERLINK("http://api.nsgreg.nga.mil/geo-division/GENC/6/ed3/VN-58","as:GENC:6:ed3:VN-58")</f>
        <v>as:GENC:6:ed3:VN-58</v>
      </c>
    </row>
    <row r="5112" spans="1:7" x14ac:dyDescent="0.2">
      <c r="A5112" s="85"/>
      <c r="B5112" s="25" t="s">
        <v>11811</v>
      </c>
      <c r="C5112" s="25" t="s">
        <v>13889</v>
      </c>
      <c r="D5112" s="25" t="s">
        <v>1719</v>
      </c>
      <c r="E5112" s="26" t="b">
        <v>1</v>
      </c>
      <c r="F5112" s="27" t="str">
        <f>HYPERLINK("http://nsgreg.nga.mil/genc/view?v=122767&amp;gencs=T&amp;end_month=12&amp;end_day=31&amp;end_year=2014","Bình Thuận")</f>
        <v>Bình Thuận</v>
      </c>
      <c r="G5112" s="28" t="str">
        <f>HYPERLINK("http://api.nsgreg.nga.mil/geo-division/GENC/6/ed3/VN-40","as:GENC:6:ed3:VN-40")</f>
        <v>as:GENC:6:ed3:VN-40</v>
      </c>
    </row>
    <row r="5113" spans="1:7" x14ac:dyDescent="0.2">
      <c r="A5113" s="85"/>
      <c r="B5113" s="25" t="s">
        <v>11813</v>
      </c>
      <c r="C5113" s="25" t="s">
        <v>13890</v>
      </c>
      <c r="D5113" s="25" t="s">
        <v>1719</v>
      </c>
      <c r="E5113" s="26" t="b">
        <v>1</v>
      </c>
      <c r="F5113" s="27" t="str">
        <f>HYPERLINK("http://nsgreg.nga.mil/genc/view?v=122784&amp;gencs=T&amp;end_month=12&amp;end_day=31&amp;end_year=2014","Cà Mau")</f>
        <v>Cà Mau</v>
      </c>
      <c r="G5113" s="28" t="str">
        <f>HYPERLINK("http://api.nsgreg.nga.mil/geo-division/GENC/6/ed3/VN-59","as:GENC:6:ed3:VN-59")</f>
        <v>as:GENC:6:ed3:VN-59</v>
      </c>
    </row>
    <row r="5114" spans="1:7" x14ac:dyDescent="0.2">
      <c r="A5114" s="85"/>
      <c r="B5114" s="25" t="s">
        <v>11815</v>
      </c>
      <c r="C5114" s="25" t="s">
        <v>13891</v>
      </c>
      <c r="D5114" s="25" t="s">
        <v>2164</v>
      </c>
      <c r="E5114" s="26" t="b">
        <v>1</v>
      </c>
      <c r="F5114" s="27" t="str">
        <f>HYPERLINK("http://nsgreg.nga.mil/genc/view?v=213718&amp;end_month=12&amp;end_day=31&amp;end_year=2014","Cần Thơ")</f>
        <v>Cần Thơ</v>
      </c>
      <c r="G5114" s="28" t="str">
        <f>HYPERLINK("http://api.nsgreg.nga.mil/geo-division/GENC/6/ed3/VN-CT","as:GENC:6:ed3:VN-CT")</f>
        <v>as:GENC:6:ed3:VN-CT</v>
      </c>
    </row>
    <row r="5115" spans="1:7" x14ac:dyDescent="0.2">
      <c r="A5115" s="85"/>
      <c r="B5115" s="25" t="s">
        <v>11817</v>
      </c>
      <c r="C5115" s="25" t="s">
        <v>13892</v>
      </c>
      <c r="D5115" s="25" t="s">
        <v>1719</v>
      </c>
      <c r="E5115" s="26" t="b">
        <v>1</v>
      </c>
      <c r="F5115" s="27" t="str">
        <f>HYPERLINK("http://nsgreg.nga.mil/genc/view?v=122739&amp;gencs=T&amp;end_month=12&amp;end_day=31&amp;end_year=2014","Cao Bằng")</f>
        <v>Cao Bằng</v>
      </c>
      <c r="G5115" s="28" t="str">
        <f>HYPERLINK("http://api.nsgreg.nga.mil/geo-division/GENC/6/ed3/VN-04","as:GENC:6:ed3:VN-04")</f>
        <v>as:GENC:6:ed3:VN-04</v>
      </c>
    </row>
    <row r="5116" spans="1:7" x14ac:dyDescent="0.2">
      <c r="A5116" s="85"/>
      <c r="B5116" s="25" t="s">
        <v>11821</v>
      </c>
      <c r="C5116" s="25" t="s">
        <v>13893</v>
      </c>
      <c r="D5116" s="25" t="s">
        <v>1719</v>
      </c>
      <c r="E5116" s="26" t="b">
        <v>1</v>
      </c>
      <c r="F5116" s="27" t="str">
        <f>HYPERLINK("http://nsgreg.nga.mil/genc/view?v=122761&amp;gencs=T&amp;end_month=12&amp;end_day=31&amp;end_year=2014","Đắk Lắk")</f>
        <v>Đắk Lắk</v>
      </c>
      <c r="G5116" s="28" t="str">
        <f>HYPERLINK("http://api.nsgreg.nga.mil/geo-division/GENC/6/ed3/VN-33","as:GENC:6:ed3:VN-33")</f>
        <v>as:GENC:6:ed3:VN-33</v>
      </c>
    </row>
    <row r="5117" spans="1:7" x14ac:dyDescent="0.2">
      <c r="A5117" s="85"/>
      <c r="B5117" s="25" t="s">
        <v>11823</v>
      </c>
      <c r="C5117" s="25" t="s">
        <v>13894</v>
      </c>
      <c r="D5117" s="25" t="s">
        <v>1719</v>
      </c>
      <c r="E5117" s="26" t="b">
        <v>1</v>
      </c>
      <c r="F5117" s="27" t="str">
        <f>HYPERLINK("http://nsgreg.nga.mil/genc/view?v=122793&amp;gencs=T&amp;end_month=12&amp;end_day=31&amp;end_year=2014","Đắk Nông")</f>
        <v>Đắk Nông</v>
      </c>
      <c r="G5117" s="28" t="str">
        <f>HYPERLINK("http://api.nsgreg.nga.mil/geo-division/GENC/6/ed3/VN-72","as:GENC:6:ed3:VN-72")</f>
        <v>as:GENC:6:ed3:VN-72</v>
      </c>
    </row>
    <row r="5118" spans="1:7" x14ac:dyDescent="0.2">
      <c r="A5118" s="85"/>
      <c r="B5118" s="25" t="s">
        <v>11819</v>
      </c>
      <c r="C5118" s="25" t="s">
        <v>13895</v>
      </c>
      <c r="D5118" s="25" t="s">
        <v>2164</v>
      </c>
      <c r="E5118" s="26" t="b">
        <v>1</v>
      </c>
      <c r="F5118" s="27" t="str">
        <f>HYPERLINK("http://nsgreg.nga.mil/genc/view?v=213719&amp;end_month=12&amp;end_day=31&amp;end_year=2014","Đà Nẵng")</f>
        <v>Đà Nẵng</v>
      </c>
      <c r="G5118" s="28" t="str">
        <f>HYPERLINK("http://api.nsgreg.nga.mil/geo-division/GENC/6/ed3/VN-DN","as:GENC:6:ed3:VN-DN")</f>
        <v>as:GENC:6:ed3:VN-DN</v>
      </c>
    </row>
    <row r="5119" spans="1:7" x14ac:dyDescent="0.2">
      <c r="A5119" s="85"/>
      <c r="B5119" s="25" t="s">
        <v>11825</v>
      </c>
      <c r="C5119" s="25" t="s">
        <v>13896</v>
      </c>
      <c r="D5119" s="25" t="s">
        <v>1719</v>
      </c>
      <c r="E5119" s="26" t="b">
        <v>1</v>
      </c>
      <c r="F5119" s="27" t="str">
        <f>HYPERLINK("http://nsgreg.nga.mil/genc/view?v=122792&amp;gencs=T&amp;end_month=12&amp;end_day=31&amp;end_year=2014","Điện Biên")</f>
        <v>Điện Biên</v>
      </c>
      <c r="G5119" s="28" t="str">
        <f>HYPERLINK("http://api.nsgreg.nga.mil/geo-division/GENC/6/ed3/VN-71","as:GENC:6:ed3:VN-71")</f>
        <v>as:GENC:6:ed3:VN-71</v>
      </c>
    </row>
    <row r="5120" spans="1:7" x14ac:dyDescent="0.2">
      <c r="A5120" s="85"/>
      <c r="B5120" s="25" t="s">
        <v>11827</v>
      </c>
      <c r="C5120" s="25" t="s">
        <v>13897</v>
      </c>
      <c r="D5120" s="25" t="s">
        <v>1719</v>
      </c>
      <c r="E5120" s="26" t="b">
        <v>1</v>
      </c>
      <c r="F5120" s="27" t="str">
        <f>HYPERLINK("http://nsgreg.nga.mil/genc/view?v=213800&amp;end_month=12&amp;end_day=31&amp;end_year=2014","Đồng Nai")</f>
        <v>Đồng Nai</v>
      </c>
      <c r="G5120" s="28" t="str">
        <f>HYPERLINK("http://api.nsgreg.nga.mil/geo-division/GENC/6/ed3/VN-39","as:GENC:6:ed3:VN-39")</f>
        <v>as:GENC:6:ed3:VN-39</v>
      </c>
    </row>
    <row r="5121" spans="1:7" x14ac:dyDescent="0.2">
      <c r="A5121" s="85"/>
      <c r="B5121" s="25" t="s">
        <v>11829</v>
      </c>
      <c r="C5121" s="25" t="s">
        <v>13898</v>
      </c>
      <c r="D5121" s="25" t="s">
        <v>1719</v>
      </c>
      <c r="E5121" s="26" t="b">
        <v>1</v>
      </c>
      <c r="F5121" s="27" t="str">
        <f>HYPERLINK("http://nsgreg.nga.mil/genc/view?v=213802&amp;end_month=12&amp;end_day=31&amp;end_year=2014","Đồng Tháp")</f>
        <v>Đồng Tháp</v>
      </c>
      <c r="G5121" s="28" t="str">
        <f>HYPERLINK("http://api.nsgreg.nga.mil/geo-division/GENC/6/ed3/VN-45","as:GENC:6:ed3:VN-45")</f>
        <v>as:GENC:6:ed3:VN-45</v>
      </c>
    </row>
    <row r="5122" spans="1:7" x14ac:dyDescent="0.2">
      <c r="A5122" s="85"/>
      <c r="B5122" s="25" t="s">
        <v>11831</v>
      </c>
      <c r="C5122" s="25" t="s">
        <v>11832</v>
      </c>
      <c r="D5122" s="25" t="s">
        <v>1719</v>
      </c>
      <c r="E5122" s="26" t="b">
        <v>1</v>
      </c>
      <c r="F5122" s="27" t="str">
        <f>HYPERLINK("http://nsgreg.nga.mil/genc/view?v=122758&amp;gencs=T&amp;end_month=12&amp;end_day=31&amp;end_year=2014","Gia Lai")</f>
        <v>Gia Lai</v>
      </c>
      <c r="G5122" s="28" t="str">
        <f>HYPERLINK("http://api.nsgreg.nga.mil/geo-division/GENC/6/ed3/VN-30","as:GENC:6:ed3:VN-30")</f>
        <v>as:GENC:6:ed3:VN-30</v>
      </c>
    </row>
    <row r="5123" spans="1:7" x14ac:dyDescent="0.2">
      <c r="A5123" s="85"/>
      <c r="B5123" s="25" t="s">
        <v>11833</v>
      </c>
      <c r="C5123" s="25" t="s">
        <v>13899</v>
      </c>
      <c r="D5123" s="25" t="s">
        <v>1719</v>
      </c>
      <c r="E5123" s="26" t="b">
        <v>1</v>
      </c>
      <c r="F5123" s="27" t="str">
        <f>HYPERLINK("http://nsgreg.nga.mil/genc/view?v=122738&amp;gencs=T&amp;end_month=12&amp;end_day=31&amp;end_year=2014","Hà Giang")</f>
        <v>Hà Giang</v>
      </c>
      <c r="G5123" s="28" t="str">
        <f>HYPERLINK("http://api.nsgreg.nga.mil/geo-division/GENC/6/ed3/VN-03","as:GENC:6:ed3:VN-03")</f>
        <v>as:GENC:6:ed3:VN-03</v>
      </c>
    </row>
    <row r="5124" spans="1:7" x14ac:dyDescent="0.2">
      <c r="A5124" s="85"/>
      <c r="B5124" s="25" t="s">
        <v>11843</v>
      </c>
      <c r="C5124" s="25" t="s">
        <v>13900</v>
      </c>
      <c r="D5124" s="25" t="s">
        <v>1719</v>
      </c>
      <c r="E5124" s="26" t="b">
        <v>1</v>
      </c>
      <c r="F5124" s="27" t="str">
        <f>HYPERLINK("http://nsgreg.nga.mil/genc/view?v=122785&amp;gencs=T&amp;end_month=12&amp;end_day=31&amp;end_year=2014","Hải Dương")</f>
        <v>Hải Dương</v>
      </c>
      <c r="G5124" s="28" t="str">
        <f>HYPERLINK("http://api.nsgreg.nga.mil/geo-division/GENC/6/ed3/VN-61","as:GENC:6:ed3:VN-61")</f>
        <v>as:GENC:6:ed3:VN-61</v>
      </c>
    </row>
    <row r="5125" spans="1:7" x14ac:dyDescent="0.2">
      <c r="A5125" s="85"/>
      <c r="B5125" s="25" t="s">
        <v>11845</v>
      </c>
      <c r="C5125" s="25" t="s">
        <v>13901</v>
      </c>
      <c r="D5125" s="25" t="s">
        <v>2164</v>
      </c>
      <c r="E5125" s="26" t="b">
        <v>1</v>
      </c>
      <c r="F5125" s="27" t="str">
        <f>HYPERLINK("http://nsgreg.nga.mil/genc/view?v=213721&amp;end_month=12&amp;end_day=31&amp;end_year=2014","Hải Phòng")</f>
        <v>Hải Phòng</v>
      </c>
      <c r="G5125" s="28" t="str">
        <f>HYPERLINK("http://api.nsgreg.nga.mil/geo-division/GENC/6/ed3/VN-HP","as:GENC:6:ed3:VN-HP")</f>
        <v>as:GENC:6:ed3:VN-HP</v>
      </c>
    </row>
    <row r="5126" spans="1:7" x14ac:dyDescent="0.2">
      <c r="A5126" s="85"/>
      <c r="B5126" s="25" t="s">
        <v>11835</v>
      </c>
      <c r="C5126" s="25" t="s">
        <v>13902</v>
      </c>
      <c r="D5126" s="25" t="s">
        <v>1719</v>
      </c>
      <c r="E5126" s="26" t="b">
        <v>1</v>
      </c>
      <c r="F5126" s="27" t="str">
        <f>HYPERLINK("http://nsgreg.nga.mil/genc/view?v=122786&amp;gencs=T&amp;end_month=12&amp;end_day=31&amp;end_year=2014","Hà Nam")</f>
        <v>Hà Nam</v>
      </c>
      <c r="G5126" s="28" t="str">
        <f>HYPERLINK("http://api.nsgreg.nga.mil/geo-division/GENC/6/ed3/VN-63","as:GENC:6:ed3:VN-63")</f>
        <v>as:GENC:6:ed3:VN-63</v>
      </c>
    </row>
    <row r="5127" spans="1:7" x14ac:dyDescent="0.2">
      <c r="A5127" s="85"/>
      <c r="B5127" s="25" t="s">
        <v>11837</v>
      </c>
      <c r="C5127" s="25" t="s">
        <v>13903</v>
      </c>
      <c r="D5127" s="25" t="s">
        <v>2164</v>
      </c>
      <c r="E5127" s="26" t="b">
        <v>1</v>
      </c>
      <c r="F5127" s="27" t="str">
        <f>HYPERLINK("http://nsgreg.nga.mil/genc/view?v=213720&amp;end_month=12&amp;end_day=31&amp;end_year=2014","Hà Nội")</f>
        <v>Hà Nội</v>
      </c>
      <c r="G5127" s="28" t="str">
        <f>HYPERLINK("http://api.nsgreg.nga.mil/geo-division/GENC/6/ed3/VN-HN","as:GENC:6:ed3:VN-HN")</f>
        <v>as:GENC:6:ed3:VN-HN</v>
      </c>
    </row>
    <row r="5128" spans="1:7" x14ac:dyDescent="0.2">
      <c r="A5128" s="85"/>
      <c r="B5128" s="25" t="s">
        <v>11841</v>
      </c>
      <c r="C5128" s="25" t="s">
        <v>13904</v>
      </c>
      <c r="D5128" s="25" t="s">
        <v>1719</v>
      </c>
      <c r="E5128" s="26" t="b">
        <v>1</v>
      </c>
      <c r="F5128" s="27" t="str">
        <f>HYPERLINK("http://nsgreg.nga.mil/genc/view?v=122751&amp;gencs=T&amp;end_month=12&amp;end_day=31&amp;end_year=2014","Hà Tĩnh")</f>
        <v>Hà Tĩnh</v>
      </c>
      <c r="G5128" s="28" t="str">
        <f>HYPERLINK("http://api.nsgreg.nga.mil/geo-division/GENC/6/ed3/VN-23","as:GENC:6:ed3:VN-23")</f>
        <v>as:GENC:6:ed3:VN-23</v>
      </c>
    </row>
    <row r="5129" spans="1:7" x14ac:dyDescent="0.2">
      <c r="A5129" s="85"/>
      <c r="B5129" s="25" t="s">
        <v>11847</v>
      </c>
      <c r="C5129" s="25" t="s">
        <v>13905</v>
      </c>
      <c r="D5129" s="25" t="s">
        <v>1719</v>
      </c>
      <c r="E5129" s="26" t="b">
        <v>1</v>
      </c>
      <c r="F5129" s="27" t="str">
        <f>HYPERLINK("http://nsgreg.nga.mil/genc/view?v=122794&amp;gencs=T&amp;end_month=12&amp;end_day=31&amp;end_year=2014","Hậu Giang")</f>
        <v>Hậu Giang</v>
      </c>
      <c r="G5129" s="28" t="str">
        <f>HYPERLINK("http://api.nsgreg.nga.mil/geo-division/GENC/6/ed3/VN-73","as:GENC:6:ed3:VN-73")</f>
        <v>as:GENC:6:ed3:VN-73</v>
      </c>
    </row>
    <row r="5130" spans="1:7" x14ac:dyDescent="0.2">
      <c r="A5130" s="85"/>
      <c r="B5130" s="25" t="s">
        <v>11851</v>
      </c>
      <c r="C5130" s="25" t="s">
        <v>13906</v>
      </c>
      <c r="D5130" s="25" t="s">
        <v>1719</v>
      </c>
      <c r="E5130" s="26" t="b">
        <v>1</v>
      </c>
      <c r="F5130" s="27" t="str">
        <f>HYPERLINK("http://nsgreg.nga.mil/genc/view?v=122745&amp;gencs=T&amp;end_month=12&amp;end_day=31&amp;end_year=2014","Hòa Bình")</f>
        <v>Hòa Bình</v>
      </c>
      <c r="G5130" s="28" t="str">
        <f>HYPERLINK("http://api.nsgreg.nga.mil/geo-division/GENC/6/ed3/VN-14","as:GENC:6:ed3:VN-14")</f>
        <v>as:GENC:6:ed3:VN-14</v>
      </c>
    </row>
    <row r="5131" spans="1:7" x14ac:dyDescent="0.2">
      <c r="A5131" s="85"/>
      <c r="B5131" s="25" t="s">
        <v>11849</v>
      </c>
      <c r="C5131" s="25" t="s">
        <v>13907</v>
      </c>
      <c r="D5131" s="25" t="s">
        <v>2164</v>
      </c>
      <c r="E5131" s="26" t="b">
        <v>1</v>
      </c>
      <c r="F5131" s="27" t="str">
        <f>HYPERLINK("http://nsgreg.nga.mil/genc/view?v=213722&amp;end_month=12&amp;end_day=31&amp;end_year=2014","Hồ Chí Minh")</f>
        <v>Hồ Chí Minh</v>
      </c>
      <c r="G5131" s="28" t="str">
        <f>HYPERLINK("http://api.nsgreg.nga.mil/geo-division/GENC/6/ed3/VN-SG","as:GENC:6:ed3:VN-SG")</f>
        <v>as:GENC:6:ed3:VN-SG</v>
      </c>
    </row>
    <row r="5132" spans="1:7" x14ac:dyDescent="0.2">
      <c r="A5132" s="85"/>
      <c r="B5132" s="25" t="s">
        <v>11853</v>
      </c>
      <c r="C5132" s="25" t="s">
        <v>13908</v>
      </c>
      <c r="D5132" s="25" t="s">
        <v>1719</v>
      </c>
      <c r="E5132" s="26" t="b">
        <v>1</v>
      </c>
      <c r="F5132" s="27" t="str">
        <f>HYPERLINK("http://nsgreg.nga.mil/genc/view?v=122787&amp;gencs=T&amp;end_month=12&amp;end_day=31&amp;end_year=2014","Hưng Yên")</f>
        <v>Hưng Yên</v>
      </c>
      <c r="G5132" s="28" t="str">
        <f>HYPERLINK("http://api.nsgreg.nga.mil/geo-division/GENC/6/ed3/VN-66","as:GENC:6:ed3:VN-66")</f>
        <v>as:GENC:6:ed3:VN-66</v>
      </c>
    </row>
    <row r="5133" spans="1:7" x14ac:dyDescent="0.2">
      <c r="A5133" s="85"/>
      <c r="B5133" s="25" t="s">
        <v>11855</v>
      </c>
      <c r="C5133" s="25" t="s">
        <v>13909</v>
      </c>
      <c r="D5133" s="25" t="s">
        <v>1719</v>
      </c>
      <c r="E5133" s="26" t="b">
        <v>1</v>
      </c>
      <c r="F5133" s="27" t="str">
        <f>HYPERLINK("http://nsgreg.nga.mil/genc/view?v=122762&amp;gencs=T&amp;end_month=12&amp;end_day=31&amp;end_year=2014","Khánh Hòa")</f>
        <v>Khánh Hòa</v>
      </c>
      <c r="G5133" s="28" t="str">
        <f>HYPERLINK("http://api.nsgreg.nga.mil/geo-division/GENC/6/ed3/VN-34","as:GENC:6:ed3:VN-34")</f>
        <v>as:GENC:6:ed3:VN-34</v>
      </c>
    </row>
    <row r="5134" spans="1:7" x14ac:dyDescent="0.2">
      <c r="A5134" s="85"/>
      <c r="B5134" s="25" t="s">
        <v>11857</v>
      </c>
      <c r="C5134" s="25" t="s">
        <v>13910</v>
      </c>
      <c r="D5134" s="25" t="s">
        <v>1719</v>
      </c>
      <c r="E5134" s="26" t="b">
        <v>1</v>
      </c>
      <c r="F5134" s="27" t="str">
        <f>HYPERLINK("http://nsgreg.nga.mil/genc/view?v=122773&amp;gencs=T&amp;end_month=12&amp;end_day=31&amp;end_year=2014","Kiến Giang")</f>
        <v>Kiến Giang</v>
      </c>
      <c r="G5134" s="28" t="str">
        <f>HYPERLINK("http://api.nsgreg.nga.mil/geo-division/GENC/6/ed3/VN-47","as:GENC:6:ed3:VN-47")</f>
        <v>as:GENC:6:ed3:VN-47</v>
      </c>
    </row>
    <row r="5135" spans="1:7" x14ac:dyDescent="0.2">
      <c r="A5135" s="85"/>
      <c r="B5135" s="25" t="s">
        <v>11859</v>
      </c>
      <c r="C5135" s="25" t="s">
        <v>11860</v>
      </c>
      <c r="D5135" s="25" t="s">
        <v>1719</v>
      </c>
      <c r="E5135" s="26" t="b">
        <v>1</v>
      </c>
      <c r="F5135" s="27" t="str">
        <f>HYPERLINK("http://nsgreg.nga.mil/genc/view?v=122756&amp;gencs=T&amp;end_month=12&amp;end_day=31&amp;end_year=2014","Kon Tum")</f>
        <v>Kon Tum</v>
      </c>
      <c r="G5135" s="28" t="str">
        <f>HYPERLINK("http://api.nsgreg.nga.mil/geo-division/GENC/6/ed3/VN-28","as:GENC:6:ed3:VN-28")</f>
        <v>as:GENC:6:ed3:VN-28</v>
      </c>
    </row>
    <row r="5136" spans="1:7" x14ac:dyDescent="0.2">
      <c r="A5136" s="85"/>
      <c r="B5136" s="25" t="s">
        <v>11861</v>
      </c>
      <c r="C5136" s="25" t="s">
        <v>13911</v>
      </c>
      <c r="D5136" s="25" t="s">
        <v>1719</v>
      </c>
      <c r="E5136" s="26" t="b">
        <v>1</v>
      </c>
      <c r="F5136" s="27" t="str">
        <f>HYPERLINK("http://nsgreg.nga.mil/genc/view?v=122736&amp;gencs=T&amp;end_month=12&amp;end_day=31&amp;end_year=2014","Lai Châu")</f>
        <v>Lai Châu</v>
      </c>
      <c r="G5136" s="28" t="str">
        <f>HYPERLINK("http://api.nsgreg.nga.mil/geo-division/GENC/6/ed3/VN-01","as:GENC:6:ed3:VN-01")</f>
        <v>as:GENC:6:ed3:VN-01</v>
      </c>
    </row>
    <row r="5137" spans="1:7" x14ac:dyDescent="0.2">
      <c r="A5137" s="85"/>
      <c r="B5137" s="25" t="s">
        <v>11863</v>
      </c>
      <c r="C5137" s="25" t="s">
        <v>13912</v>
      </c>
      <c r="D5137" s="25" t="s">
        <v>1719</v>
      </c>
      <c r="E5137" s="26" t="b">
        <v>1</v>
      </c>
      <c r="F5137" s="27" t="str">
        <f>HYPERLINK("http://nsgreg.nga.mil/genc/view?v=213803&amp;end_month=12&amp;end_day=31&amp;end_year=2014","Lâm Đồng")</f>
        <v>Lâm Đồng</v>
      </c>
      <c r="G5137" s="28" t="str">
        <f>HYPERLINK("http://api.nsgreg.nga.mil/geo-division/GENC/6/ed3/VN-35","as:GENC:6:ed3:VN-35")</f>
        <v>as:GENC:6:ed3:VN-35</v>
      </c>
    </row>
    <row r="5138" spans="1:7" x14ac:dyDescent="0.2">
      <c r="A5138" s="85"/>
      <c r="B5138" s="25" t="s">
        <v>11865</v>
      </c>
      <c r="C5138" s="25" t="s">
        <v>13913</v>
      </c>
      <c r="D5138" s="25" t="s">
        <v>1719</v>
      </c>
      <c r="E5138" s="26" t="b">
        <v>1</v>
      </c>
      <c r="F5138" s="27" t="str">
        <f>HYPERLINK("http://nsgreg.nga.mil/genc/view?v=122743&amp;gencs=T&amp;end_month=12&amp;end_day=31&amp;end_year=2014","Lạng Sơn")</f>
        <v>Lạng Sơn</v>
      </c>
      <c r="G5138" s="28" t="str">
        <f>HYPERLINK("http://api.nsgreg.nga.mil/geo-division/GENC/6/ed3/VN-09","as:GENC:6:ed3:VN-09")</f>
        <v>as:GENC:6:ed3:VN-09</v>
      </c>
    </row>
    <row r="5139" spans="1:7" x14ac:dyDescent="0.2">
      <c r="A5139" s="85"/>
      <c r="B5139" s="25" t="s">
        <v>11867</v>
      </c>
      <c r="C5139" s="25" t="s">
        <v>13914</v>
      </c>
      <c r="D5139" s="25" t="s">
        <v>1719</v>
      </c>
      <c r="E5139" s="26" t="b">
        <v>1</v>
      </c>
      <c r="F5139" s="27" t="str">
        <f>HYPERLINK("http://nsgreg.nga.mil/genc/view?v=122737&amp;gencs=T&amp;end_month=12&amp;end_day=31&amp;end_year=2014","Lào Cai")</f>
        <v>Lào Cai</v>
      </c>
      <c r="G5139" s="28" t="str">
        <f>HYPERLINK("http://api.nsgreg.nga.mil/geo-division/GENC/6/ed3/VN-02","as:GENC:6:ed3:VN-02")</f>
        <v>as:GENC:6:ed3:VN-02</v>
      </c>
    </row>
    <row r="5140" spans="1:7" x14ac:dyDescent="0.2">
      <c r="A5140" s="85"/>
      <c r="B5140" s="25" t="s">
        <v>11869</v>
      </c>
      <c r="C5140" s="25" t="s">
        <v>11870</v>
      </c>
      <c r="D5140" s="25" t="s">
        <v>1719</v>
      </c>
      <c r="E5140" s="26" t="b">
        <v>1</v>
      </c>
      <c r="F5140" s="27" t="str">
        <f>HYPERLINK("http://nsgreg.nga.mil/genc/view?v=122768&amp;gencs=T&amp;end_month=12&amp;end_day=31&amp;end_year=2014","Long An")</f>
        <v>Long An</v>
      </c>
      <c r="G5140" s="28" t="str">
        <f>HYPERLINK("http://api.nsgreg.nga.mil/geo-division/GENC/6/ed3/VN-41","as:GENC:6:ed3:VN-41")</f>
        <v>as:GENC:6:ed3:VN-41</v>
      </c>
    </row>
    <row r="5141" spans="1:7" x14ac:dyDescent="0.2">
      <c r="A5141" s="85"/>
      <c r="B5141" s="25" t="s">
        <v>11871</v>
      </c>
      <c r="C5141" s="25" t="s">
        <v>13915</v>
      </c>
      <c r="D5141" s="25" t="s">
        <v>1719</v>
      </c>
      <c r="E5141" s="26" t="b">
        <v>1</v>
      </c>
      <c r="F5141" s="27" t="str">
        <f>HYPERLINK("http://nsgreg.nga.mil/genc/view?v=213804&amp;end_month=12&amp;end_day=31&amp;end_year=2014","Nam Định")</f>
        <v>Nam Định</v>
      </c>
      <c r="G5141" s="28" t="str">
        <f>HYPERLINK("http://api.nsgreg.nga.mil/geo-division/GENC/6/ed3/VN-67","as:GENC:6:ed3:VN-67")</f>
        <v>as:GENC:6:ed3:VN-67</v>
      </c>
    </row>
    <row r="5142" spans="1:7" x14ac:dyDescent="0.2">
      <c r="A5142" s="85"/>
      <c r="B5142" s="25" t="s">
        <v>11873</v>
      </c>
      <c r="C5142" s="25" t="s">
        <v>13916</v>
      </c>
      <c r="D5142" s="25" t="s">
        <v>1719</v>
      </c>
      <c r="E5142" s="26" t="b">
        <v>1</v>
      </c>
      <c r="F5142" s="27" t="str">
        <f>HYPERLINK("http://nsgreg.nga.mil/genc/view?v=122750&amp;gencs=T&amp;end_month=12&amp;end_day=31&amp;end_year=2014","Nghệ An")</f>
        <v>Nghệ An</v>
      </c>
      <c r="G5142" s="28" t="str">
        <f>HYPERLINK("http://api.nsgreg.nga.mil/geo-division/GENC/6/ed3/VN-22","as:GENC:6:ed3:VN-22")</f>
        <v>as:GENC:6:ed3:VN-22</v>
      </c>
    </row>
    <row r="5143" spans="1:7" x14ac:dyDescent="0.2">
      <c r="A5143" s="85"/>
      <c r="B5143" s="25" t="s">
        <v>11875</v>
      </c>
      <c r="C5143" s="25" t="s">
        <v>13917</v>
      </c>
      <c r="D5143" s="25" t="s">
        <v>1719</v>
      </c>
      <c r="E5143" s="26" t="b">
        <v>1</v>
      </c>
      <c r="F5143" s="27" t="str">
        <f>HYPERLINK("http://nsgreg.nga.mil/genc/view?v=122747&amp;gencs=T&amp;end_month=12&amp;end_day=31&amp;end_year=2014","Ninh Bình")</f>
        <v>Ninh Bình</v>
      </c>
      <c r="G5143" s="28" t="str">
        <f>HYPERLINK("http://api.nsgreg.nga.mil/geo-division/GENC/6/ed3/VN-18","as:GENC:6:ed3:VN-18")</f>
        <v>as:GENC:6:ed3:VN-18</v>
      </c>
    </row>
    <row r="5144" spans="1:7" x14ac:dyDescent="0.2">
      <c r="A5144" s="85"/>
      <c r="B5144" s="25" t="s">
        <v>11877</v>
      </c>
      <c r="C5144" s="25" t="s">
        <v>13918</v>
      </c>
      <c r="D5144" s="25" t="s">
        <v>1719</v>
      </c>
      <c r="E5144" s="26" t="b">
        <v>1</v>
      </c>
      <c r="F5144" s="27" t="str">
        <f>HYPERLINK("http://nsgreg.nga.mil/genc/view?v=122764&amp;gencs=T&amp;end_month=12&amp;end_day=31&amp;end_year=2014","Ninh Thuận")</f>
        <v>Ninh Thuận</v>
      </c>
      <c r="G5144" s="28" t="str">
        <f>HYPERLINK("http://api.nsgreg.nga.mil/geo-division/GENC/6/ed3/VN-36","as:GENC:6:ed3:VN-36")</f>
        <v>as:GENC:6:ed3:VN-36</v>
      </c>
    </row>
    <row r="5145" spans="1:7" x14ac:dyDescent="0.2">
      <c r="A5145" s="85"/>
      <c r="B5145" s="25" t="s">
        <v>11879</v>
      </c>
      <c r="C5145" s="25" t="s">
        <v>13919</v>
      </c>
      <c r="D5145" s="25" t="s">
        <v>1719</v>
      </c>
      <c r="E5145" s="26" t="b">
        <v>1</v>
      </c>
      <c r="F5145" s="27" t="str">
        <f>HYPERLINK("http://nsgreg.nga.mil/genc/view?v=122789&amp;gencs=T&amp;end_month=12&amp;end_day=31&amp;end_year=2014","Phú Thọ")</f>
        <v>Phú Thọ</v>
      </c>
      <c r="G5145" s="28" t="str">
        <f>HYPERLINK("http://api.nsgreg.nga.mil/geo-division/GENC/6/ed3/VN-68","as:GENC:6:ed3:VN-68")</f>
        <v>as:GENC:6:ed3:VN-68</v>
      </c>
    </row>
    <row r="5146" spans="1:7" x14ac:dyDescent="0.2">
      <c r="A5146" s="85"/>
      <c r="B5146" s="25" t="s">
        <v>11881</v>
      </c>
      <c r="C5146" s="25" t="s">
        <v>13920</v>
      </c>
      <c r="D5146" s="25" t="s">
        <v>1719</v>
      </c>
      <c r="E5146" s="26" t="b">
        <v>1</v>
      </c>
      <c r="F5146" s="27" t="str">
        <f>HYPERLINK("http://nsgreg.nga.mil/genc/view?v=122760&amp;gencs=T&amp;end_month=12&amp;end_day=31&amp;end_year=2014","Phú Yên")</f>
        <v>Phú Yên</v>
      </c>
      <c r="G5146" s="28" t="str">
        <f>HYPERLINK("http://api.nsgreg.nga.mil/geo-division/GENC/6/ed3/VN-32","as:GENC:6:ed3:VN-32")</f>
        <v>as:GENC:6:ed3:VN-32</v>
      </c>
    </row>
    <row r="5147" spans="1:7" x14ac:dyDescent="0.2">
      <c r="A5147" s="85"/>
      <c r="B5147" s="25" t="s">
        <v>11883</v>
      </c>
      <c r="C5147" s="25" t="s">
        <v>13921</v>
      </c>
      <c r="D5147" s="25" t="s">
        <v>1719</v>
      </c>
      <c r="E5147" s="26" t="b">
        <v>1</v>
      </c>
      <c r="F5147" s="27" t="str">
        <f>HYPERLINK("http://nsgreg.nga.mil/genc/view?v=122752&amp;gencs=T&amp;end_month=12&amp;end_day=31&amp;end_year=2014","Quảng Bình")</f>
        <v>Quảng Bình</v>
      </c>
      <c r="G5147" s="28" t="str">
        <f>HYPERLINK("http://api.nsgreg.nga.mil/geo-division/GENC/6/ed3/VN-24","as:GENC:6:ed3:VN-24")</f>
        <v>as:GENC:6:ed3:VN-24</v>
      </c>
    </row>
    <row r="5148" spans="1:7" x14ac:dyDescent="0.2">
      <c r="A5148" s="85"/>
      <c r="B5148" s="25" t="s">
        <v>11885</v>
      </c>
      <c r="C5148" s="25" t="s">
        <v>13922</v>
      </c>
      <c r="D5148" s="25" t="s">
        <v>1719</v>
      </c>
      <c r="E5148" s="26" t="b">
        <v>1</v>
      </c>
      <c r="F5148" s="27" t="str">
        <f>HYPERLINK("http://nsgreg.nga.mil/genc/view?v=122755&amp;gencs=T&amp;end_month=12&amp;end_day=31&amp;end_year=2014","Quảng Nam")</f>
        <v>Quảng Nam</v>
      </c>
      <c r="G5148" s="28" t="str">
        <f>HYPERLINK("http://api.nsgreg.nga.mil/geo-division/GENC/6/ed3/VN-27","as:GENC:6:ed3:VN-27")</f>
        <v>as:GENC:6:ed3:VN-27</v>
      </c>
    </row>
    <row r="5149" spans="1:7" x14ac:dyDescent="0.2">
      <c r="A5149" s="85"/>
      <c r="B5149" s="25" t="s">
        <v>11887</v>
      </c>
      <c r="C5149" s="25" t="s">
        <v>13923</v>
      </c>
      <c r="D5149" s="25" t="s">
        <v>1719</v>
      </c>
      <c r="E5149" s="26" t="b">
        <v>1</v>
      </c>
      <c r="F5149" s="27" t="str">
        <f>HYPERLINK("http://nsgreg.nga.mil/genc/view?v=122757&amp;gencs=T&amp;end_month=12&amp;end_day=31&amp;end_year=2014","Quảng Ngãi")</f>
        <v>Quảng Ngãi</v>
      </c>
      <c r="G5149" s="28" t="str">
        <f>HYPERLINK("http://api.nsgreg.nga.mil/geo-division/GENC/6/ed3/VN-29","as:GENC:6:ed3:VN-29")</f>
        <v>as:GENC:6:ed3:VN-29</v>
      </c>
    </row>
    <row r="5150" spans="1:7" x14ac:dyDescent="0.2">
      <c r="A5150" s="85"/>
      <c r="B5150" s="25" t="s">
        <v>11889</v>
      </c>
      <c r="C5150" s="25" t="s">
        <v>13924</v>
      </c>
      <c r="D5150" s="25" t="s">
        <v>1719</v>
      </c>
      <c r="E5150" s="26" t="b">
        <v>1</v>
      </c>
      <c r="F5150" s="27" t="str">
        <f>HYPERLINK("http://nsgreg.nga.mil/genc/view?v=122744&amp;gencs=T&amp;end_month=12&amp;end_day=31&amp;end_year=2014","Quảng Ninh")</f>
        <v>Quảng Ninh</v>
      </c>
      <c r="G5150" s="28" t="str">
        <f>HYPERLINK("http://api.nsgreg.nga.mil/geo-division/GENC/6/ed3/VN-13","as:GENC:6:ed3:VN-13")</f>
        <v>as:GENC:6:ed3:VN-13</v>
      </c>
    </row>
    <row r="5151" spans="1:7" x14ac:dyDescent="0.2">
      <c r="A5151" s="85"/>
      <c r="B5151" s="25" t="s">
        <v>11891</v>
      </c>
      <c r="C5151" s="25" t="s">
        <v>13925</v>
      </c>
      <c r="D5151" s="25" t="s">
        <v>1719</v>
      </c>
      <c r="E5151" s="26" t="b">
        <v>1</v>
      </c>
      <c r="F5151" s="27" t="str">
        <f>HYPERLINK("http://nsgreg.nga.mil/genc/view?v=122753&amp;gencs=T&amp;end_month=12&amp;end_day=31&amp;end_year=2014","Quảng Trị")</f>
        <v>Quảng Trị</v>
      </c>
      <c r="G5151" s="28" t="str">
        <f>HYPERLINK("http://api.nsgreg.nga.mil/geo-division/GENC/6/ed3/VN-25","as:GENC:6:ed3:VN-25")</f>
        <v>as:GENC:6:ed3:VN-25</v>
      </c>
    </row>
    <row r="5152" spans="1:7" x14ac:dyDescent="0.2">
      <c r="A5152" s="85"/>
      <c r="B5152" s="25" t="s">
        <v>11893</v>
      </c>
      <c r="C5152" s="25" t="s">
        <v>13926</v>
      </c>
      <c r="D5152" s="25" t="s">
        <v>1719</v>
      </c>
      <c r="E5152" s="26" t="b">
        <v>1</v>
      </c>
      <c r="F5152" s="27" t="str">
        <f>HYPERLINK("http://nsgreg.nga.mil/genc/view?v=122777&amp;gencs=T&amp;end_month=12&amp;end_day=31&amp;end_year=2014","Sóc Trăng")</f>
        <v>Sóc Trăng</v>
      </c>
      <c r="G5152" s="28" t="str">
        <f>HYPERLINK("http://api.nsgreg.nga.mil/geo-division/GENC/6/ed3/VN-52","as:GENC:6:ed3:VN-52")</f>
        <v>as:GENC:6:ed3:VN-52</v>
      </c>
    </row>
    <row r="5153" spans="1:7" x14ac:dyDescent="0.2">
      <c r="A5153" s="85"/>
      <c r="B5153" s="25" t="s">
        <v>11895</v>
      </c>
      <c r="C5153" s="25" t="s">
        <v>13927</v>
      </c>
      <c r="D5153" s="25" t="s">
        <v>1719</v>
      </c>
      <c r="E5153" s="26" t="b">
        <v>1</v>
      </c>
      <c r="F5153" s="27" t="str">
        <f>HYPERLINK("http://nsgreg.nga.mil/genc/view?v=122740&amp;gencs=T&amp;end_month=12&amp;end_day=31&amp;end_year=2014","Sơn La")</f>
        <v>Sơn La</v>
      </c>
      <c r="G5153" s="28" t="str">
        <f>HYPERLINK("http://api.nsgreg.nga.mil/geo-division/GENC/6/ed3/VN-05","as:GENC:6:ed3:VN-05")</f>
        <v>as:GENC:6:ed3:VN-05</v>
      </c>
    </row>
    <row r="5154" spans="1:7" x14ac:dyDescent="0.2">
      <c r="A5154" s="85"/>
      <c r="B5154" s="25" t="s">
        <v>11897</v>
      </c>
      <c r="C5154" s="25" t="s">
        <v>13928</v>
      </c>
      <c r="D5154" s="25" t="s">
        <v>1719</v>
      </c>
      <c r="E5154" s="26" t="b">
        <v>1</v>
      </c>
      <c r="F5154" s="27" t="str">
        <f>HYPERLINK("http://nsgreg.nga.mil/genc/view?v=122765&amp;gencs=T&amp;end_month=12&amp;end_day=31&amp;end_year=2014","Tây Ninh")</f>
        <v>Tây Ninh</v>
      </c>
      <c r="G5154" s="28" t="str">
        <f>HYPERLINK("http://api.nsgreg.nga.mil/geo-division/GENC/6/ed3/VN-37","as:GENC:6:ed3:VN-37")</f>
        <v>as:GENC:6:ed3:VN-37</v>
      </c>
    </row>
    <row r="5155" spans="1:7" x14ac:dyDescent="0.2">
      <c r="A5155" s="85"/>
      <c r="B5155" s="25" t="s">
        <v>11899</v>
      </c>
      <c r="C5155" s="25" t="s">
        <v>13929</v>
      </c>
      <c r="D5155" s="25" t="s">
        <v>1719</v>
      </c>
      <c r="E5155" s="26" t="b">
        <v>1</v>
      </c>
      <c r="F5155" s="27" t="str">
        <f>HYPERLINK("http://nsgreg.nga.mil/genc/view?v=122748&amp;gencs=T&amp;end_month=12&amp;end_day=31&amp;end_year=2014","Thái Bình")</f>
        <v>Thái Bình</v>
      </c>
      <c r="G5155" s="28" t="str">
        <f>HYPERLINK("http://api.nsgreg.nga.mil/geo-division/GENC/6/ed3/VN-20","as:GENC:6:ed3:VN-20")</f>
        <v>as:GENC:6:ed3:VN-20</v>
      </c>
    </row>
    <row r="5156" spans="1:7" x14ac:dyDescent="0.2">
      <c r="A5156" s="85"/>
      <c r="B5156" s="25" t="s">
        <v>11901</v>
      </c>
      <c r="C5156" s="25" t="s">
        <v>13930</v>
      </c>
      <c r="D5156" s="25" t="s">
        <v>1719</v>
      </c>
      <c r="E5156" s="26" t="b">
        <v>1</v>
      </c>
      <c r="F5156" s="27" t="str">
        <f>HYPERLINK("http://nsgreg.nga.mil/genc/view?v=122790&amp;gencs=T&amp;end_month=12&amp;end_day=31&amp;end_year=2014","Thái Nguyên")</f>
        <v>Thái Nguyên</v>
      </c>
      <c r="G5156" s="28" t="str">
        <f>HYPERLINK("http://api.nsgreg.nga.mil/geo-division/GENC/6/ed3/VN-69","as:GENC:6:ed3:VN-69")</f>
        <v>as:GENC:6:ed3:VN-69</v>
      </c>
    </row>
    <row r="5157" spans="1:7" x14ac:dyDescent="0.2">
      <c r="A5157" s="85"/>
      <c r="B5157" s="25" t="s">
        <v>11903</v>
      </c>
      <c r="C5157" s="25" t="s">
        <v>13931</v>
      </c>
      <c r="D5157" s="25" t="s">
        <v>1719</v>
      </c>
      <c r="E5157" s="26" t="b">
        <v>1</v>
      </c>
      <c r="F5157" s="27" t="str">
        <f>HYPERLINK("http://nsgreg.nga.mil/genc/view?v=122749&amp;gencs=T&amp;end_month=12&amp;end_day=31&amp;end_year=2014","Thanh Hóa")</f>
        <v>Thanh Hóa</v>
      </c>
      <c r="G5157" s="28" t="str">
        <f>HYPERLINK("http://api.nsgreg.nga.mil/geo-division/GENC/6/ed3/VN-21","as:GENC:6:ed3:VN-21")</f>
        <v>as:GENC:6:ed3:VN-21</v>
      </c>
    </row>
    <row r="5158" spans="1:7" x14ac:dyDescent="0.2">
      <c r="A5158" s="85"/>
      <c r="B5158" s="25" t="s">
        <v>11905</v>
      </c>
      <c r="C5158" s="25" t="s">
        <v>13932</v>
      </c>
      <c r="D5158" s="25" t="s">
        <v>1719</v>
      </c>
      <c r="E5158" s="26" t="b">
        <v>1</v>
      </c>
      <c r="F5158" s="27" t="str">
        <f>HYPERLINK("http://nsgreg.nga.mil/genc/view?v=122754&amp;gencs=T&amp;end_month=12&amp;end_day=31&amp;end_year=2014","Thừa Thiên-Huế")</f>
        <v>Thừa Thiên-Huế</v>
      </c>
      <c r="G5158" s="28" t="str">
        <f>HYPERLINK("http://api.nsgreg.nga.mil/geo-division/GENC/6/ed3/VN-26","as:GENC:6:ed3:VN-26")</f>
        <v>as:GENC:6:ed3:VN-26</v>
      </c>
    </row>
    <row r="5159" spans="1:7" x14ac:dyDescent="0.2">
      <c r="A5159" s="85"/>
      <c r="B5159" s="25" t="s">
        <v>11907</v>
      </c>
      <c r="C5159" s="25" t="s">
        <v>13933</v>
      </c>
      <c r="D5159" s="25" t="s">
        <v>1719</v>
      </c>
      <c r="E5159" s="26" t="b">
        <v>1</v>
      </c>
      <c r="F5159" s="27" t="str">
        <f>HYPERLINK("http://nsgreg.nga.mil/genc/view?v=122772&amp;gencs=T&amp;end_month=12&amp;end_day=31&amp;end_year=2014","Tiền Giang")</f>
        <v>Tiền Giang</v>
      </c>
      <c r="G5159" s="28" t="str">
        <f>HYPERLINK("http://api.nsgreg.nga.mil/geo-division/GENC/6/ed3/VN-46","as:GENC:6:ed3:VN-46")</f>
        <v>as:GENC:6:ed3:VN-46</v>
      </c>
    </row>
    <row r="5160" spans="1:7" x14ac:dyDescent="0.2">
      <c r="A5160" s="85"/>
      <c r="B5160" s="25" t="s">
        <v>11909</v>
      </c>
      <c r="C5160" s="25" t="s">
        <v>13934</v>
      </c>
      <c r="D5160" s="25" t="s">
        <v>1719</v>
      </c>
      <c r="E5160" s="26" t="b">
        <v>1</v>
      </c>
      <c r="F5160" s="27" t="str">
        <f>HYPERLINK("http://nsgreg.nga.mil/genc/view?v=122776&amp;gencs=T&amp;end_month=12&amp;end_day=31&amp;end_year=2014","Trà Vinh")</f>
        <v>Trà Vinh</v>
      </c>
      <c r="G5160" s="28" t="str">
        <f>HYPERLINK("http://api.nsgreg.nga.mil/geo-division/GENC/6/ed3/VN-51","as:GENC:6:ed3:VN-51")</f>
        <v>as:GENC:6:ed3:VN-51</v>
      </c>
    </row>
    <row r="5161" spans="1:7" x14ac:dyDescent="0.2">
      <c r="A5161" s="85"/>
      <c r="B5161" s="25" t="s">
        <v>11911</v>
      </c>
      <c r="C5161" s="25" t="s">
        <v>13935</v>
      </c>
      <c r="D5161" s="25" t="s">
        <v>1719</v>
      </c>
      <c r="E5161" s="26" t="b">
        <v>1</v>
      </c>
      <c r="F5161" s="27" t="str">
        <f>HYPERLINK("http://nsgreg.nga.mil/genc/view?v=122742&amp;gencs=T&amp;end_month=12&amp;end_day=31&amp;end_year=2014","Tuyên Quang")</f>
        <v>Tuyên Quang</v>
      </c>
      <c r="G5161" s="28" t="str">
        <f>HYPERLINK("http://api.nsgreg.nga.mil/geo-division/GENC/6/ed3/VN-07","as:GENC:6:ed3:VN-07")</f>
        <v>as:GENC:6:ed3:VN-07</v>
      </c>
    </row>
    <row r="5162" spans="1:7" x14ac:dyDescent="0.2">
      <c r="A5162" s="85"/>
      <c r="B5162" s="25" t="s">
        <v>11913</v>
      </c>
      <c r="C5162" s="25" t="s">
        <v>13936</v>
      </c>
      <c r="D5162" s="25" t="s">
        <v>1719</v>
      </c>
      <c r="E5162" s="26" t="b">
        <v>1</v>
      </c>
      <c r="F5162" s="27" t="str">
        <f>HYPERLINK("http://nsgreg.nga.mil/genc/view?v=122774&amp;gencs=T&amp;end_month=12&amp;end_day=31&amp;end_year=2014","Vĩnh Long")</f>
        <v>Vĩnh Long</v>
      </c>
      <c r="G5162" s="28" t="str">
        <f>HYPERLINK("http://api.nsgreg.nga.mil/geo-division/GENC/6/ed3/VN-49","as:GENC:6:ed3:VN-49")</f>
        <v>as:GENC:6:ed3:VN-49</v>
      </c>
    </row>
    <row r="5163" spans="1:7" x14ac:dyDescent="0.2">
      <c r="A5163" s="85"/>
      <c r="B5163" s="25" t="s">
        <v>11915</v>
      </c>
      <c r="C5163" s="25" t="s">
        <v>13937</v>
      </c>
      <c r="D5163" s="25" t="s">
        <v>1719</v>
      </c>
      <c r="E5163" s="26" t="b">
        <v>1</v>
      </c>
      <c r="F5163" s="27" t="str">
        <f>HYPERLINK("http://nsgreg.nga.mil/genc/view?v=122791&amp;gencs=T&amp;end_month=12&amp;end_day=31&amp;end_year=2014","Vĩnh Phúc")</f>
        <v>Vĩnh Phúc</v>
      </c>
      <c r="G5163" s="28" t="str">
        <f>HYPERLINK("http://api.nsgreg.nga.mil/geo-division/GENC/6/ed3/VN-70","as:GENC:6:ed3:VN-70")</f>
        <v>as:GENC:6:ed3:VN-70</v>
      </c>
    </row>
    <row r="5164" spans="1:7" x14ac:dyDescent="0.2">
      <c r="A5164" s="86"/>
      <c r="B5164" s="29" t="s">
        <v>11917</v>
      </c>
      <c r="C5164" s="29" t="s">
        <v>13938</v>
      </c>
      <c r="D5164" s="29" t="s">
        <v>1719</v>
      </c>
      <c r="E5164" s="30" t="b">
        <v>1</v>
      </c>
      <c r="F5164" s="31" t="str">
        <f>HYPERLINK("http://nsgreg.nga.mil/genc/view?v=122741&amp;gencs=T&amp;end_month=12&amp;end_day=31&amp;end_year=2014","Yên Bái")</f>
        <v>Yên Bái</v>
      </c>
      <c r="G5164" s="32" t="str">
        <f>HYPERLINK("http://api.nsgreg.nga.mil/geo-division/GENC/6/ed3/VN-06","as:GENC:6:ed3:VN-06")</f>
        <v>as:GENC:6:ed3:VN-06</v>
      </c>
    </row>
    <row r="5165" spans="1:7" x14ac:dyDescent="0.2">
      <c r="A5165" s="84" t="str">
        <f>HYPERLINK("[#]Codes_for_GE_Names!A281:I281","YEMEN")</f>
        <v>YEMEN</v>
      </c>
      <c r="B5165" s="33" t="s">
        <v>11923</v>
      </c>
      <c r="C5165" s="33" t="s">
        <v>13939</v>
      </c>
      <c r="D5165" s="33" t="s">
        <v>2365</v>
      </c>
      <c r="E5165" s="34" t="b">
        <v>1</v>
      </c>
      <c r="F5165" s="35" t="str">
        <f>HYPERLINK("http://nsgreg.nga.mil/genc/view?v=213777&amp;end_month=12&amp;end_day=31&amp;end_year=2014","Abyan")</f>
        <v>Abyan</v>
      </c>
      <c r="G5165" s="36" t="str">
        <f>HYPERLINK("http://api.nsgreg.nga.mil/geo-division/GENC/6/ed3/YE-AB","as:GENC:6:ed3:YE-AB")</f>
        <v>as:GENC:6:ed3:YE-AB</v>
      </c>
    </row>
    <row r="5166" spans="1:7" x14ac:dyDescent="0.2">
      <c r="A5166" s="85"/>
      <c r="B5166" s="25" t="s">
        <v>11919</v>
      </c>
      <c r="C5166" s="25" t="s">
        <v>13940</v>
      </c>
      <c r="D5166" s="25" t="s">
        <v>2365</v>
      </c>
      <c r="E5166" s="26" t="b">
        <v>1</v>
      </c>
      <c r="F5166" s="27" t="str">
        <f>HYPERLINK("http://nsgreg.nga.mil/genc/view?v=213778&amp;end_month=12&amp;end_day=31&amp;end_year=2014","‘Adan")</f>
        <v>‘Adan</v>
      </c>
      <c r="G5166" s="28" t="str">
        <f>HYPERLINK("http://api.nsgreg.nga.mil/geo-division/GENC/6/ed3/YE-AD","as:GENC:6:ed3:YE-AD")</f>
        <v>as:GENC:6:ed3:YE-AD</v>
      </c>
    </row>
    <row r="5167" spans="1:7" x14ac:dyDescent="0.2">
      <c r="A5167" s="85"/>
      <c r="B5167" s="25" t="s">
        <v>11925</v>
      </c>
      <c r="C5167" s="25" t="s">
        <v>13941</v>
      </c>
      <c r="D5167" s="25" t="s">
        <v>2365</v>
      </c>
      <c r="E5167" s="26" t="b">
        <v>1</v>
      </c>
      <c r="F5167" s="27" t="str">
        <f>HYPERLINK("http://nsgreg.nga.mil/genc/view?v=213780&amp;end_month=12&amp;end_day=31&amp;end_year=2014","Aḑ Ḑāli‘")</f>
        <v>Aḑ Ḑāli‘</v>
      </c>
      <c r="G5167" s="28" t="str">
        <f>HYPERLINK("http://api.nsgreg.nga.mil/geo-division/GENC/6/ed3/YE-DA","as:GENC:6:ed3:YE-DA")</f>
        <v>as:GENC:6:ed3:YE-DA</v>
      </c>
    </row>
    <row r="5168" spans="1:7" x14ac:dyDescent="0.2">
      <c r="A5168" s="85"/>
      <c r="B5168" s="25" t="s">
        <v>11927</v>
      </c>
      <c r="C5168" s="25" t="s">
        <v>13942</v>
      </c>
      <c r="D5168" s="25" t="s">
        <v>2365</v>
      </c>
      <c r="E5168" s="26" t="b">
        <v>1</v>
      </c>
      <c r="F5168" s="27" t="str">
        <f>HYPERLINK("http://nsgreg.nga.mil/genc/view?v=122820&amp;gencs=T&amp;end_month=12&amp;end_day=31&amp;end_year=2014","Al Bayḑā’")</f>
        <v>Al Bayḑā’</v>
      </c>
      <c r="G5168" s="28" t="str">
        <f>HYPERLINK("http://api.nsgreg.nga.mil/geo-division/GENC/6/ed3/YE-BA","as:GENC:6:ed3:YE-BA")</f>
        <v>as:GENC:6:ed3:YE-BA</v>
      </c>
    </row>
    <row r="5169" spans="1:7" x14ac:dyDescent="0.2">
      <c r="A5169" s="85"/>
      <c r="B5169" s="25" t="s">
        <v>11934</v>
      </c>
      <c r="C5169" s="25" t="s">
        <v>11935</v>
      </c>
      <c r="D5169" s="25" t="s">
        <v>2365</v>
      </c>
      <c r="E5169" s="26" t="b">
        <v>1</v>
      </c>
      <c r="F5169" s="27" t="str">
        <f>HYPERLINK("http://nsgreg.nga.mil/genc/view?v=122825&amp;gencs=T&amp;end_month=12&amp;end_day=31&amp;end_year=2014","Al Ḩudaydah")</f>
        <v>Al Ḩudaydah</v>
      </c>
      <c r="G5169" s="28" t="str">
        <f>HYPERLINK("http://api.nsgreg.nga.mil/geo-division/GENC/6/ed3/YE-HU","as:GENC:6:ed3:YE-HU")</f>
        <v>as:GENC:6:ed3:YE-HU</v>
      </c>
    </row>
    <row r="5170" spans="1:7" x14ac:dyDescent="0.2">
      <c r="A5170" s="85"/>
      <c r="B5170" s="25" t="s">
        <v>11929</v>
      </c>
      <c r="C5170" s="25" t="s">
        <v>8980</v>
      </c>
      <c r="D5170" s="25" t="s">
        <v>2365</v>
      </c>
      <c r="E5170" s="26" t="b">
        <v>1</v>
      </c>
      <c r="F5170" s="27" t="str">
        <f>HYPERLINK("http://nsgreg.nga.mil/genc/view?v=122827&amp;gencs=T&amp;end_month=12&amp;end_day=31&amp;end_year=2014","Al Jawf")</f>
        <v>Al Jawf</v>
      </c>
      <c r="G5170" s="28" t="str">
        <f>HYPERLINK("http://api.nsgreg.nga.mil/geo-division/GENC/6/ed3/YE-JA","as:GENC:6:ed3:YE-JA")</f>
        <v>as:GENC:6:ed3:YE-JA</v>
      </c>
    </row>
    <row r="5171" spans="1:7" x14ac:dyDescent="0.2">
      <c r="A5171" s="85"/>
      <c r="B5171" s="25" t="s">
        <v>11930</v>
      </c>
      <c r="C5171" s="25" t="s">
        <v>11931</v>
      </c>
      <c r="D5171" s="25" t="s">
        <v>2365</v>
      </c>
      <c r="E5171" s="26" t="b">
        <v>1</v>
      </c>
      <c r="F5171" s="27" t="str">
        <f>HYPERLINK("http://nsgreg.nga.mil/genc/view?v=122830&amp;gencs=T&amp;end_month=12&amp;end_day=31&amp;end_year=2014","Al Mahrah")</f>
        <v>Al Mahrah</v>
      </c>
      <c r="G5171" s="28" t="str">
        <f>HYPERLINK("http://api.nsgreg.nga.mil/geo-division/GENC/6/ed3/YE-MR","as:GENC:6:ed3:YE-MR")</f>
        <v>as:GENC:6:ed3:YE-MR</v>
      </c>
    </row>
    <row r="5172" spans="1:7" x14ac:dyDescent="0.2">
      <c r="A5172" s="85"/>
      <c r="B5172" s="25" t="s">
        <v>11932</v>
      </c>
      <c r="C5172" s="25" t="s">
        <v>11933</v>
      </c>
      <c r="D5172" s="25" t="s">
        <v>2365</v>
      </c>
      <c r="E5172" s="26" t="b">
        <v>1</v>
      </c>
      <c r="F5172" s="27" t="str">
        <f>HYPERLINK("http://nsgreg.nga.mil/genc/view?v=122831&amp;gencs=T&amp;end_month=12&amp;end_day=31&amp;end_year=2014","Al Maḩwīt")</f>
        <v>Al Maḩwīt</v>
      </c>
      <c r="G5172" s="28" t="str">
        <f>HYPERLINK("http://api.nsgreg.nga.mil/geo-division/GENC/6/ed3/YE-MW","as:GENC:6:ed3:YE-MW")</f>
        <v>as:GENC:6:ed3:YE-MW</v>
      </c>
    </row>
    <row r="5173" spans="1:7" x14ac:dyDescent="0.2">
      <c r="A5173" s="85"/>
      <c r="B5173" s="25" t="s">
        <v>11952</v>
      </c>
      <c r="C5173" s="25" t="s">
        <v>13943</v>
      </c>
      <c r="D5173" s="25" t="s">
        <v>2365</v>
      </c>
      <c r="E5173" s="26" t="b">
        <v>1</v>
      </c>
      <c r="F5173" s="27" t="str">
        <f>HYPERLINK("http://nsgreg.nga.mil/genc/view?v=213781&amp;end_month=12&amp;end_day=31&amp;end_year=2014","Amānat al ‘Āşimah")</f>
        <v>Amānat al ‘Āşimah</v>
      </c>
      <c r="G5173" s="28" t="str">
        <f>HYPERLINK("http://api.nsgreg.nga.mil/geo-division/GENC/6/ed3/YE-SA","as:GENC:6:ed3:YE-SA")</f>
        <v>as:GENC:6:ed3:YE-SA</v>
      </c>
    </row>
    <row r="5174" spans="1:7" x14ac:dyDescent="0.2">
      <c r="A5174" s="85"/>
      <c r="B5174" s="25" t="s">
        <v>11921</v>
      </c>
      <c r="C5174" s="25" t="s">
        <v>13944</v>
      </c>
      <c r="D5174" s="25" t="s">
        <v>2365</v>
      </c>
      <c r="E5174" s="26" t="b">
        <v>1</v>
      </c>
      <c r="F5174" s="27" t="str">
        <f>HYPERLINK("http://nsgreg.nga.mil/genc/view?v=213779&amp;end_month=12&amp;end_day=31&amp;end_year=2014","‘Amrān")</f>
        <v>‘Amrān</v>
      </c>
      <c r="G5174" s="28" t="str">
        <f>HYPERLINK("http://api.nsgreg.nga.mil/geo-division/GENC/6/ed3/YE-AM","as:GENC:6:ed3:YE-AM")</f>
        <v>as:GENC:6:ed3:YE-AM</v>
      </c>
    </row>
    <row r="5175" spans="1:7" x14ac:dyDescent="0.2">
      <c r="A5175" s="85"/>
      <c r="B5175" s="25" t="s">
        <v>13945</v>
      </c>
      <c r="C5175" s="25" t="s">
        <v>13946</v>
      </c>
      <c r="D5175" s="25" t="s">
        <v>2365</v>
      </c>
      <c r="E5175" s="26" t="b">
        <v>1</v>
      </c>
      <c r="F5175" s="27" t="str">
        <f>HYPERLINK("http://nsgreg.nga.mil/genc/view?v=213784&amp;end_month=12&amp;end_day=31&amp;end_year=2014","Arkhabīl Suquţrá")</f>
        <v>Arkhabīl Suquţrá</v>
      </c>
      <c r="G5175" s="28" t="str">
        <f>HYPERLINK("http://api.nsgreg.nga.mil/geo-division/GENC/6/ed3/YE-SU","as:GENC:6:ed3:YE-SU")</f>
        <v>as:GENC:6:ed3:YE-SU</v>
      </c>
    </row>
    <row r="5176" spans="1:7" x14ac:dyDescent="0.2">
      <c r="A5176" s="85"/>
      <c r="B5176" s="25" t="s">
        <v>11936</v>
      </c>
      <c r="C5176" s="25" t="s">
        <v>11937</v>
      </c>
      <c r="D5176" s="25" t="s">
        <v>2365</v>
      </c>
      <c r="E5176" s="26" t="b">
        <v>1</v>
      </c>
      <c r="F5176" s="27" t="str">
        <f>HYPERLINK("http://nsgreg.nga.mil/genc/view?v=122822&amp;gencs=T&amp;end_month=12&amp;end_day=31&amp;end_year=2014","Dhamār")</f>
        <v>Dhamār</v>
      </c>
      <c r="G5176" s="28" t="str">
        <f>HYPERLINK("http://api.nsgreg.nga.mil/geo-division/GENC/6/ed3/YE-DH","as:GENC:6:ed3:YE-DH")</f>
        <v>as:GENC:6:ed3:YE-DH</v>
      </c>
    </row>
    <row r="5177" spans="1:7" x14ac:dyDescent="0.2">
      <c r="A5177" s="85"/>
      <c r="B5177" s="25" t="s">
        <v>11958</v>
      </c>
      <c r="C5177" s="25" t="s">
        <v>11959</v>
      </c>
      <c r="D5177" s="25" t="s">
        <v>2365</v>
      </c>
      <c r="E5177" s="26" t="b">
        <v>1</v>
      </c>
      <c r="F5177" s="27" t="str">
        <f>HYPERLINK("http://nsgreg.nga.mil/genc/view?v=122823&amp;gencs=T&amp;end_month=12&amp;end_day=31&amp;end_year=2014","Ḩaḑramawt")</f>
        <v>Ḩaḑramawt</v>
      </c>
      <c r="G5177" s="28" t="str">
        <f>HYPERLINK("http://api.nsgreg.nga.mil/geo-division/GENC/6/ed3/YE-HD","as:GENC:6:ed3:YE-HD")</f>
        <v>as:GENC:6:ed3:YE-HD</v>
      </c>
    </row>
    <row r="5178" spans="1:7" x14ac:dyDescent="0.2">
      <c r="A5178" s="85"/>
      <c r="B5178" s="25" t="s">
        <v>11956</v>
      </c>
      <c r="C5178" s="25" t="s">
        <v>11957</v>
      </c>
      <c r="D5178" s="25" t="s">
        <v>2365</v>
      </c>
      <c r="E5178" s="26" t="b">
        <v>1</v>
      </c>
      <c r="F5178" s="27" t="str">
        <f>HYPERLINK("http://nsgreg.nga.mil/genc/view?v=122824&amp;gencs=T&amp;end_month=12&amp;end_day=31&amp;end_year=2014","Ḩajjah")</f>
        <v>Ḩajjah</v>
      </c>
      <c r="G5178" s="28" t="str">
        <f>HYPERLINK("http://api.nsgreg.nga.mil/geo-division/GENC/6/ed3/YE-HJ","as:GENC:6:ed3:YE-HJ")</f>
        <v>as:GENC:6:ed3:YE-HJ</v>
      </c>
    </row>
    <row r="5179" spans="1:7" x14ac:dyDescent="0.2">
      <c r="A5179" s="85"/>
      <c r="B5179" s="25" t="s">
        <v>11938</v>
      </c>
      <c r="C5179" s="25" t="s">
        <v>11939</v>
      </c>
      <c r="D5179" s="25" t="s">
        <v>2365</v>
      </c>
      <c r="E5179" s="26" t="b">
        <v>1</v>
      </c>
      <c r="F5179" s="27" t="str">
        <f>HYPERLINK("http://nsgreg.nga.mil/genc/view?v=122826&amp;gencs=T&amp;end_month=12&amp;end_day=31&amp;end_year=2014","Ibb")</f>
        <v>Ibb</v>
      </c>
      <c r="G5179" s="28" t="str">
        <f>HYPERLINK("http://api.nsgreg.nga.mil/geo-division/GENC/6/ed3/YE-IB","as:GENC:6:ed3:YE-IB")</f>
        <v>as:GENC:6:ed3:YE-IB</v>
      </c>
    </row>
    <row r="5180" spans="1:7" x14ac:dyDescent="0.2">
      <c r="A5180" s="85"/>
      <c r="B5180" s="25" t="s">
        <v>11940</v>
      </c>
      <c r="C5180" s="25" t="s">
        <v>11941</v>
      </c>
      <c r="D5180" s="25" t="s">
        <v>2365</v>
      </c>
      <c r="E5180" s="26" t="b">
        <v>1</v>
      </c>
      <c r="F5180" s="27" t="str">
        <f>HYPERLINK("http://nsgreg.nga.mil/genc/view?v=122828&amp;gencs=T&amp;end_month=12&amp;end_day=31&amp;end_year=2014","Laḩij")</f>
        <v>Laḩij</v>
      </c>
      <c r="G5180" s="28" t="str">
        <f>HYPERLINK("http://api.nsgreg.nga.mil/geo-division/GENC/6/ed3/YE-LA","as:GENC:6:ed3:YE-LA")</f>
        <v>as:GENC:6:ed3:YE-LA</v>
      </c>
    </row>
    <row r="5181" spans="1:7" x14ac:dyDescent="0.2">
      <c r="A5181" s="85"/>
      <c r="B5181" s="25" t="s">
        <v>11942</v>
      </c>
      <c r="C5181" s="25" t="s">
        <v>13947</v>
      </c>
      <c r="D5181" s="25" t="s">
        <v>2365</v>
      </c>
      <c r="E5181" s="26" t="b">
        <v>1</v>
      </c>
      <c r="F5181" s="27" t="str">
        <f>HYPERLINK("http://nsgreg.nga.mil/genc/view?v=122829&amp;gencs=T&amp;end_month=12&amp;end_day=31&amp;end_year=2014","Ma’rib")</f>
        <v>Ma’rib</v>
      </c>
      <c r="G5181" s="28" t="str">
        <f>HYPERLINK("http://api.nsgreg.nga.mil/geo-division/GENC/6/ed3/YE-MA","as:GENC:6:ed3:YE-MA")</f>
        <v>as:GENC:6:ed3:YE-MA</v>
      </c>
    </row>
    <row r="5182" spans="1:7" x14ac:dyDescent="0.2">
      <c r="A5182" s="85"/>
      <c r="B5182" s="25" t="s">
        <v>11944</v>
      </c>
      <c r="C5182" s="25" t="s">
        <v>11945</v>
      </c>
      <c r="D5182" s="25" t="s">
        <v>2365</v>
      </c>
      <c r="E5182" s="26" t="b">
        <v>1</v>
      </c>
      <c r="F5182" s="27" t="str">
        <f>HYPERLINK("http://nsgreg.nga.mil/genc/view?v=122832&amp;gencs=T&amp;end_month=12&amp;end_day=31&amp;end_year=2014","Raymah")</f>
        <v>Raymah</v>
      </c>
      <c r="G5182" s="28" t="str">
        <f>HYPERLINK("http://api.nsgreg.nga.mil/geo-division/GENC/6/ed3/YE-RA","as:GENC:6:ed3:YE-RA")</f>
        <v>as:GENC:6:ed3:YE-RA</v>
      </c>
    </row>
    <row r="5183" spans="1:7" x14ac:dyDescent="0.2">
      <c r="A5183" s="85"/>
      <c r="B5183" s="25" t="s">
        <v>11954</v>
      </c>
      <c r="C5183" s="25" t="s">
        <v>13948</v>
      </c>
      <c r="D5183" s="25" t="s">
        <v>2365</v>
      </c>
      <c r="E5183" s="26" t="b">
        <v>1</v>
      </c>
      <c r="F5183" s="27" t="str">
        <f>HYPERLINK("http://nsgreg.nga.mil/genc/view?v=213782&amp;end_month=12&amp;end_day=31&amp;end_year=2014","Şa‘dah")</f>
        <v>Şa‘dah</v>
      </c>
      <c r="G5183" s="28" t="str">
        <f>HYPERLINK("http://api.nsgreg.nga.mil/geo-division/GENC/6/ed3/YE-SD","as:GENC:6:ed3:YE-SD")</f>
        <v>as:GENC:6:ed3:YE-SD</v>
      </c>
    </row>
    <row r="5184" spans="1:7" x14ac:dyDescent="0.2">
      <c r="A5184" s="85"/>
      <c r="B5184" s="25" t="s">
        <v>11950</v>
      </c>
      <c r="C5184" s="25" t="s">
        <v>13949</v>
      </c>
      <c r="D5184" s="25" t="s">
        <v>2365</v>
      </c>
      <c r="E5184" s="26" t="b">
        <v>1</v>
      </c>
      <c r="F5184" s="27" t="str">
        <f>HYPERLINK("http://nsgreg.nga.mil/genc/view?v=213783&amp;end_month=12&amp;end_day=31&amp;end_year=2014","Şan‘ā’")</f>
        <v>Şan‘ā’</v>
      </c>
      <c r="G5184" s="28" t="str">
        <f>HYPERLINK("http://api.nsgreg.nga.mil/geo-division/GENC/6/ed3/YE-SN","as:GENC:6:ed3:YE-SN")</f>
        <v>as:GENC:6:ed3:YE-SN</v>
      </c>
    </row>
    <row r="5185" spans="1:7" x14ac:dyDescent="0.2">
      <c r="A5185" s="85"/>
      <c r="B5185" s="25" t="s">
        <v>11946</v>
      </c>
      <c r="C5185" s="25" t="s">
        <v>11947</v>
      </c>
      <c r="D5185" s="25" t="s">
        <v>2365</v>
      </c>
      <c r="E5185" s="26" t="b">
        <v>1</v>
      </c>
      <c r="F5185" s="27" t="str">
        <f>HYPERLINK("http://nsgreg.nga.mil/genc/view?v=122835&amp;gencs=T&amp;end_month=12&amp;end_day=31&amp;end_year=2014","Shabwah")</f>
        <v>Shabwah</v>
      </c>
      <c r="G5185" s="28" t="str">
        <f>HYPERLINK("http://api.nsgreg.nga.mil/geo-division/GENC/6/ed3/YE-SH","as:GENC:6:ed3:YE-SH")</f>
        <v>as:GENC:6:ed3:YE-SH</v>
      </c>
    </row>
    <row r="5186" spans="1:7" x14ac:dyDescent="0.2">
      <c r="A5186" s="86"/>
      <c r="B5186" s="29" t="s">
        <v>11948</v>
      </c>
      <c r="C5186" s="29" t="s">
        <v>13950</v>
      </c>
      <c r="D5186" s="29" t="s">
        <v>2365</v>
      </c>
      <c r="E5186" s="30" t="b">
        <v>1</v>
      </c>
      <c r="F5186" s="31" t="str">
        <f>HYPERLINK("http://nsgreg.nga.mil/genc/view?v=213785&amp;end_month=12&amp;end_day=31&amp;end_year=2014","Ta‘izz")</f>
        <v>Ta‘izz</v>
      </c>
      <c r="G5186" s="32" t="str">
        <f>HYPERLINK("http://api.nsgreg.nga.mil/geo-division/GENC/6/ed3/YE-TA","as:GENC:6:ed3:YE-TA")</f>
        <v>as:GENC:6:ed3:YE-TA</v>
      </c>
    </row>
    <row r="5187" spans="1:7" x14ac:dyDescent="0.2">
      <c r="A5187" s="84" t="str">
        <f>HYPERLINK("[#]Codes_for_GE_Names!A282:I282","ZAMBIA")</f>
        <v>ZAMBIA</v>
      </c>
      <c r="B5187" s="33" t="s">
        <v>11960</v>
      </c>
      <c r="C5187" s="33" t="s">
        <v>2720</v>
      </c>
      <c r="D5187" s="33" t="s">
        <v>1719</v>
      </c>
      <c r="E5187" s="34" t="b">
        <v>1</v>
      </c>
      <c r="F5187" s="35" t="str">
        <f>HYPERLINK("http://nsgreg.nga.mil/genc/view?v=122848&amp;gencs=T&amp;end_month=12&amp;end_day=31&amp;end_year=2014","Central")</f>
        <v>Central</v>
      </c>
      <c r="G5187" s="36" t="str">
        <f>HYPERLINK("http://api.nsgreg.nga.mil/geo-division/GENC/6/ed3/ZM-02","as:GENC:6:ed3:ZM-02")</f>
        <v>as:GENC:6:ed3:ZM-02</v>
      </c>
    </row>
    <row r="5188" spans="1:7" x14ac:dyDescent="0.2">
      <c r="A5188" s="85"/>
      <c r="B5188" s="25" t="s">
        <v>11961</v>
      </c>
      <c r="C5188" s="25" t="s">
        <v>11962</v>
      </c>
      <c r="D5188" s="25" t="s">
        <v>1719</v>
      </c>
      <c r="E5188" s="26" t="b">
        <v>1</v>
      </c>
      <c r="F5188" s="27" t="str">
        <f>HYPERLINK("http://nsgreg.nga.mil/genc/view?v=122854&amp;gencs=T&amp;end_month=12&amp;end_day=31&amp;end_year=2014","Copperbelt")</f>
        <v>Copperbelt</v>
      </c>
      <c r="G5188" s="28" t="str">
        <f>HYPERLINK("http://api.nsgreg.nga.mil/geo-division/GENC/6/ed3/ZM-08","as:GENC:6:ed3:ZM-08")</f>
        <v>as:GENC:6:ed3:ZM-08</v>
      </c>
    </row>
    <row r="5189" spans="1:7" x14ac:dyDescent="0.2">
      <c r="A5189" s="85"/>
      <c r="B5189" s="25" t="s">
        <v>11963</v>
      </c>
      <c r="C5189" s="25" t="s">
        <v>4191</v>
      </c>
      <c r="D5189" s="25" t="s">
        <v>1719</v>
      </c>
      <c r="E5189" s="26" t="b">
        <v>1</v>
      </c>
      <c r="F5189" s="27" t="str">
        <f>HYPERLINK("http://nsgreg.nga.mil/genc/view?v=122849&amp;gencs=T&amp;end_month=12&amp;end_day=31&amp;end_year=2014","Eastern")</f>
        <v>Eastern</v>
      </c>
      <c r="G5189" s="28" t="str">
        <f>HYPERLINK("http://api.nsgreg.nga.mil/geo-division/GENC/6/ed3/ZM-03","as:GENC:6:ed3:ZM-03")</f>
        <v>as:GENC:6:ed3:ZM-03</v>
      </c>
    </row>
    <row r="5190" spans="1:7" x14ac:dyDescent="0.2">
      <c r="A5190" s="85"/>
      <c r="B5190" s="25" t="s">
        <v>11964</v>
      </c>
      <c r="C5190" s="25" t="s">
        <v>11965</v>
      </c>
      <c r="D5190" s="25" t="s">
        <v>1719</v>
      </c>
      <c r="E5190" s="26" t="b">
        <v>1</v>
      </c>
      <c r="F5190" s="27" t="str">
        <f>HYPERLINK("http://nsgreg.nga.mil/genc/view?v=122850&amp;gencs=T&amp;end_month=12&amp;end_day=31&amp;end_year=2014","Luapula")</f>
        <v>Luapula</v>
      </c>
      <c r="G5190" s="28" t="str">
        <f>HYPERLINK("http://api.nsgreg.nga.mil/geo-division/GENC/6/ed3/ZM-04","as:GENC:6:ed3:ZM-04")</f>
        <v>as:GENC:6:ed3:ZM-04</v>
      </c>
    </row>
    <row r="5191" spans="1:7" x14ac:dyDescent="0.2">
      <c r="A5191" s="85"/>
      <c r="B5191" s="25" t="s">
        <v>11966</v>
      </c>
      <c r="C5191" s="25" t="s">
        <v>11967</v>
      </c>
      <c r="D5191" s="25" t="s">
        <v>1719</v>
      </c>
      <c r="E5191" s="26" t="b">
        <v>1</v>
      </c>
      <c r="F5191" s="27" t="str">
        <f>HYPERLINK("http://nsgreg.nga.mil/genc/view?v=122855&amp;gencs=T&amp;end_month=12&amp;end_day=31&amp;end_year=2014","Lusaka")</f>
        <v>Lusaka</v>
      </c>
      <c r="G5191" s="28" t="str">
        <f>HYPERLINK("http://api.nsgreg.nga.mil/geo-division/GENC/6/ed3/ZM-09","as:GENC:6:ed3:ZM-09")</f>
        <v>as:GENC:6:ed3:ZM-09</v>
      </c>
    </row>
    <row r="5192" spans="1:7" x14ac:dyDescent="0.2">
      <c r="A5192" s="85"/>
      <c r="B5192" s="25" t="s">
        <v>13951</v>
      </c>
      <c r="C5192" s="25" t="s">
        <v>13952</v>
      </c>
      <c r="D5192" s="25" t="s">
        <v>1719</v>
      </c>
      <c r="E5192" s="26" t="b">
        <v>1</v>
      </c>
      <c r="F5192" s="27" t="str">
        <f>HYPERLINK("http://nsgreg.nga.mil/genc/view?v=122856&amp;gencs=T&amp;end_month=12&amp;end_day=31&amp;end_year=2014","Muchinga")</f>
        <v>Muchinga</v>
      </c>
      <c r="G5192" s="28" t="str">
        <f>HYPERLINK("http://api.nsgreg.nga.mil/geo-division/GENC/6/ed3/ZM-10","as:GENC:6:ed3:ZM-10")</f>
        <v>as:GENC:6:ed3:ZM-10</v>
      </c>
    </row>
    <row r="5193" spans="1:7" x14ac:dyDescent="0.2">
      <c r="A5193" s="85"/>
      <c r="B5193" s="25" t="s">
        <v>11970</v>
      </c>
      <c r="C5193" s="25" t="s">
        <v>4193</v>
      </c>
      <c r="D5193" s="25" t="s">
        <v>1719</v>
      </c>
      <c r="E5193" s="26" t="b">
        <v>1</v>
      </c>
      <c r="F5193" s="27" t="str">
        <f>HYPERLINK("http://nsgreg.nga.mil/genc/view?v=122851&amp;gencs=T&amp;end_month=12&amp;end_day=31&amp;end_year=2014","Northern")</f>
        <v>Northern</v>
      </c>
      <c r="G5193" s="28" t="str">
        <f>HYPERLINK("http://api.nsgreg.nga.mil/geo-division/GENC/6/ed3/ZM-05","as:GENC:6:ed3:ZM-05")</f>
        <v>as:GENC:6:ed3:ZM-05</v>
      </c>
    </row>
    <row r="5194" spans="1:7" x14ac:dyDescent="0.2">
      <c r="A5194" s="85"/>
      <c r="B5194" s="25" t="s">
        <v>11968</v>
      </c>
      <c r="C5194" s="25" t="s">
        <v>11969</v>
      </c>
      <c r="D5194" s="25" t="s">
        <v>1719</v>
      </c>
      <c r="E5194" s="26" t="b">
        <v>1</v>
      </c>
      <c r="F5194" s="27" t="str">
        <f>HYPERLINK("http://nsgreg.nga.mil/genc/view?v=122852&amp;gencs=T&amp;end_month=12&amp;end_day=31&amp;end_year=2014","North-Western")</f>
        <v>North-Western</v>
      </c>
      <c r="G5194" s="28" t="str">
        <f>HYPERLINK("http://api.nsgreg.nga.mil/geo-division/GENC/6/ed3/ZM-06","as:GENC:6:ed3:ZM-06")</f>
        <v>as:GENC:6:ed3:ZM-06</v>
      </c>
    </row>
    <row r="5195" spans="1:7" x14ac:dyDescent="0.2">
      <c r="A5195" s="85"/>
      <c r="B5195" s="25" t="s">
        <v>11971</v>
      </c>
      <c r="C5195" s="25" t="s">
        <v>2736</v>
      </c>
      <c r="D5195" s="25" t="s">
        <v>1719</v>
      </c>
      <c r="E5195" s="26" t="b">
        <v>1</v>
      </c>
      <c r="F5195" s="27" t="str">
        <f>HYPERLINK("http://nsgreg.nga.mil/genc/view?v=122853&amp;gencs=T&amp;end_month=12&amp;end_day=31&amp;end_year=2014","Southern")</f>
        <v>Southern</v>
      </c>
      <c r="G5195" s="28" t="str">
        <f>HYPERLINK("http://api.nsgreg.nga.mil/geo-division/GENC/6/ed3/ZM-07","as:GENC:6:ed3:ZM-07")</f>
        <v>as:GENC:6:ed3:ZM-07</v>
      </c>
    </row>
    <row r="5196" spans="1:7" x14ac:dyDescent="0.2">
      <c r="A5196" s="86"/>
      <c r="B5196" s="29" t="s">
        <v>11972</v>
      </c>
      <c r="C5196" s="29" t="s">
        <v>4197</v>
      </c>
      <c r="D5196" s="29" t="s">
        <v>1719</v>
      </c>
      <c r="E5196" s="30" t="b">
        <v>1</v>
      </c>
      <c r="F5196" s="31" t="str">
        <f>HYPERLINK("http://nsgreg.nga.mil/genc/view?v=122847&amp;gencs=T&amp;end_month=12&amp;end_day=31&amp;end_year=2014","Western")</f>
        <v>Western</v>
      </c>
      <c r="G5196" s="32" t="str">
        <f>HYPERLINK("http://api.nsgreg.nga.mil/geo-division/GENC/6/ed3/ZM-01","as:GENC:6:ed3:ZM-01")</f>
        <v>as:GENC:6:ed3:ZM-01</v>
      </c>
    </row>
    <row r="5197" spans="1:7" x14ac:dyDescent="0.2">
      <c r="A5197" s="84" t="str">
        <f>HYPERLINK("[#]Codes_for_GE_Names!A283:I283","ZIMBABWE")</f>
        <v>ZIMBABWE</v>
      </c>
      <c r="B5197" s="33" t="s">
        <v>11973</v>
      </c>
      <c r="C5197" s="33" t="s">
        <v>11974</v>
      </c>
      <c r="D5197" s="33" t="s">
        <v>1719</v>
      </c>
      <c r="E5197" s="34" t="b">
        <v>1</v>
      </c>
      <c r="F5197" s="35" t="str">
        <f>HYPERLINK("http://nsgreg.nga.mil/genc/view?v=122857&amp;gencs=T&amp;end_month=12&amp;end_day=31&amp;end_year=2014","Bulawayo")</f>
        <v>Bulawayo</v>
      </c>
      <c r="G5197" s="36" t="str">
        <f>HYPERLINK("http://api.nsgreg.nga.mil/geo-division/GENC/6/ed3/ZW-BU","as:GENC:6:ed3:ZW-BU")</f>
        <v>as:GENC:6:ed3:ZW-BU</v>
      </c>
    </row>
    <row r="5198" spans="1:7" x14ac:dyDescent="0.2">
      <c r="A5198" s="85"/>
      <c r="B5198" s="25" t="s">
        <v>11975</v>
      </c>
      <c r="C5198" s="25" t="s">
        <v>11976</v>
      </c>
      <c r="D5198" s="25" t="s">
        <v>1719</v>
      </c>
      <c r="E5198" s="26" t="b">
        <v>1</v>
      </c>
      <c r="F5198" s="27" t="str">
        <f>HYPERLINK("http://nsgreg.nga.mil/genc/view?v=122858&amp;gencs=T&amp;end_month=12&amp;end_day=31&amp;end_year=2014","Harare")</f>
        <v>Harare</v>
      </c>
      <c r="G5198" s="28" t="str">
        <f>HYPERLINK("http://api.nsgreg.nga.mil/geo-division/GENC/6/ed3/ZW-HA","as:GENC:6:ed3:ZW-HA")</f>
        <v>as:GENC:6:ed3:ZW-HA</v>
      </c>
    </row>
    <row r="5199" spans="1:7" x14ac:dyDescent="0.2">
      <c r="A5199" s="85"/>
      <c r="B5199" s="25" t="s">
        <v>11977</v>
      </c>
      <c r="C5199" s="25" t="s">
        <v>11978</v>
      </c>
      <c r="D5199" s="25" t="s">
        <v>1719</v>
      </c>
      <c r="E5199" s="26" t="b">
        <v>1</v>
      </c>
      <c r="F5199" s="27" t="str">
        <f>HYPERLINK("http://nsgreg.nga.mil/genc/view?v=122859&amp;gencs=T&amp;end_month=12&amp;end_day=31&amp;end_year=2014","Manicaland")</f>
        <v>Manicaland</v>
      </c>
      <c r="G5199" s="28" t="str">
        <f>HYPERLINK("http://api.nsgreg.nga.mil/geo-division/GENC/6/ed3/ZW-MA","as:GENC:6:ed3:ZW-MA")</f>
        <v>as:GENC:6:ed3:ZW-MA</v>
      </c>
    </row>
    <row r="5200" spans="1:7" x14ac:dyDescent="0.2">
      <c r="A5200" s="85"/>
      <c r="B5200" s="25" t="s">
        <v>11979</v>
      </c>
      <c r="C5200" s="25" t="s">
        <v>11980</v>
      </c>
      <c r="D5200" s="25" t="s">
        <v>1719</v>
      </c>
      <c r="E5200" s="26" t="b">
        <v>1</v>
      </c>
      <c r="F5200" s="27" t="str">
        <f>HYPERLINK("http://nsgreg.nga.mil/genc/view?v=122860&amp;gencs=T&amp;end_month=12&amp;end_day=31&amp;end_year=2014","Mashonaland Central")</f>
        <v>Mashonaland Central</v>
      </c>
      <c r="G5200" s="28" t="str">
        <f>HYPERLINK("http://api.nsgreg.nga.mil/geo-division/GENC/6/ed3/ZW-MC","as:GENC:6:ed3:ZW-MC")</f>
        <v>as:GENC:6:ed3:ZW-MC</v>
      </c>
    </row>
    <row r="5201" spans="1:7" x14ac:dyDescent="0.2">
      <c r="A5201" s="85"/>
      <c r="B5201" s="25" t="s">
        <v>11981</v>
      </c>
      <c r="C5201" s="25" t="s">
        <v>11982</v>
      </c>
      <c r="D5201" s="25" t="s">
        <v>1719</v>
      </c>
      <c r="E5201" s="26" t="b">
        <v>1</v>
      </c>
      <c r="F5201" s="27" t="str">
        <f>HYPERLINK("http://nsgreg.nga.mil/genc/view?v=122861&amp;gencs=T&amp;end_month=12&amp;end_day=31&amp;end_year=2014","Mashonaland East")</f>
        <v>Mashonaland East</v>
      </c>
      <c r="G5201" s="28" t="str">
        <f>HYPERLINK("http://api.nsgreg.nga.mil/geo-division/GENC/6/ed3/ZW-ME","as:GENC:6:ed3:ZW-ME")</f>
        <v>as:GENC:6:ed3:ZW-ME</v>
      </c>
    </row>
    <row r="5202" spans="1:7" x14ac:dyDescent="0.2">
      <c r="A5202" s="85"/>
      <c r="B5202" s="25" t="s">
        <v>11983</v>
      </c>
      <c r="C5202" s="25" t="s">
        <v>11984</v>
      </c>
      <c r="D5202" s="25" t="s">
        <v>1719</v>
      </c>
      <c r="E5202" s="26" t="b">
        <v>1</v>
      </c>
      <c r="F5202" s="27" t="str">
        <f>HYPERLINK("http://nsgreg.nga.mil/genc/view?v=122866&amp;gencs=T&amp;end_month=12&amp;end_day=31&amp;end_year=2014","Mashonaland West")</f>
        <v>Mashonaland West</v>
      </c>
      <c r="G5202" s="28" t="str">
        <f>HYPERLINK("http://api.nsgreg.nga.mil/geo-division/GENC/6/ed3/ZW-MW","as:GENC:6:ed3:ZW-MW")</f>
        <v>as:GENC:6:ed3:ZW-MW</v>
      </c>
    </row>
    <row r="5203" spans="1:7" x14ac:dyDescent="0.2">
      <c r="A5203" s="85"/>
      <c r="B5203" s="25" t="s">
        <v>11985</v>
      </c>
      <c r="C5203" s="25" t="s">
        <v>11986</v>
      </c>
      <c r="D5203" s="25" t="s">
        <v>1719</v>
      </c>
      <c r="E5203" s="26" t="b">
        <v>1</v>
      </c>
      <c r="F5203" s="27" t="str">
        <f>HYPERLINK("http://nsgreg.nga.mil/genc/view?v=122865&amp;gencs=T&amp;end_month=12&amp;end_day=31&amp;end_year=2014","Masvingo")</f>
        <v>Masvingo</v>
      </c>
      <c r="G5203" s="28" t="str">
        <f>HYPERLINK("http://api.nsgreg.nga.mil/geo-division/GENC/6/ed3/ZW-MV","as:GENC:6:ed3:ZW-MV")</f>
        <v>as:GENC:6:ed3:ZW-MV</v>
      </c>
    </row>
    <row r="5204" spans="1:7" x14ac:dyDescent="0.2">
      <c r="A5204" s="85"/>
      <c r="B5204" s="25" t="s">
        <v>11987</v>
      </c>
      <c r="C5204" s="25" t="s">
        <v>11988</v>
      </c>
      <c r="D5204" s="25" t="s">
        <v>1719</v>
      </c>
      <c r="E5204" s="26" t="b">
        <v>1</v>
      </c>
      <c r="F5204" s="27" t="str">
        <f>HYPERLINK("http://nsgreg.nga.mil/genc/view?v=122863&amp;gencs=T&amp;end_month=12&amp;end_day=31&amp;end_year=2014","Matabeleland North")</f>
        <v>Matabeleland North</v>
      </c>
      <c r="G5204" s="28" t="str">
        <f>HYPERLINK("http://api.nsgreg.nga.mil/geo-division/GENC/6/ed3/ZW-MN","as:GENC:6:ed3:ZW-MN")</f>
        <v>as:GENC:6:ed3:ZW-MN</v>
      </c>
    </row>
    <row r="5205" spans="1:7" x14ac:dyDescent="0.2">
      <c r="A5205" s="85"/>
      <c r="B5205" s="25" t="s">
        <v>11989</v>
      </c>
      <c r="C5205" s="25" t="s">
        <v>11990</v>
      </c>
      <c r="D5205" s="25" t="s">
        <v>1719</v>
      </c>
      <c r="E5205" s="26" t="b">
        <v>1</v>
      </c>
      <c r="F5205" s="27" t="str">
        <f>HYPERLINK("http://nsgreg.nga.mil/genc/view?v=122864&amp;gencs=T&amp;end_month=12&amp;end_day=31&amp;end_year=2014","Matabeleland South")</f>
        <v>Matabeleland South</v>
      </c>
      <c r="G5205" s="28" t="str">
        <f>HYPERLINK("http://api.nsgreg.nga.mil/geo-division/GENC/6/ed3/ZW-MS","as:GENC:6:ed3:ZW-MS")</f>
        <v>as:GENC:6:ed3:ZW-MS</v>
      </c>
    </row>
    <row r="5206" spans="1:7" ht="13.5" thickBot="1" x14ac:dyDescent="0.25">
      <c r="A5206" s="88"/>
      <c r="B5206" s="43" t="s">
        <v>11991</v>
      </c>
      <c r="C5206" s="43" t="s">
        <v>11992</v>
      </c>
      <c r="D5206" s="43" t="s">
        <v>1719</v>
      </c>
      <c r="E5206" s="44" t="b">
        <v>1</v>
      </c>
      <c r="F5206" s="45" t="str">
        <f>HYPERLINK("http://nsgreg.nga.mil/genc/view?v=122862&amp;gencs=T&amp;end_month=12&amp;end_day=31&amp;end_year=2014","Midlands")</f>
        <v>Midlands</v>
      </c>
      <c r="G5206" s="46" t="str">
        <f>HYPERLINK("http://api.nsgreg.nga.mil/geo-division/GENC/6/ed3/ZW-MI","as:GENC:6:ed3:ZW-MI")</f>
        <v>as:GENC:6:ed3:ZW-MI</v>
      </c>
    </row>
  </sheetData>
  <autoFilter ref="A1:G1"/>
  <mergeCells count="200">
    <mergeCell ref="A5165:A5186"/>
    <mergeCell ref="A5187:A5196"/>
    <mergeCell ref="A5197:A5206"/>
    <mergeCell ref="A4987:A5037"/>
    <mergeCell ref="A5038:A5056"/>
    <mergeCell ref="A5057:A5070"/>
    <mergeCell ref="A5071:A5076"/>
    <mergeCell ref="A5077:A5101"/>
    <mergeCell ref="A5102:A5164"/>
    <mergeCell ref="A4587:A4592"/>
    <mergeCell ref="A4593:A4600"/>
    <mergeCell ref="A4601:A4716"/>
    <mergeCell ref="A4717:A4743"/>
    <mergeCell ref="A4744:A4750"/>
    <mergeCell ref="A4751:A4986"/>
    <mergeCell ref="A4444:A4456"/>
    <mergeCell ref="A4457:A4461"/>
    <mergeCell ref="A4462:A4466"/>
    <mergeCell ref="A4467:A4481"/>
    <mergeCell ref="A4482:A4505"/>
    <mergeCell ref="A4506:A4586"/>
    <mergeCell ref="A4270:A4295"/>
    <mergeCell ref="A4296:A4309"/>
    <mergeCell ref="A4310:A4331"/>
    <mergeCell ref="A4332:A4336"/>
    <mergeCell ref="A4337:A4366"/>
    <mergeCell ref="A4367:A4443"/>
    <mergeCell ref="A4114:A4182"/>
    <mergeCell ref="A4183:A4216"/>
    <mergeCell ref="A4217:A4234"/>
    <mergeCell ref="A4235:A4244"/>
    <mergeCell ref="A4245:A4248"/>
    <mergeCell ref="A4249:A4269"/>
    <mergeCell ref="A3848:A3855"/>
    <mergeCell ref="A3856:A4066"/>
    <mergeCell ref="A4067:A4076"/>
    <mergeCell ref="A4077:A4094"/>
    <mergeCell ref="A4095:A4103"/>
    <mergeCell ref="A4104:A4113"/>
    <mergeCell ref="A3617:A3629"/>
    <mergeCell ref="A3630:A3643"/>
    <mergeCell ref="A3644:A3813"/>
    <mergeCell ref="A3814:A3838"/>
    <mergeCell ref="A3839:A3842"/>
    <mergeCell ref="A3843:A3847"/>
    <mergeCell ref="A3563:A3578"/>
    <mergeCell ref="A3579:A3588"/>
    <mergeCell ref="A3589:A3594"/>
    <mergeCell ref="A3595:A3605"/>
    <mergeCell ref="A3606:A3614"/>
    <mergeCell ref="A3615:A3616"/>
    <mergeCell ref="A3403:A3422"/>
    <mergeCell ref="A3423:A3429"/>
    <mergeCell ref="A3430:A3471"/>
    <mergeCell ref="A3472:A3554"/>
    <mergeCell ref="A3555:A3559"/>
    <mergeCell ref="A3560:A3562"/>
    <mergeCell ref="A3172:A3184"/>
    <mergeCell ref="A3185:A3206"/>
    <mergeCell ref="A3207:A3224"/>
    <mergeCell ref="A3225:A3250"/>
    <mergeCell ref="A3251:A3386"/>
    <mergeCell ref="A3387:A3402"/>
    <mergeCell ref="A3073:A3080"/>
    <mergeCell ref="A3081:A3117"/>
    <mergeCell ref="A3118:A3136"/>
    <mergeCell ref="A3137:A3147"/>
    <mergeCell ref="A3148:A3155"/>
    <mergeCell ref="A3156:A3171"/>
    <mergeCell ref="A2989:A3002"/>
    <mergeCell ref="A3003:A3021"/>
    <mergeCell ref="A3022:A3033"/>
    <mergeCell ref="A3034:A3036"/>
    <mergeCell ref="A3037:A3055"/>
    <mergeCell ref="A3056:A3072"/>
    <mergeCell ref="A2842:A2863"/>
    <mergeCell ref="A2864:A2886"/>
    <mergeCell ref="A2887:A2889"/>
    <mergeCell ref="A2890:A2963"/>
    <mergeCell ref="A2964:A2974"/>
    <mergeCell ref="A2975:A2988"/>
    <mergeCell ref="A2722:A2734"/>
    <mergeCell ref="A2735:A2751"/>
    <mergeCell ref="A2752:A2783"/>
    <mergeCell ref="A2784:A2787"/>
    <mergeCell ref="A2788:A2824"/>
    <mergeCell ref="A2825:A2841"/>
    <mergeCell ref="A2544:A2574"/>
    <mergeCell ref="A2575:A2590"/>
    <mergeCell ref="A2591:A2618"/>
    <mergeCell ref="A2619:A2627"/>
    <mergeCell ref="A2628:A2695"/>
    <mergeCell ref="A2696:A2721"/>
    <mergeCell ref="A2361:A2382"/>
    <mergeCell ref="A2383:A2393"/>
    <mergeCell ref="A2394:A2463"/>
    <mergeCell ref="A2464:A2466"/>
    <mergeCell ref="A2467:A2537"/>
    <mergeCell ref="A2538:A2543"/>
    <mergeCell ref="A2182:A2190"/>
    <mergeCell ref="A2191:A2208"/>
    <mergeCell ref="A2209:A2327"/>
    <mergeCell ref="A2328:A2335"/>
    <mergeCell ref="A2336:A2345"/>
    <mergeCell ref="A2346:A2360"/>
    <mergeCell ref="A2047:A2063"/>
    <mergeCell ref="A2064:A2110"/>
    <mergeCell ref="A2111:A2121"/>
    <mergeCell ref="A2122:A2138"/>
    <mergeCell ref="A2139:A2175"/>
    <mergeCell ref="A2176:A2181"/>
    <mergeCell ref="A1803:A1837"/>
    <mergeCell ref="A1838:A1843"/>
    <mergeCell ref="A1844:A1973"/>
    <mergeCell ref="A1974:A1987"/>
    <mergeCell ref="A1988:A2034"/>
    <mergeCell ref="A2035:A2046"/>
    <mergeCell ref="A1625:A1667"/>
    <mergeCell ref="A1668:A1676"/>
    <mergeCell ref="A1677:A1712"/>
    <mergeCell ref="A1713:A1753"/>
    <mergeCell ref="A1754:A1784"/>
    <mergeCell ref="A1785:A1802"/>
    <mergeCell ref="A1512:A1533"/>
    <mergeCell ref="A1534:A1574"/>
    <mergeCell ref="A1575:A1586"/>
    <mergeCell ref="A1587:A1596"/>
    <mergeCell ref="A1597:A1606"/>
    <mergeCell ref="A1607:A1624"/>
    <mergeCell ref="A1398:A1409"/>
    <mergeCell ref="A1410:A1425"/>
    <mergeCell ref="A1426:A1435"/>
    <mergeCell ref="A1436:A1500"/>
    <mergeCell ref="A1501:A1504"/>
    <mergeCell ref="A1505:A1511"/>
    <mergeCell ref="A1216:A1226"/>
    <mergeCell ref="A1227:A1245"/>
    <mergeCell ref="A1246:A1264"/>
    <mergeCell ref="A1265:A1382"/>
    <mergeCell ref="A1383:A1391"/>
    <mergeCell ref="A1392:A1397"/>
    <mergeCell ref="A1121:A1144"/>
    <mergeCell ref="A1145:A1171"/>
    <mergeCell ref="A1172:A1185"/>
    <mergeCell ref="A1186:A1194"/>
    <mergeCell ref="A1195:A1200"/>
    <mergeCell ref="A1201:A1215"/>
    <mergeCell ref="A947:A952"/>
    <mergeCell ref="A953:A1057"/>
    <mergeCell ref="A1058:A1062"/>
    <mergeCell ref="A1063:A1068"/>
    <mergeCell ref="A1069:A1078"/>
    <mergeCell ref="A1079:A1120"/>
    <mergeCell ref="A866:A877"/>
    <mergeCell ref="A878:A888"/>
    <mergeCell ref="A889:A895"/>
    <mergeCell ref="A896:A909"/>
    <mergeCell ref="A910:A930"/>
    <mergeCell ref="A931:A946"/>
    <mergeCell ref="A744:A760"/>
    <mergeCell ref="A761:A783"/>
    <mergeCell ref="A784:A798"/>
    <mergeCell ref="A799:A829"/>
    <mergeCell ref="A830:A862"/>
    <mergeCell ref="A863:A865"/>
    <mergeCell ref="A640:A654"/>
    <mergeCell ref="A655:A671"/>
    <mergeCell ref="A672:A695"/>
    <mergeCell ref="A696:A720"/>
    <mergeCell ref="A721:A730"/>
    <mergeCell ref="A731:A743"/>
    <mergeCell ref="A494:A506"/>
    <mergeCell ref="A507:A522"/>
    <mergeCell ref="A523:A549"/>
    <mergeCell ref="A550:A553"/>
    <mergeCell ref="A554:A581"/>
    <mergeCell ref="A582:A639"/>
    <mergeCell ref="A433:A438"/>
    <mergeCell ref="A439:A450"/>
    <mergeCell ref="A451:A461"/>
    <mergeCell ref="A462:A481"/>
    <mergeCell ref="A482:A490"/>
    <mergeCell ref="A491:A493"/>
    <mergeCell ref="A295:A325"/>
    <mergeCell ref="A326:A330"/>
    <mergeCell ref="A331:A401"/>
    <mergeCell ref="A402:A412"/>
    <mergeCell ref="A413:A419"/>
    <mergeCell ref="A420:A432"/>
    <mergeCell ref="A157:A164"/>
    <mergeCell ref="A165:A188"/>
    <mergeCell ref="A189:A199"/>
    <mergeCell ref="A200:A207"/>
    <mergeCell ref="A208:A216"/>
    <mergeCell ref="A217:A294"/>
    <mergeCell ref="A2:A35"/>
    <mergeCell ref="A36:A83"/>
    <mergeCell ref="A84:A131"/>
    <mergeCell ref="A132:A138"/>
    <mergeCell ref="A139:A15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E5505"/>
  <sheetViews>
    <sheetView topLeftCell="B1" workbookViewId="0">
      <pane ySplit="1" topLeftCell="A2" activePane="bottomLeft" state="frozen"/>
      <selection activeCell="B1" sqref="B1"/>
      <selection pane="bottomLeft" activeCell="D38" sqref="D38"/>
    </sheetView>
  </sheetViews>
  <sheetFormatPr defaultRowHeight="12.75" x14ac:dyDescent="0.2"/>
  <cols>
    <col min="1" max="1" width="0" hidden="1" customWidth="1"/>
    <col min="2" max="2" width="25.28515625" customWidth="1"/>
    <col min="3" max="3" width="11.42578125" bestFit="1" customWidth="1"/>
    <col min="4" max="4" width="28.5703125" customWidth="1"/>
    <col min="5" max="5" width="30.28515625" bestFit="1" customWidth="1"/>
  </cols>
  <sheetData>
    <row r="1" spans="1:5" ht="26.25" thickBot="1" x14ac:dyDescent="0.25">
      <c r="A1" s="1" t="s">
        <v>13954</v>
      </c>
      <c r="B1" s="13" t="s">
        <v>1713</v>
      </c>
      <c r="C1" s="14" t="s">
        <v>1714</v>
      </c>
      <c r="D1" s="15" t="s">
        <v>1715</v>
      </c>
      <c r="E1" s="15" t="s">
        <v>1716</v>
      </c>
    </row>
    <row r="2" spans="1:5" x14ac:dyDescent="0.2">
      <c r="A2">
        <v>2</v>
      </c>
      <c r="B2" t="s">
        <v>500</v>
      </c>
      <c r="C2" t="s">
        <v>1717</v>
      </c>
      <c r="D2" t="s">
        <v>1718</v>
      </c>
      <c r="E2" t="s">
        <v>1719</v>
      </c>
    </row>
    <row r="3" spans="1:5" x14ac:dyDescent="0.2">
      <c r="A3">
        <v>3</v>
      </c>
      <c r="B3" t="s">
        <v>500</v>
      </c>
      <c r="C3" t="s">
        <v>1720</v>
      </c>
      <c r="D3" t="s">
        <v>1721</v>
      </c>
      <c r="E3" t="s">
        <v>1719</v>
      </c>
    </row>
    <row r="4" spans="1:5" x14ac:dyDescent="0.2">
      <c r="A4">
        <v>4</v>
      </c>
      <c r="B4" t="s">
        <v>500</v>
      </c>
      <c r="C4" t="s">
        <v>1722</v>
      </c>
      <c r="D4" t="s">
        <v>1723</v>
      </c>
      <c r="E4" t="s">
        <v>1719</v>
      </c>
    </row>
    <row r="5" spans="1:5" x14ac:dyDescent="0.2">
      <c r="A5">
        <v>5</v>
      </c>
      <c r="B5" t="s">
        <v>500</v>
      </c>
      <c r="C5" t="s">
        <v>1724</v>
      </c>
      <c r="D5" t="s">
        <v>1725</v>
      </c>
      <c r="E5" t="s">
        <v>1719</v>
      </c>
    </row>
    <row r="6" spans="1:5" x14ac:dyDescent="0.2">
      <c r="A6">
        <v>6</v>
      </c>
      <c r="B6" t="s">
        <v>500</v>
      </c>
      <c r="C6" t="s">
        <v>1726</v>
      </c>
      <c r="D6" t="s">
        <v>1727</v>
      </c>
      <c r="E6" t="s">
        <v>1719</v>
      </c>
    </row>
    <row r="7" spans="1:5" x14ac:dyDescent="0.2">
      <c r="A7">
        <v>7</v>
      </c>
      <c r="B7" t="s">
        <v>500</v>
      </c>
      <c r="C7" t="s">
        <v>1728</v>
      </c>
      <c r="D7" t="s">
        <v>1729</v>
      </c>
      <c r="E7" t="s">
        <v>1719</v>
      </c>
    </row>
    <row r="8" spans="1:5" x14ac:dyDescent="0.2">
      <c r="A8">
        <v>8</v>
      </c>
      <c r="B8" t="s">
        <v>500</v>
      </c>
      <c r="C8" t="s">
        <v>1730</v>
      </c>
      <c r="D8" t="s">
        <v>1731</v>
      </c>
      <c r="E8" t="s">
        <v>1719</v>
      </c>
    </row>
    <row r="9" spans="1:5" x14ac:dyDescent="0.2">
      <c r="A9">
        <v>9</v>
      </c>
      <c r="B9" t="s">
        <v>500</v>
      </c>
      <c r="C9" t="s">
        <v>1732</v>
      </c>
      <c r="D9" t="s">
        <v>1733</v>
      </c>
      <c r="E9" t="s">
        <v>1719</v>
      </c>
    </row>
    <row r="10" spans="1:5" x14ac:dyDescent="0.2">
      <c r="A10">
        <v>10</v>
      </c>
      <c r="B10" t="s">
        <v>500</v>
      </c>
      <c r="C10" t="s">
        <v>1734</v>
      </c>
      <c r="D10" t="s">
        <v>1735</v>
      </c>
      <c r="E10" t="s">
        <v>1719</v>
      </c>
    </row>
    <row r="11" spans="1:5" x14ac:dyDescent="0.2">
      <c r="A11">
        <v>11</v>
      </c>
      <c r="B11" t="s">
        <v>500</v>
      </c>
      <c r="C11" t="s">
        <v>1736</v>
      </c>
      <c r="D11" t="s">
        <v>1737</v>
      </c>
      <c r="E11" t="s">
        <v>1719</v>
      </c>
    </row>
    <row r="12" spans="1:5" x14ac:dyDescent="0.2">
      <c r="A12">
        <v>12</v>
      </c>
      <c r="B12" t="s">
        <v>500</v>
      </c>
      <c r="C12" t="s">
        <v>1738</v>
      </c>
      <c r="D12" t="s">
        <v>1739</v>
      </c>
      <c r="E12" t="s">
        <v>1719</v>
      </c>
    </row>
    <row r="13" spans="1:5" x14ac:dyDescent="0.2">
      <c r="A13">
        <v>13</v>
      </c>
      <c r="B13" t="s">
        <v>500</v>
      </c>
      <c r="C13" t="s">
        <v>1740</v>
      </c>
      <c r="D13" t="s">
        <v>1741</v>
      </c>
      <c r="E13" t="s">
        <v>1719</v>
      </c>
    </row>
    <row r="14" spans="1:5" x14ac:dyDescent="0.2">
      <c r="A14">
        <v>14</v>
      </c>
      <c r="B14" t="s">
        <v>500</v>
      </c>
      <c r="C14" t="s">
        <v>1742</v>
      </c>
      <c r="D14" t="s">
        <v>1743</v>
      </c>
      <c r="E14" t="s">
        <v>1719</v>
      </c>
    </row>
    <row r="15" spans="1:5" x14ac:dyDescent="0.2">
      <c r="A15">
        <v>15</v>
      </c>
      <c r="B15" t="s">
        <v>500</v>
      </c>
      <c r="C15" t="s">
        <v>1744</v>
      </c>
      <c r="D15" t="s">
        <v>1745</v>
      </c>
      <c r="E15" t="s">
        <v>1719</v>
      </c>
    </row>
    <row r="16" spans="1:5" x14ac:dyDescent="0.2">
      <c r="A16">
        <v>16</v>
      </c>
      <c r="B16" t="s">
        <v>500</v>
      </c>
      <c r="C16" t="s">
        <v>1746</v>
      </c>
      <c r="D16" t="s">
        <v>1747</v>
      </c>
      <c r="E16" t="s">
        <v>1719</v>
      </c>
    </row>
    <row r="17" spans="1:5" x14ac:dyDescent="0.2">
      <c r="A17">
        <v>17</v>
      </c>
      <c r="B17" t="s">
        <v>500</v>
      </c>
      <c r="C17" t="s">
        <v>1748</v>
      </c>
      <c r="D17" t="s">
        <v>1749</v>
      </c>
      <c r="E17" t="s">
        <v>1719</v>
      </c>
    </row>
    <row r="18" spans="1:5" x14ac:dyDescent="0.2">
      <c r="A18">
        <v>18</v>
      </c>
      <c r="B18" t="s">
        <v>500</v>
      </c>
      <c r="C18" t="s">
        <v>1750</v>
      </c>
      <c r="D18" t="s">
        <v>1751</v>
      </c>
      <c r="E18" t="s">
        <v>1719</v>
      </c>
    </row>
    <row r="19" spans="1:5" x14ac:dyDescent="0.2">
      <c r="A19">
        <v>19</v>
      </c>
      <c r="B19" t="s">
        <v>500</v>
      </c>
      <c r="C19" t="s">
        <v>1752</v>
      </c>
      <c r="D19" t="s">
        <v>1753</v>
      </c>
      <c r="E19" t="s">
        <v>1719</v>
      </c>
    </row>
    <row r="20" spans="1:5" x14ac:dyDescent="0.2">
      <c r="A20">
        <v>20</v>
      </c>
      <c r="B20" t="s">
        <v>500</v>
      </c>
      <c r="C20" t="s">
        <v>1754</v>
      </c>
      <c r="D20" t="s">
        <v>1755</v>
      </c>
      <c r="E20" t="s">
        <v>1719</v>
      </c>
    </row>
    <row r="21" spans="1:5" x14ac:dyDescent="0.2">
      <c r="A21">
        <v>21</v>
      </c>
      <c r="B21" t="s">
        <v>500</v>
      </c>
      <c r="C21" t="s">
        <v>1756</v>
      </c>
      <c r="D21" t="s">
        <v>1757</v>
      </c>
      <c r="E21" t="s">
        <v>1719</v>
      </c>
    </row>
    <row r="22" spans="1:5" x14ac:dyDescent="0.2">
      <c r="A22">
        <v>22</v>
      </c>
      <c r="B22" t="s">
        <v>500</v>
      </c>
      <c r="C22" t="s">
        <v>1758</v>
      </c>
      <c r="D22" t="s">
        <v>1759</v>
      </c>
      <c r="E22" t="s">
        <v>1719</v>
      </c>
    </row>
    <row r="23" spans="1:5" x14ac:dyDescent="0.2">
      <c r="A23">
        <v>23</v>
      </c>
      <c r="B23" t="s">
        <v>500</v>
      </c>
      <c r="C23" t="s">
        <v>1760</v>
      </c>
      <c r="D23" t="s">
        <v>1761</v>
      </c>
      <c r="E23" t="s">
        <v>1719</v>
      </c>
    </row>
    <row r="24" spans="1:5" x14ac:dyDescent="0.2">
      <c r="A24">
        <v>24</v>
      </c>
      <c r="B24" t="s">
        <v>500</v>
      </c>
      <c r="C24" t="s">
        <v>1762</v>
      </c>
      <c r="D24" t="s">
        <v>1763</v>
      </c>
      <c r="E24" t="s">
        <v>1719</v>
      </c>
    </row>
    <row r="25" spans="1:5" x14ac:dyDescent="0.2">
      <c r="A25">
        <v>25</v>
      </c>
      <c r="B25" t="s">
        <v>500</v>
      </c>
      <c r="C25" t="s">
        <v>1764</v>
      </c>
      <c r="D25" t="s">
        <v>1765</v>
      </c>
      <c r="E25" t="s">
        <v>1719</v>
      </c>
    </row>
    <row r="26" spans="1:5" x14ac:dyDescent="0.2">
      <c r="A26">
        <v>26</v>
      </c>
      <c r="B26" t="s">
        <v>500</v>
      </c>
      <c r="C26" t="s">
        <v>1766</v>
      </c>
      <c r="D26" t="s">
        <v>1767</v>
      </c>
      <c r="E26" t="s">
        <v>1719</v>
      </c>
    </row>
    <row r="27" spans="1:5" x14ac:dyDescent="0.2">
      <c r="A27">
        <v>27</v>
      </c>
      <c r="B27" t="s">
        <v>500</v>
      </c>
      <c r="C27" t="s">
        <v>1768</v>
      </c>
      <c r="D27" t="s">
        <v>1769</v>
      </c>
      <c r="E27" t="s">
        <v>1719</v>
      </c>
    </row>
    <row r="28" spans="1:5" x14ac:dyDescent="0.2">
      <c r="A28">
        <v>28</v>
      </c>
      <c r="B28" t="s">
        <v>500</v>
      </c>
      <c r="C28" t="s">
        <v>1770</v>
      </c>
      <c r="D28" t="s">
        <v>1771</v>
      </c>
      <c r="E28" t="s">
        <v>1719</v>
      </c>
    </row>
    <row r="29" spans="1:5" x14ac:dyDescent="0.2">
      <c r="A29">
        <v>29</v>
      </c>
      <c r="B29" t="s">
        <v>500</v>
      </c>
      <c r="C29" t="s">
        <v>1772</v>
      </c>
      <c r="D29" t="s">
        <v>1773</v>
      </c>
      <c r="E29" t="s">
        <v>1719</v>
      </c>
    </row>
    <row r="30" spans="1:5" x14ac:dyDescent="0.2">
      <c r="A30">
        <v>30</v>
      </c>
      <c r="B30" t="s">
        <v>500</v>
      </c>
      <c r="C30" t="s">
        <v>1774</v>
      </c>
      <c r="D30" t="s">
        <v>1775</v>
      </c>
      <c r="E30" t="s">
        <v>1719</v>
      </c>
    </row>
    <row r="31" spans="1:5" x14ac:dyDescent="0.2">
      <c r="A31">
        <v>31</v>
      </c>
      <c r="B31" t="s">
        <v>500</v>
      </c>
      <c r="C31" t="s">
        <v>1776</v>
      </c>
      <c r="D31" t="s">
        <v>1777</v>
      </c>
      <c r="E31" t="s">
        <v>1719</v>
      </c>
    </row>
    <row r="32" spans="1:5" x14ac:dyDescent="0.2">
      <c r="A32">
        <v>32</v>
      </c>
      <c r="B32" t="s">
        <v>500</v>
      </c>
      <c r="C32" t="s">
        <v>1778</v>
      </c>
      <c r="D32" t="s">
        <v>1779</v>
      </c>
      <c r="E32" t="s">
        <v>1719</v>
      </c>
    </row>
    <row r="33" spans="1:5" x14ac:dyDescent="0.2">
      <c r="A33">
        <v>33</v>
      </c>
      <c r="B33" t="s">
        <v>500</v>
      </c>
      <c r="C33" t="s">
        <v>1780</v>
      </c>
      <c r="D33" t="s">
        <v>1781</v>
      </c>
      <c r="E33" t="s">
        <v>1719</v>
      </c>
    </row>
    <row r="34" spans="1:5" x14ac:dyDescent="0.2">
      <c r="A34">
        <v>34</v>
      </c>
      <c r="B34" t="s">
        <v>500</v>
      </c>
      <c r="C34" t="s">
        <v>1782</v>
      </c>
      <c r="D34" t="s">
        <v>1783</v>
      </c>
      <c r="E34" t="s">
        <v>1719</v>
      </c>
    </row>
    <row r="35" spans="1:5" x14ac:dyDescent="0.2">
      <c r="A35">
        <v>35</v>
      </c>
      <c r="B35" t="s">
        <v>500</v>
      </c>
      <c r="C35" t="s">
        <v>1784</v>
      </c>
      <c r="D35" t="s">
        <v>1785</v>
      </c>
      <c r="E35" t="s">
        <v>1719</v>
      </c>
    </row>
    <row r="36" spans="1:5" x14ac:dyDescent="0.2">
      <c r="A36">
        <v>36</v>
      </c>
      <c r="B36" t="s">
        <v>505</v>
      </c>
      <c r="C36" t="s">
        <v>1786</v>
      </c>
      <c r="D36" t="s">
        <v>1787</v>
      </c>
      <c r="E36" t="s">
        <v>1788</v>
      </c>
    </row>
    <row r="37" spans="1:5" x14ac:dyDescent="0.2">
      <c r="A37">
        <v>37</v>
      </c>
      <c r="B37" t="s">
        <v>505</v>
      </c>
      <c r="C37" t="s">
        <v>1789</v>
      </c>
      <c r="D37" t="s">
        <v>1787</v>
      </c>
      <c r="E37" t="s">
        <v>1790</v>
      </c>
    </row>
    <row r="38" spans="1:5" x14ac:dyDescent="0.2">
      <c r="A38">
        <v>38</v>
      </c>
      <c r="B38" t="s">
        <v>505</v>
      </c>
      <c r="C38" t="s">
        <v>1791</v>
      </c>
      <c r="D38" t="s">
        <v>1792</v>
      </c>
      <c r="E38" t="s">
        <v>1790</v>
      </c>
    </row>
    <row r="39" spans="1:5" x14ac:dyDescent="0.2">
      <c r="A39">
        <v>39</v>
      </c>
      <c r="B39" t="s">
        <v>505</v>
      </c>
      <c r="C39" t="s">
        <v>1793</v>
      </c>
      <c r="D39" t="s">
        <v>1794</v>
      </c>
      <c r="E39" t="s">
        <v>1790</v>
      </c>
    </row>
    <row r="40" spans="1:5" x14ac:dyDescent="0.2">
      <c r="A40">
        <v>40</v>
      </c>
      <c r="B40" t="s">
        <v>505</v>
      </c>
      <c r="C40" t="s">
        <v>1795</v>
      </c>
      <c r="D40" t="s">
        <v>1796</v>
      </c>
      <c r="E40" t="s">
        <v>1790</v>
      </c>
    </row>
    <row r="41" spans="1:5" x14ac:dyDescent="0.2">
      <c r="A41">
        <v>41</v>
      </c>
      <c r="B41" t="s">
        <v>505</v>
      </c>
      <c r="C41" t="s">
        <v>1797</v>
      </c>
      <c r="D41" t="s">
        <v>1798</v>
      </c>
      <c r="E41" t="s">
        <v>1788</v>
      </c>
    </row>
    <row r="42" spans="1:5" x14ac:dyDescent="0.2">
      <c r="A42">
        <v>42</v>
      </c>
      <c r="B42" t="s">
        <v>505</v>
      </c>
      <c r="C42" t="s">
        <v>1799</v>
      </c>
      <c r="D42" t="s">
        <v>1798</v>
      </c>
      <c r="E42" t="s">
        <v>1790</v>
      </c>
    </row>
    <row r="43" spans="1:5" x14ac:dyDescent="0.2">
      <c r="A43">
        <v>43</v>
      </c>
      <c r="B43" t="s">
        <v>505</v>
      </c>
      <c r="C43" t="s">
        <v>1800</v>
      </c>
      <c r="D43" t="s">
        <v>1801</v>
      </c>
      <c r="E43" t="s">
        <v>1788</v>
      </c>
    </row>
    <row r="44" spans="1:5" x14ac:dyDescent="0.2">
      <c r="A44">
        <v>44</v>
      </c>
      <c r="B44" t="s">
        <v>505</v>
      </c>
      <c r="C44" t="s">
        <v>1802</v>
      </c>
      <c r="D44" t="s">
        <v>1801</v>
      </c>
      <c r="E44" t="s">
        <v>1790</v>
      </c>
    </row>
    <row r="45" spans="1:5" x14ac:dyDescent="0.2">
      <c r="A45">
        <v>45</v>
      </c>
      <c r="B45" t="s">
        <v>505</v>
      </c>
      <c r="C45" t="s">
        <v>1803</v>
      </c>
      <c r="D45" t="s">
        <v>1804</v>
      </c>
      <c r="E45" t="s">
        <v>1788</v>
      </c>
    </row>
    <row r="46" spans="1:5" x14ac:dyDescent="0.2">
      <c r="A46">
        <v>46</v>
      </c>
      <c r="B46" t="s">
        <v>505</v>
      </c>
      <c r="C46" t="s">
        <v>1805</v>
      </c>
      <c r="D46" t="s">
        <v>1804</v>
      </c>
      <c r="E46" t="s">
        <v>1790</v>
      </c>
    </row>
    <row r="47" spans="1:5" x14ac:dyDescent="0.2">
      <c r="A47">
        <v>47</v>
      </c>
      <c r="B47" t="s">
        <v>505</v>
      </c>
      <c r="C47" t="s">
        <v>1806</v>
      </c>
      <c r="D47" t="s">
        <v>1807</v>
      </c>
      <c r="E47" t="s">
        <v>1788</v>
      </c>
    </row>
    <row r="48" spans="1:5" x14ac:dyDescent="0.2">
      <c r="A48">
        <v>48</v>
      </c>
      <c r="B48" t="s">
        <v>505</v>
      </c>
      <c r="C48" t="s">
        <v>1808</v>
      </c>
      <c r="D48" t="s">
        <v>1807</v>
      </c>
      <c r="E48" t="s">
        <v>1790</v>
      </c>
    </row>
    <row r="49" spans="1:5" x14ac:dyDescent="0.2">
      <c r="A49">
        <v>49</v>
      </c>
      <c r="B49" t="s">
        <v>505</v>
      </c>
      <c r="C49" t="s">
        <v>1809</v>
      </c>
      <c r="D49" t="s">
        <v>1810</v>
      </c>
      <c r="E49" t="s">
        <v>1788</v>
      </c>
    </row>
    <row r="50" spans="1:5" x14ac:dyDescent="0.2">
      <c r="A50">
        <v>50</v>
      </c>
      <c r="B50" t="s">
        <v>505</v>
      </c>
      <c r="C50" t="s">
        <v>1811</v>
      </c>
      <c r="D50" t="s">
        <v>1810</v>
      </c>
      <c r="E50" t="s">
        <v>1790</v>
      </c>
    </row>
    <row r="51" spans="1:5" x14ac:dyDescent="0.2">
      <c r="A51">
        <v>51</v>
      </c>
      <c r="B51" t="s">
        <v>505</v>
      </c>
      <c r="C51" t="s">
        <v>1812</v>
      </c>
      <c r="D51" t="s">
        <v>1813</v>
      </c>
      <c r="E51" t="s">
        <v>1790</v>
      </c>
    </row>
    <row r="52" spans="1:5" x14ac:dyDescent="0.2">
      <c r="A52">
        <v>52</v>
      </c>
      <c r="B52" t="s">
        <v>505</v>
      </c>
      <c r="C52" t="s">
        <v>1814</v>
      </c>
      <c r="D52" t="s">
        <v>1815</v>
      </c>
      <c r="E52" t="s">
        <v>1790</v>
      </c>
    </row>
    <row r="53" spans="1:5" x14ac:dyDescent="0.2">
      <c r="A53">
        <v>53</v>
      </c>
      <c r="B53" t="s">
        <v>505</v>
      </c>
      <c r="C53" t="s">
        <v>1816</v>
      </c>
      <c r="D53" t="s">
        <v>1817</v>
      </c>
      <c r="E53" t="s">
        <v>1790</v>
      </c>
    </row>
    <row r="54" spans="1:5" x14ac:dyDescent="0.2">
      <c r="A54">
        <v>54</v>
      </c>
      <c r="B54" t="s">
        <v>505</v>
      </c>
      <c r="C54" t="s">
        <v>1818</v>
      </c>
      <c r="D54" t="s">
        <v>1819</v>
      </c>
      <c r="E54" t="s">
        <v>1790</v>
      </c>
    </row>
    <row r="55" spans="1:5" x14ac:dyDescent="0.2">
      <c r="A55">
        <v>55</v>
      </c>
      <c r="B55" t="s">
        <v>505</v>
      </c>
      <c r="C55" t="s">
        <v>1820</v>
      </c>
      <c r="D55" t="s">
        <v>1821</v>
      </c>
      <c r="E55" t="s">
        <v>1788</v>
      </c>
    </row>
    <row r="56" spans="1:5" x14ac:dyDescent="0.2">
      <c r="A56">
        <v>56</v>
      </c>
      <c r="B56" t="s">
        <v>505</v>
      </c>
      <c r="C56" t="s">
        <v>1822</v>
      </c>
      <c r="D56" t="s">
        <v>1821</v>
      </c>
      <c r="E56" t="s">
        <v>1790</v>
      </c>
    </row>
    <row r="57" spans="1:5" x14ac:dyDescent="0.2">
      <c r="A57">
        <v>57</v>
      </c>
      <c r="B57" t="s">
        <v>505</v>
      </c>
      <c r="C57" t="s">
        <v>1823</v>
      </c>
      <c r="D57" t="s">
        <v>1824</v>
      </c>
      <c r="E57" t="s">
        <v>1790</v>
      </c>
    </row>
    <row r="58" spans="1:5" x14ac:dyDescent="0.2">
      <c r="A58">
        <v>58</v>
      </c>
      <c r="B58" t="s">
        <v>505</v>
      </c>
      <c r="C58" t="s">
        <v>1825</v>
      </c>
      <c r="D58" t="s">
        <v>1826</v>
      </c>
      <c r="E58" t="s">
        <v>1788</v>
      </c>
    </row>
    <row r="59" spans="1:5" x14ac:dyDescent="0.2">
      <c r="A59">
        <v>59</v>
      </c>
      <c r="B59" t="s">
        <v>505</v>
      </c>
      <c r="C59" t="s">
        <v>1827</v>
      </c>
      <c r="D59" t="s">
        <v>1826</v>
      </c>
      <c r="E59" t="s">
        <v>1790</v>
      </c>
    </row>
    <row r="60" spans="1:5" x14ac:dyDescent="0.2">
      <c r="A60">
        <v>60</v>
      </c>
      <c r="B60" t="s">
        <v>505</v>
      </c>
      <c r="C60" t="s">
        <v>1828</v>
      </c>
      <c r="D60" t="s">
        <v>1829</v>
      </c>
      <c r="E60" t="s">
        <v>1790</v>
      </c>
    </row>
    <row r="61" spans="1:5" x14ac:dyDescent="0.2">
      <c r="A61">
        <v>61</v>
      </c>
      <c r="B61" t="s">
        <v>505</v>
      </c>
      <c r="C61" t="s">
        <v>1830</v>
      </c>
      <c r="D61" t="s">
        <v>1831</v>
      </c>
      <c r="E61" t="s">
        <v>1790</v>
      </c>
    </row>
    <row r="62" spans="1:5" x14ac:dyDescent="0.2">
      <c r="A62">
        <v>62</v>
      </c>
      <c r="B62" t="s">
        <v>505</v>
      </c>
      <c r="C62" t="s">
        <v>1832</v>
      </c>
      <c r="D62" t="s">
        <v>1833</v>
      </c>
      <c r="E62" t="s">
        <v>1788</v>
      </c>
    </row>
    <row r="63" spans="1:5" x14ac:dyDescent="0.2">
      <c r="A63">
        <v>63</v>
      </c>
      <c r="B63" t="s">
        <v>505</v>
      </c>
      <c r="C63" t="s">
        <v>1834</v>
      </c>
      <c r="D63" t="s">
        <v>1833</v>
      </c>
      <c r="E63" t="s">
        <v>1790</v>
      </c>
    </row>
    <row r="64" spans="1:5" x14ac:dyDescent="0.2">
      <c r="A64">
        <v>64</v>
      </c>
      <c r="B64" t="s">
        <v>505</v>
      </c>
      <c r="C64" t="s">
        <v>1835</v>
      </c>
      <c r="D64" t="s">
        <v>1836</v>
      </c>
      <c r="E64" t="s">
        <v>1790</v>
      </c>
    </row>
    <row r="65" spans="1:5" x14ac:dyDescent="0.2">
      <c r="A65">
        <v>65</v>
      </c>
      <c r="B65" t="s">
        <v>505</v>
      </c>
      <c r="C65" t="s">
        <v>1837</v>
      </c>
      <c r="D65" t="s">
        <v>1838</v>
      </c>
      <c r="E65" t="s">
        <v>1790</v>
      </c>
    </row>
    <row r="66" spans="1:5" x14ac:dyDescent="0.2">
      <c r="A66">
        <v>66</v>
      </c>
      <c r="B66" t="s">
        <v>505</v>
      </c>
      <c r="C66" t="s">
        <v>1839</v>
      </c>
      <c r="D66" t="s">
        <v>1840</v>
      </c>
      <c r="E66" t="s">
        <v>1790</v>
      </c>
    </row>
    <row r="67" spans="1:5" x14ac:dyDescent="0.2">
      <c r="A67">
        <v>67</v>
      </c>
      <c r="B67" t="s">
        <v>505</v>
      </c>
      <c r="C67" t="s">
        <v>1841</v>
      </c>
      <c r="D67" t="s">
        <v>1842</v>
      </c>
      <c r="E67" t="s">
        <v>1790</v>
      </c>
    </row>
    <row r="68" spans="1:5" x14ac:dyDescent="0.2">
      <c r="A68">
        <v>68</v>
      </c>
      <c r="B68" t="s">
        <v>505</v>
      </c>
      <c r="C68" t="s">
        <v>1843</v>
      </c>
      <c r="D68" t="s">
        <v>1844</v>
      </c>
      <c r="E68" t="s">
        <v>1790</v>
      </c>
    </row>
    <row r="69" spans="1:5" x14ac:dyDescent="0.2">
      <c r="A69">
        <v>69</v>
      </c>
      <c r="B69" t="s">
        <v>505</v>
      </c>
      <c r="C69" t="s">
        <v>1845</v>
      </c>
      <c r="D69" t="s">
        <v>1846</v>
      </c>
      <c r="E69" t="s">
        <v>1790</v>
      </c>
    </row>
    <row r="70" spans="1:5" x14ac:dyDescent="0.2">
      <c r="A70">
        <v>70</v>
      </c>
      <c r="B70" t="s">
        <v>505</v>
      </c>
      <c r="C70" t="s">
        <v>1847</v>
      </c>
      <c r="D70" t="s">
        <v>1848</v>
      </c>
      <c r="E70" t="s">
        <v>1790</v>
      </c>
    </row>
    <row r="71" spans="1:5" x14ac:dyDescent="0.2">
      <c r="A71">
        <v>71</v>
      </c>
      <c r="B71" t="s">
        <v>505</v>
      </c>
      <c r="C71" t="s">
        <v>1849</v>
      </c>
      <c r="D71" t="s">
        <v>1850</v>
      </c>
      <c r="E71" t="s">
        <v>1790</v>
      </c>
    </row>
    <row r="72" spans="1:5" x14ac:dyDescent="0.2">
      <c r="A72">
        <v>72</v>
      </c>
      <c r="B72" t="s">
        <v>505</v>
      </c>
      <c r="C72" t="s">
        <v>1851</v>
      </c>
      <c r="D72" t="s">
        <v>1852</v>
      </c>
      <c r="E72" t="s">
        <v>1790</v>
      </c>
    </row>
    <row r="73" spans="1:5" x14ac:dyDescent="0.2">
      <c r="A73">
        <v>73</v>
      </c>
      <c r="B73" t="s">
        <v>505</v>
      </c>
      <c r="C73" t="s">
        <v>1853</v>
      </c>
      <c r="D73" t="s">
        <v>1854</v>
      </c>
      <c r="E73" t="s">
        <v>1790</v>
      </c>
    </row>
    <row r="74" spans="1:5" x14ac:dyDescent="0.2">
      <c r="A74">
        <v>74</v>
      </c>
      <c r="B74" t="s">
        <v>505</v>
      </c>
      <c r="C74" t="s">
        <v>1855</v>
      </c>
      <c r="D74" t="s">
        <v>1856</v>
      </c>
      <c r="E74" t="s">
        <v>1790</v>
      </c>
    </row>
    <row r="75" spans="1:5" x14ac:dyDescent="0.2">
      <c r="A75">
        <v>75</v>
      </c>
      <c r="B75" t="s">
        <v>505</v>
      </c>
      <c r="C75" t="s">
        <v>1857</v>
      </c>
      <c r="D75" t="s">
        <v>1858</v>
      </c>
      <c r="E75" t="s">
        <v>1788</v>
      </c>
    </row>
    <row r="76" spans="1:5" x14ac:dyDescent="0.2">
      <c r="A76">
        <v>76</v>
      </c>
      <c r="B76" t="s">
        <v>505</v>
      </c>
      <c r="C76" t="s">
        <v>1859</v>
      </c>
      <c r="D76" t="s">
        <v>1858</v>
      </c>
      <c r="E76" t="s">
        <v>1790</v>
      </c>
    </row>
    <row r="77" spans="1:5" x14ac:dyDescent="0.2">
      <c r="A77">
        <v>77</v>
      </c>
      <c r="B77" t="s">
        <v>505</v>
      </c>
      <c r="C77" t="s">
        <v>1860</v>
      </c>
      <c r="D77" t="s">
        <v>1861</v>
      </c>
      <c r="E77" t="s">
        <v>1790</v>
      </c>
    </row>
    <row r="78" spans="1:5" x14ac:dyDescent="0.2">
      <c r="A78">
        <v>78</v>
      </c>
      <c r="B78" t="s">
        <v>505</v>
      </c>
      <c r="C78" t="s">
        <v>1862</v>
      </c>
      <c r="D78" t="s">
        <v>1863</v>
      </c>
      <c r="E78" t="s">
        <v>1790</v>
      </c>
    </row>
    <row r="79" spans="1:5" x14ac:dyDescent="0.2">
      <c r="A79">
        <v>79</v>
      </c>
      <c r="B79" t="s">
        <v>505</v>
      </c>
      <c r="C79" t="s">
        <v>1864</v>
      </c>
      <c r="D79" t="s">
        <v>1865</v>
      </c>
      <c r="E79" t="s">
        <v>1788</v>
      </c>
    </row>
    <row r="80" spans="1:5" x14ac:dyDescent="0.2">
      <c r="A80">
        <v>80</v>
      </c>
      <c r="B80" t="s">
        <v>505</v>
      </c>
      <c r="C80" t="s">
        <v>1866</v>
      </c>
      <c r="D80" t="s">
        <v>1865</v>
      </c>
      <c r="E80" t="s">
        <v>1790</v>
      </c>
    </row>
    <row r="81" spans="1:5" x14ac:dyDescent="0.2">
      <c r="A81">
        <v>81</v>
      </c>
      <c r="B81" t="s">
        <v>505</v>
      </c>
      <c r="C81" t="s">
        <v>1867</v>
      </c>
      <c r="D81" t="s">
        <v>1868</v>
      </c>
      <c r="E81" t="s">
        <v>1790</v>
      </c>
    </row>
    <row r="82" spans="1:5" x14ac:dyDescent="0.2">
      <c r="A82">
        <v>82</v>
      </c>
      <c r="B82" t="s">
        <v>505</v>
      </c>
      <c r="C82" t="s">
        <v>1869</v>
      </c>
      <c r="D82" t="s">
        <v>1870</v>
      </c>
      <c r="E82" t="s">
        <v>1788</v>
      </c>
    </row>
    <row r="83" spans="1:5" x14ac:dyDescent="0.2">
      <c r="A83">
        <v>83</v>
      </c>
      <c r="B83" t="s">
        <v>505</v>
      </c>
      <c r="C83" t="s">
        <v>1871</v>
      </c>
      <c r="D83" t="s">
        <v>1870</v>
      </c>
      <c r="E83" t="s">
        <v>1790</v>
      </c>
    </row>
    <row r="84" spans="1:5" x14ac:dyDescent="0.2">
      <c r="A84">
        <v>84</v>
      </c>
      <c r="B84" t="s">
        <v>507</v>
      </c>
      <c r="C84" t="s">
        <v>1872</v>
      </c>
      <c r="D84" t="s">
        <v>1873</v>
      </c>
      <c r="E84" t="s">
        <v>1719</v>
      </c>
    </row>
    <row r="85" spans="1:5" x14ac:dyDescent="0.2">
      <c r="A85">
        <v>85</v>
      </c>
      <c r="B85" t="s">
        <v>507</v>
      </c>
      <c r="C85" t="s">
        <v>1874</v>
      </c>
      <c r="D85" t="s">
        <v>1875</v>
      </c>
      <c r="E85" t="s">
        <v>1719</v>
      </c>
    </row>
    <row r="86" spans="1:5" x14ac:dyDescent="0.2">
      <c r="A86">
        <v>86</v>
      </c>
      <c r="B86" t="s">
        <v>507</v>
      </c>
      <c r="C86" t="s">
        <v>1876</v>
      </c>
      <c r="D86" t="s">
        <v>1877</v>
      </c>
      <c r="E86" t="s">
        <v>1719</v>
      </c>
    </row>
    <row r="87" spans="1:5" x14ac:dyDescent="0.2">
      <c r="A87">
        <v>87</v>
      </c>
      <c r="B87" t="s">
        <v>507</v>
      </c>
      <c r="C87" t="s">
        <v>1878</v>
      </c>
      <c r="D87" t="s">
        <v>1879</v>
      </c>
      <c r="E87" t="s">
        <v>1719</v>
      </c>
    </row>
    <row r="88" spans="1:5" x14ac:dyDescent="0.2">
      <c r="A88">
        <v>88</v>
      </c>
      <c r="B88" t="s">
        <v>507</v>
      </c>
      <c r="C88" t="s">
        <v>1880</v>
      </c>
      <c r="D88" t="s">
        <v>1881</v>
      </c>
      <c r="E88" t="s">
        <v>1719</v>
      </c>
    </row>
    <row r="89" spans="1:5" x14ac:dyDescent="0.2">
      <c r="A89">
        <v>89</v>
      </c>
      <c r="B89" t="s">
        <v>507</v>
      </c>
      <c r="C89" t="s">
        <v>1882</v>
      </c>
      <c r="D89" t="s">
        <v>1883</v>
      </c>
      <c r="E89" t="s">
        <v>1719</v>
      </c>
    </row>
    <row r="90" spans="1:5" x14ac:dyDescent="0.2">
      <c r="A90">
        <v>90</v>
      </c>
      <c r="B90" t="s">
        <v>507</v>
      </c>
      <c r="C90" t="s">
        <v>1884</v>
      </c>
      <c r="D90" t="s">
        <v>1885</v>
      </c>
      <c r="E90" t="s">
        <v>1719</v>
      </c>
    </row>
    <row r="91" spans="1:5" x14ac:dyDescent="0.2">
      <c r="A91">
        <v>91</v>
      </c>
      <c r="B91" t="s">
        <v>507</v>
      </c>
      <c r="C91" t="s">
        <v>1886</v>
      </c>
      <c r="D91" t="s">
        <v>1887</v>
      </c>
      <c r="E91" t="s">
        <v>1719</v>
      </c>
    </row>
    <row r="92" spans="1:5" x14ac:dyDescent="0.2">
      <c r="A92">
        <v>92</v>
      </c>
      <c r="B92" t="s">
        <v>507</v>
      </c>
      <c r="C92" t="s">
        <v>1888</v>
      </c>
      <c r="D92" t="s">
        <v>1889</v>
      </c>
      <c r="E92" t="s">
        <v>1719</v>
      </c>
    </row>
    <row r="93" spans="1:5" x14ac:dyDescent="0.2">
      <c r="A93">
        <v>93</v>
      </c>
      <c r="B93" t="s">
        <v>507</v>
      </c>
      <c r="C93" t="s">
        <v>1890</v>
      </c>
      <c r="D93" t="s">
        <v>1891</v>
      </c>
      <c r="E93" t="s">
        <v>1719</v>
      </c>
    </row>
    <row r="94" spans="1:5" x14ac:dyDescent="0.2">
      <c r="A94">
        <v>94</v>
      </c>
      <c r="B94" t="s">
        <v>507</v>
      </c>
      <c r="C94" t="s">
        <v>1892</v>
      </c>
      <c r="D94" t="s">
        <v>1893</v>
      </c>
      <c r="E94" t="s">
        <v>1719</v>
      </c>
    </row>
    <row r="95" spans="1:5" x14ac:dyDescent="0.2">
      <c r="A95">
        <v>95</v>
      </c>
      <c r="B95" t="s">
        <v>507</v>
      </c>
      <c r="C95" t="s">
        <v>1894</v>
      </c>
      <c r="D95" t="s">
        <v>1895</v>
      </c>
      <c r="E95" t="s">
        <v>1719</v>
      </c>
    </row>
    <row r="96" spans="1:5" x14ac:dyDescent="0.2">
      <c r="A96">
        <v>96</v>
      </c>
      <c r="B96" t="s">
        <v>507</v>
      </c>
      <c r="C96" t="s">
        <v>1896</v>
      </c>
      <c r="D96" t="s">
        <v>1897</v>
      </c>
      <c r="E96" t="s">
        <v>1719</v>
      </c>
    </row>
    <row r="97" spans="1:5" x14ac:dyDescent="0.2">
      <c r="A97">
        <v>97</v>
      </c>
      <c r="B97" t="s">
        <v>507</v>
      </c>
      <c r="C97" t="s">
        <v>1898</v>
      </c>
      <c r="D97" t="s">
        <v>1899</v>
      </c>
      <c r="E97" t="s">
        <v>1719</v>
      </c>
    </row>
    <row r="98" spans="1:5" x14ac:dyDescent="0.2">
      <c r="A98">
        <v>98</v>
      </c>
      <c r="B98" t="s">
        <v>507</v>
      </c>
      <c r="C98" t="s">
        <v>1900</v>
      </c>
      <c r="D98" t="s">
        <v>1901</v>
      </c>
      <c r="E98" t="s">
        <v>1719</v>
      </c>
    </row>
    <row r="99" spans="1:5" x14ac:dyDescent="0.2">
      <c r="A99">
        <v>99</v>
      </c>
      <c r="B99" t="s">
        <v>507</v>
      </c>
      <c r="C99" t="s">
        <v>1902</v>
      </c>
      <c r="D99" t="s">
        <v>1903</v>
      </c>
      <c r="E99" t="s">
        <v>1719</v>
      </c>
    </row>
    <row r="100" spans="1:5" x14ac:dyDescent="0.2">
      <c r="A100">
        <v>100</v>
      </c>
      <c r="B100" t="s">
        <v>507</v>
      </c>
      <c r="C100" t="s">
        <v>1904</v>
      </c>
      <c r="D100" t="s">
        <v>1905</v>
      </c>
      <c r="E100" t="s">
        <v>1719</v>
      </c>
    </row>
    <row r="101" spans="1:5" x14ac:dyDescent="0.2">
      <c r="A101">
        <v>101</v>
      </c>
      <c r="B101" t="s">
        <v>507</v>
      </c>
      <c r="C101" t="s">
        <v>1906</v>
      </c>
      <c r="D101" t="s">
        <v>1907</v>
      </c>
      <c r="E101" t="s">
        <v>1719</v>
      </c>
    </row>
    <row r="102" spans="1:5" x14ac:dyDescent="0.2">
      <c r="A102">
        <v>102</v>
      </c>
      <c r="B102" t="s">
        <v>507</v>
      </c>
      <c r="C102" t="s">
        <v>1908</v>
      </c>
      <c r="D102" t="s">
        <v>1909</v>
      </c>
      <c r="E102" t="s">
        <v>1719</v>
      </c>
    </row>
    <row r="103" spans="1:5" x14ac:dyDescent="0.2">
      <c r="A103">
        <v>103</v>
      </c>
      <c r="B103" t="s">
        <v>507</v>
      </c>
      <c r="C103" t="s">
        <v>1910</v>
      </c>
      <c r="D103" t="s">
        <v>1911</v>
      </c>
      <c r="E103" t="s">
        <v>1719</v>
      </c>
    </row>
    <row r="104" spans="1:5" x14ac:dyDescent="0.2">
      <c r="A104">
        <v>104</v>
      </c>
      <c r="B104" t="s">
        <v>507</v>
      </c>
      <c r="C104" t="s">
        <v>1912</v>
      </c>
      <c r="D104" t="s">
        <v>1913</v>
      </c>
      <c r="E104" t="s">
        <v>1719</v>
      </c>
    </row>
    <row r="105" spans="1:5" x14ac:dyDescent="0.2">
      <c r="A105">
        <v>105</v>
      </c>
      <c r="B105" t="s">
        <v>507</v>
      </c>
      <c r="C105" t="s">
        <v>1914</v>
      </c>
      <c r="D105" t="s">
        <v>1915</v>
      </c>
      <c r="E105" t="s">
        <v>1719</v>
      </c>
    </row>
    <row r="106" spans="1:5" x14ac:dyDescent="0.2">
      <c r="A106">
        <v>106</v>
      </c>
      <c r="B106" t="s">
        <v>507</v>
      </c>
      <c r="C106" t="s">
        <v>1916</v>
      </c>
      <c r="D106" t="s">
        <v>1917</v>
      </c>
      <c r="E106" t="s">
        <v>1719</v>
      </c>
    </row>
    <row r="107" spans="1:5" x14ac:dyDescent="0.2">
      <c r="A107">
        <v>107</v>
      </c>
      <c r="B107" t="s">
        <v>507</v>
      </c>
      <c r="C107" t="s">
        <v>1918</v>
      </c>
      <c r="D107" t="s">
        <v>1919</v>
      </c>
      <c r="E107" t="s">
        <v>1719</v>
      </c>
    </row>
    <row r="108" spans="1:5" x14ac:dyDescent="0.2">
      <c r="A108">
        <v>108</v>
      </c>
      <c r="B108" t="s">
        <v>507</v>
      </c>
      <c r="C108" t="s">
        <v>1920</v>
      </c>
      <c r="D108" t="s">
        <v>1921</v>
      </c>
      <c r="E108" t="s">
        <v>1719</v>
      </c>
    </row>
    <row r="109" spans="1:5" x14ac:dyDescent="0.2">
      <c r="A109">
        <v>109</v>
      </c>
      <c r="B109" t="s">
        <v>507</v>
      </c>
      <c r="C109" t="s">
        <v>1922</v>
      </c>
      <c r="D109" t="s">
        <v>1923</v>
      </c>
      <c r="E109" t="s">
        <v>1719</v>
      </c>
    </row>
    <row r="110" spans="1:5" x14ac:dyDescent="0.2">
      <c r="A110">
        <v>110</v>
      </c>
      <c r="B110" t="s">
        <v>507</v>
      </c>
      <c r="C110" t="s">
        <v>1924</v>
      </c>
      <c r="D110" t="s">
        <v>1925</v>
      </c>
      <c r="E110" t="s">
        <v>1719</v>
      </c>
    </row>
    <row r="111" spans="1:5" x14ac:dyDescent="0.2">
      <c r="A111">
        <v>111</v>
      </c>
      <c r="B111" t="s">
        <v>507</v>
      </c>
      <c r="C111" t="s">
        <v>1926</v>
      </c>
      <c r="D111" t="s">
        <v>1927</v>
      </c>
      <c r="E111" t="s">
        <v>1719</v>
      </c>
    </row>
    <row r="112" spans="1:5" x14ac:dyDescent="0.2">
      <c r="A112">
        <v>112</v>
      </c>
      <c r="B112" t="s">
        <v>507</v>
      </c>
      <c r="C112" t="s">
        <v>1928</v>
      </c>
      <c r="D112" t="s">
        <v>1929</v>
      </c>
      <c r="E112" t="s">
        <v>1719</v>
      </c>
    </row>
    <row r="113" spans="1:5" x14ac:dyDescent="0.2">
      <c r="A113">
        <v>113</v>
      </c>
      <c r="B113" t="s">
        <v>507</v>
      </c>
      <c r="C113" t="s">
        <v>1930</v>
      </c>
      <c r="D113" t="s">
        <v>1931</v>
      </c>
      <c r="E113" t="s">
        <v>1719</v>
      </c>
    </row>
    <row r="114" spans="1:5" x14ac:dyDescent="0.2">
      <c r="A114">
        <v>114</v>
      </c>
      <c r="B114" t="s">
        <v>507</v>
      </c>
      <c r="C114" t="s">
        <v>1932</v>
      </c>
      <c r="D114" t="s">
        <v>1933</v>
      </c>
      <c r="E114" t="s">
        <v>1719</v>
      </c>
    </row>
    <row r="115" spans="1:5" x14ac:dyDescent="0.2">
      <c r="A115">
        <v>115</v>
      </c>
      <c r="B115" t="s">
        <v>507</v>
      </c>
      <c r="C115" t="s">
        <v>1934</v>
      </c>
      <c r="D115" t="s">
        <v>1935</v>
      </c>
      <c r="E115" t="s">
        <v>1719</v>
      </c>
    </row>
    <row r="116" spans="1:5" x14ac:dyDescent="0.2">
      <c r="A116">
        <v>116</v>
      </c>
      <c r="B116" t="s">
        <v>507</v>
      </c>
      <c r="C116" t="s">
        <v>1936</v>
      </c>
      <c r="D116" t="s">
        <v>1937</v>
      </c>
      <c r="E116" t="s">
        <v>1719</v>
      </c>
    </row>
    <row r="117" spans="1:5" x14ac:dyDescent="0.2">
      <c r="A117">
        <v>117</v>
      </c>
      <c r="B117" t="s">
        <v>507</v>
      </c>
      <c r="C117" t="s">
        <v>1938</v>
      </c>
      <c r="D117" t="s">
        <v>1939</v>
      </c>
      <c r="E117" t="s">
        <v>1719</v>
      </c>
    </row>
    <row r="118" spans="1:5" x14ac:dyDescent="0.2">
      <c r="A118">
        <v>118</v>
      </c>
      <c r="B118" t="s">
        <v>507</v>
      </c>
      <c r="C118" t="s">
        <v>1940</v>
      </c>
      <c r="D118" t="s">
        <v>1941</v>
      </c>
      <c r="E118" t="s">
        <v>1719</v>
      </c>
    </row>
    <row r="119" spans="1:5" x14ac:dyDescent="0.2">
      <c r="A119">
        <v>119</v>
      </c>
      <c r="B119" t="s">
        <v>507</v>
      </c>
      <c r="C119" t="s">
        <v>1942</v>
      </c>
      <c r="D119" t="s">
        <v>1943</v>
      </c>
      <c r="E119" t="s">
        <v>1719</v>
      </c>
    </row>
    <row r="120" spans="1:5" x14ac:dyDescent="0.2">
      <c r="A120">
        <v>120</v>
      </c>
      <c r="B120" t="s">
        <v>507</v>
      </c>
      <c r="C120" t="s">
        <v>1944</v>
      </c>
      <c r="D120" t="s">
        <v>1945</v>
      </c>
      <c r="E120" t="s">
        <v>1719</v>
      </c>
    </row>
    <row r="121" spans="1:5" x14ac:dyDescent="0.2">
      <c r="A121">
        <v>121</v>
      </c>
      <c r="B121" t="s">
        <v>507</v>
      </c>
      <c r="C121" t="s">
        <v>1946</v>
      </c>
      <c r="D121" t="s">
        <v>1947</v>
      </c>
      <c r="E121" t="s">
        <v>1719</v>
      </c>
    </row>
    <row r="122" spans="1:5" x14ac:dyDescent="0.2">
      <c r="A122">
        <v>122</v>
      </c>
      <c r="B122" t="s">
        <v>507</v>
      </c>
      <c r="C122" t="s">
        <v>1948</v>
      </c>
      <c r="D122" t="s">
        <v>1949</v>
      </c>
      <c r="E122" t="s">
        <v>1719</v>
      </c>
    </row>
    <row r="123" spans="1:5" x14ac:dyDescent="0.2">
      <c r="A123">
        <v>123</v>
      </c>
      <c r="B123" t="s">
        <v>507</v>
      </c>
      <c r="C123" t="s">
        <v>1950</v>
      </c>
      <c r="D123" t="s">
        <v>1951</v>
      </c>
      <c r="E123" t="s">
        <v>1719</v>
      </c>
    </row>
    <row r="124" spans="1:5" x14ac:dyDescent="0.2">
      <c r="A124">
        <v>124</v>
      </c>
      <c r="B124" t="s">
        <v>507</v>
      </c>
      <c r="C124" t="s">
        <v>1952</v>
      </c>
      <c r="D124" t="s">
        <v>1953</v>
      </c>
      <c r="E124" t="s">
        <v>1719</v>
      </c>
    </row>
    <row r="125" spans="1:5" x14ac:dyDescent="0.2">
      <c r="A125">
        <v>125</v>
      </c>
      <c r="B125" t="s">
        <v>507</v>
      </c>
      <c r="C125" t="s">
        <v>1954</v>
      </c>
      <c r="D125" t="s">
        <v>1955</v>
      </c>
      <c r="E125" t="s">
        <v>1719</v>
      </c>
    </row>
    <row r="126" spans="1:5" x14ac:dyDescent="0.2">
      <c r="A126">
        <v>126</v>
      </c>
      <c r="B126" t="s">
        <v>507</v>
      </c>
      <c r="C126" t="s">
        <v>1956</v>
      </c>
      <c r="D126" t="s">
        <v>1957</v>
      </c>
      <c r="E126" t="s">
        <v>1719</v>
      </c>
    </row>
    <row r="127" spans="1:5" x14ac:dyDescent="0.2">
      <c r="A127">
        <v>127</v>
      </c>
      <c r="B127" t="s">
        <v>507</v>
      </c>
      <c r="C127" t="s">
        <v>1958</v>
      </c>
      <c r="D127" t="s">
        <v>1959</v>
      </c>
      <c r="E127" t="s">
        <v>1719</v>
      </c>
    </row>
    <row r="128" spans="1:5" x14ac:dyDescent="0.2">
      <c r="A128">
        <v>128</v>
      </c>
      <c r="B128" t="s">
        <v>507</v>
      </c>
      <c r="C128" t="s">
        <v>1960</v>
      </c>
      <c r="D128" t="s">
        <v>1961</v>
      </c>
      <c r="E128" t="s">
        <v>1719</v>
      </c>
    </row>
    <row r="129" spans="1:5" x14ac:dyDescent="0.2">
      <c r="A129">
        <v>129</v>
      </c>
      <c r="B129" t="s">
        <v>507</v>
      </c>
      <c r="C129" t="s">
        <v>1962</v>
      </c>
      <c r="D129" t="s">
        <v>1963</v>
      </c>
      <c r="E129" t="s">
        <v>1719</v>
      </c>
    </row>
    <row r="130" spans="1:5" x14ac:dyDescent="0.2">
      <c r="A130">
        <v>130</v>
      </c>
      <c r="B130" t="s">
        <v>507</v>
      </c>
      <c r="C130" t="s">
        <v>1964</v>
      </c>
      <c r="D130" t="s">
        <v>1965</v>
      </c>
      <c r="E130" t="s">
        <v>1719</v>
      </c>
    </row>
    <row r="131" spans="1:5" x14ac:dyDescent="0.2">
      <c r="A131">
        <v>131</v>
      </c>
      <c r="B131" t="s">
        <v>507</v>
      </c>
      <c r="C131" t="s">
        <v>1966</v>
      </c>
      <c r="D131" t="s">
        <v>1967</v>
      </c>
      <c r="E131" t="s">
        <v>1719</v>
      </c>
    </row>
    <row r="132" spans="1:5" x14ac:dyDescent="0.2">
      <c r="A132">
        <v>132</v>
      </c>
      <c r="B132" t="s">
        <v>511</v>
      </c>
      <c r="C132" t="s">
        <v>1968</v>
      </c>
      <c r="D132" t="s">
        <v>1969</v>
      </c>
      <c r="E132" t="s">
        <v>1970</v>
      </c>
    </row>
    <row r="133" spans="1:5" x14ac:dyDescent="0.2">
      <c r="A133">
        <v>133</v>
      </c>
      <c r="B133" t="s">
        <v>511</v>
      </c>
      <c r="C133" t="s">
        <v>1971</v>
      </c>
      <c r="D133" t="s">
        <v>1972</v>
      </c>
      <c r="E133" t="s">
        <v>1970</v>
      </c>
    </row>
    <row r="134" spans="1:5" x14ac:dyDescent="0.2">
      <c r="A134">
        <v>134</v>
      </c>
      <c r="B134" t="s">
        <v>511</v>
      </c>
      <c r="C134" t="s">
        <v>1973</v>
      </c>
      <c r="D134" t="s">
        <v>1974</v>
      </c>
      <c r="E134" t="s">
        <v>1970</v>
      </c>
    </row>
    <row r="135" spans="1:5" x14ac:dyDescent="0.2">
      <c r="A135">
        <v>135</v>
      </c>
      <c r="B135" t="s">
        <v>511</v>
      </c>
      <c r="C135" t="s">
        <v>1975</v>
      </c>
      <c r="D135" t="s">
        <v>1976</v>
      </c>
      <c r="E135" t="s">
        <v>1970</v>
      </c>
    </row>
    <row r="136" spans="1:5" x14ac:dyDescent="0.2">
      <c r="A136">
        <v>136</v>
      </c>
      <c r="B136" t="s">
        <v>511</v>
      </c>
      <c r="C136" t="s">
        <v>1977</v>
      </c>
      <c r="D136" t="s">
        <v>1978</v>
      </c>
      <c r="E136" t="s">
        <v>1970</v>
      </c>
    </row>
    <row r="137" spans="1:5" x14ac:dyDescent="0.2">
      <c r="A137">
        <v>137</v>
      </c>
      <c r="B137" t="s">
        <v>511</v>
      </c>
      <c r="C137" t="s">
        <v>1979</v>
      </c>
      <c r="D137" t="s">
        <v>1980</v>
      </c>
      <c r="E137" t="s">
        <v>1970</v>
      </c>
    </row>
    <row r="138" spans="1:5" x14ac:dyDescent="0.2">
      <c r="A138">
        <v>138</v>
      </c>
      <c r="B138" t="s">
        <v>511</v>
      </c>
      <c r="C138" t="s">
        <v>1981</v>
      </c>
      <c r="D138" t="s">
        <v>1982</v>
      </c>
      <c r="E138" t="s">
        <v>1970</v>
      </c>
    </row>
    <row r="139" spans="1:5" x14ac:dyDescent="0.2">
      <c r="A139">
        <v>139</v>
      </c>
      <c r="B139" t="s">
        <v>513</v>
      </c>
      <c r="C139" t="s">
        <v>1983</v>
      </c>
      <c r="D139" t="s">
        <v>1984</v>
      </c>
      <c r="E139" t="s">
        <v>1719</v>
      </c>
    </row>
    <row r="140" spans="1:5" x14ac:dyDescent="0.2">
      <c r="A140">
        <v>140</v>
      </c>
      <c r="B140" t="s">
        <v>513</v>
      </c>
      <c r="C140" t="s">
        <v>1985</v>
      </c>
      <c r="D140" t="s">
        <v>1986</v>
      </c>
      <c r="E140" t="s">
        <v>1719</v>
      </c>
    </row>
    <row r="141" spans="1:5" x14ac:dyDescent="0.2">
      <c r="A141">
        <v>141</v>
      </c>
      <c r="B141" t="s">
        <v>513</v>
      </c>
      <c r="C141" t="s">
        <v>1987</v>
      </c>
      <c r="D141" t="s">
        <v>1988</v>
      </c>
      <c r="E141" t="s">
        <v>1719</v>
      </c>
    </row>
    <row r="142" spans="1:5" x14ac:dyDescent="0.2">
      <c r="A142">
        <v>142</v>
      </c>
      <c r="B142" t="s">
        <v>513</v>
      </c>
      <c r="C142" t="s">
        <v>1989</v>
      </c>
      <c r="D142" t="s">
        <v>1990</v>
      </c>
      <c r="E142" t="s">
        <v>1719</v>
      </c>
    </row>
    <row r="143" spans="1:5" x14ac:dyDescent="0.2">
      <c r="A143">
        <v>143</v>
      </c>
      <c r="B143" t="s">
        <v>513</v>
      </c>
      <c r="C143" t="s">
        <v>1991</v>
      </c>
      <c r="D143" t="s">
        <v>1992</v>
      </c>
      <c r="E143" t="s">
        <v>1719</v>
      </c>
    </row>
    <row r="144" spans="1:5" x14ac:dyDescent="0.2">
      <c r="A144">
        <v>144</v>
      </c>
      <c r="B144" t="s">
        <v>513</v>
      </c>
      <c r="C144" t="s">
        <v>1993</v>
      </c>
      <c r="D144" t="s">
        <v>1994</v>
      </c>
      <c r="E144" t="s">
        <v>1719</v>
      </c>
    </row>
    <row r="145" spans="1:5" x14ac:dyDescent="0.2">
      <c r="A145">
        <v>145</v>
      </c>
      <c r="B145" t="s">
        <v>513</v>
      </c>
      <c r="C145" t="s">
        <v>1995</v>
      </c>
      <c r="D145" t="s">
        <v>1996</v>
      </c>
      <c r="E145" t="s">
        <v>1719</v>
      </c>
    </row>
    <row r="146" spans="1:5" x14ac:dyDescent="0.2">
      <c r="A146">
        <v>146</v>
      </c>
      <c r="B146" t="s">
        <v>513</v>
      </c>
      <c r="C146" t="s">
        <v>1997</v>
      </c>
      <c r="D146" t="s">
        <v>1998</v>
      </c>
      <c r="E146" t="s">
        <v>1719</v>
      </c>
    </row>
    <row r="147" spans="1:5" x14ac:dyDescent="0.2">
      <c r="A147">
        <v>147</v>
      </c>
      <c r="B147" t="s">
        <v>513</v>
      </c>
      <c r="C147" t="s">
        <v>1999</v>
      </c>
      <c r="D147" t="s">
        <v>2000</v>
      </c>
      <c r="E147" t="s">
        <v>1719</v>
      </c>
    </row>
    <row r="148" spans="1:5" x14ac:dyDescent="0.2">
      <c r="A148">
        <v>148</v>
      </c>
      <c r="B148" t="s">
        <v>513</v>
      </c>
      <c r="C148" t="s">
        <v>2001</v>
      </c>
      <c r="D148" t="s">
        <v>2002</v>
      </c>
      <c r="E148" t="s">
        <v>1719</v>
      </c>
    </row>
    <row r="149" spans="1:5" x14ac:dyDescent="0.2">
      <c r="A149">
        <v>149</v>
      </c>
      <c r="B149" t="s">
        <v>513</v>
      </c>
      <c r="C149" t="s">
        <v>2003</v>
      </c>
      <c r="D149" t="s">
        <v>2004</v>
      </c>
      <c r="E149" t="s">
        <v>1719</v>
      </c>
    </row>
    <row r="150" spans="1:5" x14ac:dyDescent="0.2">
      <c r="A150">
        <v>150</v>
      </c>
      <c r="B150" t="s">
        <v>513</v>
      </c>
      <c r="C150" t="s">
        <v>2005</v>
      </c>
      <c r="D150" t="s">
        <v>2006</v>
      </c>
      <c r="E150" t="s">
        <v>1719</v>
      </c>
    </row>
    <row r="151" spans="1:5" x14ac:dyDescent="0.2">
      <c r="A151">
        <v>151</v>
      </c>
      <c r="B151" t="s">
        <v>513</v>
      </c>
      <c r="C151" t="s">
        <v>2007</v>
      </c>
      <c r="D151" t="s">
        <v>2008</v>
      </c>
      <c r="E151" t="s">
        <v>1719</v>
      </c>
    </row>
    <row r="152" spans="1:5" x14ac:dyDescent="0.2">
      <c r="A152">
        <v>152</v>
      </c>
      <c r="B152" t="s">
        <v>513</v>
      </c>
      <c r="C152" t="s">
        <v>2009</v>
      </c>
      <c r="D152" t="s">
        <v>2010</v>
      </c>
      <c r="E152" t="s">
        <v>1719</v>
      </c>
    </row>
    <row r="153" spans="1:5" x14ac:dyDescent="0.2">
      <c r="A153">
        <v>153</v>
      </c>
      <c r="B153" t="s">
        <v>513</v>
      </c>
      <c r="C153" t="s">
        <v>2011</v>
      </c>
      <c r="D153" t="s">
        <v>2012</v>
      </c>
      <c r="E153" t="s">
        <v>1719</v>
      </c>
    </row>
    <row r="154" spans="1:5" x14ac:dyDescent="0.2">
      <c r="A154">
        <v>154</v>
      </c>
      <c r="B154" t="s">
        <v>513</v>
      </c>
      <c r="C154" t="s">
        <v>2013</v>
      </c>
      <c r="D154" t="s">
        <v>2014</v>
      </c>
      <c r="E154" t="s">
        <v>1719</v>
      </c>
    </row>
    <row r="155" spans="1:5" x14ac:dyDescent="0.2">
      <c r="A155">
        <v>155</v>
      </c>
      <c r="B155" t="s">
        <v>513</v>
      </c>
      <c r="C155" t="s">
        <v>2015</v>
      </c>
      <c r="D155" t="s">
        <v>2016</v>
      </c>
      <c r="E155" t="s">
        <v>1719</v>
      </c>
    </row>
    <row r="156" spans="1:5" x14ac:dyDescent="0.2">
      <c r="A156">
        <v>156</v>
      </c>
      <c r="B156" t="s">
        <v>513</v>
      </c>
      <c r="C156" t="s">
        <v>2017</v>
      </c>
      <c r="D156" t="s">
        <v>2018</v>
      </c>
      <c r="E156" t="s">
        <v>1719</v>
      </c>
    </row>
    <row r="157" spans="1:5" x14ac:dyDescent="0.2">
      <c r="A157">
        <v>157</v>
      </c>
      <c r="B157" t="s">
        <v>519</v>
      </c>
      <c r="C157" t="s">
        <v>2019</v>
      </c>
      <c r="D157" t="s">
        <v>2020</v>
      </c>
      <c r="E157" t="s">
        <v>2021</v>
      </c>
    </row>
    <row r="158" spans="1:5" x14ac:dyDescent="0.2">
      <c r="A158">
        <v>158</v>
      </c>
      <c r="B158" t="s">
        <v>519</v>
      </c>
      <c r="C158" t="s">
        <v>2022</v>
      </c>
      <c r="D158" t="s">
        <v>2023</v>
      </c>
      <c r="E158" t="s">
        <v>2021</v>
      </c>
    </row>
    <row r="159" spans="1:5" x14ac:dyDescent="0.2">
      <c r="A159">
        <v>159</v>
      </c>
      <c r="B159" t="s">
        <v>519</v>
      </c>
      <c r="C159" t="s">
        <v>2024</v>
      </c>
      <c r="D159" t="s">
        <v>2025</v>
      </c>
      <c r="E159" t="s">
        <v>1970</v>
      </c>
    </row>
    <row r="160" spans="1:5" x14ac:dyDescent="0.2">
      <c r="A160">
        <v>160</v>
      </c>
      <c r="B160" t="s">
        <v>519</v>
      </c>
      <c r="C160" t="s">
        <v>2026</v>
      </c>
      <c r="D160" t="s">
        <v>2027</v>
      </c>
      <c r="E160" t="s">
        <v>1970</v>
      </c>
    </row>
    <row r="161" spans="1:5" x14ac:dyDescent="0.2">
      <c r="A161">
        <v>161</v>
      </c>
      <c r="B161" t="s">
        <v>519</v>
      </c>
      <c r="C161" t="s">
        <v>2028</v>
      </c>
      <c r="D161" t="s">
        <v>2029</v>
      </c>
      <c r="E161" t="s">
        <v>1970</v>
      </c>
    </row>
    <row r="162" spans="1:5" x14ac:dyDescent="0.2">
      <c r="A162">
        <v>162</v>
      </c>
      <c r="B162" t="s">
        <v>519</v>
      </c>
      <c r="C162" t="s">
        <v>2030</v>
      </c>
      <c r="D162" t="s">
        <v>2031</v>
      </c>
      <c r="E162" t="s">
        <v>1970</v>
      </c>
    </row>
    <row r="163" spans="1:5" x14ac:dyDescent="0.2">
      <c r="A163">
        <v>163</v>
      </c>
      <c r="B163" t="s">
        <v>519</v>
      </c>
      <c r="C163" t="s">
        <v>2032</v>
      </c>
      <c r="D163" t="s">
        <v>2033</v>
      </c>
      <c r="E163" t="s">
        <v>1970</v>
      </c>
    </row>
    <row r="164" spans="1:5" x14ac:dyDescent="0.2">
      <c r="A164">
        <v>164</v>
      </c>
      <c r="B164" t="s">
        <v>519</v>
      </c>
      <c r="C164" t="s">
        <v>2034</v>
      </c>
      <c r="D164" t="s">
        <v>2035</v>
      </c>
      <c r="E164" t="s">
        <v>1970</v>
      </c>
    </row>
    <row r="165" spans="1:5" x14ac:dyDescent="0.2">
      <c r="A165">
        <v>165</v>
      </c>
      <c r="B165" t="s">
        <v>521</v>
      </c>
      <c r="C165" t="s">
        <v>2036</v>
      </c>
      <c r="D165" t="s">
        <v>2037</v>
      </c>
      <c r="E165" t="s">
        <v>1719</v>
      </c>
    </row>
    <row r="166" spans="1:5" x14ac:dyDescent="0.2">
      <c r="A166">
        <v>166</v>
      </c>
      <c r="B166" t="s">
        <v>521</v>
      </c>
      <c r="C166" t="s">
        <v>2038</v>
      </c>
      <c r="D166" t="s">
        <v>2039</v>
      </c>
      <c r="E166" t="s">
        <v>1719</v>
      </c>
    </row>
    <row r="167" spans="1:5" x14ac:dyDescent="0.2">
      <c r="A167">
        <v>167</v>
      </c>
      <c r="B167" t="s">
        <v>521</v>
      </c>
      <c r="C167" t="s">
        <v>2040</v>
      </c>
      <c r="D167" t="s">
        <v>2041</v>
      </c>
      <c r="E167" t="s">
        <v>1719</v>
      </c>
    </row>
    <row r="168" spans="1:5" x14ac:dyDescent="0.2">
      <c r="A168">
        <v>168</v>
      </c>
      <c r="B168" t="s">
        <v>521</v>
      </c>
      <c r="C168" t="s">
        <v>2042</v>
      </c>
      <c r="D168" t="s">
        <v>2043</v>
      </c>
      <c r="E168" t="s">
        <v>1719</v>
      </c>
    </row>
    <row r="169" spans="1:5" x14ac:dyDescent="0.2">
      <c r="A169">
        <v>169</v>
      </c>
      <c r="B169" t="s">
        <v>521</v>
      </c>
      <c r="C169" t="s">
        <v>2044</v>
      </c>
      <c r="D169" t="s">
        <v>2045</v>
      </c>
      <c r="E169" t="s">
        <v>2046</v>
      </c>
    </row>
    <row r="170" spans="1:5" x14ac:dyDescent="0.2">
      <c r="A170">
        <v>170</v>
      </c>
      <c r="B170" t="s">
        <v>521</v>
      </c>
      <c r="C170" t="s">
        <v>2047</v>
      </c>
      <c r="D170" t="s">
        <v>2048</v>
      </c>
      <c r="E170" t="s">
        <v>1719</v>
      </c>
    </row>
    <row r="171" spans="1:5" x14ac:dyDescent="0.2">
      <c r="A171">
        <v>171</v>
      </c>
      <c r="B171" t="s">
        <v>521</v>
      </c>
      <c r="C171" t="s">
        <v>2049</v>
      </c>
      <c r="D171" t="s">
        <v>2050</v>
      </c>
      <c r="E171" t="s">
        <v>1719</v>
      </c>
    </row>
    <row r="172" spans="1:5" x14ac:dyDescent="0.2">
      <c r="A172">
        <v>172</v>
      </c>
      <c r="B172" t="s">
        <v>521</v>
      </c>
      <c r="C172" t="s">
        <v>2051</v>
      </c>
      <c r="D172" t="s">
        <v>2052</v>
      </c>
      <c r="E172" t="s">
        <v>1719</v>
      </c>
    </row>
    <row r="173" spans="1:5" x14ac:dyDescent="0.2">
      <c r="A173">
        <v>173</v>
      </c>
      <c r="B173" t="s">
        <v>521</v>
      </c>
      <c r="C173" t="s">
        <v>2053</v>
      </c>
      <c r="D173" t="s">
        <v>2054</v>
      </c>
      <c r="E173" t="s">
        <v>1719</v>
      </c>
    </row>
    <row r="174" spans="1:5" x14ac:dyDescent="0.2">
      <c r="A174">
        <v>174</v>
      </c>
      <c r="B174" t="s">
        <v>521</v>
      </c>
      <c r="C174" t="s">
        <v>2055</v>
      </c>
      <c r="D174" t="s">
        <v>2056</v>
      </c>
      <c r="E174" t="s">
        <v>1719</v>
      </c>
    </row>
    <row r="175" spans="1:5" x14ac:dyDescent="0.2">
      <c r="A175">
        <v>175</v>
      </c>
      <c r="B175" t="s">
        <v>521</v>
      </c>
      <c r="C175" t="s">
        <v>2057</v>
      </c>
      <c r="D175" t="s">
        <v>2058</v>
      </c>
      <c r="E175" t="s">
        <v>1719</v>
      </c>
    </row>
    <row r="176" spans="1:5" x14ac:dyDescent="0.2">
      <c r="A176">
        <v>176</v>
      </c>
      <c r="B176" t="s">
        <v>521</v>
      </c>
      <c r="C176" t="s">
        <v>2059</v>
      </c>
      <c r="D176" t="s">
        <v>2060</v>
      </c>
      <c r="E176" t="s">
        <v>1719</v>
      </c>
    </row>
    <row r="177" spans="1:5" x14ac:dyDescent="0.2">
      <c r="A177">
        <v>177</v>
      </c>
      <c r="B177" t="s">
        <v>521</v>
      </c>
      <c r="C177" t="s">
        <v>2061</v>
      </c>
      <c r="D177" t="s">
        <v>2062</v>
      </c>
      <c r="E177" t="s">
        <v>1719</v>
      </c>
    </row>
    <row r="178" spans="1:5" x14ac:dyDescent="0.2">
      <c r="A178">
        <v>178</v>
      </c>
      <c r="B178" t="s">
        <v>521</v>
      </c>
      <c r="C178" t="s">
        <v>2063</v>
      </c>
      <c r="D178" t="s">
        <v>2064</v>
      </c>
      <c r="E178" t="s">
        <v>1719</v>
      </c>
    </row>
    <row r="179" spans="1:5" x14ac:dyDescent="0.2">
      <c r="A179">
        <v>179</v>
      </c>
      <c r="B179" t="s">
        <v>521</v>
      </c>
      <c r="C179" t="s">
        <v>2065</v>
      </c>
      <c r="D179" t="s">
        <v>2066</v>
      </c>
      <c r="E179" t="s">
        <v>1719</v>
      </c>
    </row>
    <row r="180" spans="1:5" x14ac:dyDescent="0.2">
      <c r="A180">
        <v>180</v>
      </c>
      <c r="B180" t="s">
        <v>521</v>
      </c>
      <c r="C180" t="s">
        <v>2067</v>
      </c>
      <c r="D180" t="s">
        <v>2068</v>
      </c>
      <c r="E180" t="s">
        <v>1719</v>
      </c>
    </row>
    <row r="181" spans="1:5" x14ac:dyDescent="0.2">
      <c r="A181">
        <v>181</v>
      </c>
      <c r="B181" t="s">
        <v>521</v>
      </c>
      <c r="C181" t="s">
        <v>2069</v>
      </c>
      <c r="D181" t="s">
        <v>2070</v>
      </c>
      <c r="E181" t="s">
        <v>1719</v>
      </c>
    </row>
    <row r="182" spans="1:5" x14ac:dyDescent="0.2">
      <c r="A182">
        <v>182</v>
      </c>
      <c r="B182" t="s">
        <v>521</v>
      </c>
      <c r="C182" t="s">
        <v>2071</v>
      </c>
      <c r="D182" t="s">
        <v>2072</v>
      </c>
      <c r="E182" t="s">
        <v>1719</v>
      </c>
    </row>
    <row r="183" spans="1:5" x14ac:dyDescent="0.2">
      <c r="A183">
        <v>183</v>
      </c>
      <c r="B183" t="s">
        <v>521</v>
      </c>
      <c r="C183" t="s">
        <v>2073</v>
      </c>
      <c r="D183" t="s">
        <v>2074</v>
      </c>
      <c r="E183" t="s">
        <v>1719</v>
      </c>
    </row>
    <row r="184" spans="1:5" x14ac:dyDescent="0.2">
      <c r="A184">
        <v>184</v>
      </c>
      <c r="B184" t="s">
        <v>521</v>
      </c>
      <c r="C184" t="s">
        <v>2075</v>
      </c>
      <c r="D184" t="s">
        <v>2076</v>
      </c>
      <c r="E184" t="s">
        <v>1719</v>
      </c>
    </row>
    <row r="185" spans="1:5" x14ac:dyDescent="0.2">
      <c r="A185">
        <v>185</v>
      </c>
      <c r="B185" t="s">
        <v>521</v>
      </c>
      <c r="C185" t="s">
        <v>2077</v>
      </c>
      <c r="D185" t="s">
        <v>2078</v>
      </c>
      <c r="E185" t="s">
        <v>1719</v>
      </c>
    </row>
    <row r="186" spans="1:5" x14ac:dyDescent="0.2">
      <c r="A186">
        <v>186</v>
      </c>
      <c r="B186" t="s">
        <v>521</v>
      </c>
      <c r="C186" t="s">
        <v>2079</v>
      </c>
      <c r="D186" t="s">
        <v>2080</v>
      </c>
      <c r="E186" t="s">
        <v>1719</v>
      </c>
    </row>
    <row r="187" spans="1:5" x14ac:dyDescent="0.2">
      <c r="A187">
        <v>187</v>
      </c>
      <c r="B187" t="s">
        <v>521</v>
      </c>
      <c r="C187" t="s">
        <v>2081</v>
      </c>
      <c r="D187" t="s">
        <v>2082</v>
      </c>
      <c r="E187" t="s">
        <v>1719</v>
      </c>
    </row>
    <row r="188" spans="1:5" x14ac:dyDescent="0.2">
      <c r="A188">
        <v>188</v>
      </c>
      <c r="B188" t="s">
        <v>521</v>
      </c>
      <c r="C188" t="s">
        <v>2083</v>
      </c>
      <c r="D188" t="s">
        <v>2084</v>
      </c>
      <c r="E188" t="s">
        <v>1719</v>
      </c>
    </row>
    <row r="189" spans="1:5" x14ac:dyDescent="0.2">
      <c r="A189">
        <v>189</v>
      </c>
      <c r="B189" t="s">
        <v>523</v>
      </c>
      <c r="C189" t="s">
        <v>2085</v>
      </c>
      <c r="D189" t="s">
        <v>2086</v>
      </c>
      <c r="E189" t="s">
        <v>2087</v>
      </c>
    </row>
    <row r="190" spans="1:5" x14ac:dyDescent="0.2">
      <c r="A190">
        <v>190</v>
      </c>
      <c r="B190" t="s">
        <v>523</v>
      </c>
      <c r="C190" t="s">
        <v>2088</v>
      </c>
      <c r="D190" t="s">
        <v>2089</v>
      </c>
      <c r="E190" t="s">
        <v>2087</v>
      </c>
    </row>
    <row r="191" spans="1:5" x14ac:dyDescent="0.2">
      <c r="A191">
        <v>191</v>
      </c>
      <c r="B191" t="s">
        <v>523</v>
      </c>
      <c r="C191" t="s">
        <v>2090</v>
      </c>
      <c r="D191" t="s">
        <v>2091</v>
      </c>
      <c r="E191" t="s">
        <v>2087</v>
      </c>
    </row>
    <row r="192" spans="1:5" x14ac:dyDescent="0.2">
      <c r="A192">
        <v>192</v>
      </c>
      <c r="B192" t="s">
        <v>523</v>
      </c>
      <c r="C192" t="s">
        <v>2092</v>
      </c>
      <c r="D192" t="s">
        <v>2093</v>
      </c>
      <c r="E192" t="s">
        <v>2046</v>
      </c>
    </row>
    <row r="193" spans="1:5" x14ac:dyDescent="0.2">
      <c r="A193">
        <v>193</v>
      </c>
      <c r="B193" t="s">
        <v>523</v>
      </c>
      <c r="C193" t="s">
        <v>2094</v>
      </c>
      <c r="D193" t="s">
        <v>2095</v>
      </c>
      <c r="E193" t="s">
        <v>2087</v>
      </c>
    </row>
    <row r="194" spans="1:5" x14ac:dyDescent="0.2">
      <c r="A194">
        <v>194</v>
      </c>
      <c r="B194" t="s">
        <v>523</v>
      </c>
      <c r="C194" t="s">
        <v>2096</v>
      </c>
      <c r="D194" t="s">
        <v>2097</v>
      </c>
      <c r="E194" t="s">
        <v>2087</v>
      </c>
    </row>
    <row r="195" spans="1:5" x14ac:dyDescent="0.2">
      <c r="A195">
        <v>195</v>
      </c>
      <c r="B195" t="s">
        <v>523</v>
      </c>
      <c r="C195" t="s">
        <v>2098</v>
      </c>
      <c r="D195" t="s">
        <v>2099</v>
      </c>
      <c r="E195" t="s">
        <v>2087</v>
      </c>
    </row>
    <row r="196" spans="1:5" x14ac:dyDescent="0.2">
      <c r="A196">
        <v>196</v>
      </c>
      <c r="B196" t="s">
        <v>523</v>
      </c>
      <c r="C196" t="s">
        <v>2100</v>
      </c>
      <c r="D196" t="s">
        <v>2101</v>
      </c>
      <c r="E196" t="s">
        <v>2087</v>
      </c>
    </row>
    <row r="197" spans="1:5" x14ac:dyDescent="0.2">
      <c r="A197">
        <v>197</v>
      </c>
      <c r="B197" t="s">
        <v>523</v>
      </c>
      <c r="C197" t="s">
        <v>2102</v>
      </c>
      <c r="D197" t="s">
        <v>2103</v>
      </c>
      <c r="E197" t="s">
        <v>2087</v>
      </c>
    </row>
    <row r="198" spans="1:5" x14ac:dyDescent="0.2">
      <c r="A198">
        <v>198</v>
      </c>
      <c r="B198" t="s">
        <v>523</v>
      </c>
      <c r="C198" t="s">
        <v>2104</v>
      </c>
      <c r="D198" t="s">
        <v>2105</v>
      </c>
      <c r="E198" t="s">
        <v>2087</v>
      </c>
    </row>
    <row r="199" spans="1:5" x14ac:dyDescent="0.2">
      <c r="A199">
        <v>199</v>
      </c>
      <c r="B199" t="s">
        <v>523</v>
      </c>
      <c r="C199" t="s">
        <v>2106</v>
      </c>
      <c r="D199" t="s">
        <v>2107</v>
      </c>
      <c r="E199" t="s">
        <v>2087</v>
      </c>
    </row>
    <row r="200" spans="1:5" x14ac:dyDescent="0.2">
      <c r="A200">
        <v>200</v>
      </c>
      <c r="B200" t="s">
        <v>530</v>
      </c>
      <c r="C200" t="s">
        <v>2108</v>
      </c>
      <c r="D200" t="s">
        <v>2109</v>
      </c>
      <c r="E200" t="s">
        <v>2110</v>
      </c>
    </row>
    <row r="201" spans="1:5" x14ac:dyDescent="0.2">
      <c r="A201">
        <v>201</v>
      </c>
      <c r="B201" t="s">
        <v>530</v>
      </c>
      <c r="C201" t="s">
        <v>2111</v>
      </c>
      <c r="D201" t="s">
        <v>2112</v>
      </c>
      <c r="E201" t="s">
        <v>2113</v>
      </c>
    </row>
    <row r="202" spans="1:5" x14ac:dyDescent="0.2">
      <c r="A202">
        <v>202</v>
      </c>
      <c r="B202" t="s">
        <v>530</v>
      </c>
      <c r="C202" t="s">
        <v>2114</v>
      </c>
      <c r="D202" t="s">
        <v>2115</v>
      </c>
      <c r="E202" t="s">
        <v>2110</v>
      </c>
    </row>
    <row r="203" spans="1:5" x14ac:dyDescent="0.2">
      <c r="A203">
        <v>203</v>
      </c>
      <c r="B203" t="s">
        <v>530</v>
      </c>
      <c r="C203" t="s">
        <v>2116</v>
      </c>
      <c r="D203" t="s">
        <v>2117</v>
      </c>
      <c r="E203" t="s">
        <v>2113</v>
      </c>
    </row>
    <row r="204" spans="1:5" x14ac:dyDescent="0.2">
      <c r="A204">
        <v>204</v>
      </c>
      <c r="B204" t="s">
        <v>530</v>
      </c>
      <c r="C204" t="s">
        <v>2118</v>
      </c>
      <c r="D204" t="s">
        <v>2119</v>
      </c>
      <c r="E204" t="s">
        <v>2113</v>
      </c>
    </row>
    <row r="205" spans="1:5" x14ac:dyDescent="0.2">
      <c r="A205">
        <v>205</v>
      </c>
      <c r="B205" t="s">
        <v>530</v>
      </c>
      <c r="C205" t="s">
        <v>2120</v>
      </c>
      <c r="D205" t="s">
        <v>2121</v>
      </c>
      <c r="E205" t="s">
        <v>2113</v>
      </c>
    </row>
    <row r="206" spans="1:5" x14ac:dyDescent="0.2">
      <c r="A206">
        <v>206</v>
      </c>
      <c r="B206" t="s">
        <v>530</v>
      </c>
      <c r="C206" t="s">
        <v>2122</v>
      </c>
      <c r="D206" t="s">
        <v>2123</v>
      </c>
      <c r="E206" t="s">
        <v>2113</v>
      </c>
    </row>
    <row r="207" spans="1:5" x14ac:dyDescent="0.2">
      <c r="A207">
        <v>207</v>
      </c>
      <c r="B207" t="s">
        <v>530</v>
      </c>
      <c r="C207" t="s">
        <v>2124</v>
      </c>
      <c r="D207" t="s">
        <v>2125</v>
      </c>
      <c r="E207" t="s">
        <v>2113</v>
      </c>
    </row>
    <row r="208" spans="1:5" x14ac:dyDescent="0.2">
      <c r="A208">
        <v>208</v>
      </c>
      <c r="B208" t="s">
        <v>532</v>
      </c>
      <c r="C208" t="s">
        <v>2126</v>
      </c>
      <c r="D208" t="s">
        <v>2127</v>
      </c>
      <c r="E208" t="s">
        <v>2128</v>
      </c>
    </row>
    <row r="209" spans="1:5" x14ac:dyDescent="0.2">
      <c r="A209">
        <v>209</v>
      </c>
      <c r="B209" t="s">
        <v>532</v>
      </c>
      <c r="C209" t="s">
        <v>2129</v>
      </c>
      <c r="D209" t="s">
        <v>2130</v>
      </c>
      <c r="E209" t="s">
        <v>2128</v>
      </c>
    </row>
    <row r="210" spans="1:5" x14ac:dyDescent="0.2">
      <c r="A210">
        <v>210</v>
      </c>
      <c r="B210" t="s">
        <v>532</v>
      </c>
      <c r="C210" t="s">
        <v>2131</v>
      </c>
      <c r="D210" t="s">
        <v>2132</v>
      </c>
      <c r="E210" t="s">
        <v>2128</v>
      </c>
    </row>
    <row r="211" spans="1:5" x14ac:dyDescent="0.2">
      <c r="A211">
        <v>211</v>
      </c>
      <c r="B211" t="s">
        <v>532</v>
      </c>
      <c r="C211" t="s">
        <v>2133</v>
      </c>
      <c r="D211" t="s">
        <v>2134</v>
      </c>
      <c r="E211" t="s">
        <v>2128</v>
      </c>
    </row>
    <row r="212" spans="1:5" x14ac:dyDescent="0.2">
      <c r="A212">
        <v>212</v>
      </c>
      <c r="B212" t="s">
        <v>532</v>
      </c>
      <c r="C212" t="s">
        <v>2135</v>
      </c>
      <c r="D212" t="s">
        <v>2136</v>
      </c>
      <c r="E212" t="s">
        <v>2128</v>
      </c>
    </row>
    <row r="213" spans="1:5" x14ac:dyDescent="0.2">
      <c r="A213">
        <v>213</v>
      </c>
      <c r="B213" t="s">
        <v>532</v>
      </c>
      <c r="C213" t="s">
        <v>2137</v>
      </c>
      <c r="D213" t="s">
        <v>2138</v>
      </c>
      <c r="E213" t="s">
        <v>2128</v>
      </c>
    </row>
    <row r="214" spans="1:5" x14ac:dyDescent="0.2">
      <c r="A214">
        <v>214</v>
      </c>
      <c r="B214" t="s">
        <v>532</v>
      </c>
      <c r="C214" t="s">
        <v>2139</v>
      </c>
      <c r="D214" t="s">
        <v>2140</v>
      </c>
      <c r="E214" t="s">
        <v>2128</v>
      </c>
    </row>
    <row r="215" spans="1:5" x14ac:dyDescent="0.2">
      <c r="A215">
        <v>215</v>
      </c>
      <c r="B215" t="s">
        <v>532</v>
      </c>
      <c r="C215" t="s">
        <v>2141</v>
      </c>
      <c r="D215" t="s">
        <v>2142</v>
      </c>
      <c r="E215" t="s">
        <v>2128</v>
      </c>
    </row>
    <row r="216" spans="1:5" x14ac:dyDescent="0.2">
      <c r="A216">
        <v>216</v>
      </c>
      <c r="B216" t="s">
        <v>532</v>
      </c>
      <c r="C216" t="s">
        <v>2143</v>
      </c>
      <c r="D216" t="s">
        <v>2144</v>
      </c>
      <c r="E216" t="s">
        <v>2128</v>
      </c>
    </row>
    <row r="217" spans="1:5" x14ac:dyDescent="0.2">
      <c r="A217">
        <v>217</v>
      </c>
      <c r="B217" t="s">
        <v>534</v>
      </c>
      <c r="C217" t="s">
        <v>2145</v>
      </c>
      <c r="D217" t="s">
        <v>2146</v>
      </c>
      <c r="E217" t="s">
        <v>2147</v>
      </c>
    </row>
    <row r="218" spans="1:5" x14ac:dyDescent="0.2">
      <c r="A218">
        <v>218</v>
      </c>
      <c r="B218" t="s">
        <v>534</v>
      </c>
      <c r="C218" t="s">
        <v>2148</v>
      </c>
      <c r="D218" t="s">
        <v>2149</v>
      </c>
      <c r="E218" t="s">
        <v>2147</v>
      </c>
    </row>
    <row r="219" spans="1:5" x14ac:dyDescent="0.2">
      <c r="A219">
        <v>219</v>
      </c>
      <c r="B219" t="s">
        <v>534</v>
      </c>
      <c r="C219" t="s">
        <v>2150</v>
      </c>
      <c r="D219" t="s">
        <v>2151</v>
      </c>
      <c r="E219" t="s">
        <v>2147</v>
      </c>
    </row>
    <row r="220" spans="1:5" x14ac:dyDescent="0.2">
      <c r="A220">
        <v>220</v>
      </c>
      <c r="B220" t="s">
        <v>534</v>
      </c>
      <c r="C220" t="s">
        <v>2152</v>
      </c>
      <c r="D220" t="s">
        <v>2153</v>
      </c>
      <c r="E220" t="s">
        <v>2147</v>
      </c>
    </row>
    <row r="221" spans="1:5" x14ac:dyDescent="0.2">
      <c r="A221">
        <v>221</v>
      </c>
      <c r="B221" t="s">
        <v>534</v>
      </c>
      <c r="C221" t="s">
        <v>2154</v>
      </c>
      <c r="D221" t="s">
        <v>2155</v>
      </c>
      <c r="E221" t="s">
        <v>2147</v>
      </c>
    </row>
    <row r="222" spans="1:5" x14ac:dyDescent="0.2">
      <c r="A222">
        <v>222</v>
      </c>
      <c r="B222" t="s">
        <v>534</v>
      </c>
      <c r="C222" t="s">
        <v>2156</v>
      </c>
      <c r="D222" t="s">
        <v>2157</v>
      </c>
      <c r="E222" t="s">
        <v>2147</v>
      </c>
    </row>
    <row r="223" spans="1:5" x14ac:dyDescent="0.2">
      <c r="A223">
        <v>223</v>
      </c>
      <c r="B223" t="s">
        <v>534</v>
      </c>
      <c r="C223" t="s">
        <v>2158</v>
      </c>
      <c r="D223" t="s">
        <v>2159</v>
      </c>
      <c r="E223" t="s">
        <v>2147</v>
      </c>
    </row>
    <row r="224" spans="1:5" x14ac:dyDescent="0.2">
      <c r="A224">
        <v>224</v>
      </c>
      <c r="B224" t="s">
        <v>534</v>
      </c>
      <c r="C224" t="s">
        <v>2160</v>
      </c>
      <c r="D224" t="s">
        <v>2161</v>
      </c>
      <c r="E224" t="s">
        <v>2147</v>
      </c>
    </row>
    <row r="225" spans="1:5" x14ac:dyDescent="0.2">
      <c r="A225">
        <v>225</v>
      </c>
      <c r="B225" t="s">
        <v>534</v>
      </c>
      <c r="C225" t="s">
        <v>2162</v>
      </c>
      <c r="D225" t="s">
        <v>2163</v>
      </c>
      <c r="E225" t="s">
        <v>2164</v>
      </c>
    </row>
    <row r="226" spans="1:5" x14ac:dyDescent="0.2">
      <c r="A226">
        <v>226</v>
      </c>
      <c r="B226" t="s">
        <v>534</v>
      </c>
      <c r="C226" t="s">
        <v>2165</v>
      </c>
      <c r="D226" t="s">
        <v>2166</v>
      </c>
      <c r="E226" t="s">
        <v>2147</v>
      </c>
    </row>
    <row r="227" spans="1:5" x14ac:dyDescent="0.2">
      <c r="A227">
        <v>227</v>
      </c>
      <c r="B227" t="s">
        <v>534</v>
      </c>
      <c r="C227" t="s">
        <v>2167</v>
      </c>
      <c r="D227" t="s">
        <v>2168</v>
      </c>
      <c r="E227" t="s">
        <v>2147</v>
      </c>
    </row>
    <row r="228" spans="1:5" x14ac:dyDescent="0.2">
      <c r="A228">
        <v>228</v>
      </c>
      <c r="B228" t="s">
        <v>534</v>
      </c>
      <c r="C228" t="s">
        <v>2169</v>
      </c>
      <c r="D228" t="s">
        <v>2170</v>
      </c>
      <c r="E228" t="s">
        <v>2147</v>
      </c>
    </row>
    <row r="229" spans="1:5" x14ac:dyDescent="0.2">
      <c r="A229">
        <v>229</v>
      </c>
      <c r="B229" t="s">
        <v>534</v>
      </c>
      <c r="C229" t="s">
        <v>2171</v>
      </c>
      <c r="D229" t="s">
        <v>2172</v>
      </c>
      <c r="E229" t="s">
        <v>2147</v>
      </c>
    </row>
    <row r="230" spans="1:5" x14ac:dyDescent="0.2">
      <c r="A230">
        <v>230</v>
      </c>
      <c r="B230" t="s">
        <v>534</v>
      </c>
      <c r="C230" t="s">
        <v>2173</v>
      </c>
      <c r="D230" t="s">
        <v>2174</v>
      </c>
      <c r="E230" t="s">
        <v>2147</v>
      </c>
    </row>
    <row r="231" spans="1:5" x14ac:dyDescent="0.2">
      <c r="A231">
        <v>231</v>
      </c>
      <c r="B231" t="s">
        <v>534</v>
      </c>
      <c r="C231" t="s">
        <v>2175</v>
      </c>
      <c r="D231" t="s">
        <v>2176</v>
      </c>
      <c r="E231" t="s">
        <v>2147</v>
      </c>
    </row>
    <row r="232" spans="1:5" x14ac:dyDescent="0.2">
      <c r="A232">
        <v>232</v>
      </c>
      <c r="B232" t="s">
        <v>534</v>
      </c>
      <c r="C232" t="s">
        <v>2177</v>
      </c>
      <c r="D232" t="s">
        <v>2178</v>
      </c>
      <c r="E232" t="s">
        <v>2147</v>
      </c>
    </row>
    <row r="233" spans="1:5" x14ac:dyDescent="0.2">
      <c r="A233">
        <v>233</v>
      </c>
      <c r="B233" t="s">
        <v>534</v>
      </c>
      <c r="C233" t="s">
        <v>2179</v>
      </c>
      <c r="D233" t="s">
        <v>2180</v>
      </c>
      <c r="E233" t="s">
        <v>2147</v>
      </c>
    </row>
    <row r="234" spans="1:5" x14ac:dyDescent="0.2">
      <c r="A234">
        <v>234</v>
      </c>
      <c r="B234" t="s">
        <v>534</v>
      </c>
      <c r="C234" t="s">
        <v>2181</v>
      </c>
      <c r="D234" t="s">
        <v>2182</v>
      </c>
      <c r="E234" t="s">
        <v>2147</v>
      </c>
    </row>
    <row r="235" spans="1:5" x14ac:dyDescent="0.2">
      <c r="A235">
        <v>235</v>
      </c>
      <c r="B235" t="s">
        <v>534</v>
      </c>
      <c r="C235" t="s">
        <v>2183</v>
      </c>
      <c r="D235" t="s">
        <v>2184</v>
      </c>
      <c r="E235" t="s">
        <v>2147</v>
      </c>
    </row>
    <row r="236" spans="1:5" x14ac:dyDescent="0.2">
      <c r="A236">
        <v>236</v>
      </c>
      <c r="B236" t="s">
        <v>534</v>
      </c>
      <c r="C236" t="s">
        <v>2185</v>
      </c>
      <c r="D236" t="s">
        <v>2186</v>
      </c>
      <c r="E236" t="s">
        <v>2147</v>
      </c>
    </row>
    <row r="237" spans="1:5" x14ac:dyDescent="0.2">
      <c r="A237">
        <v>237</v>
      </c>
      <c r="B237" t="s">
        <v>534</v>
      </c>
      <c r="C237" t="s">
        <v>2187</v>
      </c>
      <c r="D237" t="s">
        <v>2188</v>
      </c>
      <c r="E237" t="s">
        <v>2147</v>
      </c>
    </row>
    <row r="238" spans="1:5" x14ac:dyDescent="0.2">
      <c r="A238">
        <v>238</v>
      </c>
      <c r="B238" t="s">
        <v>534</v>
      </c>
      <c r="C238" t="s">
        <v>2189</v>
      </c>
      <c r="D238" t="s">
        <v>2190</v>
      </c>
      <c r="E238" t="s">
        <v>2147</v>
      </c>
    </row>
    <row r="239" spans="1:5" x14ac:dyDescent="0.2">
      <c r="A239">
        <v>239</v>
      </c>
      <c r="B239" t="s">
        <v>534</v>
      </c>
      <c r="C239" t="s">
        <v>2191</v>
      </c>
      <c r="D239" t="s">
        <v>2192</v>
      </c>
      <c r="E239" t="s">
        <v>2164</v>
      </c>
    </row>
    <row r="240" spans="1:5" x14ac:dyDescent="0.2">
      <c r="A240">
        <v>240</v>
      </c>
      <c r="B240" t="s">
        <v>534</v>
      </c>
      <c r="C240" t="s">
        <v>2193</v>
      </c>
      <c r="D240" t="s">
        <v>2194</v>
      </c>
      <c r="E240" t="s">
        <v>2147</v>
      </c>
    </row>
    <row r="241" spans="1:5" x14ac:dyDescent="0.2">
      <c r="A241">
        <v>241</v>
      </c>
      <c r="B241" t="s">
        <v>534</v>
      </c>
      <c r="C241" t="s">
        <v>2195</v>
      </c>
      <c r="D241" t="s">
        <v>2196</v>
      </c>
      <c r="E241" t="s">
        <v>2147</v>
      </c>
    </row>
    <row r="242" spans="1:5" x14ac:dyDescent="0.2">
      <c r="A242">
        <v>242</v>
      </c>
      <c r="B242" t="s">
        <v>534</v>
      </c>
      <c r="C242" t="s">
        <v>2197</v>
      </c>
      <c r="D242" t="s">
        <v>2198</v>
      </c>
      <c r="E242" t="s">
        <v>2147</v>
      </c>
    </row>
    <row r="243" spans="1:5" x14ac:dyDescent="0.2">
      <c r="A243">
        <v>243</v>
      </c>
      <c r="B243" t="s">
        <v>534</v>
      </c>
      <c r="C243" t="s">
        <v>2199</v>
      </c>
      <c r="D243" t="s">
        <v>2200</v>
      </c>
      <c r="E243" t="s">
        <v>2147</v>
      </c>
    </row>
    <row r="244" spans="1:5" x14ac:dyDescent="0.2">
      <c r="A244">
        <v>244</v>
      </c>
      <c r="B244" t="s">
        <v>534</v>
      </c>
      <c r="C244" t="s">
        <v>2201</v>
      </c>
      <c r="D244" t="s">
        <v>2202</v>
      </c>
      <c r="E244" t="s">
        <v>2147</v>
      </c>
    </row>
    <row r="245" spans="1:5" x14ac:dyDescent="0.2">
      <c r="A245">
        <v>245</v>
      </c>
      <c r="B245" t="s">
        <v>534</v>
      </c>
      <c r="C245" t="s">
        <v>2203</v>
      </c>
      <c r="D245" t="s">
        <v>2204</v>
      </c>
      <c r="E245" t="s">
        <v>2147</v>
      </c>
    </row>
    <row r="246" spans="1:5" x14ac:dyDescent="0.2">
      <c r="A246">
        <v>246</v>
      </c>
      <c r="B246" t="s">
        <v>534</v>
      </c>
      <c r="C246" t="s">
        <v>2205</v>
      </c>
      <c r="D246" t="s">
        <v>2206</v>
      </c>
      <c r="E246" t="s">
        <v>2147</v>
      </c>
    </row>
    <row r="247" spans="1:5" x14ac:dyDescent="0.2">
      <c r="A247">
        <v>247</v>
      </c>
      <c r="B247" t="s">
        <v>534</v>
      </c>
      <c r="C247" t="s">
        <v>2207</v>
      </c>
      <c r="D247" t="s">
        <v>2208</v>
      </c>
      <c r="E247" t="s">
        <v>2164</v>
      </c>
    </row>
    <row r="248" spans="1:5" x14ac:dyDescent="0.2">
      <c r="A248">
        <v>248</v>
      </c>
      <c r="B248" t="s">
        <v>534</v>
      </c>
      <c r="C248" t="s">
        <v>2209</v>
      </c>
      <c r="D248" t="s">
        <v>2210</v>
      </c>
      <c r="E248" t="s">
        <v>2147</v>
      </c>
    </row>
    <row r="249" spans="1:5" x14ac:dyDescent="0.2">
      <c r="A249">
        <v>249</v>
      </c>
      <c r="B249" t="s">
        <v>534</v>
      </c>
      <c r="C249" t="s">
        <v>2211</v>
      </c>
      <c r="D249" t="s">
        <v>2212</v>
      </c>
      <c r="E249" t="s">
        <v>2164</v>
      </c>
    </row>
    <row r="250" spans="1:5" x14ac:dyDescent="0.2">
      <c r="A250">
        <v>250</v>
      </c>
      <c r="B250" t="s">
        <v>534</v>
      </c>
      <c r="C250" t="s">
        <v>2213</v>
      </c>
      <c r="D250" t="s">
        <v>2214</v>
      </c>
      <c r="E250" t="s">
        <v>2164</v>
      </c>
    </row>
    <row r="251" spans="1:5" x14ac:dyDescent="0.2">
      <c r="A251">
        <v>251</v>
      </c>
      <c r="B251" t="s">
        <v>534</v>
      </c>
      <c r="C251" t="s">
        <v>2215</v>
      </c>
      <c r="D251" t="s">
        <v>2216</v>
      </c>
      <c r="E251" t="s">
        <v>2164</v>
      </c>
    </row>
    <row r="252" spans="1:5" x14ac:dyDescent="0.2">
      <c r="A252">
        <v>252</v>
      </c>
      <c r="B252" t="s">
        <v>534</v>
      </c>
      <c r="C252" t="s">
        <v>2217</v>
      </c>
      <c r="D252" t="s">
        <v>2216</v>
      </c>
      <c r="E252" t="s">
        <v>2218</v>
      </c>
    </row>
    <row r="253" spans="1:5" x14ac:dyDescent="0.2">
      <c r="A253">
        <v>253</v>
      </c>
      <c r="B253" t="s">
        <v>534</v>
      </c>
      <c r="C253" t="s">
        <v>2219</v>
      </c>
      <c r="D253" t="s">
        <v>2220</v>
      </c>
      <c r="E253" t="s">
        <v>2147</v>
      </c>
    </row>
    <row r="254" spans="1:5" x14ac:dyDescent="0.2">
      <c r="A254">
        <v>254</v>
      </c>
      <c r="B254" t="s">
        <v>534</v>
      </c>
      <c r="C254" t="s">
        <v>2221</v>
      </c>
      <c r="D254" t="s">
        <v>2222</v>
      </c>
      <c r="E254" t="s">
        <v>2147</v>
      </c>
    </row>
    <row r="255" spans="1:5" x14ac:dyDescent="0.2">
      <c r="A255">
        <v>255</v>
      </c>
      <c r="B255" t="s">
        <v>534</v>
      </c>
      <c r="C255" t="s">
        <v>2223</v>
      </c>
      <c r="D255" t="s">
        <v>2224</v>
      </c>
      <c r="E255" t="s">
        <v>2147</v>
      </c>
    </row>
    <row r="256" spans="1:5" x14ac:dyDescent="0.2">
      <c r="A256">
        <v>256</v>
      </c>
      <c r="B256" t="s">
        <v>534</v>
      </c>
      <c r="C256" t="s">
        <v>2225</v>
      </c>
      <c r="D256" t="s">
        <v>2226</v>
      </c>
      <c r="E256" t="s">
        <v>2147</v>
      </c>
    </row>
    <row r="257" spans="1:5" x14ac:dyDescent="0.2">
      <c r="A257">
        <v>257</v>
      </c>
      <c r="B257" t="s">
        <v>534</v>
      </c>
      <c r="C257" t="s">
        <v>2227</v>
      </c>
      <c r="D257" t="s">
        <v>2228</v>
      </c>
      <c r="E257" t="s">
        <v>2147</v>
      </c>
    </row>
    <row r="258" spans="1:5" x14ac:dyDescent="0.2">
      <c r="A258">
        <v>258</v>
      </c>
      <c r="B258" t="s">
        <v>534</v>
      </c>
      <c r="C258" t="s">
        <v>2229</v>
      </c>
      <c r="D258" t="s">
        <v>2230</v>
      </c>
      <c r="E258" t="s">
        <v>2147</v>
      </c>
    </row>
    <row r="259" spans="1:5" x14ac:dyDescent="0.2">
      <c r="A259">
        <v>259</v>
      </c>
      <c r="B259" t="s">
        <v>534</v>
      </c>
      <c r="C259" t="s">
        <v>2231</v>
      </c>
      <c r="D259" t="s">
        <v>2232</v>
      </c>
      <c r="E259" t="s">
        <v>2147</v>
      </c>
    </row>
    <row r="260" spans="1:5" x14ac:dyDescent="0.2">
      <c r="A260">
        <v>260</v>
      </c>
      <c r="B260" t="s">
        <v>534</v>
      </c>
      <c r="C260" t="s">
        <v>2233</v>
      </c>
      <c r="D260" t="s">
        <v>2234</v>
      </c>
      <c r="E260" t="s">
        <v>2147</v>
      </c>
    </row>
    <row r="261" spans="1:5" x14ac:dyDescent="0.2">
      <c r="A261">
        <v>261</v>
      </c>
      <c r="B261" t="s">
        <v>534</v>
      </c>
      <c r="C261" t="s">
        <v>2235</v>
      </c>
      <c r="D261" t="s">
        <v>2236</v>
      </c>
      <c r="E261" t="s">
        <v>2147</v>
      </c>
    </row>
    <row r="262" spans="1:5" x14ac:dyDescent="0.2">
      <c r="A262">
        <v>262</v>
      </c>
      <c r="B262" t="s">
        <v>534</v>
      </c>
      <c r="C262" t="s">
        <v>2237</v>
      </c>
      <c r="D262" t="s">
        <v>2238</v>
      </c>
      <c r="E262" t="s">
        <v>2147</v>
      </c>
    </row>
    <row r="263" spans="1:5" x14ac:dyDescent="0.2">
      <c r="A263">
        <v>263</v>
      </c>
      <c r="B263" t="s">
        <v>534</v>
      </c>
      <c r="C263" t="s">
        <v>2239</v>
      </c>
      <c r="D263" t="s">
        <v>2240</v>
      </c>
      <c r="E263" t="s">
        <v>2147</v>
      </c>
    </row>
    <row r="264" spans="1:5" x14ac:dyDescent="0.2">
      <c r="A264">
        <v>264</v>
      </c>
      <c r="B264" t="s">
        <v>534</v>
      </c>
      <c r="C264" t="s">
        <v>2241</v>
      </c>
      <c r="D264" t="s">
        <v>2242</v>
      </c>
      <c r="E264" t="s">
        <v>2147</v>
      </c>
    </row>
    <row r="265" spans="1:5" x14ac:dyDescent="0.2">
      <c r="A265">
        <v>265</v>
      </c>
      <c r="B265" t="s">
        <v>534</v>
      </c>
      <c r="C265" t="s">
        <v>2243</v>
      </c>
      <c r="D265" t="s">
        <v>2244</v>
      </c>
      <c r="E265" t="s">
        <v>2147</v>
      </c>
    </row>
    <row r="266" spans="1:5" x14ac:dyDescent="0.2">
      <c r="A266">
        <v>266</v>
      </c>
      <c r="B266" t="s">
        <v>534</v>
      </c>
      <c r="C266" t="s">
        <v>2245</v>
      </c>
      <c r="D266" t="s">
        <v>2246</v>
      </c>
      <c r="E266" t="s">
        <v>2147</v>
      </c>
    </row>
    <row r="267" spans="1:5" x14ac:dyDescent="0.2">
      <c r="A267">
        <v>267</v>
      </c>
      <c r="B267" t="s">
        <v>534</v>
      </c>
      <c r="C267" t="s">
        <v>2247</v>
      </c>
      <c r="D267" t="s">
        <v>2248</v>
      </c>
      <c r="E267" t="s">
        <v>2147</v>
      </c>
    </row>
    <row r="268" spans="1:5" x14ac:dyDescent="0.2">
      <c r="A268">
        <v>268</v>
      </c>
      <c r="B268" t="s">
        <v>534</v>
      </c>
      <c r="C268" t="s">
        <v>2249</v>
      </c>
      <c r="D268" t="s">
        <v>2250</v>
      </c>
      <c r="E268" t="s">
        <v>2164</v>
      </c>
    </row>
    <row r="269" spans="1:5" x14ac:dyDescent="0.2">
      <c r="A269">
        <v>269</v>
      </c>
      <c r="B269" t="s">
        <v>534</v>
      </c>
      <c r="C269" t="s">
        <v>2251</v>
      </c>
      <c r="D269" t="s">
        <v>2252</v>
      </c>
      <c r="E269" t="s">
        <v>2147</v>
      </c>
    </row>
    <row r="270" spans="1:5" x14ac:dyDescent="0.2">
      <c r="A270">
        <v>270</v>
      </c>
      <c r="B270" t="s">
        <v>534</v>
      </c>
      <c r="C270" t="s">
        <v>2253</v>
      </c>
      <c r="D270" t="s">
        <v>2254</v>
      </c>
      <c r="E270" t="s">
        <v>2147</v>
      </c>
    </row>
    <row r="271" spans="1:5" x14ac:dyDescent="0.2">
      <c r="A271">
        <v>271</v>
      </c>
      <c r="B271" t="s">
        <v>534</v>
      </c>
      <c r="C271" t="s">
        <v>2255</v>
      </c>
      <c r="D271" t="s">
        <v>2256</v>
      </c>
      <c r="E271" t="s">
        <v>2147</v>
      </c>
    </row>
    <row r="272" spans="1:5" x14ac:dyDescent="0.2">
      <c r="A272">
        <v>272</v>
      </c>
      <c r="B272" t="s">
        <v>534</v>
      </c>
      <c r="C272" t="s">
        <v>2257</v>
      </c>
      <c r="D272" t="s">
        <v>2258</v>
      </c>
      <c r="E272" t="s">
        <v>2147</v>
      </c>
    </row>
    <row r="273" spans="1:5" x14ac:dyDescent="0.2">
      <c r="A273">
        <v>273</v>
      </c>
      <c r="B273" t="s">
        <v>534</v>
      </c>
      <c r="C273" t="s">
        <v>2259</v>
      </c>
      <c r="D273" t="s">
        <v>2260</v>
      </c>
      <c r="E273" t="s">
        <v>2164</v>
      </c>
    </row>
    <row r="274" spans="1:5" x14ac:dyDescent="0.2">
      <c r="A274">
        <v>274</v>
      </c>
      <c r="B274" t="s">
        <v>534</v>
      </c>
      <c r="C274" t="s">
        <v>2261</v>
      </c>
      <c r="D274" t="s">
        <v>2262</v>
      </c>
      <c r="E274" t="s">
        <v>2147</v>
      </c>
    </row>
    <row r="275" spans="1:5" x14ac:dyDescent="0.2">
      <c r="A275">
        <v>275</v>
      </c>
      <c r="B275" t="s">
        <v>534</v>
      </c>
      <c r="C275" t="s">
        <v>2263</v>
      </c>
      <c r="D275" t="s">
        <v>2264</v>
      </c>
      <c r="E275" t="s">
        <v>2147</v>
      </c>
    </row>
    <row r="276" spans="1:5" x14ac:dyDescent="0.2">
      <c r="A276">
        <v>276</v>
      </c>
      <c r="B276" t="s">
        <v>534</v>
      </c>
      <c r="C276" t="s">
        <v>2265</v>
      </c>
      <c r="D276" t="s">
        <v>2266</v>
      </c>
      <c r="E276" t="s">
        <v>2147</v>
      </c>
    </row>
    <row r="277" spans="1:5" x14ac:dyDescent="0.2">
      <c r="A277">
        <v>277</v>
      </c>
      <c r="B277" t="s">
        <v>534</v>
      </c>
      <c r="C277" t="s">
        <v>2267</v>
      </c>
      <c r="D277" t="s">
        <v>2268</v>
      </c>
      <c r="E277" t="s">
        <v>2147</v>
      </c>
    </row>
    <row r="278" spans="1:5" x14ac:dyDescent="0.2">
      <c r="A278">
        <v>278</v>
      </c>
      <c r="B278" t="s">
        <v>534</v>
      </c>
      <c r="C278" t="s">
        <v>2269</v>
      </c>
      <c r="D278" t="s">
        <v>2270</v>
      </c>
      <c r="E278" t="s">
        <v>2147</v>
      </c>
    </row>
    <row r="279" spans="1:5" x14ac:dyDescent="0.2">
      <c r="A279">
        <v>279</v>
      </c>
      <c r="B279" t="s">
        <v>534</v>
      </c>
      <c r="C279" t="s">
        <v>2271</v>
      </c>
      <c r="D279" t="s">
        <v>2272</v>
      </c>
      <c r="E279" t="s">
        <v>2164</v>
      </c>
    </row>
    <row r="280" spans="1:5" x14ac:dyDescent="0.2">
      <c r="A280">
        <v>280</v>
      </c>
      <c r="B280" t="s">
        <v>534</v>
      </c>
      <c r="C280" t="s">
        <v>2273</v>
      </c>
      <c r="D280" t="s">
        <v>2272</v>
      </c>
      <c r="E280" t="s">
        <v>2147</v>
      </c>
    </row>
    <row r="281" spans="1:5" x14ac:dyDescent="0.2">
      <c r="A281">
        <v>281</v>
      </c>
      <c r="B281" t="s">
        <v>534</v>
      </c>
      <c r="C281" t="s">
        <v>2274</v>
      </c>
      <c r="D281" t="s">
        <v>2275</v>
      </c>
      <c r="E281" t="s">
        <v>2147</v>
      </c>
    </row>
    <row r="282" spans="1:5" x14ac:dyDescent="0.2">
      <c r="A282">
        <v>282</v>
      </c>
      <c r="B282" t="s">
        <v>534</v>
      </c>
      <c r="C282" t="s">
        <v>2276</v>
      </c>
      <c r="D282" t="s">
        <v>2277</v>
      </c>
      <c r="E282" t="s">
        <v>2147</v>
      </c>
    </row>
    <row r="283" spans="1:5" x14ac:dyDescent="0.2">
      <c r="A283">
        <v>283</v>
      </c>
      <c r="B283" t="s">
        <v>534</v>
      </c>
      <c r="C283" t="s">
        <v>2278</v>
      </c>
      <c r="D283" t="s">
        <v>2279</v>
      </c>
      <c r="E283" t="s">
        <v>2147</v>
      </c>
    </row>
    <row r="284" spans="1:5" x14ac:dyDescent="0.2">
      <c r="A284">
        <v>284</v>
      </c>
      <c r="B284" t="s">
        <v>534</v>
      </c>
      <c r="C284" t="s">
        <v>2280</v>
      </c>
      <c r="D284" t="s">
        <v>2281</v>
      </c>
      <c r="E284" t="s">
        <v>2147</v>
      </c>
    </row>
    <row r="285" spans="1:5" x14ac:dyDescent="0.2">
      <c r="A285">
        <v>285</v>
      </c>
      <c r="B285" t="s">
        <v>534</v>
      </c>
      <c r="C285" t="s">
        <v>2282</v>
      </c>
      <c r="D285" t="s">
        <v>2283</v>
      </c>
      <c r="E285" t="s">
        <v>2147</v>
      </c>
    </row>
    <row r="286" spans="1:5" x14ac:dyDescent="0.2">
      <c r="A286">
        <v>286</v>
      </c>
      <c r="B286" t="s">
        <v>534</v>
      </c>
      <c r="C286" t="s">
        <v>2284</v>
      </c>
      <c r="D286" t="s">
        <v>2285</v>
      </c>
      <c r="E286" t="s">
        <v>2147</v>
      </c>
    </row>
    <row r="287" spans="1:5" x14ac:dyDescent="0.2">
      <c r="A287">
        <v>287</v>
      </c>
      <c r="B287" t="s">
        <v>534</v>
      </c>
      <c r="C287" t="s">
        <v>2286</v>
      </c>
      <c r="D287" t="s">
        <v>2287</v>
      </c>
      <c r="E287" t="s">
        <v>2147</v>
      </c>
    </row>
    <row r="288" spans="1:5" x14ac:dyDescent="0.2">
      <c r="A288">
        <v>288</v>
      </c>
      <c r="B288" t="s">
        <v>534</v>
      </c>
      <c r="C288" t="s">
        <v>2288</v>
      </c>
      <c r="D288" t="s">
        <v>2289</v>
      </c>
      <c r="E288" t="s">
        <v>2147</v>
      </c>
    </row>
    <row r="289" spans="1:5" x14ac:dyDescent="0.2">
      <c r="A289">
        <v>289</v>
      </c>
      <c r="B289" t="s">
        <v>534</v>
      </c>
      <c r="C289" t="s">
        <v>2290</v>
      </c>
      <c r="D289" t="s">
        <v>2291</v>
      </c>
      <c r="E289" t="s">
        <v>2164</v>
      </c>
    </row>
    <row r="290" spans="1:5" x14ac:dyDescent="0.2">
      <c r="A290">
        <v>290</v>
      </c>
      <c r="B290" t="s">
        <v>534</v>
      </c>
      <c r="C290" t="s">
        <v>2292</v>
      </c>
      <c r="D290" t="s">
        <v>2293</v>
      </c>
      <c r="E290" t="s">
        <v>2147</v>
      </c>
    </row>
    <row r="291" spans="1:5" x14ac:dyDescent="0.2">
      <c r="A291">
        <v>291</v>
      </c>
      <c r="B291" t="s">
        <v>534</v>
      </c>
      <c r="C291" t="s">
        <v>2294</v>
      </c>
      <c r="D291" t="s">
        <v>2295</v>
      </c>
      <c r="E291" t="s">
        <v>2164</v>
      </c>
    </row>
    <row r="292" spans="1:5" x14ac:dyDescent="0.2">
      <c r="A292">
        <v>292</v>
      </c>
      <c r="B292" t="s">
        <v>534</v>
      </c>
      <c r="C292" t="s">
        <v>2296</v>
      </c>
      <c r="D292" t="s">
        <v>2295</v>
      </c>
      <c r="E292" t="s">
        <v>2147</v>
      </c>
    </row>
    <row r="293" spans="1:5" x14ac:dyDescent="0.2">
      <c r="A293">
        <v>293</v>
      </c>
      <c r="B293" t="s">
        <v>534</v>
      </c>
      <c r="C293" t="s">
        <v>2297</v>
      </c>
      <c r="D293" t="s">
        <v>2298</v>
      </c>
      <c r="E293" t="s">
        <v>2147</v>
      </c>
    </row>
    <row r="294" spans="1:5" x14ac:dyDescent="0.2">
      <c r="A294">
        <v>294</v>
      </c>
      <c r="B294" t="s">
        <v>534</v>
      </c>
      <c r="C294" t="s">
        <v>2299</v>
      </c>
      <c r="D294" t="s">
        <v>2300</v>
      </c>
      <c r="E294" t="s">
        <v>2147</v>
      </c>
    </row>
    <row r="295" spans="1:5" x14ac:dyDescent="0.2">
      <c r="A295">
        <v>295</v>
      </c>
      <c r="B295" t="s">
        <v>1097</v>
      </c>
      <c r="C295" t="s">
        <v>2301</v>
      </c>
      <c r="D295" t="s">
        <v>2302</v>
      </c>
      <c r="E295" t="s">
        <v>1790</v>
      </c>
    </row>
    <row r="296" spans="1:5" x14ac:dyDescent="0.2">
      <c r="A296">
        <v>296</v>
      </c>
      <c r="B296" t="s">
        <v>1097</v>
      </c>
      <c r="C296" t="s">
        <v>2303</v>
      </c>
      <c r="D296" t="s">
        <v>2304</v>
      </c>
      <c r="E296" t="s">
        <v>1790</v>
      </c>
    </row>
    <row r="297" spans="1:5" x14ac:dyDescent="0.2">
      <c r="A297">
        <v>297</v>
      </c>
      <c r="B297" t="s">
        <v>1097</v>
      </c>
      <c r="C297" t="s">
        <v>2305</v>
      </c>
      <c r="D297" t="s">
        <v>2306</v>
      </c>
      <c r="E297" t="s">
        <v>1790</v>
      </c>
    </row>
    <row r="298" spans="1:5" x14ac:dyDescent="0.2">
      <c r="A298">
        <v>298</v>
      </c>
      <c r="B298" t="s">
        <v>1097</v>
      </c>
      <c r="C298" t="s">
        <v>2307</v>
      </c>
      <c r="D298" t="s">
        <v>2308</v>
      </c>
      <c r="E298" t="s">
        <v>1790</v>
      </c>
    </row>
    <row r="299" spans="1:5" x14ac:dyDescent="0.2">
      <c r="A299">
        <v>299</v>
      </c>
      <c r="B299" t="s">
        <v>1097</v>
      </c>
      <c r="C299" t="s">
        <v>2309</v>
      </c>
      <c r="D299" t="s">
        <v>2310</v>
      </c>
      <c r="E299" t="s">
        <v>1790</v>
      </c>
    </row>
    <row r="300" spans="1:5" x14ac:dyDescent="0.2">
      <c r="A300">
        <v>300</v>
      </c>
      <c r="B300" t="s">
        <v>1097</v>
      </c>
      <c r="C300" t="s">
        <v>2311</v>
      </c>
      <c r="D300" t="s">
        <v>2312</v>
      </c>
      <c r="E300" t="s">
        <v>1790</v>
      </c>
    </row>
    <row r="301" spans="1:5" x14ac:dyDescent="0.2">
      <c r="A301">
        <v>301</v>
      </c>
      <c r="B301" t="s">
        <v>1097</v>
      </c>
      <c r="C301" t="s">
        <v>2313</v>
      </c>
      <c r="D301" t="s">
        <v>2314</v>
      </c>
      <c r="E301" t="s">
        <v>1790</v>
      </c>
    </row>
    <row r="302" spans="1:5" x14ac:dyDescent="0.2">
      <c r="A302">
        <v>302</v>
      </c>
      <c r="B302" t="s">
        <v>1097</v>
      </c>
      <c r="C302" t="s">
        <v>2315</v>
      </c>
      <c r="D302" t="s">
        <v>2316</v>
      </c>
      <c r="E302" t="s">
        <v>1790</v>
      </c>
    </row>
    <row r="303" spans="1:5" x14ac:dyDescent="0.2">
      <c r="A303">
        <v>303</v>
      </c>
      <c r="B303" t="s">
        <v>1097</v>
      </c>
      <c r="C303" t="s">
        <v>2317</v>
      </c>
      <c r="D303" t="s">
        <v>2318</v>
      </c>
      <c r="E303" t="s">
        <v>1790</v>
      </c>
    </row>
    <row r="304" spans="1:5" x14ac:dyDescent="0.2">
      <c r="A304">
        <v>304</v>
      </c>
      <c r="B304" t="s">
        <v>1097</v>
      </c>
      <c r="C304" t="s">
        <v>2319</v>
      </c>
      <c r="D304" t="s">
        <v>2320</v>
      </c>
      <c r="E304" t="s">
        <v>1790</v>
      </c>
    </row>
    <row r="305" spans="1:5" x14ac:dyDescent="0.2">
      <c r="A305">
        <v>305</v>
      </c>
      <c r="B305" t="s">
        <v>1097</v>
      </c>
      <c r="C305" t="s">
        <v>2321</v>
      </c>
      <c r="D305" t="s">
        <v>2322</v>
      </c>
      <c r="E305" t="s">
        <v>1790</v>
      </c>
    </row>
    <row r="306" spans="1:5" x14ac:dyDescent="0.2">
      <c r="A306">
        <v>306</v>
      </c>
      <c r="B306" t="s">
        <v>1097</v>
      </c>
      <c r="C306" t="s">
        <v>2323</v>
      </c>
      <c r="D306" t="s">
        <v>2324</v>
      </c>
      <c r="E306" t="s">
        <v>1790</v>
      </c>
    </row>
    <row r="307" spans="1:5" x14ac:dyDescent="0.2">
      <c r="A307">
        <v>307</v>
      </c>
      <c r="B307" t="s">
        <v>1097</v>
      </c>
      <c r="C307" t="s">
        <v>2325</v>
      </c>
      <c r="D307" t="s">
        <v>2326</v>
      </c>
      <c r="E307" t="s">
        <v>1790</v>
      </c>
    </row>
    <row r="308" spans="1:5" x14ac:dyDescent="0.2">
      <c r="A308">
        <v>308</v>
      </c>
      <c r="B308" t="s">
        <v>1097</v>
      </c>
      <c r="C308" t="s">
        <v>2327</v>
      </c>
      <c r="D308" t="s">
        <v>2328</v>
      </c>
      <c r="E308" t="s">
        <v>1790</v>
      </c>
    </row>
    <row r="309" spans="1:5" x14ac:dyDescent="0.2">
      <c r="A309">
        <v>309</v>
      </c>
      <c r="B309" t="s">
        <v>1097</v>
      </c>
      <c r="C309" t="s">
        <v>2329</v>
      </c>
      <c r="D309" t="s">
        <v>2330</v>
      </c>
      <c r="E309" t="s">
        <v>1790</v>
      </c>
    </row>
    <row r="310" spans="1:5" x14ac:dyDescent="0.2">
      <c r="A310">
        <v>310</v>
      </c>
      <c r="B310" t="s">
        <v>1097</v>
      </c>
      <c r="C310" t="s">
        <v>2331</v>
      </c>
      <c r="D310" t="s">
        <v>2332</v>
      </c>
      <c r="E310" t="s">
        <v>1790</v>
      </c>
    </row>
    <row r="311" spans="1:5" x14ac:dyDescent="0.2">
      <c r="A311">
        <v>311</v>
      </c>
      <c r="B311" t="s">
        <v>1097</v>
      </c>
      <c r="C311" t="s">
        <v>2333</v>
      </c>
      <c r="D311" t="s">
        <v>2334</v>
      </c>
      <c r="E311" t="s">
        <v>1790</v>
      </c>
    </row>
    <row r="312" spans="1:5" x14ac:dyDescent="0.2">
      <c r="A312">
        <v>312</v>
      </c>
      <c r="B312" t="s">
        <v>1097</v>
      </c>
      <c r="C312" t="s">
        <v>2335</v>
      </c>
      <c r="D312" t="s">
        <v>2336</v>
      </c>
      <c r="E312" t="s">
        <v>1790</v>
      </c>
    </row>
    <row r="313" spans="1:5" x14ac:dyDescent="0.2">
      <c r="A313">
        <v>313</v>
      </c>
      <c r="B313" t="s">
        <v>1097</v>
      </c>
      <c r="C313" t="s">
        <v>2337</v>
      </c>
      <c r="D313" t="s">
        <v>2338</v>
      </c>
      <c r="E313" t="s">
        <v>1790</v>
      </c>
    </row>
    <row r="314" spans="1:5" x14ac:dyDescent="0.2">
      <c r="A314">
        <v>314</v>
      </c>
      <c r="B314" t="s">
        <v>1097</v>
      </c>
      <c r="C314" t="s">
        <v>2339</v>
      </c>
      <c r="D314" t="s">
        <v>2340</v>
      </c>
      <c r="E314" t="s">
        <v>1790</v>
      </c>
    </row>
    <row r="315" spans="1:5" x14ac:dyDescent="0.2">
      <c r="A315">
        <v>315</v>
      </c>
      <c r="B315" t="s">
        <v>1097</v>
      </c>
      <c r="C315" t="s">
        <v>2341</v>
      </c>
      <c r="D315" t="s">
        <v>2342</v>
      </c>
      <c r="E315" t="s">
        <v>1790</v>
      </c>
    </row>
    <row r="316" spans="1:5" x14ac:dyDescent="0.2">
      <c r="A316">
        <v>316</v>
      </c>
      <c r="B316" t="s">
        <v>1097</v>
      </c>
      <c r="C316" t="s">
        <v>2343</v>
      </c>
      <c r="D316" t="s">
        <v>2344</v>
      </c>
      <c r="E316" t="s">
        <v>1790</v>
      </c>
    </row>
    <row r="317" spans="1:5" x14ac:dyDescent="0.2">
      <c r="A317">
        <v>317</v>
      </c>
      <c r="B317" t="s">
        <v>1097</v>
      </c>
      <c r="C317" t="s">
        <v>2345</v>
      </c>
      <c r="D317" t="s">
        <v>2346</v>
      </c>
      <c r="E317" t="s">
        <v>1790</v>
      </c>
    </row>
    <row r="318" spans="1:5" x14ac:dyDescent="0.2">
      <c r="A318">
        <v>318</v>
      </c>
      <c r="B318" t="s">
        <v>1097</v>
      </c>
      <c r="C318" t="s">
        <v>2347</v>
      </c>
      <c r="D318" t="s">
        <v>2348</v>
      </c>
      <c r="E318" t="s">
        <v>1790</v>
      </c>
    </row>
    <row r="319" spans="1:5" x14ac:dyDescent="0.2">
      <c r="A319">
        <v>319</v>
      </c>
      <c r="B319" t="s">
        <v>1097</v>
      </c>
      <c r="C319" t="s">
        <v>2349</v>
      </c>
      <c r="D319" t="s">
        <v>2350</v>
      </c>
      <c r="E319" t="s">
        <v>1790</v>
      </c>
    </row>
    <row r="320" spans="1:5" x14ac:dyDescent="0.2">
      <c r="A320">
        <v>320</v>
      </c>
      <c r="B320" t="s">
        <v>1097</v>
      </c>
      <c r="C320" t="s">
        <v>2351</v>
      </c>
      <c r="D320" t="s">
        <v>2352</v>
      </c>
      <c r="E320" t="s">
        <v>1790</v>
      </c>
    </row>
    <row r="321" spans="1:5" x14ac:dyDescent="0.2">
      <c r="A321">
        <v>321</v>
      </c>
      <c r="B321" t="s">
        <v>1097</v>
      </c>
      <c r="C321" t="s">
        <v>2353</v>
      </c>
      <c r="D321" t="s">
        <v>2354</v>
      </c>
      <c r="E321" t="s">
        <v>1790</v>
      </c>
    </row>
    <row r="322" spans="1:5" x14ac:dyDescent="0.2">
      <c r="A322">
        <v>322</v>
      </c>
      <c r="B322" t="s">
        <v>1097</v>
      </c>
      <c r="C322" t="s">
        <v>2355</v>
      </c>
      <c r="D322" t="s">
        <v>2356</v>
      </c>
      <c r="E322" t="s">
        <v>1790</v>
      </c>
    </row>
    <row r="323" spans="1:5" x14ac:dyDescent="0.2">
      <c r="A323">
        <v>323</v>
      </c>
      <c r="B323" t="s">
        <v>1097</v>
      </c>
      <c r="C323" t="s">
        <v>2357</v>
      </c>
      <c r="D323" t="s">
        <v>2358</v>
      </c>
      <c r="E323" t="s">
        <v>1790</v>
      </c>
    </row>
    <row r="324" spans="1:5" x14ac:dyDescent="0.2">
      <c r="A324">
        <v>324</v>
      </c>
      <c r="B324" t="s">
        <v>1097</v>
      </c>
      <c r="C324" t="s">
        <v>2359</v>
      </c>
      <c r="D324" t="s">
        <v>2360</v>
      </c>
      <c r="E324" t="s">
        <v>1790</v>
      </c>
    </row>
    <row r="325" spans="1:5" x14ac:dyDescent="0.2">
      <c r="A325">
        <v>325</v>
      </c>
      <c r="B325" t="s">
        <v>1097</v>
      </c>
      <c r="C325" t="s">
        <v>2361</v>
      </c>
      <c r="D325" t="s">
        <v>2362</v>
      </c>
      <c r="E325" t="s">
        <v>1790</v>
      </c>
    </row>
    <row r="326" spans="1:5" x14ac:dyDescent="0.2">
      <c r="A326">
        <v>326</v>
      </c>
      <c r="B326" t="s">
        <v>538</v>
      </c>
      <c r="C326" t="s">
        <v>2363</v>
      </c>
      <c r="D326" t="s">
        <v>2364</v>
      </c>
      <c r="E326" t="s">
        <v>2365</v>
      </c>
    </row>
    <row r="327" spans="1:5" x14ac:dyDescent="0.2">
      <c r="A327">
        <v>327</v>
      </c>
      <c r="B327" t="s">
        <v>538</v>
      </c>
      <c r="C327" t="s">
        <v>2366</v>
      </c>
      <c r="D327" t="s">
        <v>2367</v>
      </c>
      <c r="E327" t="s">
        <v>2365</v>
      </c>
    </row>
    <row r="328" spans="1:5" x14ac:dyDescent="0.2">
      <c r="A328">
        <v>328</v>
      </c>
      <c r="B328" t="s">
        <v>538</v>
      </c>
      <c r="C328" t="s">
        <v>2368</v>
      </c>
      <c r="D328" t="s">
        <v>2369</v>
      </c>
      <c r="E328" t="s">
        <v>2365</v>
      </c>
    </row>
    <row r="329" spans="1:5" x14ac:dyDescent="0.2">
      <c r="A329">
        <v>329</v>
      </c>
      <c r="B329" t="s">
        <v>538</v>
      </c>
      <c r="C329" t="s">
        <v>2370</v>
      </c>
      <c r="D329" t="s">
        <v>2371</v>
      </c>
      <c r="E329" t="s">
        <v>2365</v>
      </c>
    </row>
    <row r="330" spans="1:5" x14ac:dyDescent="0.2">
      <c r="A330">
        <v>330</v>
      </c>
      <c r="B330" t="s">
        <v>538</v>
      </c>
      <c r="C330" t="s">
        <v>2372</v>
      </c>
      <c r="D330" t="s">
        <v>2373</v>
      </c>
      <c r="E330" t="s">
        <v>2365</v>
      </c>
    </row>
    <row r="331" spans="1:5" x14ac:dyDescent="0.2">
      <c r="A331">
        <v>331</v>
      </c>
      <c r="B331" t="s">
        <v>543</v>
      </c>
      <c r="C331" t="s">
        <v>2374</v>
      </c>
      <c r="D331" t="s">
        <v>2375</v>
      </c>
      <c r="E331" t="s">
        <v>1790</v>
      </c>
    </row>
    <row r="332" spans="1:5" x14ac:dyDescent="0.2">
      <c r="A332">
        <v>332</v>
      </c>
      <c r="B332" t="s">
        <v>543</v>
      </c>
      <c r="C332" t="s">
        <v>2376</v>
      </c>
      <c r="D332" t="s">
        <v>2377</v>
      </c>
      <c r="E332" t="s">
        <v>1790</v>
      </c>
    </row>
    <row r="333" spans="1:5" x14ac:dyDescent="0.2">
      <c r="A333">
        <v>333</v>
      </c>
      <c r="B333" t="s">
        <v>543</v>
      </c>
      <c r="C333" t="s">
        <v>2378</v>
      </c>
      <c r="D333" t="s">
        <v>2379</v>
      </c>
      <c r="E333" t="s">
        <v>1790</v>
      </c>
    </row>
    <row r="334" spans="1:5" x14ac:dyDescent="0.2">
      <c r="A334">
        <v>334</v>
      </c>
      <c r="B334" t="s">
        <v>543</v>
      </c>
      <c r="C334" t="s">
        <v>2380</v>
      </c>
      <c r="D334" t="s">
        <v>2381</v>
      </c>
      <c r="E334" t="s">
        <v>1790</v>
      </c>
    </row>
    <row r="335" spans="1:5" x14ac:dyDescent="0.2">
      <c r="A335">
        <v>335</v>
      </c>
      <c r="B335" t="s">
        <v>543</v>
      </c>
      <c r="C335" t="s">
        <v>2382</v>
      </c>
      <c r="D335" t="s">
        <v>2381</v>
      </c>
      <c r="E335" t="s">
        <v>2383</v>
      </c>
    </row>
    <row r="336" spans="1:5" x14ac:dyDescent="0.2">
      <c r="A336">
        <v>336</v>
      </c>
      <c r="B336" t="s">
        <v>543</v>
      </c>
      <c r="C336" t="s">
        <v>2384</v>
      </c>
      <c r="D336" t="s">
        <v>2385</v>
      </c>
      <c r="E336" t="s">
        <v>1790</v>
      </c>
    </row>
    <row r="337" spans="1:5" x14ac:dyDescent="0.2">
      <c r="A337">
        <v>337</v>
      </c>
      <c r="B337" t="s">
        <v>543</v>
      </c>
      <c r="C337" t="s">
        <v>2386</v>
      </c>
      <c r="D337" t="s">
        <v>2387</v>
      </c>
      <c r="E337" t="s">
        <v>1790</v>
      </c>
    </row>
    <row r="338" spans="1:5" x14ac:dyDescent="0.2">
      <c r="A338">
        <v>338</v>
      </c>
      <c r="B338" t="s">
        <v>543</v>
      </c>
      <c r="C338" t="s">
        <v>2388</v>
      </c>
      <c r="D338" t="s">
        <v>2389</v>
      </c>
      <c r="E338" t="s">
        <v>1790</v>
      </c>
    </row>
    <row r="339" spans="1:5" x14ac:dyDescent="0.2">
      <c r="A339">
        <v>339</v>
      </c>
      <c r="B339" t="s">
        <v>543</v>
      </c>
      <c r="C339" t="s">
        <v>2390</v>
      </c>
      <c r="D339" t="s">
        <v>2391</v>
      </c>
      <c r="E339" t="s">
        <v>1790</v>
      </c>
    </row>
    <row r="340" spans="1:5" x14ac:dyDescent="0.2">
      <c r="A340">
        <v>340</v>
      </c>
      <c r="B340" t="s">
        <v>543</v>
      </c>
      <c r="C340" t="s">
        <v>2392</v>
      </c>
      <c r="D340" t="s">
        <v>2393</v>
      </c>
      <c r="E340" t="s">
        <v>1790</v>
      </c>
    </row>
    <row r="341" spans="1:5" x14ac:dyDescent="0.2">
      <c r="A341">
        <v>341</v>
      </c>
      <c r="B341" t="s">
        <v>543</v>
      </c>
      <c r="C341" t="s">
        <v>2394</v>
      </c>
      <c r="D341" t="s">
        <v>2393</v>
      </c>
      <c r="E341" t="s">
        <v>2383</v>
      </c>
    </row>
    <row r="342" spans="1:5" x14ac:dyDescent="0.2">
      <c r="A342">
        <v>342</v>
      </c>
      <c r="B342" t="s">
        <v>543</v>
      </c>
      <c r="C342" t="s">
        <v>2395</v>
      </c>
      <c r="D342" t="s">
        <v>2396</v>
      </c>
      <c r="E342" t="s">
        <v>1790</v>
      </c>
    </row>
    <row r="343" spans="1:5" x14ac:dyDescent="0.2">
      <c r="A343">
        <v>343</v>
      </c>
      <c r="B343" t="s">
        <v>543</v>
      </c>
      <c r="C343" t="s">
        <v>2397</v>
      </c>
      <c r="D343" t="s">
        <v>2398</v>
      </c>
      <c r="E343" t="s">
        <v>1790</v>
      </c>
    </row>
    <row r="344" spans="1:5" x14ac:dyDescent="0.2">
      <c r="A344">
        <v>344</v>
      </c>
      <c r="B344" t="s">
        <v>543</v>
      </c>
      <c r="C344" t="s">
        <v>2399</v>
      </c>
      <c r="D344" t="s">
        <v>2400</v>
      </c>
      <c r="E344" t="s">
        <v>1790</v>
      </c>
    </row>
    <row r="345" spans="1:5" x14ac:dyDescent="0.2">
      <c r="A345">
        <v>345</v>
      </c>
      <c r="B345" t="s">
        <v>543</v>
      </c>
      <c r="C345" t="s">
        <v>2401</v>
      </c>
      <c r="D345" t="s">
        <v>2402</v>
      </c>
      <c r="E345" t="s">
        <v>1790</v>
      </c>
    </row>
    <row r="346" spans="1:5" x14ac:dyDescent="0.2">
      <c r="A346">
        <v>346</v>
      </c>
      <c r="B346" t="s">
        <v>543</v>
      </c>
      <c r="C346" t="s">
        <v>2403</v>
      </c>
      <c r="D346" t="s">
        <v>2402</v>
      </c>
      <c r="E346" t="s">
        <v>2383</v>
      </c>
    </row>
    <row r="347" spans="1:5" x14ac:dyDescent="0.2">
      <c r="A347">
        <v>347</v>
      </c>
      <c r="B347" t="s">
        <v>543</v>
      </c>
      <c r="C347" t="s">
        <v>2404</v>
      </c>
      <c r="D347" t="s">
        <v>2405</v>
      </c>
      <c r="E347" t="s">
        <v>1790</v>
      </c>
    </row>
    <row r="348" spans="1:5" x14ac:dyDescent="0.2">
      <c r="A348">
        <v>348</v>
      </c>
      <c r="B348" t="s">
        <v>543</v>
      </c>
      <c r="C348" t="s">
        <v>2406</v>
      </c>
      <c r="D348" t="s">
        <v>2407</v>
      </c>
      <c r="E348" t="s">
        <v>1790</v>
      </c>
    </row>
    <row r="349" spans="1:5" x14ac:dyDescent="0.2">
      <c r="A349">
        <v>349</v>
      </c>
      <c r="B349" t="s">
        <v>543</v>
      </c>
      <c r="C349" t="s">
        <v>2408</v>
      </c>
      <c r="D349" t="s">
        <v>2409</v>
      </c>
      <c r="E349" t="s">
        <v>1790</v>
      </c>
    </row>
    <row r="350" spans="1:5" x14ac:dyDescent="0.2">
      <c r="A350">
        <v>350</v>
      </c>
      <c r="B350" t="s">
        <v>543</v>
      </c>
      <c r="C350" t="s">
        <v>2410</v>
      </c>
      <c r="D350" t="s">
        <v>2411</v>
      </c>
      <c r="E350" t="s">
        <v>1790</v>
      </c>
    </row>
    <row r="351" spans="1:5" x14ac:dyDescent="0.2">
      <c r="A351">
        <v>351</v>
      </c>
      <c r="B351" t="s">
        <v>543</v>
      </c>
      <c r="C351" t="s">
        <v>2412</v>
      </c>
      <c r="D351" t="s">
        <v>2413</v>
      </c>
      <c r="E351" t="s">
        <v>1790</v>
      </c>
    </row>
    <row r="352" spans="1:5" x14ac:dyDescent="0.2">
      <c r="A352">
        <v>352</v>
      </c>
      <c r="B352" t="s">
        <v>543</v>
      </c>
      <c r="C352" t="s">
        <v>2414</v>
      </c>
      <c r="D352" t="s">
        <v>2415</v>
      </c>
      <c r="E352" t="s">
        <v>1790</v>
      </c>
    </row>
    <row r="353" spans="1:5" x14ac:dyDescent="0.2">
      <c r="A353">
        <v>353</v>
      </c>
      <c r="B353" t="s">
        <v>543</v>
      </c>
      <c r="C353" t="s">
        <v>2416</v>
      </c>
      <c r="D353" t="s">
        <v>2417</v>
      </c>
      <c r="E353" t="s">
        <v>1790</v>
      </c>
    </row>
    <row r="354" spans="1:5" x14ac:dyDescent="0.2">
      <c r="A354">
        <v>354</v>
      </c>
      <c r="B354" t="s">
        <v>543</v>
      </c>
      <c r="C354" t="s">
        <v>2418</v>
      </c>
      <c r="D354" t="s">
        <v>2419</v>
      </c>
      <c r="E354" t="s">
        <v>1790</v>
      </c>
    </row>
    <row r="355" spans="1:5" x14ac:dyDescent="0.2">
      <c r="A355">
        <v>355</v>
      </c>
      <c r="B355" t="s">
        <v>543</v>
      </c>
      <c r="C355" t="s">
        <v>2420</v>
      </c>
      <c r="D355" t="s">
        <v>2421</v>
      </c>
      <c r="E355" t="s">
        <v>1790</v>
      </c>
    </row>
    <row r="356" spans="1:5" x14ac:dyDescent="0.2">
      <c r="A356">
        <v>356</v>
      </c>
      <c r="B356" t="s">
        <v>543</v>
      </c>
      <c r="C356" t="s">
        <v>2422</v>
      </c>
      <c r="D356" t="s">
        <v>2423</v>
      </c>
      <c r="E356" t="s">
        <v>1790</v>
      </c>
    </row>
    <row r="357" spans="1:5" x14ac:dyDescent="0.2">
      <c r="A357">
        <v>357</v>
      </c>
      <c r="B357" t="s">
        <v>543</v>
      </c>
      <c r="C357" t="s">
        <v>2424</v>
      </c>
      <c r="D357" t="s">
        <v>2425</v>
      </c>
      <c r="E357" t="s">
        <v>1790</v>
      </c>
    </row>
    <row r="358" spans="1:5" x14ac:dyDescent="0.2">
      <c r="A358">
        <v>358</v>
      </c>
      <c r="B358" t="s">
        <v>543</v>
      </c>
      <c r="C358" t="s">
        <v>2426</v>
      </c>
      <c r="D358" t="s">
        <v>2427</v>
      </c>
      <c r="E358" t="s">
        <v>1790</v>
      </c>
    </row>
    <row r="359" spans="1:5" x14ac:dyDescent="0.2">
      <c r="A359">
        <v>359</v>
      </c>
      <c r="B359" t="s">
        <v>543</v>
      </c>
      <c r="C359" t="s">
        <v>2428</v>
      </c>
      <c r="D359" t="s">
        <v>2429</v>
      </c>
      <c r="E359" t="s">
        <v>1790</v>
      </c>
    </row>
    <row r="360" spans="1:5" x14ac:dyDescent="0.2">
      <c r="A360">
        <v>360</v>
      </c>
      <c r="B360" t="s">
        <v>543</v>
      </c>
      <c r="C360" t="s">
        <v>2430</v>
      </c>
      <c r="D360" t="s">
        <v>2431</v>
      </c>
      <c r="E360" t="s">
        <v>1790</v>
      </c>
    </row>
    <row r="361" spans="1:5" x14ac:dyDescent="0.2">
      <c r="A361">
        <v>361</v>
      </c>
      <c r="B361" t="s">
        <v>543</v>
      </c>
      <c r="C361" t="s">
        <v>2432</v>
      </c>
      <c r="D361" t="s">
        <v>2431</v>
      </c>
      <c r="E361" t="s">
        <v>2383</v>
      </c>
    </row>
    <row r="362" spans="1:5" x14ac:dyDescent="0.2">
      <c r="A362">
        <v>362</v>
      </c>
      <c r="B362" t="s">
        <v>543</v>
      </c>
      <c r="C362" t="s">
        <v>2433</v>
      </c>
      <c r="D362" t="s">
        <v>2434</v>
      </c>
      <c r="E362" t="s">
        <v>1790</v>
      </c>
    </row>
    <row r="363" spans="1:5" x14ac:dyDescent="0.2">
      <c r="A363">
        <v>363</v>
      </c>
      <c r="B363" t="s">
        <v>543</v>
      </c>
      <c r="C363" t="s">
        <v>2435</v>
      </c>
      <c r="D363" t="s">
        <v>2436</v>
      </c>
      <c r="E363" t="s">
        <v>1790</v>
      </c>
    </row>
    <row r="364" spans="1:5" x14ac:dyDescent="0.2">
      <c r="A364">
        <v>364</v>
      </c>
      <c r="B364" t="s">
        <v>543</v>
      </c>
      <c r="C364" t="s">
        <v>2437</v>
      </c>
      <c r="D364" t="s">
        <v>2438</v>
      </c>
      <c r="E364" t="s">
        <v>1790</v>
      </c>
    </row>
    <row r="365" spans="1:5" x14ac:dyDescent="0.2">
      <c r="A365">
        <v>365</v>
      </c>
      <c r="B365" t="s">
        <v>543</v>
      </c>
      <c r="C365" t="s">
        <v>2439</v>
      </c>
      <c r="D365" t="s">
        <v>2440</v>
      </c>
      <c r="E365" t="s">
        <v>1790</v>
      </c>
    </row>
    <row r="366" spans="1:5" x14ac:dyDescent="0.2">
      <c r="A366">
        <v>366</v>
      </c>
      <c r="B366" t="s">
        <v>543</v>
      </c>
      <c r="C366" t="s">
        <v>2441</v>
      </c>
      <c r="D366" t="s">
        <v>2442</v>
      </c>
      <c r="E366" t="s">
        <v>1790</v>
      </c>
    </row>
    <row r="367" spans="1:5" x14ac:dyDescent="0.2">
      <c r="A367">
        <v>367</v>
      </c>
      <c r="B367" t="s">
        <v>543</v>
      </c>
      <c r="C367" t="s">
        <v>2443</v>
      </c>
      <c r="D367" t="s">
        <v>2444</v>
      </c>
      <c r="E367" t="s">
        <v>1790</v>
      </c>
    </row>
    <row r="368" spans="1:5" x14ac:dyDescent="0.2">
      <c r="A368">
        <v>368</v>
      </c>
      <c r="B368" t="s">
        <v>543</v>
      </c>
      <c r="C368" t="s">
        <v>2445</v>
      </c>
      <c r="D368" t="s">
        <v>2446</v>
      </c>
      <c r="E368" t="s">
        <v>1790</v>
      </c>
    </row>
    <row r="369" spans="1:5" x14ac:dyDescent="0.2">
      <c r="A369">
        <v>369</v>
      </c>
      <c r="B369" t="s">
        <v>543</v>
      </c>
      <c r="C369" t="s">
        <v>2447</v>
      </c>
      <c r="D369" t="s">
        <v>2448</v>
      </c>
      <c r="E369" t="s">
        <v>1790</v>
      </c>
    </row>
    <row r="370" spans="1:5" x14ac:dyDescent="0.2">
      <c r="A370">
        <v>370</v>
      </c>
      <c r="B370" t="s">
        <v>543</v>
      </c>
      <c r="C370" t="s">
        <v>2449</v>
      </c>
      <c r="D370" t="s">
        <v>2450</v>
      </c>
      <c r="E370" t="s">
        <v>1790</v>
      </c>
    </row>
    <row r="371" spans="1:5" x14ac:dyDescent="0.2">
      <c r="A371">
        <v>371</v>
      </c>
      <c r="B371" t="s">
        <v>543</v>
      </c>
      <c r="C371" t="s">
        <v>2451</v>
      </c>
      <c r="D371" t="s">
        <v>2452</v>
      </c>
      <c r="E371" t="s">
        <v>1790</v>
      </c>
    </row>
    <row r="372" spans="1:5" x14ac:dyDescent="0.2">
      <c r="A372">
        <v>372</v>
      </c>
      <c r="B372" t="s">
        <v>543</v>
      </c>
      <c r="C372" t="s">
        <v>2453</v>
      </c>
      <c r="D372" t="s">
        <v>2454</v>
      </c>
      <c r="E372" t="s">
        <v>1790</v>
      </c>
    </row>
    <row r="373" spans="1:5" x14ac:dyDescent="0.2">
      <c r="A373">
        <v>373</v>
      </c>
      <c r="B373" t="s">
        <v>543</v>
      </c>
      <c r="C373" t="s">
        <v>2455</v>
      </c>
      <c r="D373" t="s">
        <v>2456</v>
      </c>
      <c r="E373" t="s">
        <v>1790</v>
      </c>
    </row>
    <row r="374" spans="1:5" x14ac:dyDescent="0.2">
      <c r="A374">
        <v>374</v>
      </c>
      <c r="B374" t="s">
        <v>543</v>
      </c>
      <c r="C374" t="s">
        <v>2457</v>
      </c>
      <c r="D374" t="s">
        <v>2458</v>
      </c>
      <c r="E374" t="s">
        <v>1790</v>
      </c>
    </row>
    <row r="375" spans="1:5" x14ac:dyDescent="0.2">
      <c r="A375">
        <v>375</v>
      </c>
      <c r="B375" t="s">
        <v>543</v>
      </c>
      <c r="C375" t="s">
        <v>2459</v>
      </c>
      <c r="D375" t="s">
        <v>2460</v>
      </c>
      <c r="E375" t="s">
        <v>1790</v>
      </c>
    </row>
    <row r="376" spans="1:5" x14ac:dyDescent="0.2">
      <c r="A376">
        <v>376</v>
      </c>
      <c r="B376" t="s">
        <v>543</v>
      </c>
      <c r="C376" t="s">
        <v>2461</v>
      </c>
      <c r="D376" t="s">
        <v>2462</v>
      </c>
      <c r="E376" t="s">
        <v>1790</v>
      </c>
    </row>
    <row r="377" spans="1:5" x14ac:dyDescent="0.2">
      <c r="A377">
        <v>377</v>
      </c>
      <c r="B377" t="s">
        <v>543</v>
      </c>
      <c r="C377" t="s">
        <v>2463</v>
      </c>
      <c r="D377" t="s">
        <v>2464</v>
      </c>
      <c r="E377" t="s">
        <v>1790</v>
      </c>
    </row>
    <row r="378" spans="1:5" x14ac:dyDescent="0.2">
      <c r="A378">
        <v>378</v>
      </c>
      <c r="B378" t="s">
        <v>543</v>
      </c>
      <c r="C378" t="s">
        <v>2465</v>
      </c>
      <c r="D378" t="s">
        <v>2466</v>
      </c>
      <c r="E378" t="s">
        <v>1790</v>
      </c>
    </row>
    <row r="379" spans="1:5" x14ac:dyDescent="0.2">
      <c r="A379">
        <v>379</v>
      </c>
      <c r="B379" t="s">
        <v>543</v>
      </c>
      <c r="C379" t="s">
        <v>2467</v>
      </c>
      <c r="D379" t="s">
        <v>2468</v>
      </c>
      <c r="E379" t="s">
        <v>1790</v>
      </c>
    </row>
    <row r="380" spans="1:5" x14ac:dyDescent="0.2">
      <c r="A380">
        <v>380</v>
      </c>
      <c r="B380" t="s">
        <v>543</v>
      </c>
      <c r="C380" t="s">
        <v>2469</v>
      </c>
      <c r="D380" t="s">
        <v>2470</v>
      </c>
      <c r="E380" t="s">
        <v>1790</v>
      </c>
    </row>
    <row r="381" spans="1:5" x14ac:dyDescent="0.2">
      <c r="A381">
        <v>381</v>
      </c>
      <c r="B381" t="s">
        <v>543</v>
      </c>
      <c r="C381" t="s">
        <v>2471</v>
      </c>
      <c r="D381" t="s">
        <v>2472</v>
      </c>
      <c r="E381" t="s">
        <v>1790</v>
      </c>
    </row>
    <row r="382" spans="1:5" x14ac:dyDescent="0.2">
      <c r="A382">
        <v>382</v>
      </c>
      <c r="B382" t="s">
        <v>543</v>
      </c>
      <c r="C382" t="s">
        <v>2473</v>
      </c>
      <c r="D382" t="s">
        <v>2474</v>
      </c>
      <c r="E382" t="s">
        <v>1790</v>
      </c>
    </row>
    <row r="383" spans="1:5" x14ac:dyDescent="0.2">
      <c r="A383">
        <v>383</v>
      </c>
      <c r="B383" t="s">
        <v>543</v>
      </c>
      <c r="C383" t="s">
        <v>2475</v>
      </c>
      <c r="D383" t="s">
        <v>2476</v>
      </c>
      <c r="E383" t="s">
        <v>1790</v>
      </c>
    </row>
    <row r="384" spans="1:5" x14ac:dyDescent="0.2">
      <c r="A384">
        <v>384</v>
      </c>
      <c r="B384" t="s">
        <v>543</v>
      </c>
      <c r="C384" t="s">
        <v>2477</v>
      </c>
      <c r="D384" t="s">
        <v>2478</v>
      </c>
      <c r="E384" t="s">
        <v>1790</v>
      </c>
    </row>
    <row r="385" spans="1:5" x14ac:dyDescent="0.2">
      <c r="A385">
        <v>385</v>
      </c>
      <c r="B385" t="s">
        <v>543</v>
      </c>
      <c r="C385" t="s">
        <v>2479</v>
      </c>
      <c r="D385" t="s">
        <v>2480</v>
      </c>
      <c r="E385" t="s">
        <v>1790</v>
      </c>
    </row>
    <row r="386" spans="1:5" x14ac:dyDescent="0.2">
      <c r="A386">
        <v>386</v>
      </c>
      <c r="B386" t="s">
        <v>543</v>
      </c>
      <c r="C386" t="s">
        <v>2481</v>
      </c>
      <c r="D386" t="s">
        <v>2482</v>
      </c>
      <c r="E386" t="s">
        <v>1790</v>
      </c>
    </row>
    <row r="387" spans="1:5" x14ac:dyDescent="0.2">
      <c r="A387">
        <v>387</v>
      </c>
      <c r="B387" t="s">
        <v>543</v>
      </c>
      <c r="C387" t="s">
        <v>2483</v>
      </c>
      <c r="D387" t="s">
        <v>2484</v>
      </c>
      <c r="E387" t="s">
        <v>1790</v>
      </c>
    </row>
    <row r="388" spans="1:5" x14ac:dyDescent="0.2">
      <c r="A388">
        <v>388</v>
      </c>
      <c r="B388" t="s">
        <v>543</v>
      </c>
      <c r="C388" t="s">
        <v>2485</v>
      </c>
      <c r="D388" t="s">
        <v>2486</v>
      </c>
      <c r="E388" t="s">
        <v>1790</v>
      </c>
    </row>
    <row r="389" spans="1:5" x14ac:dyDescent="0.2">
      <c r="A389">
        <v>389</v>
      </c>
      <c r="B389" t="s">
        <v>543</v>
      </c>
      <c r="C389" t="s">
        <v>2487</v>
      </c>
      <c r="D389" t="s">
        <v>2486</v>
      </c>
      <c r="E389" t="s">
        <v>2383</v>
      </c>
    </row>
    <row r="390" spans="1:5" x14ac:dyDescent="0.2">
      <c r="A390">
        <v>390</v>
      </c>
      <c r="B390" t="s">
        <v>543</v>
      </c>
      <c r="C390" t="s">
        <v>2488</v>
      </c>
      <c r="D390" t="s">
        <v>2489</v>
      </c>
      <c r="E390" t="s">
        <v>1790</v>
      </c>
    </row>
    <row r="391" spans="1:5" x14ac:dyDescent="0.2">
      <c r="A391">
        <v>391</v>
      </c>
      <c r="B391" t="s">
        <v>543</v>
      </c>
      <c r="C391" t="s">
        <v>2490</v>
      </c>
      <c r="D391" t="s">
        <v>2491</v>
      </c>
      <c r="E391" t="s">
        <v>1790</v>
      </c>
    </row>
    <row r="392" spans="1:5" x14ac:dyDescent="0.2">
      <c r="A392">
        <v>392</v>
      </c>
      <c r="B392" t="s">
        <v>543</v>
      </c>
      <c r="C392" t="s">
        <v>2492</v>
      </c>
      <c r="D392" t="s">
        <v>2491</v>
      </c>
      <c r="E392" t="s">
        <v>2383</v>
      </c>
    </row>
    <row r="393" spans="1:5" x14ac:dyDescent="0.2">
      <c r="A393">
        <v>393</v>
      </c>
      <c r="B393" t="s">
        <v>543</v>
      </c>
      <c r="C393" t="s">
        <v>2493</v>
      </c>
      <c r="D393" t="s">
        <v>2494</v>
      </c>
      <c r="E393" t="s">
        <v>1790</v>
      </c>
    </row>
    <row r="394" spans="1:5" x14ac:dyDescent="0.2">
      <c r="A394">
        <v>394</v>
      </c>
      <c r="B394" t="s">
        <v>543</v>
      </c>
      <c r="C394" t="s">
        <v>2495</v>
      </c>
      <c r="D394" t="s">
        <v>2496</v>
      </c>
      <c r="E394" t="s">
        <v>1790</v>
      </c>
    </row>
    <row r="395" spans="1:5" x14ac:dyDescent="0.2">
      <c r="A395">
        <v>395</v>
      </c>
      <c r="B395" t="s">
        <v>543</v>
      </c>
      <c r="C395" t="s">
        <v>2497</v>
      </c>
      <c r="D395" t="s">
        <v>2498</v>
      </c>
      <c r="E395" t="s">
        <v>1790</v>
      </c>
    </row>
    <row r="396" spans="1:5" x14ac:dyDescent="0.2">
      <c r="A396">
        <v>396</v>
      </c>
      <c r="B396" t="s">
        <v>543</v>
      </c>
      <c r="C396" t="s">
        <v>2499</v>
      </c>
      <c r="D396" t="s">
        <v>2500</v>
      </c>
      <c r="E396" t="s">
        <v>1790</v>
      </c>
    </row>
    <row r="397" spans="1:5" x14ac:dyDescent="0.2">
      <c r="A397">
        <v>397</v>
      </c>
      <c r="B397" t="s">
        <v>543</v>
      </c>
      <c r="C397" t="s">
        <v>2501</v>
      </c>
      <c r="D397" t="s">
        <v>2502</v>
      </c>
      <c r="E397" t="s">
        <v>1790</v>
      </c>
    </row>
    <row r="398" spans="1:5" x14ac:dyDescent="0.2">
      <c r="A398">
        <v>398</v>
      </c>
      <c r="B398" t="s">
        <v>543</v>
      </c>
      <c r="C398" t="s">
        <v>2503</v>
      </c>
      <c r="D398" t="s">
        <v>2504</v>
      </c>
      <c r="E398" t="s">
        <v>1790</v>
      </c>
    </row>
    <row r="399" spans="1:5" x14ac:dyDescent="0.2">
      <c r="A399">
        <v>399</v>
      </c>
      <c r="B399" t="s">
        <v>543</v>
      </c>
      <c r="C399" t="s">
        <v>2505</v>
      </c>
      <c r="D399" t="s">
        <v>2504</v>
      </c>
      <c r="E399" t="s">
        <v>2383</v>
      </c>
    </row>
    <row r="400" spans="1:5" x14ac:dyDescent="0.2">
      <c r="A400">
        <v>400</v>
      </c>
      <c r="B400" t="s">
        <v>543</v>
      </c>
      <c r="C400" t="s">
        <v>2506</v>
      </c>
      <c r="D400" t="s">
        <v>2507</v>
      </c>
      <c r="E400" t="s">
        <v>1790</v>
      </c>
    </row>
    <row r="401" spans="1:5" x14ac:dyDescent="0.2">
      <c r="A401">
        <v>401</v>
      </c>
      <c r="B401" t="s">
        <v>543</v>
      </c>
      <c r="C401" t="s">
        <v>2508</v>
      </c>
      <c r="D401" t="s">
        <v>2509</v>
      </c>
      <c r="E401" t="s">
        <v>1790</v>
      </c>
    </row>
    <row r="402" spans="1:5" x14ac:dyDescent="0.2">
      <c r="A402">
        <v>402</v>
      </c>
      <c r="B402" t="s">
        <v>545</v>
      </c>
      <c r="C402" t="s">
        <v>2510</v>
      </c>
      <c r="D402" t="s">
        <v>2511</v>
      </c>
      <c r="E402" t="s">
        <v>1970</v>
      </c>
    </row>
    <row r="403" spans="1:5" x14ac:dyDescent="0.2">
      <c r="A403">
        <v>403</v>
      </c>
      <c r="B403" t="s">
        <v>545</v>
      </c>
      <c r="C403" t="s">
        <v>2512</v>
      </c>
      <c r="D403" t="s">
        <v>2513</v>
      </c>
      <c r="E403" t="s">
        <v>1970</v>
      </c>
    </row>
    <row r="404" spans="1:5" x14ac:dyDescent="0.2">
      <c r="A404">
        <v>404</v>
      </c>
      <c r="B404" t="s">
        <v>545</v>
      </c>
      <c r="C404" t="s">
        <v>2514</v>
      </c>
      <c r="D404" t="s">
        <v>2025</v>
      </c>
      <c r="E404" t="s">
        <v>1970</v>
      </c>
    </row>
    <row r="405" spans="1:5" x14ac:dyDescent="0.2">
      <c r="A405">
        <v>405</v>
      </c>
      <c r="B405" t="s">
        <v>545</v>
      </c>
      <c r="C405" t="s">
        <v>2515</v>
      </c>
      <c r="D405" t="s">
        <v>2516</v>
      </c>
      <c r="E405" t="s">
        <v>1970</v>
      </c>
    </row>
    <row r="406" spans="1:5" x14ac:dyDescent="0.2">
      <c r="A406">
        <v>406</v>
      </c>
      <c r="B406" t="s">
        <v>545</v>
      </c>
      <c r="C406" t="s">
        <v>2517</v>
      </c>
      <c r="D406" t="s">
        <v>2518</v>
      </c>
      <c r="E406" t="s">
        <v>1970</v>
      </c>
    </row>
    <row r="407" spans="1:5" x14ac:dyDescent="0.2">
      <c r="A407">
        <v>407</v>
      </c>
      <c r="B407" t="s">
        <v>545</v>
      </c>
      <c r="C407" t="s">
        <v>2519</v>
      </c>
      <c r="D407" t="s">
        <v>2520</v>
      </c>
      <c r="E407" t="s">
        <v>1970</v>
      </c>
    </row>
    <row r="408" spans="1:5" x14ac:dyDescent="0.2">
      <c r="A408">
        <v>408</v>
      </c>
      <c r="B408" t="s">
        <v>545</v>
      </c>
      <c r="C408" t="s">
        <v>2521</v>
      </c>
      <c r="D408" t="s">
        <v>2522</v>
      </c>
      <c r="E408" t="s">
        <v>1970</v>
      </c>
    </row>
    <row r="409" spans="1:5" x14ac:dyDescent="0.2">
      <c r="A409">
        <v>409</v>
      </c>
      <c r="B409" t="s">
        <v>545</v>
      </c>
      <c r="C409" t="s">
        <v>2523</v>
      </c>
      <c r="D409" t="s">
        <v>2524</v>
      </c>
      <c r="E409" t="s">
        <v>1970</v>
      </c>
    </row>
    <row r="410" spans="1:5" x14ac:dyDescent="0.2">
      <c r="A410">
        <v>410</v>
      </c>
      <c r="B410" t="s">
        <v>545</v>
      </c>
      <c r="C410" t="s">
        <v>2525</v>
      </c>
      <c r="D410" t="s">
        <v>2033</v>
      </c>
      <c r="E410" t="s">
        <v>1970</v>
      </c>
    </row>
    <row r="411" spans="1:5" x14ac:dyDescent="0.2">
      <c r="A411">
        <v>411</v>
      </c>
      <c r="B411" t="s">
        <v>545</v>
      </c>
      <c r="C411" t="s">
        <v>2526</v>
      </c>
      <c r="D411" t="s">
        <v>2035</v>
      </c>
      <c r="E411" t="s">
        <v>1970</v>
      </c>
    </row>
    <row r="412" spans="1:5" x14ac:dyDescent="0.2">
      <c r="A412">
        <v>412</v>
      </c>
      <c r="B412" t="s">
        <v>545</v>
      </c>
      <c r="C412" t="s">
        <v>2527</v>
      </c>
      <c r="D412" t="s">
        <v>2528</v>
      </c>
      <c r="E412" t="s">
        <v>1970</v>
      </c>
    </row>
    <row r="413" spans="1:5" x14ac:dyDescent="0.2">
      <c r="A413">
        <v>413</v>
      </c>
      <c r="B413" t="s">
        <v>550</v>
      </c>
      <c r="C413" t="s">
        <v>2529</v>
      </c>
      <c r="D413" t="s">
        <v>2530</v>
      </c>
      <c r="E413" t="s">
        <v>2531</v>
      </c>
    </row>
    <row r="414" spans="1:5" x14ac:dyDescent="0.2">
      <c r="A414">
        <v>414</v>
      </c>
      <c r="B414" t="s">
        <v>550</v>
      </c>
      <c r="C414" t="s">
        <v>2529</v>
      </c>
      <c r="D414" t="s">
        <v>2532</v>
      </c>
      <c r="E414" t="s">
        <v>2531</v>
      </c>
    </row>
    <row r="415" spans="1:5" x14ac:dyDescent="0.2">
      <c r="A415">
        <v>415</v>
      </c>
      <c r="B415" t="s">
        <v>550</v>
      </c>
      <c r="C415" t="s">
        <v>2533</v>
      </c>
      <c r="D415" t="s">
        <v>2534</v>
      </c>
      <c r="E415" t="s">
        <v>2531</v>
      </c>
    </row>
    <row r="416" spans="1:5" x14ac:dyDescent="0.2">
      <c r="A416">
        <v>416</v>
      </c>
      <c r="B416" t="s">
        <v>550</v>
      </c>
      <c r="C416" t="s">
        <v>2535</v>
      </c>
      <c r="D416" t="s">
        <v>2536</v>
      </c>
      <c r="E416" t="s">
        <v>2046</v>
      </c>
    </row>
    <row r="417" spans="1:5" x14ac:dyDescent="0.2">
      <c r="A417">
        <v>417</v>
      </c>
      <c r="B417" t="s">
        <v>550</v>
      </c>
      <c r="C417" t="s">
        <v>2537</v>
      </c>
      <c r="D417" t="s">
        <v>2538</v>
      </c>
      <c r="E417" t="s">
        <v>2531</v>
      </c>
    </row>
    <row r="418" spans="1:5" x14ac:dyDescent="0.2">
      <c r="A418">
        <v>418</v>
      </c>
      <c r="B418" t="s">
        <v>550</v>
      </c>
      <c r="C418" t="s">
        <v>2533</v>
      </c>
      <c r="D418" t="s">
        <v>2539</v>
      </c>
      <c r="E418" t="s">
        <v>2531</v>
      </c>
    </row>
    <row r="419" spans="1:5" x14ac:dyDescent="0.2">
      <c r="A419">
        <v>419</v>
      </c>
      <c r="B419" t="s">
        <v>550</v>
      </c>
      <c r="C419" t="s">
        <v>2535</v>
      </c>
      <c r="D419" t="s">
        <v>2540</v>
      </c>
      <c r="E419" t="s">
        <v>2046</v>
      </c>
    </row>
    <row r="420" spans="1:5" x14ac:dyDescent="0.2">
      <c r="A420">
        <v>420</v>
      </c>
      <c r="B420" t="s">
        <v>550</v>
      </c>
      <c r="C420" t="s">
        <v>2537</v>
      </c>
      <c r="D420" t="s">
        <v>2541</v>
      </c>
      <c r="E420" t="s">
        <v>2531</v>
      </c>
    </row>
    <row r="421" spans="1:5" x14ac:dyDescent="0.2">
      <c r="A421">
        <v>421</v>
      </c>
      <c r="B421" t="s">
        <v>550</v>
      </c>
      <c r="C421" t="s">
        <v>2542</v>
      </c>
      <c r="D421" t="s">
        <v>2543</v>
      </c>
      <c r="E421" t="s">
        <v>2531</v>
      </c>
    </row>
    <row r="422" spans="1:5" x14ac:dyDescent="0.2">
      <c r="A422">
        <v>422</v>
      </c>
      <c r="B422" t="s">
        <v>550</v>
      </c>
      <c r="C422" t="s">
        <v>2544</v>
      </c>
      <c r="D422" t="s">
        <v>2545</v>
      </c>
      <c r="E422" t="s">
        <v>2531</v>
      </c>
    </row>
    <row r="423" spans="1:5" x14ac:dyDescent="0.2">
      <c r="A423">
        <v>423</v>
      </c>
      <c r="B423" t="s">
        <v>550</v>
      </c>
      <c r="C423" t="s">
        <v>2544</v>
      </c>
      <c r="D423" t="s">
        <v>2546</v>
      </c>
      <c r="E423" t="s">
        <v>2531</v>
      </c>
    </row>
    <row r="424" spans="1:5" x14ac:dyDescent="0.2">
      <c r="A424">
        <v>424</v>
      </c>
      <c r="B424" t="s">
        <v>550</v>
      </c>
      <c r="C424" t="s">
        <v>2542</v>
      </c>
      <c r="D424" t="s">
        <v>2547</v>
      </c>
      <c r="E424" t="s">
        <v>2531</v>
      </c>
    </row>
    <row r="425" spans="1:5" x14ac:dyDescent="0.2">
      <c r="A425">
        <v>425</v>
      </c>
      <c r="B425" t="s">
        <v>550</v>
      </c>
      <c r="C425" t="s">
        <v>2548</v>
      </c>
      <c r="D425" t="s">
        <v>2549</v>
      </c>
      <c r="E425" t="s">
        <v>2531</v>
      </c>
    </row>
    <row r="426" spans="1:5" x14ac:dyDescent="0.2">
      <c r="A426">
        <v>426</v>
      </c>
      <c r="B426" t="s">
        <v>550</v>
      </c>
      <c r="C426" t="s">
        <v>2548</v>
      </c>
      <c r="D426" t="s">
        <v>2550</v>
      </c>
      <c r="E426" t="s">
        <v>2531</v>
      </c>
    </row>
    <row r="427" spans="1:5" x14ac:dyDescent="0.2">
      <c r="A427">
        <v>427</v>
      </c>
      <c r="B427" t="s">
        <v>552</v>
      </c>
      <c r="C427" t="s">
        <v>2551</v>
      </c>
      <c r="D427" t="s">
        <v>2552</v>
      </c>
      <c r="E427" t="s">
        <v>1719</v>
      </c>
    </row>
    <row r="428" spans="1:5" x14ac:dyDescent="0.2">
      <c r="A428">
        <v>428</v>
      </c>
      <c r="B428" t="s">
        <v>552</v>
      </c>
      <c r="C428" t="s">
        <v>2553</v>
      </c>
      <c r="D428" t="s">
        <v>2554</v>
      </c>
      <c r="E428" t="s">
        <v>1719</v>
      </c>
    </row>
    <row r="429" spans="1:5" x14ac:dyDescent="0.2">
      <c r="A429">
        <v>429</v>
      </c>
      <c r="B429" t="s">
        <v>552</v>
      </c>
      <c r="C429" t="s">
        <v>2555</v>
      </c>
      <c r="D429" t="s">
        <v>2556</v>
      </c>
      <c r="E429" t="s">
        <v>2087</v>
      </c>
    </row>
    <row r="430" spans="1:5" x14ac:dyDescent="0.2">
      <c r="A430">
        <v>430</v>
      </c>
      <c r="B430" t="s">
        <v>552</v>
      </c>
      <c r="C430" t="s">
        <v>2555</v>
      </c>
      <c r="D430" t="s">
        <v>2557</v>
      </c>
      <c r="E430" t="s">
        <v>2087</v>
      </c>
    </row>
    <row r="431" spans="1:5" x14ac:dyDescent="0.2">
      <c r="A431">
        <v>431</v>
      </c>
      <c r="B431" t="s">
        <v>552</v>
      </c>
      <c r="C431" t="s">
        <v>2558</v>
      </c>
      <c r="D431" t="s">
        <v>2559</v>
      </c>
      <c r="E431" t="s">
        <v>1719</v>
      </c>
    </row>
    <row r="432" spans="1:5" x14ac:dyDescent="0.2">
      <c r="A432">
        <v>432</v>
      </c>
      <c r="B432" t="s">
        <v>552</v>
      </c>
      <c r="C432" t="s">
        <v>2560</v>
      </c>
      <c r="D432" t="s">
        <v>2561</v>
      </c>
      <c r="E432" t="s">
        <v>1719</v>
      </c>
    </row>
    <row r="433" spans="1:5" x14ac:dyDescent="0.2">
      <c r="A433">
        <v>433</v>
      </c>
      <c r="B433" t="s">
        <v>552</v>
      </c>
      <c r="C433" t="s">
        <v>2562</v>
      </c>
      <c r="D433" t="s">
        <v>2563</v>
      </c>
      <c r="E433" t="s">
        <v>1719</v>
      </c>
    </row>
    <row r="434" spans="1:5" x14ac:dyDescent="0.2">
      <c r="A434">
        <v>434</v>
      </c>
      <c r="B434" t="s">
        <v>552</v>
      </c>
      <c r="C434" t="s">
        <v>2564</v>
      </c>
      <c r="D434" t="s">
        <v>1642</v>
      </c>
      <c r="E434" t="s">
        <v>1719</v>
      </c>
    </row>
    <row r="435" spans="1:5" x14ac:dyDescent="0.2">
      <c r="A435">
        <v>435</v>
      </c>
      <c r="B435" t="s">
        <v>552</v>
      </c>
      <c r="C435" t="s">
        <v>2565</v>
      </c>
      <c r="D435" t="s">
        <v>2566</v>
      </c>
      <c r="E435" t="s">
        <v>1719</v>
      </c>
    </row>
    <row r="436" spans="1:5" x14ac:dyDescent="0.2">
      <c r="A436">
        <v>436</v>
      </c>
      <c r="B436" t="s">
        <v>552</v>
      </c>
      <c r="C436" t="s">
        <v>2567</v>
      </c>
      <c r="D436" t="s">
        <v>2568</v>
      </c>
      <c r="E436" t="s">
        <v>1719</v>
      </c>
    </row>
    <row r="437" spans="1:5" x14ac:dyDescent="0.2">
      <c r="A437">
        <v>437</v>
      </c>
      <c r="B437" t="s">
        <v>552</v>
      </c>
      <c r="C437" t="s">
        <v>2569</v>
      </c>
      <c r="D437" t="s">
        <v>2570</v>
      </c>
      <c r="E437" t="s">
        <v>1719</v>
      </c>
    </row>
    <row r="438" spans="1:5" x14ac:dyDescent="0.2">
      <c r="A438">
        <v>438</v>
      </c>
      <c r="B438" t="s">
        <v>552</v>
      </c>
      <c r="C438" t="s">
        <v>2571</v>
      </c>
      <c r="D438" t="s">
        <v>2572</v>
      </c>
      <c r="E438" t="s">
        <v>2087</v>
      </c>
    </row>
    <row r="439" spans="1:5" x14ac:dyDescent="0.2">
      <c r="A439">
        <v>439</v>
      </c>
      <c r="B439" t="s">
        <v>552</v>
      </c>
      <c r="C439" t="s">
        <v>2573</v>
      </c>
      <c r="D439" t="s">
        <v>2574</v>
      </c>
      <c r="E439" t="s">
        <v>1719</v>
      </c>
    </row>
    <row r="440" spans="1:5" x14ac:dyDescent="0.2">
      <c r="A440">
        <v>440</v>
      </c>
      <c r="B440" t="s">
        <v>552</v>
      </c>
      <c r="C440" t="s">
        <v>2575</v>
      </c>
      <c r="D440" t="s">
        <v>2576</v>
      </c>
      <c r="E440" t="s">
        <v>2087</v>
      </c>
    </row>
    <row r="441" spans="1:5" x14ac:dyDescent="0.2">
      <c r="A441">
        <v>441</v>
      </c>
      <c r="B441" t="s">
        <v>554</v>
      </c>
      <c r="C441" t="s">
        <v>2577</v>
      </c>
      <c r="D441" t="s">
        <v>1599</v>
      </c>
      <c r="E441" t="s">
        <v>1790</v>
      </c>
    </row>
    <row r="442" spans="1:5" x14ac:dyDescent="0.2">
      <c r="A442">
        <v>442</v>
      </c>
      <c r="B442" t="s">
        <v>554</v>
      </c>
      <c r="C442" t="s">
        <v>2578</v>
      </c>
      <c r="D442" t="s">
        <v>2579</v>
      </c>
      <c r="E442" t="s">
        <v>1790</v>
      </c>
    </row>
    <row r="443" spans="1:5" x14ac:dyDescent="0.2">
      <c r="A443">
        <v>443</v>
      </c>
      <c r="B443" t="s">
        <v>554</v>
      </c>
      <c r="C443" t="s">
        <v>2580</v>
      </c>
      <c r="D443" t="s">
        <v>2581</v>
      </c>
      <c r="E443" t="s">
        <v>1790</v>
      </c>
    </row>
    <row r="444" spans="1:5" x14ac:dyDescent="0.2">
      <c r="A444">
        <v>444</v>
      </c>
      <c r="B444" t="s">
        <v>554</v>
      </c>
      <c r="C444" t="s">
        <v>2582</v>
      </c>
      <c r="D444" t="s">
        <v>2583</v>
      </c>
      <c r="E444" t="s">
        <v>1790</v>
      </c>
    </row>
    <row r="445" spans="1:5" x14ac:dyDescent="0.2">
      <c r="A445">
        <v>445</v>
      </c>
      <c r="B445" t="s">
        <v>554</v>
      </c>
      <c r="C445" t="s">
        <v>2584</v>
      </c>
      <c r="D445" t="s">
        <v>2585</v>
      </c>
      <c r="E445" t="s">
        <v>1790</v>
      </c>
    </row>
    <row r="446" spans="1:5" x14ac:dyDescent="0.2">
      <c r="A446">
        <v>446</v>
      </c>
      <c r="B446" t="s">
        <v>554</v>
      </c>
      <c r="C446" t="s">
        <v>2586</v>
      </c>
      <c r="D446" t="s">
        <v>2587</v>
      </c>
      <c r="E446" t="s">
        <v>1790</v>
      </c>
    </row>
    <row r="447" spans="1:5" x14ac:dyDescent="0.2">
      <c r="A447">
        <v>447</v>
      </c>
      <c r="B447" t="s">
        <v>556</v>
      </c>
      <c r="C447" t="s">
        <v>2588</v>
      </c>
      <c r="D447" t="s">
        <v>2589</v>
      </c>
      <c r="E447" t="s">
        <v>2590</v>
      </c>
    </row>
    <row r="448" spans="1:5" x14ac:dyDescent="0.2">
      <c r="A448">
        <v>448</v>
      </c>
      <c r="B448" t="s">
        <v>556</v>
      </c>
      <c r="C448" t="s">
        <v>2591</v>
      </c>
      <c r="D448" t="s">
        <v>2592</v>
      </c>
      <c r="E448" t="s">
        <v>2590</v>
      </c>
    </row>
    <row r="449" spans="1:5" x14ac:dyDescent="0.2">
      <c r="A449">
        <v>449</v>
      </c>
      <c r="B449" t="s">
        <v>556</v>
      </c>
      <c r="C449" t="s">
        <v>2593</v>
      </c>
      <c r="D449" t="s">
        <v>2594</v>
      </c>
      <c r="E449" t="s">
        <v>2590</v>
      </c>
    </row>
    <row r="450" spans="1:5" x14ac:dyDescent="0.2">
      <c r="A450">
        <v>450</v>
      </c>
      <c r="B450" t="s">
        <v>556</v>
      </c>
      <c r="C450" t="s">
        <v>2595</v>
      </c>
      <c r="D450" t="s">
        <v>2596</v>
      </c>
      <c r="E450" t="s">
        <v>2590</v>
      </c>
    </row>
    <row r="451" spans="1:5" x14ac:dyDescent="0.2">
      <c r="A451">
        <v>451</v>
      </c>
      <c r="B451" t="s">
        <v>556</v>
      </c>
      <c r="C451" t="s">
        <v>2597</v>
      </c>
      <c r="D451" t="s">
        <v>2598</v>
      </c>
      <c r="E451" t="s">
        <v>2590</v>
      </c>
    </row>
    <row r="452" spans="1:5" x14ac:dyDescent="0.2">
      <c r="A452">
        <v>452</v>
      </c>
      <c r="B452" t="s">
        <v>556</v>
      </c>
      <c r="C452" t="s">
        <v>2599</v>
      </c>
      <c r="D452" t="s">
        <v>2600</v>
      </c>
      <c r="E452" t="s">
        <v>2590</v>
      </c>
    </row>
    <row r="453" spans="1:5" x14ac:dyDescent="0.2">
      <c r="A453">
        <v>453</v>
      </c>
      <c r="B453" t="s">
        <v>556</v>
      </c>
      <c r="C453" t="s">
        <v>2601</v>
      </c>
      <c r="D453" t="s">
        <v>2602</v>
      </c>
      <c r="E453" t="s">
        <v>2590</v>
      </c>
    </row>
    <row r="454" spans="1:5" x14ac:dyDescent="0.2">
      <c r="A454">
        <v>454</v>
      </c>
      <c r="B454" t="s">
        <v>556</v>
      </c>
      <c r="C454" t="s">
        <v>2603</v>
      </c>
      <c r="D454" t="s">
        <v>2604</v>
      </c>
      <c r="E454" t="s">
        <v>2590</v>
      </c>
    </row>
    <row r="455" spans="1:5" x14ac:dyDescent="0.2">
      <c r="A455">
        <v>455</v>
      </c>
      <c r="B455" t="s">
        <v>556</v>
      </c>
      <c r="C455" t="s">
        <v>2605</v>
      </c>
      <c r="D455" t="s">
        <v>2606</v>
      </c>
      <c r="E455" t="s">
        <v>2590</v>
      </c>
    </row>
    <row r="456" spans="1:5" x14ac:dyDescent="0.2">
      <c r="A456">
        <v>456</v>
      </c>
      <c r="B456" t="s">
        <v>556</v>
      </c>
      <c r="C456" t="s">
        <v>2607</v>
      </c>
      <c r="D456" t="s">
        <v>2608</v>
      </c>
      <c r="E456" t="s">
        <v>2590</v>
      </c>
    </row>
    <row r="457" spans="1:5" x14ac:dyDescent="0.2">
      <c r="A457">
        <v>457</v>
      </c>
      <c r="B457" t="s">
        <v>556</v>
      </c>
      <c r="C457" t="s">
        <v>2609</v>
      </c>
      <c r="D457" t="s">
        <v>2610</v>
      </c>
      <c r="E457" t="s">
        <v>2590</v>
      </c>
    </row>
    <row r="458" spans="1:5" x14ac:dyDescent="0.2">
      <c r="A458">
        <v>458</v>
      </c>
      <c r="B458" t="s">
        <v>556</v>
      </c>
      <c r="C458" t="s">
        <v>2611</v>
      </c>
      <c r="D458" t="s">
        <v>2612</v>
      </c>
      <c r="E458" t="s">
        <v>2590</v>
      </c>
    </row>
    <row r="459" spans="1:5" x14ac:dyDescent="0.2">
      <c r="A459">
        <v>459</v>
      </c>
      <c r="B459" t="s">
        <v>560</v>
      </c>
      <c r="C459" t="s">
        <v>2613</v>
      </c>
      <c r="D459" t="s">
        <v>2614</v>
      </c>
      <c r="E459" t="s">
        <v>1790</v>
      </c>
    </row>
    <row r="460" spans="1:5" x14ac:dyDescent="0.2">
      <c r="A460">
        <v>460</v>
      </c>
      <c r="B460" t="s">
        <v>560</v>
      </c>
      <c r="C460" t="s">
        <v>2615</v>
      </c>
      <c r="D460" t="s">
        <v>2616</v>
      </c>
      <c r="E460" t="s">
        <v>1790</v>
      </c>
    </row>
    <row r="461" spans="1:5" x14ac:dyDescent="0.2">
      <c r="A461">
        <v>461</v>
      </c>
      <c r="B461" t="s">
        <v>560</v>
      </c>
      <c r="C461" t="s">
        <v>2617</v>
      </c>
      <c r="D461" t="s">
        <v>2618</v>
      </c>
      <c r="E461" t="s">
        <v>1790</v>
      </c>
    </row>
    <row r="462" spans="1:5" x14ac:dyDescent="0.2">
      <c r="A462">
        <v>462</v>
      </c>
      <c r="B462" t="s">
        <v>560</v>
      </c>
      <c r="C462" t="s">
        <v>2619</v>
      </c>
      <c r="D462" t="s">
        <v>2620</v>
      </c>
      <c r="E462" t="s">
        <v>1790</v>
      </c>
    </row>
    <row r="463" spans="1:5" x14ac:dyDescent="0.2">
      <c r="A463">
        <v>463</v>
      </c>
      <c r="B463" t="s">
        <v>560</v>
      </c>
      <c r="C463" t="s">
        <v>2621</v>
      </c>
      <c r="D463" t="s">
        <v>2622</v>
      </c>
      <c r="E463" t="s">
        <v>1790</v>
      </c>
    </row>
    <row r="464" spans="1:5" x14ac:dyDescent="0.2">
      <c r="A464">
        <v>464</v>
      </c>
      <c r="B464" t="s">
        <v>560</v>
      </c>
      <c r="C464" t="s">
        <v>2623</v>
      </c>
      <c r="D464" t="s">
        <v>2624</v>
      </c>
      <c r="E464" t="s">
        <v>1790</v>
      </c>
    </row>
    <row r="465" spans="1:5" x14ac:dyDescent="0.2">
      <c r="A465">
        <v>465</v>
      </c>
      <c r="B465" t="s">
        <v>560</v>
      </c>
      <c r="C465" t="s">
        <v>2625</v>
      </c>
      <c r="D465" t="s">
        <v>2626</v>
      </c>
      <c r="E465" t="s">
        <v>1790</v>
      </c>
    </row>
    <row r="466" spans="1:5" x14ac:dyDescent="0.2">
      <c r="A466">
        <v>466</v>
      </c>
      <c r="B466" t="s">
        <v>560</v>
      </c>
      <c r="C466" t="s">
        <v>2627</v>
      </c>
      <c r="D466" t="s">
        <v>2628</v>
      </c>
      <c r="E466" t="s">
        <v>1790</v>
      </c>
    </row>
    <row r="467" spans="1:5" x14ac:dyDescent="0.2">
      <c r="A467">
        <v>467</v>
      </c>
      <c r="B467" t="s">
        <v>560</v>
      </c>
      <c r="C467" t="s">
        <v>2629</v>
      </c>
      <c r="D467" t="s">
        <v>2630</v>
      </c>
      <c r="E467" t="s">
        <v>1790</v>
      </c>
    </row>
    <row r="468" spans="1:5" x14ac:dyDescent="0.2">
      <c r="A468">
        <v>468</v>
      </c>
      <c r="B468" t="s">
        <v>560</v>
      </c>
      <c r="C468" t="s">
        <v>2631</v>
      </c>
      <c r="D468" t="s">
        <v>2632</v>
      </c>
      <c r="E468" t="s">
        <v>1790</v>
      </c>
    </row>
    <row r="469" spans="1:5" x14ac:dyDescent="0.2">
      <c r="A469">
        <v>469</v>
      </c>
      <c r="B469" t="s">
        <v>560</v>
      </c>
      <c r="C469" t="s">
        <v>2633</v>
      </c>
      <c r="D469" t="s">
        <v>2634</v>
      </c>
      <c r="E469" t="s">
        <v>1790</v>
      </c>
    </row>
    <row r="470" spans="1:5" x14ac:dyDescent="0.2">
      <c r="A470">
        <v>470</v>
      </c>
      <c r="B470" t="s">
        <v>560</v>
      </c>
      <c r="C470" t="s">
        <v>2635</v>
      </c>
      <c r="D470" t="s">
        <v>2636</v>
      </c>
      <c r="E470" t="s">
        <v>1790</v>
      </c>
    </row>
    <row r="471" spans="1:5" x14ac:dyDescent="0.2">
      <c r="A471">
        <v>471</v>
      </c>
      <c r="B471" t="s">
        <v>560</v>
      </c>
      <c r="C471" t="s">
        <v>2637</v>
      </c>
      <c r="D471" t="s">
        <v>2638</v>
      </c>
      <c r="E471" t="s">
        <v>1790</v>
      </c>
    </row>
    <row r="472" spans="1:5" x14ac:dyDescent="0.2">
      <c r="A472">
        <v>472</v>
      </c>
      <c r="B472" t="s">
        <v>560</v>
      </c>
      <c r="C472" t="s">
        <v>2639</v>
      </c>
      <c r="D472" t="s">
        <v>2640</v>
      </c>
      <c r="E472" t="s">
        <v>1790</v>
      </c>
    </row>
    <row r="473" spans="1:5" x14ac:dyDescent="0.2">
      <c r="A473">
        <v>473</v>
      </c>
      <c r="B473" t="s">
        <v>560</v>
      </c>
      <c r="C473" t="s">
        <v>2641</v>
      </c>
      <c r="D473" t="s">
        <v>2642</v>
      </c>
      <c r="E473" t="s">
        <v>1790</v>
      </c>
    </row>
    <row r="474" spans="1:5" x14ac:dyDescent="0.2">
      <c r="A474">
        <v>474</v>
      </c>
      <c r="B474" t="s">
        <v>560</v>
      </c>
      <c r="C474" t="s">
        <v>2643</v>
      </c>
      <c r="D474" t="s">
        <v>2644</v>
      </c>
      <c r="E474" t="s">
        <v>1790</v>
      </c>
    </row>
    <row r="475" spans="1:5" x14ac:dyDescent="0.2">
      <c r="A475">
        <v>475</v>
      </c>
      <c r="B475" t="s">
        <v>560</v>
      </c>
      <c r="C475" t="s">
        <v>2645</v>
      </c>
      <c r="D475" t="s">
        <v>2646</v>
      </c>
      <c r="E475" t="s">
        <v>1790</v>
      </c>
    </row>
    <row r="476" spans="1:5" x14ac:dyDescent="0.2">
      <c r="A476">
        <v>476</v>
      </c>
      <c r="B476" t="s">
        <v>560</v>
      </c>
      <c r="C476" t="s">
        <v>2647</v>
      </c>
      <c r="D476" t="s">
        <v>2648</v>
      </c>
      <c r="E476" t="s">
        <v>1790</v>
      </c>
    </row>
    <row r="477" spans="1:5" x14ac:dyDescent="0.2">
      <c r="A477">
        <v>477</v>
      </c>
      <c r="B477" t="s">
        <v>560</v>
      </c>
      <c r="C477" t="s">
        <v>2649</v>
      </c>
      <c r="D477" t="s">
        <v>2650</v>
      </c>
      <c r="E477" t="s">
        <v>1790</v>
      </c>
    </row>
    <row r="478" spans="1:5" x14ac:dyDescent="0.2">
      <c r="A478">
        <v>478</v>
      </c>
      <c r="B478" t="s">
        <v>560</v>
      </c>
      <c r="C478" t="s">
        <v>2651</v>
      </c>
      <c r="D478" t="s">
        <v>2652</v>
      </c>
      <c r="E478" t="s">
        <v>1790</v>
      </c>
    </row>
    <row r="479" spans="1:5" x14ac:dyDescent="0.2">
      <c r="A479">
        <v>479</v>
      </c>
      <c r="B479" t="s">
        <v>2653</v>
      </c>
      <c r="C479" t="s">
        <v>2654</v>
      </c>
      <c r="D479" t="s">
        <v>2655</v>
      </c>
      <c r="E479" t="s">
        <v>2590</v>
      </c>
    </row>
    <row r="480" spans="1:5" x14ac:dyDescent="0.2">
      <c r="A480">
        <v>480</v>
      </c>
      <c r="B480" t="s">
        <v>2653</v>
      </c>
      <c r="C480" t="s">
        <v>2656</v>
      </c>
      <c r="D480" t="s">
        <v>2657</v>
      </c>
      <c r="E480" t="s">
        <v>2590</v>
      </c>
    </row>
    <row r="481" spans="1:5" x14ac:dyDescent="0.2">
      <c r="A481">
        <v>481</v>
      </c>
      <c r="B481" t="s">
        <v>2653</v>
      </c>
      <c r="C481" t="s">
        <v>2658</v>
      </c>
      <c r="D481" t="s">
        <v>2659</v>
      </c>
      <c r="E481" t="s">
        <v>2590</v>
      </c>
    </row>
    <row r="482" spans="1:5" x14ac:dyDescent="0.2">
      <c r="A482">
        <v>482</v>
      </c>
      <c r="B482" t="s">
        <v>2653</v>
      </c>
      <c r="C482" t="s">
        <v>2660</v>
      </c>
      <c r="D482" t="s">
        <v>2661</v>
      </c>
      <c r="E482" t="s">
        <v>2590</v>
      </c>
    </row>
    <row r="483" spans="1:5" x14ac:dyDescent="0.2">
      <c r="A483">
        <v>483</v>
      </c>
      <c r="B483" t="s">
        <v>2653</v>
      </c>
      <c r="C483" t="s">
        <v>2662</v>
      </c>
      <c r="D483" t="s">
        <v>2663</v>
      </c>
      <c r="E483" t="s">
        <v>2590</v>
      </c>
    </row>
    <row r="484" spans="1:5" x14ac:dyDescent="0.2">
      <c r="A484">
        <v>484</v>
      </c>
      <c r="B484" t="s">
        <v>2653</v>
      </c>
      <c r="C484" t="s">
        <v>2664</v>
      </c>
      <c r="D484" t="s">
        <v>2665</v>
      </c>
      <c r="E484" t="s">
        <v>2590</v>
      </c>
    </row>
    <row r="485" spans="1:5" x14ac:dyDescent="0.2">
      <c r="A485">
        <v>485</v>
      </c>
      <c r="B485" t="s">
        <v>2653</v>
      </c>
      <c r="C485" t="s">
        <v>2666</v>
      </c>
      <c r="D485" t="s">
        <v>2667</v>
      </c>
      <c r="E485" t="s">
        <v>2590</v>
      </c>
    </row>
    <row r="486" spans="1:5" x14ac:dyDescent="0.2">
      <c r="A486">
        <v>486</v>
      </c>
      <c r="B486" t="s">
        <v>2653</v>
      </c>
      <c r="C486" t="s">
        <v>2668</v>
      </c>
      <c r="D486" t="s">
        <v>2076</v>
      </c>
      <c r="E486" t="s">
        <v>2590</v>
      </c>
    </row>
    <row r="487" spans="1:5" x14ac:dyDescent="0.2">
      <c r="A487">
        <v>487</v>
      </c>
      <c r="B487" t="s">
        <v>2653</v>
      </c>
      <c r="C487" t="s">
        <v>2669</v>
      </c>
      <c r="D487" t="s">
        <v>2670</v>
      </c>
      <c r="E487" t="s">
        <v>2590</v>
      </c>
    </row>
    <row r="488" spans="1:5" x14ac:dyDescent="0.2">
      <c r="A488">
        <v>488</v>
      </c>
      <c r="B488" t="s">
        <v>1099</v>
      </c>
      <c r="C488" t="s">
        <v>2671</v>
      </c>
      <c r="D488" t="s">
        <v>2672</v>
      </c>
      <c r="E488" t="s">
        <v>2673</v>
      </c>
    </row>
    <row r="489" spans="1:5" x14ac:dyDescent="0.2">
      <c r="A489">
        <v>489</v>
      </c>
      <c r="B489" t="s">
        <v>1099</v>
      </c>
      <c r="C489" t="s">
        <v>2671</v>
      </c>
      <c r="D489" t="s">
        <v>2674</v>
      </c>
      <c r="E489" t="s">
        <v>2673</v>
      </c>
    </row>
    <row r="490" spans="1:5" x14ac:dyDescent="0.2">
      <c r="A490">
        <v>490</v>
      </c>
      <c r="B490" t="s">
        <v>1099</v>
      </c>
      <c r="C490" t="s">
        <v>2675</v>
      </c>
      <c r="D490" t="s">
        <v>2676</v>
      </c>
      <c r="E490" t="s">
        <v>2673</v>
      </c>
    </row>
    <row r="491" spans="1:5" x14ac:dyDescent="0.2">
      <c r="A491">
        <v>491</v>
      </c>
      <c r="B491" t="s">
        <v>1099</v>
      </c>
      <c r="C491" t="s">
        <v>2677</v>
      </c>
      <c r="D491" t="s">
        <v>2678</v>
      </c>
      <c r="E491" t="s">
        <v>2673</v>
      </c>
    </row>
    <row r="492" spans="1:5" x14ac:dyDescent="0.2">
      <c r="A492">
        <v>492</v>
      </c>
      <c r="B492" t="s">
        <v>566</v>
      </c>
      <c r="C492" t="s">
        <v>2679</v>
      </c>
      <c r="D492" t="s">
        <v>2680</v>
      </c>
      <c r="E492" t="s">
        <v>2681</v>
      </c>
    </row>
    <row r="493" spans="1:5" x14ac:dyDescent="0.2">
      <c r="A493">
        <v>493</v>
      </c>
      <c r="B493" t="s">
        <v>566</v>
      </c>
      <c r="C493" t="s">
        <v>2679</v>
      </c>
      <c r="D493" t="s">
        <v>2682</v>
      </c>
      <c r="E493" t="s">
        <v>2681</v>
      </c>
    </row>
    <row r="494" spans="1:5" x14ac:dyDescent="0.2">
      <c r="A494">
        <v>494</v>
      </c>
      <c r="B494" t="s">
        <v>566</v>
      </c>
      <c r="C494" t="s">
        <v>2683</v>
      </c>
      <c r="D494" t="s">
        <v>2684</v>
      </c>
      <c r="E494" t="s">
        <v>2685</v>
      </c>
    </row>
    <row r="495" spans="1:5" x14ac:dyDescent="0.2">
      <c r="A495">
        <v>495</v>
      </c>
      <c r="B495" t="s">
        <v>566</v>
      </c>
      <c r="C495" t="s">
        <v>2686</v>
      </c>
      <c r="D495" t="s">
        <v>2687</v>
      </c>
      <c r="E495" t="s">
        <v>2688</v>
      </c>
    </row>
    <row r="496" spans="1:5" x14ac:dyDescent="0.2">
      <c r="A496">
        <v>496</v>
      </c>
      <c r="B496" t="s">
        <v>566</v>
      </c>
      <c r="C496" t="s">
        <v>2689</v>
      </c>
      <c r="D496" t="s">
        <v>2690</v>
      </c>
      <c r="E496" t="s">
        <v>2681</v>
      </c>
    </row>
    <row r="497" spans="1:5" x14ac:dyDescent="0.2">
      <c r="A497">
        <v>497</v>
      </c>
      <c r="B497" t="s">
        <v>566</v>
      </c>
      <c r="C497" t="s">
        <v>2689</v>
      </c>
      <c r="D497" t="s">
        <v>2691</v>
      </c>
      <c r="E497" t="s">
        <v>2681</v>
      </c>
    </row>
    <row r="498" spans="1:5" x14ac:dyDescent="0.2">
      <c r="A498">
        <v>498</v>
      </c>
      <c r="B498" t="s">
        <v>566</v>
      </c>
      <c r="C498" t="s">
        <v>2692</v>
      </c>
      <c r="D498" t="s">
        <v>2693</v>
      </c>
      <c r="E498" t="s">
        <v>2681</v>
      </c>
    </row>
    <row r="499" spans="1:5" x14ac:dyDescent="0.2">
      <c r="A499">
        <v>499</v>
      </c>
      <c r="B499" t="s">
        <v>566</v>
      </c>
      <c r="C499" t="s">
        <v>2694</v>
      </c>
      <c r="D499" t="s">
        <v>2695</v>
      </c>
      <c r="E499" t="s">
        <v>2681</v>
      </c>
    </row>
    <row r="500" spans="1:5" x14ac:dyDescent="0.2">
      <c r="A500">
        <v>500</v>
      </c>
      <c r="B500" t="s">
        <v>566</v>
      </c>
      <c r="C500" t="s">
        <v>2694</v>
      </c>
      <c r="D500" t="s">
        <v>2696</v>
      </c>
      <c r="E500" t="s">
        <v>2681</v>
      </c>
    </row>
    <row r="501" spans="1:5" x14ac:dyDescent="0.2">
      <c r="A501">
        <v>501</v>
      </c>
      <c r="B501" t="s">
        <v>566</v>
      </c>
      <c r="C501" t="s">
        <v>2697</v>
      </c>
      <c r="D501" t="s">
        <v>2698</v>
      </c>
      <c r="E501" t="s">
        <v>2681</v>
      </c>
    </row>
    <row r="502" spans="1:5" x14ac:dyDescent="0.2">
      <c r="A502">
        <v>502</v>
      </c>
      <c r="B502" t="s">
        <v>566</v>
      </c>
      <c r="C502" t="s">
        <v>2697</v>
      </c>
      <c r="D502" t="s">
        <v>2699</v>
      </c>
      <c r="E502" t="s">
        <v>2681</v>
      </c>
    </row>
    <row r="503" spans="1:5" x14ac:dyDescent="0.2">
      <c r="A503">
        <v>503</v>
      </c>
      <c r="B503" t="s">
        <v>566</v>
      </c>
      <c r="C503" t="s">
        <v>2700</v>
      </c>
      <c r="D503" t="s">
        <v>2701</v>
      </c>
      <c r="E503" t="s">
        <v>2688</v>
      </c>
    </row>
    <row r="504" spans="1:5" x14ac:dyDescent="0.2">
      <c r="A504">
        <v>504</v>
      </c>
      <c r="B504" t="s">
        <v>566</v>
      </c>
      <c r="C504" t="s">
        <v>2692</v>
      </c>
      <c r="D504" t="s">
        <v>2702</v>
      </c>
      <c r="E504" t="s">
        <v>2681</v>
      </c>
    </row>
    <row r="505" spans="1:5" x14ac:dyDescent="0.2">
      <c r="A505">
        <v>505</v>
      </c>
      <c r="B505" t="s">
        <v>566</v>
      </c>
      <c r="C505" t="s">
        <v>2703</v>
      </c>
      <c r="D505" t="s">
        <v>2704</v>
      </c>
      <c r="E505" t="s">
        <v>2681</v>
      </c>
    </row>
    <row r="506" spans="1:5" x14ac:dyDescent="0.2">
      <c r="A506">
        <v>506</v>
      </c>
      <c r="B506" t="s">
        <v>566</v>
      </c>
      <c r="C506" t="s">
        <v>2703</v>
      </c>
      <c r="D506" t="s">
        <v>2705</v>
      </c>
      <c r="E506" t="s">
        <v>2681</v>
      </c>
    </row>
    <row r="507" spans="1:5" x14ac:dyDescent="0.2">
      <c r="A507">
        <v>507</v>
      </c>
      <c r="B507" t="s">
        <v>566</v>
      </c>
      <c r="C507" t="s">
        <v>2706</v>
      </c>
      <c r="D507" t="s">
        <v>2707</v>
      </c>
      <c r="E507" t="s">
        <v>2681</v>
      </c>
    </row>
    <row r="508" spans="1:5" x14ac:dyDescent="0.2">
      <c r="A508">
        <v>508</v>
      </c>
      <c r="B508" t="s">
        <v>566</v>
      </c>
      <c r="C508" t="s">
        <v>2706</v>
      </c>
      <c r="D508" t="s">
        <v>2708</v>
      </c>
      <c r="E508" t="s">
        <v>2681</v>
      </c>
    </row>
    <row r="509" spans="1:5" x14ac:dyDescent="0.2">
      <c r="A509">
        <v>509</v>
      </c>
      <c r="B509" t="s">
        <v>566</v>
      </c>
      <c r="C509" t="s">
        <v>2709</v>
      </c>
      <c r="D509" t="s">
        <v>2710</v>
      </c>
      <c r="E509" t="s">
        <v>2681</v>
      </c>
    </row>
    <row r="510" spans="1:5" x14ac:dyDescent="0.2">
      <c r="A510">
        <v>510</v>
      </c>
      <c r="B510" t="s">
        <v>566</v>
      </c>
      <c r="C510" t="s">
        <v>2709</v>
      </c>
      <c r="D510" t="s">
        <v>2711</v>
      </c>
      <c r="E510" t="s">
        <v>2681</v>
      </c>
    </row>
    <row r="511" spans="1:5" x14ac:dyDescent="0.2">
      <c r="A511">
        <v>511</v>
      </c>
      <c r="B511" t="s">
        <v>566</v>
      </c>
      <c r="C511" t="s">
        <v>2712</v>
      </c>
      <c r="D511" t="s">
        <v>2713</v>
      </c>
      <c r="E511" t="s">
        <v>2681</v>
      </c>
    </row>
    <row r="512" spans="1:5" x14ac:dyDescent="0.2">
      <c r="A512">
        <v>512</v>
      </c>
      <c r="B512" t="s">
        <v>566</v>
      </c>
      <c r="C512" t="s">
        <v>2712</v>
      </c>
      <c r="D512" t="s">
        <v>2714</v>
      </c>
      <c r="E512" t="s">
        <v>2681</v>
      </c>
    </row>
    <row r="513" spans="1:5" x14ac:dyDescent="0.2">
      <c r="A513">
        <v>513</v>
      </c>
      <c r="B513" t="s">
        <v>566</v>
      </c>
      <c r="C513" t="s">
        <v>2715</v>
      </c>
      <c r="D513" t="s">
        <v>2716</v>
      </c>
      <c r="E513" t="s">
        <v>2681</v>
      </c>
    </row>
    <row r="514" spans="1:5" x14ac:dyDescent="0.2">
      <c r="A514">
        <v>514</v>
      </c>
      <c r="B514" t="s">
        <v>566</v>
      </c>
      <c r="C514" t="s">
        <v>2715</v>
      </c>
      <c r="D514" t="s">
        <v>2717</v>
      </c>
      <c r="E514" t="s">
        <v>2681</v>
      </c>
    </row>
    <row r="515" spans="1:5" x14ac:dyDescent="0.2">
      <c r="A515">
        <v>515</v>
      </c>
      <c r="B515" t="s">
        <v>566</v>
      </c>
      <c r="C515" t="s">
        <v>2694</v>
      </c>
      <c r="D515" t="s">
        <v>2718</v>
      </c>
      <c r="E515" t="s">
        <v>2681</v>
      </c>
    </row>
    <row r="516" spans="1:5" x14ac:dyDescent="0.2">
      <c r="A516">
        <v>516</v>
      </c>
      <c r="B516" t="s">
        <v>568</v>
      </c>
      <c r="C516" t="s">
        <v>2719</v>
      </c>
      <c r="D516" t="s">
        <v>2720</v>
      </c>
      <c r="E516" t="s">
        <v>1790</v>
      </c>
    </row>
    <row r="517" spans="1:5" x14ac:dyDescent="0.2">
      <c r="A517">
        <v>517</v>
      </c>
      <c r="B517" t="s">
        <v>568</v>
      </c>
      <c r="C517" t="s">
        <v>2721</v>
      </c>
      <c r="D517" t="s">
        <v>2722</v>
      </c>
      <c r="E517" t="s">
        <v>1790</v>
      </c>
    </row>
    <row r="518" spans="1:5" x14ac:dyDescent="0.2">
      <c r="A518">
        <v>518</v>
      </c>
      <c r="B518" t="s">
        <v>568</v>
      </c>
      <c r="C518" t="s">
        <v>2723</v>
      </c>
      <c r="D518" t="s">
        <v>2724</v>
      </c>
      <c r="E518" t="s">
        <v>1790</v>
      </c>
    </row>
    <row r="519" spans="1:5" x14ac:dyDescent="0.2">
      <c r="A519">
        <v>519</v>
      </c>
      <c r="B519" t="s">
        <v>568</v>
      </c>
      <c r="C519" t="s">
        <v>2725</v>
      </c>
      <c r="D519" t="s">
        <v>2726</v>
      </c>
      <c r="E519" t="s">
        <v>1790</v>
      </c>
    </row>
    <row r="520" spans="1:5" x14ac:dyDescent="0.2">
      <c r="A520">
        <v>520</v>
      </c>
      <c r="B520" t="s">
        <v>568</v>
      </c>
      <c r="C520" t="s">
        <v>2727</v>
      </c>
      <c r="D520" t="s">
        <v>2728</v>
      </c>
      <c r="E520" t="s">
        <v>1790</v>
      </c>
    </row>
    <row r="521" spans="1:5" x14ac:dyDescent="0.2">
      <c r="A521">
        <v>521</v>
      </c>
      <c r="B521" t="s">
        <v>568</v>
      </c>
      <c r="C521" t="s">
        <v>2729</v>
      </c>
      <c r="D521" t="s">
        <v>2730</v>
      </c>
      <c r="E521" t="s">
        <v>1790</v>
      </c>
    </row>
    <row r="522" spans="1:5" x14ac:dyDescent="0.2">
      <c r="A522">
        <v>522</v>
      </c>
      <c r="B522" t="s">
        <v>568</v>
      </c>
      <c r="C522" t="s">
        <v>2731</v>
      </c>
      <c r="D522" t="s">
        <v>2732</v>
      </c>
      <c r="E522" t="s">
        <v>1790</v>
      </c>
    </row>
    <row r="523" spans="1:5" x14ac:dyDescent="0.2">
      <c r="A523">
        <v>523</v>
      </c>
      <c r="B523" t="s">
        <v>568</v>
      </c>
      <c r="C523" t="s">
        <v>2733</v>
      </c>
      <c r="D523" t="s">
        <v>2734</v>
      </c>
      <c r="E523" t="s">
        <v>1790</v>
      </c>
    </row>
    <row r="524" spans="1:5" x14ac:dyDescent="0.2">
      <c r="A524">
        <v>524</v>
      </c>
      <c r="B524" t="s">
        <v>568</v>
      </c>
      <c r="C524" t="s">
        <v>2735</v>
      </c>
      <c r="D524" t="s">
        <v>2736</v>
      </c>
      <c r="E524" t="s">
        <v>1790</v>
      </c>
    </row>
    <row r="525" spans="1:5" x14ac:dyDescent="0.2">
      <c r="A525">
        <v>525</v>
      </c>
      <c r="B525" t="s">
        <v>572</v>
      </c>
      <c r="C525" t="s">
        <v>2737</v>
      </c>
      <c r="D525" t="s">
        <v>2738</v>
      </c>
      <c r="E525" t="s">
        <v>2113</v>
      </c>
    </row>
    <row r="526" spans="1:5" x14ac:dyDescent="0.2">
      <c r="A526">
        <v>526</v>
      </c>
      <c r="B526" t="s">
        <v>572</v>
      </c>
      <c r="C526" t="s">
        <v>2739</v>
      </c>
      <c r="D526" t="s">
        <v>2740</v>
      </c>
      <c r="E526" t="s">
        <v>2113</v>
      </c>
    </row>
    <row r="527" spans="1:5" x14ac:dyDescent="0.2">
      <c r="A527">
        <v>527</v>
      </c>
      <c r="B527" t="s">
        <v>572</v>
      </c>
      <c r="C527" t="s">
        <v>2741</v>
      </c>
      <c r="D527" t="s">
        <v>2742</v>
      </c>
      <c r="E527" t="s">
        <v>2113</v>
      </c>
    </row>
    <row r="528" spans="1:5" x14ac:dyDescent="0.2">
      <c r="A528">
        <v>528</v>
      </c>
      <c r="B528" t="s">
        <v>572</v>
      </c>
      <c r="C528" t="s">
        <v>2743</v>
      </c>
      <c r="D528" t="s">
        <v>2744</v>
      </c>
      <c r="E528" t="s">
        <v>2113</v>
      </c>
    </row>
    <row r="529" spans="1:5" x14ac:dyDescent="0.2">
      <c r="A529">
        <v>529</v>
      </c>
      <c r="B529" t="s">
        <v>572</v>
      </c>
      <c r="C529" t="s">
        <v>2745</v>
      </c>
      <c r="D529" t="s">
        <v>2746</v>
      </c>
      <c r="E529" t="s">
        <v>2113</v>
      </c>
    </row>
    <row r="530" spans="1:5" x14ac:dyDescent="0.2">
      <c r="A530">
        <v>530</v>
      </c>
      <c r="B530" t="s">
        <v>572</v>
      </c>
      <c r="C530" t="s">
        <v>2747</v>
      </c>
      <c r="D530" t="s">
        <v>2748</v>
      </c>
      <c r="E530" t="s">
        <v>2113</v>
      </c>
    </row>
    <row r="531" spans="1:5" x14ac:dyDescent="0.2">
      <c r="A531">
        <v>531</v>
      </c>
      <c r="B531" t="s">
        <v>572</v>
      </c>
      <c r="C531" t="s">
        <v>2749</v>
      </c>
      <c r="D531" t="s">
        <v>2750</v>
      </c>
      <c r="E531" t="s">
        <v>2751</v>
      </c>
    </row>
    <row r="532" spans="1:5" x14ac:dyDescent="0.2">
      <c r="A532">
        <v>532</v>
      </c>
      <c r="B532" t="s">
        <v>572</v>
      </c>
      <c r="C532" t="s">
        <v>2752</v>
      </c>
      <c r="D532" t="s">
        <v>2753</v>
      </c>
      <c r="E532" t="s">
        <v>2113</v>
      </c>
    </row>
    <row r="533" spans="1:5" x14ac:dyDescent="0.2">
      <c r="A533">
        <v>533</v>
      </c>
      <c r="B533" t="s">
        <v>572</v>
      </c>
      <c r="C533" t="s">
        <v>2754</v>
      </c>
      <c r="D533" t="s">
        <v>2755</v>
      </c>
      <c r="E533" t="s">
        <v>2113</v>
      </c>
    </row>
    <row r="534" spans="1:5" x14ac:dyDescent="0.2">
      <c r="A534">
        <v>534</v>
      </c>
      <c r="B534" t="s">
        <v>572</v>
      </c>
      <c r="C534" t="s">
        <v>2756</v>
      </c>
      <c r="D534" t="s">
        <v>2757</v>
      </c>
      <c r="E534" t="s">
        <v>2113</v>
      </c>
    </row>
    <row r="535" spans="1:5" x14ac:dyDescent="0.2">
      <c r="A535">
        <v>535</v>
      </c>
      <c r="B535" t="s">
        <v>572</v>
      </c>
      <c r="C535" t="s">
        <v>2758</v>
      </c>
      <c r="D535" t="s">
        <v>2759</v>
      </c>
      <c r="E535" t="s">
        <v>2113</v>
      </c>
    </row>
    <row r="536" spans="1:5" x14ac:dyDescent="0.2">
      <c r="A536">
        <v>536</v>
      </c>
      <c r="B536" t="s">
        <v>572</v>
      </c>
      <c r="C536" t="s">
        <v>2760</v>
      </c>
      <c r="D536" t="s">
        <v>2761</v>
      </c>
      <c r="E536" t="s">
        <v>2113</v>
      </c>
    </row>
    <row r="537" spans="1:5" x14ac:dyDescent="0.2">
      <c r="A537">
        <v>537</v>
      </c>
      <c r="B537" t="s">
        <v>572</v>
      </c>
      <c r="C537" t="s">
        <v>2762</v>
      </c>
      <c r="D537" t="s">
        <v>2763</v>
      </c>
      <c r="E537" t="s">
        <v>2113</v>
      </c>
    </row>
    <row r="538" spans="1:5" x14ac:dyDescent="0.2">
      <c r="A538">
        <v>538</v>
      </c>
      <c r="B538" t="s">
        <v>572</v>
      </c>
      <c r="C538" t="s">
        <v>2764</v>
      </c>
      <c r="D538" t="s">
        <v>2765</v>
      </c>
      <c r="E538" t="s">
        <v>2113</v>
      </c>
    </row>
    <row r="539" spans="1:5" x14ac:dyDescent="0.2">
      <c r="A539">
        <v>539</v>
      </c>
      <c r="B539" t="s">
        <v>572</v>
      </c>
      <c r="C539" t="s">
        <v>2766</v>
      </c>
      <c r="D539" t="s">
        <v>2767</v>
      </c>
      <c r="E539" t="s">
        <v>2113</v>
      </c>
    </row>
    <row r="540" spans="1:5" x14ac:dyDescent="0.2">
      <c r="A540">
        <v>540</v>
      </c>
      <c r="B540" t="s">
        <v>572</v>
      </c>
      <c r="C540" t="s">
        <v>2768</v>
      </c>
      <c r="D540" t="s">
        <v>2769</v>
      </c>
      <c r="E540" t="s">
        <v>2113</v>
      </c>
    </row>
    <row r="541" spans="1:5" x14ac:dyDescent="0.2">
      <c r="A541">
        <v>541</v>
      </c>
      <c r="B541" t="s">
        <v>572</v>
      </c>
      <c r="C541" t="s">
        <v>2770</v>
      </c>
      <c r="D541" t="s">
        <v>2771</v>
      </c>
      <c r="E541" t="s">
        <v>2113</v>
      </c>
    </row>
    <row r="542" spans="1:5" x14ac:dyDescent="0.2">
      <c r="A542">
        <v>542</v>
      </c>
      <c r="B542" t="s">
        <v>572</v>
      </c>
      <c r="C542" t="s">
        <v>2772</v>
      </c>
      <c r="D542" t="s">
        <v>2773</v>
      </c>
      <c r="E542" t="s">
        <v>2113</v>
      </c>
    </row>
    <row r="543" spans="1:5" x14ac:dyDescent="0.2">
      <c r="A543">
        <v>543</v>
      </c>
      <c r="B543" t="s">
        <v>572</v>
      </c>
      <c r="C543" t="s">
        <v>2774</v>
      </c>
      <c r="D543" t="s">
        <v>2775</v>
      </c>
      <c r="E543" t="s">
        <v>2113</v>
      </c>
    </row>
    <row r="544" spans="1:5" x14ac:dyDescent="0.2">
      <c r="A544">
        <v>544</v>
      </c>
      <c r="B544" t="s">
        <v>572</v>
      </c>
      <c r="C544" t="s">
        <v>2776</v>
      </c>
      <c r="D544" t="s">
        <v>2777</v>
      </c>
      <c r="E544" t="s">
        <v>2113</v>
      </c>
    </row>
    <row r="545" spans="1:5" x14ac:dyDescent="0.2">
      <c r="A545">
        <v>545</v>
      </c>
      <c r="B545" t="s">
        <v>572</v>
      </c>
      <c r="C545" t="s">
        <v>2778</v>
      </c>
      <c r="D545" t="s">
        <v>2779</v>
      </c>
      <c r="E545" t="s">
        <v>2113</v>
      </c>
    </row>
    <row r="546" spans="1:5" x14ac:dyDescent="0.2">
      <c r="A546">
        <v>546</v>
      </c>
      <c r="B546" t="s">
        <v>572</v>
      </c>
      <c r="C546" t="s">
        <v>2780</v>
      </c>
      <c r="D546" t="s">
        <v>2781</v>
      </c>
      <c r="E546" t="s">
        <v>2113</v>
      </c>
    </row>
    <row r="547" spans="1:5" x14ac:dyDescent="0.2">
      <c r="A547">
        <v>547</v>
      </c>
      <c r="B547" t="s">
        <v>572</v>
      </c>
      <c r="C547" t="s">
        <v>2782</v>
      </c>
      <c r="D547" t="s">
        <v>2783</v>
      </c>
      <c r="E547" t="s">
        <v>2113</v>
      </c>
    </row>
    <row r="548" spans="1:5" x14ac:dyDescent="0.2">
      <c r="A548">
        <v>548</v>
      </c>
      <c r="B548" t="s">
        <v>572</v>
      </c>
      <c r="C548" t="s">
        <v>2784</v>
      </c>
      <c r="D548" t="s">
        <v>2785</v>
      </c>
      <c r="E548" t="s">
        <v>2113</v>
      </c>
    </row>
    <row r="549" spans="1:5" x14ac:dyDescent="0.2">
      <c r="A549">
        <v>549</v>
      </c>
      <c r="B549" t="s">
        <v>572</v>
      </c>
      <c r="C549" t="s">
        <v>2786</v>
      </c>
      <c r="D549" t="s">
        <v>2787</v>
      </c>
      <c r="E549" t="s">
        <v>2113</v>
      </c>
    </row>
    <row r="550" spans="1:5" x14ac:dyDescent="0.2">
      <c r="A550">
        <v>550</v>
      </c>
      <c r="B550" t="s">
        <v>572</v>
      </c>
      <c r="C550" t="s">
        <v>2788</v>
      </c>
      <c r="D550" t="s">
        <v>2789</v>
      </c>
      <c r="E550" t="s">
        <v>2113</v>
      </c>
    </row>
    <row r="551" spans="1:5" x14ac:dyDescent="0.2">
      <c r="A551">
        <v>551</v>
      </c>
      <c r="B551" t="s">
        <v>572</v>
      </c>
      <c r="C551" t="s">
        <v>2790</v>
      </c>
      <c r="D551" t="s">
        <v>2791</v>
      </c>
      <c r="E551" t="s">
        <v>2113</v>
      </c>
    </row>
    <row r="552" spans="1:5" x14ac:dyDescent="0.2">
      <c r="A552">
        <v>552</v>
      </c>
      <c r="B552" t="s">
        <v>1100</v>
      </c>
      <c r="C552" t="s">
        <v>2792</v>
      </c>
      <c r="D552" t="s">
        <v>2793</v>
      </c>
      <c r="E552" t="s">
        <v>1790</v>
      </c>
    </row>
    <row r="553" spans="1:5" x14ac:dyDescent="0.2">
      <c r="A553">
        <v>553</v>
      </c>
      <c r="B553" t="s">
        <v>1100</v>
      </c>
      <c r="C553" t="s">
        <v>2794</v>
      </c>
      <c r="D553" t="s">
        <v>2795</v>
      </c>
      <c r="E553" t="s">
        <v>1790</v>
      </c>
    </row>
    <row r="554" spans="1:5" x14ac:dyDescent="0.2">
      <c r="A554">
        <v>554</v>
      </c>
      <c r="B554" t="s">
        <v>1100</v>
      </c>
      <c r="C554" t="s">
        <v>2796</v>
      </c>
      <c r="D554" t="s">
        <v>2797</v>
      </c>
      <c r="E554" t="s">
        <v>1790</v>
      </c>
    </row>
    <row r="555" spans="1:5" x14ac:dyDescent="0.2">
      <c r="A555">
        <v>555</v>
      </c>
      <c r="B555" t="s">
        <v>1100</v>
      </c>
      <c r="C555" t="s">
        <v>2798</v>
      </c>
      <c r="D555" t="s">
        <v>2799</v>
      </c>
      <c r="E555" t="s">
        <v>1790</v>
      </c>
    </row>
    <row r="556" spans="1:5" x14ac:dyDescent="0.2">
      <c r="A556">
        <v>556</v>
      </c>
      <c r="B556" t="s">
        <v>578</v>
      </c>
      <c r="C556" t="s">
        <v>2800</v>
      </c>
      <c r="D556" t="s">
        <v>2801</v>
      </c>
      <c r="E556" t="s">
        <v>2087</v>
      </c>
    </row>
    <row r="557" spans="1:5" x14ac:dyDescent="0.2">
      <c r="A557">
        <v>557</v>
      </c>
      <c r="B557" t="s">
        <v>578</v>
      </c>
      <c r="C557" t="s">
        <v>2802</v>
      </c>
      <c r="D557" t="s">
        <v>2803</v>
      </c>
      <c r="E557" t="s">
        <v>2087</v>
      </c>
    </row>
    <row r="558" spans="1:5" x14ac:dyDescent="0.2">
      <c r="A558">
        <v>558</v>
      </c>
      <c r="B558" t="s">
        <v>578</v>
      </c>
      <c r="C558" t="s">
        <v>2804</v>
      </c>
      <c r="D558" t="s">
        <v>2805</v>
      </c>
      <c r="E558" t="s">
        <v>2087</v>
      </c>
    </row>
    <row r="559" spans="1:5" x14ac:dyDescent="0.2">
      <c r="A559">
        <v>559</v>
      </c>
      <c r="B559" t="s">
        <v>578</v>
      </c>
      <c r="C559" t="s">
        <v>2806</v>
      </c>
      <c r="D559" t="s">
        <v>2807</v>
      </c>
      <c r="E559" t="s">
        <v>2087</v>
      </c>
    </row>
    <row r="560" spans="1:5" x14ac:dyDescent="0.2">
      <c r="A560">
        <v>560</v>
      </c>
      <c r="B560" t="s">
        <v>578</v>
      </c>
      <c r="C560" t="s">
        <v>2808</v>
      </c>
      <c r="D560" t="s">
        <v>2809</v>
      </c>
      <c r="E560" t="s">
        <v>2087</v>
      </c>
    </row>
    <row r="561" spans="1:5" x14ac:dyDescent="0.2">
      <c r="A561">
        <v>561</v>
      </c>
      <c r="B561" t="s">
        <v>578</v>
      </c>
      <c r="C561" t="s">
        <v>2810</v>
      </c>
      <c r="D561" t="s">
        <v>2811</v>
      </c>
      <c r="E561" t="s">
        <v>2087</v>
      </c>
    </row>
    <row r="562" spans="1:5" x14ac:dyDescent="0.2">
      <c r="A562">
        <v>562</v>
      </c>
      <c r="B562" t="s">
        <v>578</v>
      </c>
      <c r="C562" t="s">
        <v>2812</v>
      </c>
      <c r="D562" t="s">
        <v>2813</v>
      </c>
      <c r="E562" t="s">
        <v>2087</v>
      </c>
    </row>
    <row r="563" spans="1:5" x14ac:dyDescent="0.2">
      <c r="A563">
        <v>563</v>
      </c>
      <c r="B563" t="s">
        <v>578</v>
      </c>
      <c r="C563" t="s">
        <v>2814</v>
      </c>
      <c r="D563" t="s">
        <v>2815</v>
      </c>
      <c r="E563" t="s">
        <v>2087</v>
      </c>
    </row>
    <row r="564" spans="1:5" x14ac:dyDescent="0.2">
      <c r="A564">
        <v>564</v>
      </c>
      <c r="B564" t="s">
        <v>578</v>
      </c>
      <c r="C564" t="s">
        <v>2816</v>
      </c>
      <c r="D564" t="s">
        <v>2817</v>
      </c>
      <c r="E564" t="s">
        <v>2087</v>
      </c>
    </row>
    <row r="565" spans="1:5" x14ac:dyDescent="0.2">
      <c r="A565">
        <v>565</v>
      </c>
      <c r="B565" t="s">
        <v>578</v>
      </c>
      <c r="C565" t="s">
        <v>2818</v>
      </c>
      <c r="D565" t="s">
        <v>2819</v>
      </c>
      <c r="E565" t="s">
        <v>2087</v>
      </c>
    </row>
    <row r="566" spans="1:5" x14ac:dyDescent="0.2">
      <c r="A566">
        <v>566</v>
      </c>
      <c r="B566" t="s">
        <v>578</v>
      </c>
      <c r="C566" t="s">
        <v>2820</v>
      </c>
      <c r="D566" t="s">
        <v>2821</v>
      </c>
      <c r="E566" t="s">
        <v>2087</v>
      </c>
    </row>
    <row r="567" spans="1:5" x14ac:dyDescent="0.2">
      <c r="A567">
        <v>567</v>
      </c>
      <c r="B567" t="s">
        <v>578</v>
      </c>
      <c r="C567" t="s">
        <v>2822</v>
      </c>
      <c r="D567" t="s">
        <v>2823</v>
      </c>
      <c r="E567" t="s">
        <v>2087</v>
      </c>
    </row>
    <row r="568" spans="1:5" x14ac:dyDescent="0.2">
      <c r="A568">
        <v>568</v>
      </c>
      <c r="B568" t="s">
        <v>578</v>
      </c>
      <c r="C568" t="s">
        <v>2824</v>
      </c>
      <c r="D568" t="s">
        <v>2825</v>
      </c>
      <c r="E568" t="s">
        <v>2087</v>
      </c>
    </row>
    <row r="569" spans="1:5" x14ac:dyDescent="0.2">
      <c r="A569">
        <v>569</v>
      </c>
      <c r="B569" t="s">
        <v>578</v>
      </c>
      <c r="C569" t="s">
        <v>2826</v>
      </c>
      <c r="D569" t="s">
        <v>2827</v>
      </c>
      <c r="E569" t="s">
        <v>2087</v>
      </c>
    </row>
    <row r="570" spans="1:5" x14ac:dyDescent="0.2">
      <c r="A570">
        <v>570</v>
      </c>
      <c r="B570" t="s">
        <v>578</v>
      </c>
      <c r="C570" t="s">
        <v>2828</v>
      </c>
      <c r="D570" t="s">
        <v>2829</v>
      </c>
      <c r="E570" t="s">
        <v>2087</v>
      </c>
    </row>
    <row r="571" spans="1:5" x14ac:dyDescent="0.2">
      <c r="A571">
        <v>571</v>
      </c>
      <c r="B571" t="s">
        <v>578</v>
      </c>
      <c r="C571" t="s">
        <v>2830</v>
      </c>
      <c r="D571" t="s">
        <v>2831</v>
      </c>
      <c r="E571" t="s">
        <v>2087</v>
      </c>
    </row>
    <row r="572" spans="1:5" x14ac:dyDescent="0.2">
      <c r="A572">
        <v>572</v>
      </c>
      <c r="B572" t="s">
        <v>578</v>
      </c>
      <c r="C572" t="s">
        <v>2832</v>
      </c>
      <c r="D572" t="s">
        <v>2833</v>
      </c>
      <c r="E572" t="s">
        <v>2087</v>
      </c>
    </row>
    <row r="573" spans="1:5" x14ac:dyDescent="0.2">
      <c r="A573">
        <v>573</v>
      </c>
      <c r="B573" t="s">
        <v>578</v>
      </c>
      <c r="C573" t="s">
        <v>2834</v>
      </c>
      <c r="D573" t="s">
        <v>2835</v>
      </c>
      <c r="E573" t="s">
        <v>2087</v>
      </c>
    </row>
    <row r="574" spans="1:5" x14ac:dyDescent="0.2">
      <c r="A574">
        <v>574</v>
      </c>
      <c r="B574" t="s">
        <v>578</v>
      </c>
      <c r="C574" t="s">
        <v>2836</v>
      </c>
      <c r="D574" t="s">
        <v>2837</v>
      </c>
      <c r="E574" t="s">
        <v>2087</v>
      </c>
    </row>
    <row r="575" spans="1:5" x14ac:dyDescent="0.2">
      <c r="A575">
        <v>575</v>
      </c>
      <c r="B575" t="s">
        <v>578</v>
      </c>
      <c r="C575" t="s">
        <v>2838</v>
      </c>
      <c r="D575" t="s">
        <v>2839</v>
      </c>
      <c r="E575" t="s">
        <v>2087</v>
      </c>
    </row>
    <row r="576" spans="1:5" x14ac:dyDescent="0.2">
      <c r="A576">
        <v>576</v>
      </c>
      <c r="B576" t="s">
        <v>578</v>
      </c>
      <c r="C576" t="s">
        <v>2840</v>
      </c>
      <c r="D576" t="s">
        <v>2841</v>
      </c>
      <c r="E576" t="s">
        <v>2087</v>
      </c>
    </row>
    <row r="577" spans="1:5" x14ac:dyDescent="0.2">
      <c r="A577">
        <v>577</v>
      </c>
      <c r="B577" t="s">
        <v>578</v>
      </c>
      <c r="C577" t="s">
        <v>2842</v>
      </c>
      <c r="D577" t="s">
        <v>2843</v>
      </c>
      <c r="E577" t="s">
        <v>2087</v>
      </c>
    </row>
    <row r="578" spans="1:5" x14ac:dyDescent="0.2">
      <c r="A578">
        <v>578</v>
      </c>
      <c r="B578" t="s">
        <v>578</v>
      </c>
      <c r="C578" t="s">
        <v>2844</v>
      </c>
      <c r="D578" t="s">
        <v>2845</v>
      </c>
      <c r="E578" t="s">
        <v>2087</v>
      </c>
    </row>
    <row r="579" spans="1:5" x14ac:dyDescent="0.2">
      <c r="A579">
        <v>579</v>
      </c>
      <c r="B579" t="s">
        <v>578</v>
      </c>
      <c r="C579" t="s">
        <v>2846</v>
      </c>
      <c r="D579" t="s">
        <v>2847</v>
      </c>
      <c r="E579" t="s">
        <v>2087</v>
      </c>
    </row>
    <row r="580" spans="1:5" x14ac:dyDescent="0.2">
      <c r="A580">
        <v>580</v>
      </c>
      <c r="B580" t="s">
        <v>578</v>
      </c>
      <c r="C580" t="s">
        <v>2848</v>
      </c>
      <c r="D580" t="s">
        <v>2849</v>
      </c>
      <c r="E580" t="s">
        <v>2087</v>
      </c>
    </row>
    <row r="581" spans="1:5" x14ac:dyDescent="0.2">
      <c r="A581">
        <v>581</v>
      </c>
      <c r="B581" t="s">
        <v>578</v>
      </c>
      <c r="C581" t="s">
        <v>2850</v>
      </c>
      <c r="D581" t="s">
        <v>2851</v>
      </c>
      <c r="E581" t="s">
        <v>2087</v>
      </c>
    </row>
    <row r="582" spans="1:5" x14ac:dyDescent="0.2">
      <c r="A582">
        <v>582</v>
      </c>
      <c r="B582" t="s">
        <v>578</v>
      </c>
      <c r="C582" t="s">
        <v>2852</v>
      </c>
      <c r="D582" t="s">
        <v>2853</v>
      </c>
      <c r="E582" t="s">
        <v>2087</v>
      </c>
    </row>
    <row r="583" spans="1:5" x14ac:dyDescent="0.2">
      <c r="A583">
        <v>583</v>
      </c>
      <c r="B583" t="s">
        <v>578</v>
      </c>
      <c r="C583" t="s">
        <v>2854</v>
      </c>
      <c r="D583" t="s">
        <v>2855</v>
      </c>
      <c r="E583" t="s">
        <v>2087</v>
      </c>
    </row>
    <row r="584" spans="1:5" x14ac:dyDescent="0.2">
      <c r="A584">
        <v>584</v>
      </c>
      <c r="B584" t="s">
        <v>580</v>
      </c>
      <c r="C584" t="s">
        <v>2856</v>
      </c>
      <c r="D584" t="s">
        <v>2857</v>
      </c>
      <c r="E584" t="s">
        <v>1719</v>
      </c>
    </row>
    <row r="585" spans="1:5" x14ac:dyDescent="0.2">
      <c r="A585">
        <v>585</v>
      </c>
      <c r="B585" t="s">
        <v>580</v>
      </c>
      <c r="C585" t="s">
        <v>2858</v>
      </c>
      <c r="D585" t="s">
        <v>2859</v>
      </c>
      <c r="E585" t="s">
        <v>1719</v>
      </c>
    </row>
    <row r="586" spans="1:5" x14ac:dyDescent="0.2">
      <c r="A586">
        <v>586</v>
      </c>
      <c r="B586" t="s">
        <v>580</v>
      </c>
      <c r="C586" t="s">
        <v>2860</v>
      </c>
      <c r="D586" t="s">
        <v>2861</v>
      </c>
      <c r="E586" t="s">
        <v>1719</v>
      </c>
    </row>
    <row r="587" spans="1:5" x14ac:dyDescent="0.2">
      <c r="A587">
        <v>587</v>
      </c>
      <c r="B587" t="s">
        <v>580</v>
      </c>
      <c r="C587" t="s">
        <v>2862</v>
      </c>
      <c r="D587" t="s">
        <v>2863</v>
      </c>
      <c r="E587" t="s">
        <v>1719</v>
      </c>
    </row>
    <row r="588" spans="1:5" x14ac:dyDescent="0.2">
      <c r="A588">
        <v>588</v>
      </c>
      <c r="B588" t="s">
        <v>580</v>
      </c>
      <c r="C588" t="s">
        <v>2864</v>
      </c>
      <c r="D588" t="s">
        <v>2865</v>
      </c>
      <c r="E588" t="s">
        <v>2087</v>
      </c>
    </row>
    <row r="589" spans="1:5" x14ac:dyDescent="0.2">
      <c r="A589">
        <v>589</v>
      </c>
      <c r="B589" t="s">
        <v>580</v>
      </c>
      <c r="C589" t="s">
        <v>2866</v>
      </c>
      <c r="D589" t="s">
        <v>2867</v>
      </c>
      <c r="E589" t="s">
        <v>1719</v>
      </c>
    </row>
    <row r="590" spans="1:5" x14ac:dyDescent="0.2">
      <c r="A590">
        <v>590</v>
      </c>
      <c r="B590" t="s">
        <v>580</v>
      </c>
      <c r="C590" t="s">
        <v>2868</v>
      </c>
      <c r="D590" t="s">
        <v>2869</v>
      </c>
      <c r="E590" t="s">
        <v>1719</v>
      </c>
    </row>
    <row r="591" spans="1:5" x14ac:dyDescent="0.2">
      <c r="A591">
        <v>591</v>
      </c>
      <c r="B591" t="s">
        <v>580</v>
      </c>
      <c r="C591" t="s">
        <v>2870</v>
      </c>
      <c r="D591" t="s">
        <v>2871</v>
      </c>
      <c r="E591" t="s">
        <v>1719</v>
      </c>
    </row>
    <row r="592" spans="1:5" x14ac:dyDescent="0.2">
      <c r="A592">
        <v>592</v>
      </c>
      <c r="B592" t="s">
        <v>580</v>
      </c>
      <c r="C592" t="s">
        <v>2872</v>
      </c>
      <c r="D592" t="s">
        <v>2873</v>
      </c>
      <c r="E592" t="s">
        <v>2087</v>
      </c>
    </row>
    <row r="593" spans="1:5" x14ac:dyDescent="0.2">
      <c r="A593">
        <v>593</v>
      </c>
      <c r="B593" t="s">
        <v>580</v>
      </c>
      <c r="C593" t="s">
        <v>2874</v>
      </c>
      <c r="D593" t="s">
        <v>2875</v>
      </c>
      <c r="E593" t="s">
        <v>2087</v>
      </c>
    </row>
    <row r="594" spans="1:5" x14ac:dyDescent="0.2">
      <c r="A594">
        <v>594</v>
      </c>
      <c r="B594" t="s">
        <v>580</v>
      </c>
      <c r="C594" t="s">
        <v>2876</v>
      </c>
      <c r="D594" t="s">
        <v>2877</v>
      </c>
      <c r="E594" t="s">
        <v>2087</v>
      </c>
    </row>
    <row r="595" spans="1:5" x14ac:dyDescent="0.2">
      <c r="A595">
        <v>595</v>
      </c>
      <c r="B595" t="s">
        <v>580</v>
      </c>
      <c r="C595" t="s">
        <v>2878</v>
      </c>
      <c r="D595" t="s">
        <v>2879</v>
      </c>
      <c r="E595" t="s">
        <v>2087</v>
      </c>
    </row>
    <row r="596" spans="1:5" x14ac:dyDescent="0.2">
      <c r="A596">
        <v>596</v>
      </c>
      <c r="B596" t="s">
        <v>580</v>
      </c>
      <c r="C596" t="s">
        <v>2880</v>
      </c>
      <c r="D596" t="s">
        <v>2881</v>
      </c>
      <c r="E596" t="s">
        <v>2087</v>
      </c>
    </row>
    <row r="597" spans="1:5" x14ac:dyDescent="0.2">
      <c r="A597">
        <v>597</v>
      </c>
      <c r="B597" t="s">
        <v>580</v>
      </c>
      <c r="C597" t="s">
        <v>2882</v>
      </c>
      <c r="D597" t="s">
        <v>2883</v>
      </c>
      <c r="E597" t="s">
        <v>2087</v>
      </c>
    </row>
    <row r="598" spans="1:5" x14ac:dyDescent="0.2">
      <c r="A598">
        <v>598</v>
      </c>
      <c r="B598" t="s">
        <v>580</v>
      </c>
      <c r="C598" t="s">
        <v>2884</v>
      </c>
      <c r="D598" t="s">
        <v>2885</v>
      </c>
      <c r="E598" t="s">
        <v>1719</v>
      </c>
    </row>
    <row r="599" spans="1:5" x14ac:dyDescent="0.2">
      <c r="A599">
        <v>599</v>
      </c>
      <c r="B599" t="s">
        <v>580</v>
      </c>
      <c r="C599" t="s">
        <v>2886</v>
      </c>
      <c r="D599" t="s">
        <v>2887</v>
      </c>
      <c r="E599" t="s">
        <v>2087</v>
      </c>
    </row>
    <row r="600" spans="1:5" x14ac:dyDescent="0.2">
      <c r="A600">
        <v>600</v>
      </c>
      <c r="B600" t="s">
        <v>580</v>
      </c>
      <c r="C600" t="s">
        <v>2888</v>
      </c>
      <c r="D600" t="s">
        <v>2889</v>
      </c>
      <c r="E600" t="s">
        <v>1719</v>
      </c>
    </row>
    <row r="601" spans="1:5" x14ac:dyDescent="0.2">
      <c r="A601">
        <v>601</v>
      </c>
      <c r="B601" t="s">
        <v>580</v>
      </c>
      <c r="C601" t="s">
        <v>2890</v>
      </c>
      <c r="D601" t="s">
        <v>2891</v>
      </c>
      <c r="E601" t="s">
        <v>1719</v>
      </c>
    </row>
    <row r="602" spans="1:5" x14ac:dyDescent="0.2">
      <c r="A602">
        <v>602</v>
      </c>
      <c r="B602" t="s">
        <v>580</v>
      </c>
      <c r="C602" t="s">
        <v>2892</v>
      </c>
      <c r="D602" t="s">
        <v>2893</v>
      </c>
      <c r="E602" t="s">
        <v>1719</v>
      </c>
    </row>
    <row r="603" spans="1:5" x14ac:dyDescent="0.2">
      <c r="A603">
        <v>603</v>
      </c>
      <c r="B603" t="s">
        <v>580</v>
      </c>
      <c r="C603" t="s">
        <v>2894</v>
      </c>
      <c r="D603" t="s">
        <v>2895</v>
      </c>
      <c r="E603" t="s">
        <v>2087</v>
      </c>
    </row>
    <row r="604" spans="1:5" x14ac:dyDescent="0.2">
      <c r="A604">
        <v>604</v>
      </c>
      <c r="B604" t="s">
        <v>580</v>
      </c>
      <c r="C604" t="s">
        <v>2896</v>
      </c>
      <c r="D604" t="s">
        <v>2897</v>
      </c>
      <c r="E604" t="s">
        <v>1719</v>
      </c>
    </row>
    <row r="605" spans="1:5" x14ac:dyDescent="0.2">
      <c r="A605">
        <v>605</v>
      </c>
      <c r="B605" t="s">
        <v>580</v>
      </c>
      <c r="C605" t="s">
        <v>2898</v>
      </c>
      <c r="D605" t="s">
        <v>2899</v>
      </c>
      <c r="E605" t="s">
        <v>1719</v>
      </c>
    </row>
    <row r="606" spans="1:5" x14ac:dyDescent="0.2">
      <c r="A606">
        <v>606</v>
      </c>
      <c r="B606" t="s">
        <v>580</v>
      </c>
      <c r="C606" t="s">
        <v>2900</v>
      </c>
      <c r="D606" t="s">
        <v>2901</v>
      </c>
      <c r="E606" t="s">
        <v>1719</v>
      </c>
    </row>
    <row r="607" spans="1:5" x14ac:dyDescent="0.2">
      <c r="A607">
        <v>607</v>
      </c>
      <c r="B607" t="s">
        <v>580</v>
      </c>
      <c r="C607" t="s">
        <v>2902</v>
      </c>
      <c r="D607" t="s">
        <v>2903</v>
      </c>
      <c r="E607" t="s">
        <v>1719</v>
      </c>
    </row>
    <row r="608" spans="1:5" x14ac:dyDescent="0.2">
      <c r="A608">
        <v>608</v>
      </c>
      <c r="B608" t="s">
        <v>580</v>
      </c>
      <c r="C608" t="s">
        <v>2904</v>
      </c>
      <c r="D608" t="s">
        <v>2905</v>
      </c>
      <c r="E608" t="s">
        <v>1719</v>
      </c>
    </row>
    <row r="609" spans="1:5" x14ac:dyDescent="0.2">
      <c r="A609">
        <v>609</v>
      </c>
      <c r="B609" t="s">
        <v>580</v>
      </c>
      <c r="C609" t="s">
        <v>2906</v>
      </c>
      <c r="D609" t="s">
        <v>2907</v>
      </c>
      <c r="E609" t="s">
        <v>1719</v>
      </c>
    </row>
    <row r="610" spans="1:5" x14ac:dyDescent="0.2">
      <c r="A610">
        <v>610</v>
      </c>
      <c r="B610" t="s">
        <v>580</v>
      </c>
      <c r="C610" t="s">
        <v>2908</v>
      </c>
      <c r="D610" t="s">
        <v>2909</v>
      </c>
      <c r="E610" t="s">
        <v>1719</v>
      </c>
    </row>
    <row r="611" spans="1:5" x14ac:dyDescent="0.2">
      <c r="A611">
        <v>611</v>
      </c>
      <c r="B611" t="s">
        <v>580</v>
      </c>
      <c r="C611" t="s">
        <v>2910</v>
      </c>
      <c r="D611" t="s">
        <v>2911</v>
      </c>
      <c r="E611" t="s">
        <v>1719</v>
      </c>
    </row>
    <row r="612" spans="1:5" x14ac:dyDescent="0.2">
      <c r="A612">
        <v>612</v>
      </c>
      <c r="B612" t="s">
        <v>580</v>
      </c>
      <c r="C612" t="s">
        <v>2912</v>
      </c>
      <c r="D612" t="s">
        <v>2913</v>
      </c>
      <c r="E612" t="s">
        <v>1719</v>
      </c>
    </row>
    <row r="613" spans="1:5" x14ac:dyDescent="0.2">
      <c r="A613">
        <v>613</v>
      </c>
      <c r="B613" t="s">
        <v>580</v>
      </c>
      <c r="C613" t="s">
        <v>2914</v>
      </c>
      <c r="D613" t="s">
        <v>2915</v>
      </c>
      <c r="E613" t="s">
        <v>1719</v>
      </c>
    </row>
    <row r="614" spans="1:5" x14ac:dyDescent="0.2">
      <c r="A614">
        <v>614</v>
      </c>
      <c r="B614" t="s">
        <v>580</v>
      </c>
      <c r="C614" t="s">
        <v>2916</v>
      </c>
      <c r="D614" t="s">
        <v>2917</v>
      </c>
      <c r="E614" t="s">
        <v>1719</v>
      </c>
    </row>
    <row r="615" spans="1:5" x14ac:dyDescent="0.2">
      <c r="A615">
        <v>615</v>
      </c>
      <c r="B615" t="s">
        <v>580</v>
      </c>
      <c r="C615" t="s">
        <v>2918</v>
      </c>
      <c r="D615" t="s">
        <v>2919</v>
      </c>
      <c r="E615" t="s">
        <v>1719</v>
      </c>
    </row>
    <row r="616" spans="1:5" x14ac:dyDescent="0.2">
      <c r="A616">
        <v>616</v>
      </c>
      <c r="B616" t="s">
        <v>580</v>
      </c>
      <c r="C616" t="s">
        <v>2920</v>
      </c>
      <c r="D616" t="s">
        <v>2921</v>
      </c>
      <c r="E616" t="s">
        <v>1719</v>
      </c>
    </row>
    <row r="617" spans="1:5" x14ac:dyDescent="0.2">
      <c r="A617">
        <v>617</v>
      </c>
      <c r="B617" t="s">
        <v>580</v>
      </c>
      <c r="C617" t="s">
        <v>2922</v>
      </c>
      <c r="D617" t="s">
        <v>2923</v>
      </c>
      <c r="E617" t="s">
        <v>1719</v>
      </c>
    </row>
    <row r="618" spans="1:5" x14ac:dyDescent="0.2">
      <c r="A618">
        <v>618</v>
      </c>
      <c r="B618" t="s">
        <v>580</v>
      </c>
      <c r="C618" t="s">
        <v>2924</v>
      </c>
      <c r="D618" t="s">
        <v>2925</v>
      </c>
      <c r="E618" t="s">
        <v>1719</v>
      </c>
    </row>
    <row r="619" spans="1:5" x14ac:dyDescent="0.2">
      <c r="A619">
        <v>619</v>
      </c>
      <c r="B619" t="s">
        <v>580</v>
      </c>
      <c r="C619" t="s">
        <v>2926</v>
      </c>
      <c r="D619" t="s">
        <v>2927</v>
      </c>
      <c r="E619" t="s">
        <v>1719</v>
      </c>
    </row>
    <row r="620" spans="1:5" x14ac:dyDescent="0.2">
      <c r="A620">
        <v>620</v>
      </c>
      <c r="B620" t="s">
        <v>580</v>
      </c>
      <c r="C620" t="s">
        <v>2928</v>
      </c>
      <c r="D620" t="s">
        <v>2929</v>
      </c>
      <c r="E620" t="s">
        <v>2087</v>
      </c>
    </row>
    <row r="621" spans="1:5" x14ac:dyDescent="0.2">
      <c r="A621">
        <v>621</v>
      </c>
      <c r="B621" t="s">
        <v>580</v>
      </c>
      <c r="C621" t="s">
        <v>2930</v>
      </c>
      <c r="D621" t="s">
        <v>2931</v>
      </c>
      <c r="E621" t="s">
        <v>1719</v>
      </c>
    </row>
    <row r="622" spans="1:5" x14ac:dyDescent="0.2">
      <c r="A622">
        <v>622</v>
      </c>
      <c r="B622" t="s">
        <v>580</v>
      </c>
      <c r="C622" t="s">
        <v>2932</v>
      </c>
      <c r="D622" t="s">
        <v>2933</v>
      </c>
      <c r="E622" t="s">
        <v>1719</v>
      </c>
    </row>
    <row r="623" spans="1:5" x14ac:dyDescent="0.2">
      <c r="A623">
        <v>623</v>
      </c>
      <c r="B623" t="s">
        <v>580</v>
      </c>
      <c r="C623" t="s">
        <v>2934</v>
      </c>
      <c r="D623" t="s">
        <v>2935</v>
      </c>
      <c r="E623" t="s">
        <v>1719</v>
      </c>
    </row>
    <row r="624" spans="1:5" x14ac:dyDescent="0.2">
      <c r="A624">
        <v>624</v>
      </c>
      <c r="B624" t="s">
        <v>580</v>
      </c>
      <c r="C624" t="s">
        <v>2936</v>
      </c>
      <c r="D624" t="s">
        <v>2937</v>
      </c>
      <c r="E624" t="s">
        <v>1719</v>
      </c>
    </row>
    <row r="625" spans="1:5" x14ac:dyDescent="0.2">
      <c r="A625">
        <v>625</v>
      </c>
      <c r="B625" t="s">
        <v>580</v>
      </c>
      <c r="C625" t="s">
        <v>2938</v>
      </c>
      <c r="D625" t="s">
        <v>2939</v>
      </c>
      <c r="E625" t="s">
        <v>2087</v>
      </c>
    </row>
    <row r="626" spans="1:5" x14ac:dyDescent="0.2">
      <c r="A626">
        <v>626</v>
      </c>
      <c r="B626" t="s">
        <v>580</v>
      </c>
      <c r="C626" t="s">
        <v>2940</v>
      </c>
      <c r="D626" t="s">
        <v>2941</v>
      </c>
      <c r="E626" t="s">
        <v>1719</v>
      </c>
    </row>
    <row r="627" spans="1:5" x14ac:dyDescent="0.2">
      <c r="A627">
        <v>627</v>
      </c>
      <c r="B627" t="s">
        <v>580</v>
      </c>
      <c r="C627" t="s">
        <v>2942</v>
      </c>
      <c r="D627" t="s">
        <v>2943</v>
      </c>
      <c r="E627" t="s">
        <v>2087</v>
      </c>
    </row>
    <row r="628" spans="1:5" x14ac:dyDescent="0.2">
      <c r="A628">
        <v>628</v>
      </c>
      <c r="B628" t="s">
        <v>580</v>
      </c>
      <c r="C628" t="s">
        <v>2944</v>
      </c>
      <c r="D628" t="s">
        <v>2945</v>
      </c>
      <c r="E628" t="s">
        <v>1719</v>
      </c>
    </row>
    <row r="629" spans="1:5" x14ac:dyDescent="0.2">
      <c r="A629">
        <v>629</v>
      </c>
      <c r="B629" t="s">
        <v>580</v>
      </c>
      <c r="C629" t="s">
        <v>2946</v>
      </c>
      <c r="D629" t="s">
        <v>2947</v>
      </c>
      <c r="E629" t="s">
        <v>1719</v>
      </c>
    </row>
    <row r="630" spans="1:5" x14ac:dyDescent="0.2">
      <c r="A630">
        <v>630</v>
      </c>
      <c r="B630" t="s">
        <v>580</v>
      </c>
      <c r="C630" t="s">
        <v>2948</v>
      </c>
      <c r="D630" t="s">
        <v>2949</v>
      </c>
      <c r="E630" t="s">
        <v>1719</v>
      </c>
    </row>
    <row r="631" spans="1:5" x14ac:dyDescent="0.2">
      <c r="A631">
        <v>631</v>
      </c>
      <c r="B631" t="s">
        <v>580</v>
      </c>
      <c r="C631" t="s">
        <v>2950</v>
      </c>
      <c r="D631" t="s">
        <v>2951</v>
      </c>
      <c r="E631" t="s">
        <v>1719</v>
      </c>
    </row>
    <row r="632" spans="1:5" x14ac:dyDescent="0.2">
      <c r="A632">
        <v>632</v>
      </c>
      <c r="B632" t="s">
        <v>580</v>
      </c>
      <c r="C632" t="s">
        <v>2952</v>
      </c>
      <c r="D632" t="s">
        <v>2953</v>
      </c>
      <c r="E632" t="s">
        <v>1719</v>
      </c>
    </row>
    <row r="633" spans="1:5" x14ac:dyDescent="0.2">
      <c r="A633">
        <v>633</v>
      </c>
      <c r="B633" t="s">
        <v>580</v>
      </c>
      <c r="C633" t="s">
        <v>2954</v>
      </c>
      <c r="D633" t="s">
        <v>2955</v>
      </c>
      <c r="E633" t="s">
        <v>2087</v>
      </c>
    </row>
    <row r="634" spans="1:5" x14ac:dyDescent="0.2">
      <c r="A634">
        <v>634</v>
      </c>
      <c r="B634" t="s">
        <v>580</v>
      </c>
      <c r="C634" t="s">
        <v>2956</v>
      </c>
      <c r="D634" t="s">
        <v>2957</v>
      </c>
      <c r="E634" t="s">
        <v>1719</v>
      </c>
    </row>
    <row r="635" spans="1:5" x14ac:dyDescent="0.2">
      <c r="A635">
        <v>635</v>
      </c>
      <c r="B635" t="s">
        <v>580</v>
      </c>
      <c r="C635" t="s">
        <v>2958</v>
      </c>
      <c r="D635" t="s">
        <v>2959</v>
      </c>
      <c r="E635" t="s">
        <v>1719</v>
      </c>
    </row>
    <row r="636" spans="1:5" x14ac:dyDescent="0.2">
      <c r="A636">
        <v>636</v>
      </c>
      <c r="B636" t="s">
        <v>580</v>
      </c>
      <c r="C636" t="s">
        <v>2960</v>
      </c>
      <c r="D636" t="s">
        <v>2961</v>
      </c>
      <c r="E636" t="s">
        <v>1719</v>
      </c>
    </row>
    <row r="637" spans="1:5" x14ac:dyDescent="0.2">
      <c r="A637">
        <v>637</v>
      </c>
      <c r="B637" t="s">
        <v>580</v>
      </c>
      <c r="C637" t="s">
        <v>2962</v>
      </c>
      <c r="D637" t="s">
        <v>2963</v>
      </c>
      <c r="E637" t="s">
        <v>1719</v>
      </c>
    </row>
    <row r="638" spans="1:5" x14ac:dyDescent="0.2">
      <c r="A638">
        <v>638</v>
      </c>
      <c r="B638" t="s">
        <v>580</v>
      </c>
      <c r="C638" t="s">
        <v>2964</v>
      </c>
      <c r="D638" t="s">
        <v>2965</v>
      </c>
      <c r="E638" t="s">
        <v>1719</v>
      </c>
    </row>
    <row r="639" spans="1:5" x14ac:dyDescent="0.2">
      <c r="A639">
        <v>639</v>
      </c>
      <c r="B639" t="s">
        <v>580</v>
      </c>
      <c r="C639" t="s">
        <v>2966</v>
      </c>
      <c r="D639" t="s">
        <v>2967</v>
      </c>
      <c r="E639" t="s">
        <v>1719</v>
      </c>
    </row>
    <row r="640" spans="1:5" x14ac:dyDescent="0.2">
      <c r="A640">
        <v>640</v>
      </c>
      <c r="B640" t="s">
        <v>580</v>
      </c>
      <c r="C640" t="s">
        <v>2968</v>
      </c>
      <c r="D640" t="s">
        <v>2969</v>
      </c>
      <c r="E640" t="s">
        <v>1719</v>
      </c>
    </row>
    <row r="641" spans="1:5" x14ac:dyDescent="0.2">
      <c r="A641">
        <v>641</v>
      </c>
      <c r="B641" t="s">
        <v>580</v>
      </c>
      <c r="C641" t="s">
        <v>2970</v>
      </c>
      <c r="D641" t="s">
        <v>2971</v>
      </c>
      <c r="E641" t="s">
        <v>1719</v>
      </c>
    </row>
    <row r="642" spans="1:5" x14ac:dyDescent="0.2">
      <c r="A642">
        <v>642</v>
      </c>
      <c r="B642" t="s">
        <v>584</v>
      </c>
      <c r="C642" t="s">
        <v>2972</v>
      </c>
      <c r="D642" t="s">
        <v>2973</v>
      </c>
      <c r="E642" t="s">
        <v>1719</v>
      </c>
    </row>
    <row r="643" spans="1:5" x14ac:dyDescent="0.2">
      <c r="A643">
        <v>643</v>
      </c>
      <c r="B643" t="s">
        <v>584</v>
      </c>
      <c r="C643" t="s">
        <v>2974</v>
      </c>
      <c r="D643" t="s">
        <v>2975</v>
      </c>
      <c r="E643" t="s">
        <v>1719</v>
      </c>
    </row>
    <row r="644" spans="1:5" x14ac:dyDescent="0.2">
      <c r="A644">
        <v>644</v>
      </c>
      <c r="B644" t="s">
        <v>584</v>
      </c>
      <c r="C644" t="s">
        <v>2976</v>
      </c>
      <c r="D644" t="s">
        <v>2977</v>
      </c>
      <c r="E644" t="s">
        <v>1719</v>
      </c>
    </row>
    <row r="645" spans="1:5" x14ac:dyDescent="0.2">
      <c r="A645">
        <v>645</v>
      </c>
      <c r="B645" t="s">
        <v>584</v>
      </c>
      <c r="C645" t="s">
        <v>2978</v>
      </c>
      <c r="D645" t="s">
        <v>2979</v>
      </c>
      <c r="E645" t="s">
        <v>1719</v>
      </c>
    </row>
    <row r="646" spans="1:5" x14ac:dyDescent="0.2">
      <c r="A646">
        <v>646</v>
      </c>
      <c r="B646" t="s">
        <v>584</v>
      </c>
      <c r="C646" t="s">
        <v>2980</v>
      </c>
      <c r="D646" t="s">
        <v>2981</v>
      </c>
      <c r="E646" t="s">
        <v>1719</v>
      </c>
    </row>
    <row r="647" spans="1:5" x14ac:dyDescent="0.2">
      <c r="A647">
        <v>647</v>
      </c>
      <c r="B647" t="s">
        <v>584</v>
      </c>
      <c r="C647" t="s">
        <v>2982</v>
      </c>
      <c r="D647" t="s">
        <v>2983</v>
      </c>
      <c r="E647" t="s">
        <v>1719</v>
      </c>
    </row>
    <row r="648" spans="1:5" x14ac:dyDescent="0.2">
      <c r="A648">
        <v>648</v>
      </c>
      <c r="B648" t="s">
        <v>584</v>
      </c>
      <c r="C648" t="s">
        <v>2984</v>
      </c>
      <c r="D648" t="s">
        <v>2985</v>
      </c>
      <c r="E648" t="s">
        <v>1719</v>
      </c>
    </row>
    <row r="649" spans="1:5" x14ac:dyDescent="0.2">
      <c r="A649">
        <v>649</v>
      </c>
      <c r="B649" t="s">
        <v>584</v>
      </c>
      <c r="C649" t="s">
        <v>2986</v>
      </c>
      <c r="D649" t="s">
        <v>2987</v>
      </c>
      <c r="E649" t="s">
        <v>1719</v>
      </c>
    </row>
    <row r="650" spans="1:5" x14ac:dyDescent="0.2">
      <c r="A650">
        <v>650</v>
      </c>
      <c r="B650" t="s">
        <v>584</v>
      </c>
      <c r="C650" t="s">
        <v>2988</v>
      </c>
      <c r="D650" t="s">
        <v>2989</v>
      </c>
      <c r="E650" t="s">
        <v>1719</v>
      </c>
    </row>
    <row r="651" spans="1:5" x14ac:dyDescent="0.2">
      <c r="A651">
        <v>651</v>
      </c>
      <c r="B651" t="s">
        <v>584</v>
      </c>
      <c r="C651" t="s">
        <v>2990</v>
      </c>
      <c r="D651" t="s">
        <v>2991</v>
      </c>
      <c r="E651" t="s">
        <v>1719</v>
      </c>
    </row>
    <row r="652" spans="1:5" x14ac:dyDescent="0.2">
      <c r="A652">
        <v>652</v>
      </c>
      <c r="B652" t="s">
        <v>584</v>
      </c>
      <c r="C652" t="s">
        <v>2992</v>
      </c>
      <c r="D652" t="s">
        <v>2993</v>
      </c>
      <c r="E652" t="s">
        <v>1719</v>
      </c>
    </row>
    <row r="653" spans="1:5" x14ac:dyDescent="0.2">
      <c r="A653">
        <v>653</v>
      </c>
      <c r="B653" t="s">
        <v>584</v>
      </c>
      <c r="C653" t="s">
        <v>2994</v>
      </c>
      <c r="D653" t="s">
        <v>2995</v>
      </c>
      <c r="E653" t="s">
        <v>1719</v>
      </c>
    </row>
    <row r="654" spans="1:5" x14ac:dyDescent="0.2">
      <c r="A654">
        <v>654</v>
      </c>
      <c r="B654" t="s">
        <v>584</v>
      </c>
      <c r="C654" t="s">
        <v>2996</v>
      </c>
      <c r="D654" t="s">
        <v>2997</v>
      </c>
      <c r="E654" t="s">
        <v>1719</v>
      </c>
    </row>
    <row r="655" spans="1:5" x14ac:dyDescent="0.2">
      <c r="A655">
        <v>655</v>
      </c>
      <c r="B655" t="s">
        <v>584</v>
      </c>
      <c r="C655" t="s">
        <v>2998</v>
      </c>
      <c r="D655" t="s">
        <v>2999</v>
      </c>
      <c r="E655" t="s">
        <v>1719</v>
      </c>
    </row>
    <row r="656" spans="1:5" x14ac:dyDescent="0.2">
      <c r="A656">
        <v>656</v>
      </c>
      <c r="B656" t="s">
        <v>584</v>
      </c>
      <c r="C656" t="s">
        <v>3000</v>
      </c>
      <c r="D656" t="s">
        <v>3001</v>
      </c>
      <c r="E656" t="s">
        <v>1719</v>
      </c>
    </row>
    <row r="657" spans="1:5" x14ac:dyDescent="0.2">
      <c r="A657">
        <v>657</v>
      </c>
      <c r="B657" t="s">
        <v>584</v>
      </c>
      <c r="C657" t="s">
        <v>3002</v>
      </c>
      <c r="D657" t="s">
        <v>3003</v>
      </c>
      <c r="E657" t="s">
        <v>1719</v>
      </c>
    </row>
    <row r="658" spans="1:5" x14ac:dyDescent="0.2">
      <c r="A658">
        <v>658</v>
      </c>
      <c r="B658" t="s">
        <v>584</v>
      </c>
      <c r="C658" t="s">
        <v>3004</v>
      </c>
      <c r="D658" t="s">
        <v>3005</v>
      </c>
      <c r="E658" t="s">
        <v>1719</v>
      </c>
    </row>
    <row r="659" spans="1:5" x14ac:dyDescent="0.2">
      <c r="A659">
        <v>659</v>
      </c>
      <c r="B659" t="s">
        <v>586</v>
      </c>
      <c r="C659" t="s">
        <v>3006</v>
      </c>
      <c r="D659" t="s">
        <v>3007</v>
      </c>
      <c r="E659" t="s">
        <v>1719</v>
      </c>
    </row>
    <row r="660" spans="1:5" x14ac:dyDescent="0.2">
      <c r="A660">
        <v>660</v>
      </c>
      <c r="B660" t="s">
        <v>586</v>
      </c>
      <c r="C660" t="s">
        <v>3008</v>
      </c>
      <c r="D660" t="s">
        <v>3009</v>
      </c>
      <c r="E660" t="s">
        <v>1719</v>
      </c>
    </row>
    <row r="661" spans="1:5" x14ac:dyDescent="0.2">
      <c r="A661">
        <v>661</v>
      </c>
      <c r="B661" t="s">
        <v>586</v>
      </c>
      <c r="C661" t="s">
        <v>3010</v>
      </c>
      <c r="D661" t="s">
        <v>3011</v>
      </c>
      <c r="E661" t="s">
        <v>1719</v>
      </c>
    </row>
    <row r="662" spans="1:5" x14ac:dyDescent="0.2">
      <c r="A662">
        <v>662</v>
      </c>
      <c r="B662" t="s">
        <v>586</v>
      </c>
      <c r="C662" t="s">
        <v>3012</v>
      </c>
      <c r="D662" t="s">
        <v>3013</v>
      </c>
      <c r="E662" t="s">
        <v>1719</v>
      </c>
    </row>
    <row r="663" spans="1:5" x14ac:dyDescent="0.2">
      <c r="A663">
        <v>663</v>
      </c>
      <c r="B663" t="s">
        <v>586</v>
      </c>
      <c r="C663" t="s">
        <v>3014</v>
      </c>
      <c r="D663" t="s">
        <v>3015</v>
      </c>
      <c r="E663" t="s">
        <v>1719</v>
      </c>
    </row>
    <row r="664" spans="1:5" x14ac:dyDescent="0.2">
      <c r="A664">
        <v>664</v>
      </c>
      <c r="B664" t="s">
        <v>586</v>
      </c>
      <c r="C664" t="s">
        <v>3016</v>
      </c>
      <c r="D664" t="s">
        <v>3017</v>
      </c>
      <c r="E664" t="s">
        <v>1719</v>
      </c>
    </row>
    <row r="665" spans="1:5" x14ac:dyDescent="0.2">
      <c r="A665">
        <v>665</v>
      </c>
      <c r="B665" t="s">
        <v>586</v>
      </c>
      <c r="C665" t="s">
        <v>3018</v>
      </c>
      <c r="D665" t="s">
        <v>3019</v>
      </c>
      <c r="E665" t="s">
        <v>1719</v>
      </c>
    </row>
    <row r="666" spans="1:5" x14ac:dyDescent="0.2">
      <c r="A666">
        <v>666</v>
      </c>
      <c r="B666" t="s">
        <v>586</v>
      </c>
      <c r="C666" t="s">
        <v>3020</v>
      </c>
      <c r="D666" t="s">
        <v>3021</v>
      </c>
      <c r="E666" t="s">
        <v>1719</v>
      </c>
    </row>
    <row r="667" spans="1:5" x14ac:dyDescent="0.2">
      <c r="A667">
        <v>667</v>
      </c>
      <c r="B667" t="s">
        <v>586</v>
      </c>
      <c r="C667" t="s">
        <v>3022</v>
      </c>
      <c r="D667" t="s">
        <v>3023</v>
      </c>
      <c r="E667" t="s">
        <v>1719</v>
      </c>
    </row>
    <row r="668" spans="1:5" x14ac:dyDescent="0.2">
      <c r="A668">
        <v>668</v>
      </c>
      <c r="B668" t="s">
        <v>586</v>
      </c>
      <c r="C668" t="s">
        <v>3024</v>
      </c>
      <c r="D668" t="s">
        <v>3025</v>
      </c>
      <c r="E668" t="s">
        <v>1719</v>
      </c>
    </row>
    <row r="669" spans="1:5" x14ac:dyDescent="0.2">
      <c r="A669">
        <v>669</v>
      </c>
      <c r="B669" t="s">
        <v>586</v>
      </c>
      <c r="C669" t="s">
        <v>3026</v>
      </c>
      <c r="D669" t="s">
        <v>3027</v>
      </c>
      <c r="E669" t="s">
        <v>3028</v>
      </c>
    </row>
    <row r="670" spans="1:5" x14ac:dyDescent="0.2">
      <c r="A670">
        <v>670</v>
      </c>
      <c r="B670" t="s">
        <v>586</v>
      </c>
      <c r="C670" t="s">
        <v>3029</v>
      </c>
      <c r="D670" t="s">
        <v>3030</v>
      </c>
      <c r="E670" t="s">
        <v>3028</v>
      </c>
    </row>
    <row r="671" spans="1:5" x14ac:dyDescent="0.2">
      <c r="A671">
        <v>671</v>
      </c>
      <c r="B671" t="s">
        <v>586</v>
      </c>
      <c r="C671" t="s">
        <v>3031</v>
      </c>
      <c r="D671" t="s">
        <v>3032</v>
      </c>
      <c r="E671" t="s">
        <v>3028</v>
      </c>
    </row>
    <row r="672" spans="1:5" x14ac:dyDescent="0.2">
      <c r="A672">
        <v>672</v>
      </c>
      <c r="B672" t="s">
        <v>586</v>
      </c>
      <c r="C672" t="s">
        <v>3033</v>
      </c>
      <c r="D672" t="s">
        <v>3034</v>
      </c>
      <c r="E672" t="s">
        <v>1719</v>
      </c>
    </row>
    <row r="673" spans="1:5" x14ac:dyDescent="0.2">
      <c r="A673">
        <v>673</v>
      </c>
      <c r="B673" t="s">
        <v>586</v>
      </c>
      <c r="C673" t="s">
        <v>3035</v>
      </c>
      <c r="D673" t="s">
        <v>3036</v>
      </c>
      <c r="E673" t="s">
        <v>1719</v>
      </c>
    </row>
    <row r="674" spans="1:5" x14ac:dyDescent="0.2">
      <c r="A674">
        <v>674</v>
      </c>
      <c r="B674" t="s">
        <v>586</v>
      </c>
      <c r="C674" t="s">
        <v>3037</v>
      </c>
      <c r="D674" t="s">
        <v>3038</v>
      </c>
      <c r="E674" t="s">
        <v>3028</v>
      </c>
    </row>
    <row r="675" spans="1:5" x14ac:dyDescent="0.2">
      <c r="A675">
        <v>675</v>
      </c>
      <c r="B675" t="s">
        <v>586</v>
      </c>
      <c r="C675" t="s">
        <v>3039</v>
      </c>
      <c r="D675" t="s">
        <v>3040</v>
      </c>
      <c r="E675" t="s">
        <v>1719</v>
      </c>
    </row>
    <row r="676" spans="1:5" x14ac:dyDescent="0.2">
      <c r="A676">
        <v>676</v>
      </c>
      <c r="B676" t="s">
        <v>586</v>
      </c>
      <c r="C676" t="s">
        <v>3041</v>
      </c>
      <c r="D676" t="s">
        <v>3042</v>
      </c>
      <c r="E676" t="s">
        <v>1719</v>
      </c>
    </row>
    <row r="677" spans="1:5" x14ac:dyDescent="0.2">
      <c r="A677">
        <v>677</v>
      </c>
      <c r="B677" t="s">
        <v>586</v>
      </c>
      <c r="C677" t="s">
        <v>3043</v>
      </c>
      <c r="D677" t="s">
        <v>3044</v>
      </c>
      <c r="E677" t="s">
        <v>1719</v>
      </c>
    </row>
    <row r="678" spans="1:5" x14ac:dyDescent="0.2">
      <c r="A678">
        <v>678</v>
      </c>
      <c r="B678" t="s">
        <v>586</v>
      </c>
      <c r="C678" t="s">
        <v>3045</v>
      </c>
      <c r="D678" t="s">
        <v>3046</v>
      </c>
      <c r="E678" t="s">
        <v>1719</v>
      </c>
    </row>
    <row r="679" spans="1:5" x14ac:dyDescent="0.2">
      <c r="A679">
        <v>679</v>
      </c>
      <c r="B679" t="s">
        <v>586</v>
      </c>
      <c r="C679" t="s">
        <v>3047</v>
      </c>
      <c r="D679" t="s">
        <v>3048</v>
      </c>
      <c r="E679" t="s">
        <v>1719</v>
      </c>
    </row>
    <row r="680" spans="1:5" x14ac:dyDescent="0.2">
      <c r="A680">
        <v>680</v>
      </c>
      <c r="B680" t="s">
        <v>586</v>
      </c>
      <c r="C680" t="s">
        <v>3049</v>
      </c>
      <c r="D680" t="s">
        <v>3050</v>
      </c>
      <c r="E680" t="s">
        <v>1719</v>
      </c>
    </row>
    <row r="681" spans="1:5" x14ac:dyDescent="0.2">
      <c r="A681">
        <v>681</v>
      </c>
      <c r="B681" t="s">
        <v>586</v>
      </c>
      <c r="C681" t="s">
        <v>3051</v>
      </c>
      <c r="D681" t="s">
        <v>3052</v>
      </c>
      <c r="E681" t="s">
        <v>1719</v>
      </c>
    </row>
    <row r="682" spans="1:5" x14ac:dyDescent="0.2">
      <c r="A682">
        <v>682</v>
      </c>
      <c r="B682" t="s">
        <v>586</v>
      </c>
      <c r="C682" t="s">
        <v>3053</v>
      </c>
      <c r="D682" t="s">
        <v>3054</v>
      </c>
      <c r="E682" t="s">
        <v>1719</v>
      </c>
    </row>
    <row r="683" spans="1:5" x14ac:dyDescent="0.2">
      <c r="A683">
        <v>683</v>
      </c>
      <c r="B683" t="s">
        <v>588</v>
      </c>
      <c r="C683" t="s">
        <v>3055</v>
      </c>
      <c r="D683" t="s">
        <v>3056</v>
      </c>
      <c r="E683" t="s">
        <v>2087</v>
      </c>
    </row>
    <row r="684" spans="1:5" x14ac:dyDescent="0.2">
      <c r="A684">
        <v>684</v>
      </c>
      <c r="B684" t="s">
        <v>588</v>
      </c>
      <c r="C684" t="s">
        <v>3057</v>
      </c>
      <c r="D684" t="s">
        <v>2875</v>
      </c>
      <c r="E684" t="s">
        <v>2087</v>
      </c>
    </row>
    <row r="685" spans="1:5" x14ac:dyDescent="0.2">
      <c r="A685">
        <v>685</v>
      </c>
      <c r="B685" t="s">
        <v>588</v>
      </c>
      <c r="C685" t="s">
        <v>3058</v>
      </c>
      <c r="D685" t="s">
        <v>3059</v>
      </c>
      <c r="E685" t="s">
        <v>2087</v>
      </c>
    </row>
    <row r="686" spans="1:5" x14ac:dyDescent="0.2">
      <c r="A686">
        <v>686</v>
      </c>
      <c r="B686" t="s">
        <v>588</v>
      </c>
      <c r="C686" t="s">
        <v>3058</v>
      </c>
      <c r="D686" t="s">
        <v>2887</v>
      </c>
      <c r="E686" t="s">
        <v>2087</v>
      </c>
    </row>
    <row r="687" spans="1:5" x14ac:dyDescent="0.2">
      <c r="A687">
        <v>687</v>
      </c>
      <c r="B687" t="s">
        <v>588</v>
      </c>
      <c r="C687" t="s">
        <v>3060</v>
      </c>
      <c r="D687" t="s">
        <v>3061</v>
      </c>
      <c r="E687" t="s">
        <v>2087</v>
      </c>
    </row>
    <row r="688" spans="1:5" x14ac:dyDescent="0.2">
      <c r="A688">
        <v>688</v>
      </c>
      <c r="B688" t="s">
        <v>588</v>
      </c>
      <c r="C688" t="s">
        <v>3060</v>
      </c>
      <c r="D688" t="s">
        <v>3062</v>
      </c>
      <c r="E688" t="s">
        <v>2087</v>
      </c>
    </row>
    <row r="689" spans="1:5" x14ac:dyDescent="0.2">
      <c r="A689">
        <v>689</v>
      </c>
      <c r="B689" t="s">
        <v>588</v>
      </c>
      <c r="C689" t="s">
        <v>3063</v>
      </c>
      <c r="D689" t="s">
        <v>2604</v>
      </c>
      <c r="E689" t="s">
        <v>2087</v>
      </c>
    </row>
    <row r="690" spans="1:5" x14ac:dyDescent="0.2">
      <c r="A690">
        <v>690</v>
      </c>
      <c r="B690" t="s">
        <v>588</v>
      </c>
      <c r="C690" t="s">
        <v>3064</v>
      </c>
      <c r="D690" t="s">
        <v>2929</v>
      </c>
      <c r="E690" t="s">
        <v>2087</v>
      </c>
    </row>
    <row r="691" spans="1:5" x14ac:dyDescent="0.2">
      <c r="A691">
        <v>691</v>
      </c>
      <c r="B691" t="s">
        <v>588</v>
      </c>
      <c r="C691" t="s">
        <v>3065</v>
      </c>
      <c r="D691" t="s">
        <v>3066</v>
      </c>
      <c r="E691" t="s">
        <v>2087</v>
      </c>
    </row>
    <row r="692" spans="1:5" x14ac:dyDescent="0.2">
      <c r="A692">
        <v>692</v>
      </c>
      <c r="B692" t="s">
        <v>588</v>
      </c>
      <c r="C692" t="s">
        <v>3064</v>
      </c>
      <c r="D692" t="s">
        <v>3067</v>
      </c>
      <c r="E692" t="s">
        <v>2087</v>
      </c>
    </row>
    <row r="693" spans="1:5" x14ac:dyDescent="0.2">
      <c r="A693">
        <v>693</v>
      </c>
      <c r="B693" t="s">
        <v>588</v>
      </c>
      <c r="C693" t="s">
        <v>3065</v>
      </c>
      <c r="D693" t="s">
        <v>2732</v>
      </c>
      <c r="E693" t="s">
        <v>2087</v>
      </c>
    </row>
    <row r="694" spans="1:5" x14ac:dyDescent="0.2">
      <c r="A694">
        <v>694</v>
      </c>
      <c r="B694" t="s">
        <v>588</v>
      </c>
      <c r="C694" t="s">
        <v>3068</v>
      </c>
      <c r="D694" t="s">
        <v>3069</v>
      </c>
      <c r="E694" t="s">
        <v>2087</v>
      </c>
    </row>
    <row r="695" spans="1:5" x14ac:dyDescent="0.2">
      <c r="A695">
        <v>695</v>
      </c>
      <c r="B695" t="s">
        <v>588</v>
      </c>
      <c r="C695" t="s">
        <v>3070</v>
      </c>
      <c r="D695" t="s">
        <v>3071</v>
      </c>
      <c r="E695" t="s">
        <v>2087</v>
      </c>
    </row>
    <row r="696" spans="1:5" x14ac:dyDescent="0.2">
      <c r="A696">
        <v>696</v>
      </c>
      <c r="B696" t="s">
        <v>588</v>
      </c>
      <c r="C696" t="s">
        <v>3072</v>
      </c>
      <c r="D696" t="s">
        <v>3073</v>
      </c>
      <c r="E696" t="s">
        <v>2087</v>
      </c>
    </row>
    <row r="697" spans="1:5" x14ac:dyDescent="0.2">
      <c r="A697">
        <v>697</v>
      </c>
      <c r="B697" t="s">
        <v>588</v>
      </c>
      <c r="C697" t="s">
        <v>3070</v>
      </c>
      <c r="D697" t="s">
        <v>3074</v>
      </c>
      <c r="E697" t="s">
        <v>2087</v>
      </c>
    </row>
    <row r="698" spans="1:5" x14ac:dyDescent="0.2">
      <c r="A698">
        <v>698</v>
      </c>
      <c r="B698" t="s">
        <v>588</v>
      </c>
      <c r="C698" t="s">
        <v>3072</v>
      </c>
      <c r="D698" t="s">
        <v>2955</v>
      </c>
      <c r="E698" t="s">
        <v>2087</v>
      </c>
    </row>
    <row r="699" spans="1:5" x14ac:dyDescent="0.2">
      <c r="A699">
        <v>699</v>
      </c>
      <c r="B699" t="s">
        <v>588</v>
      </c>
      <c r="C699" t="s">
        <v>3068</v>
      </c>
      <c r="D699" t="s">
        <v>3075</v>
      </c>
      <c r="E699" t="s">
        <v>2087</v>
      </c>
    </row>
    <row r="700" spans="1:5" x14ac:dyDescent="0.2">
      <c r="A700">
        <v>700</v>
      </c>
      <c r="B700" t="s">
        <v>590</v>
      </c>
      <c r="C700" t="s">
        <v>3076</v>
      </c>
      <c r="D700" t="s">
        <v>3077</v>
      </c>
      <c r="E700" t="s">
        <v>1719</v>
      </c>
    </row>
    <row r="701" spans="1:5" x14ac:dyDescent="0.2">
      <c r="A701">
        <v>701</v>
      </c>
      <c r="B701" t="s">
        <v>590</v>
      </c>
      <c r="C701" t="s">
        <v>3078</v>
      </c>
      <c r="D701" t="s">
        <v>3079</v>
      </c>
      <c r="E701" t="s">
        <v>1719</v>
      </c>
    </row>
    <row r="702" spans="1:5" x14ac:dyDescent="0.2">
      <c r="A702">
        <v>702</v>
      </c>
      <c r="B702" t="s">
        <v>590</v>
      </c>
      <c r="C702" t="s">
        <v>3078</v>
      </c>
      <c r="D702" t="s">
        <v>3080</v>
      </c>
      <c r="E702" t="s">
        <v>1719</v>
      </c>
    </row>
    <row r="703" spans="1:5" x14ac:dyDescent="0.2">
      <c r="A703">
        <v>703</v>
      </c>
      <c r="B703" t="s">
        <v>590</v>
      </c>
      <c r="C703" t="s">
        <v>3081</v>
      </c>
      <c r="D703" t="s">
        <v>3082</v>
      </c>
      <c r="E703" t="s">
        <v>1719</v>
      </c>
    </row>
    <row r="704" spans="1:5" x14ac:dyDescent="0.2">
      <c r="A704">
        <v>704</v>
      </c>
      <c r="B704" t="s">
        <v>590</v>
      </c>
      <c r="C704" t="s">
        <v>3083</v>
      </c>
      <c r="D704" t="s">
        <v>3084</v>
      </c>
      <c r="E704" t="s">
        <v>1719</v>
      </c>
    </row>
    <row r="705" spans="1:5" x14ac:dyDescent="0.2">
      <c r="A705">
        <v>705</v>
      </c>
      <c r="B705" t="s">
        <v>590</v>
      </c>
      <c r="C705" t="s">
        <v>3085</v>
      </c>
      <c r="D705" t="s">
        <v>3086</v>
      </c>
      <c r="E705" t="s">
        <v>1719</v>
      </c>
    </row>
    <row r="706" spans="1:5" x14ac:dyDescent="0.2">
      <c r="A706">
        <v>706</v>
      </c>
      <c r="B706" t="s">
        <v>590</v>
      </c>
      <c r="C706" t="s">
        <v>3087</v>
      </c>
      <c r="D706" t="s">
        <v>3088</v>
      </c>
      <c r="E706" t="s">
        <v>2110</v>
      </c>
    </row>
    <row r="707" spans="1:5" x14ac:dyDescent="0.2">
      <c r="A707">
        <v>707</v>
      </c>
      <c r="B707" t="s">
        <v>590</v>
      </c>
      <c r="C707" t="s">
        <v>3083</v>
      </c>
      <c r="D707" t="s">
        <v>3089</v>
      </c>
      <c r="E707" t="s">
        <v>1719</v>
      </c>
    </row>
    <row r="708" spans="1:5" x14ac:dyDescent="0.2">
      <c r="A708">
        <v>708</v>
      </c>
      <c r="B708" t="s">
        <v>590</v>
      </c>
      <c r="C708" t="s">
        <v>3090</v>
      </c>
      <c r="D708" t="s">
        <v>3091</v>
      </c>
      <c r="E708" t="s">
        <v>1719</v>
      </c>
    </row>
    <row r="709" spans="1:5" x14ac:dyDescent="0.2">
      <c r="A709">
        <v>709</v>
      </c>
      <c r="B709" t="s">
        <v>590</v>
      </c>
      <c r="C709" t="s">
        <v>3090</v>
      </c>
      <c r="D709" t="s">
        <v>3092</v>
      </c>
      <c r="E709" t="s">
        <v>1719</v>
      </c>
    </row>
    <row r="710" spans="1:5" x14ac:dyDescent="0.2">
      <c r="A710">
        <v>710</v>
      </c>
      <c r="B710" t="s">
        <v>590</v>
      </c>
      <c r="C710" t="s">
        <v>3093</v>
      </c>
      <c r="D710" t="s">
        <v>3094</v>
      </c>
      <c r="E710" t="s">
        <v>2110</v>
      </c>
    </row>
    <row r="711" spans="1:5" x14ac:dyDescent="0.2">
      <c r="A711">
        <v>711</v>
      </c>
      <c r="B711" t="s">
        <v>590</v>
      </c>
      <c r="C711" t="s">
        <v>3095</v>
      </c>
      <c r="D711" t="s">
        <v>3096</v>
      </c>
      <c r="E711" t="s">
        <v>1719</v>
      </c>
    </row>
    <row r="712" spans="1:5" x14ac:dyDescent="0.2">
      <c r="A712">
        <v>712</v>
      </c>
      <c r="B712" t="s">
        <v>590</v>
      </c>
      <c r="C712" t="s">
        <v>3097</v>
      </c>
      <c r="D712" t="s">
        <v>3098</v>
      </c>
      <c r="E712" t="s">
        <v>1719</v>
      </c>
    </row>
    <row r="713" spans="1:5" x14ac:dyDescent="0.2">
      <c r="A713">
        <v>713</v>
      </c>
      <c r="B713" t="s">
        <v>590</v>
      </c>
      <c r="C713" t="s">
        <v>3099</v>
      </c>
      <c r="D713" t="s">
        <v>3100</v>
      </c>
      <c r="E713" t="s">
        <v>1719</v>
      </c>
    </row>
    <row r="714" spans="1:5" x14ac:dyDescent="0.2">
      <c r="A714">
        <v>714</v>
      </c>
      <c r="B714" t="s">
        <v>590</v>
      </c>
      <c r="C714" t="s">
        <v>3099</v>
      </c>
      <c r="D714" t="s">
        <v>3101</v>
      </c>
      <c r="E714" t="s">
        <v>1719</v>
      </c>
    </row>
    <row r="715" spans="1:5" x14ac:dyDescent="0.2">
      <c r="A715">
        <v>715</v>
      </c>
      <c r="B715" t="s">
        <v>590</v>
      </c>
      <c r="C715" t="s">
        <v>3102</v>
      </c>
      <c r="D715" t="s">
        <v>3103</v>
      </c>
      <c r="E715" t="s">
        <v>1719</v>
      </c>
    </row>
    <row r="716" spans="1:5" x14ac:dyDescent="0.2">
      <c r="A716">
        <v>716</v>
      </c>
      <c r="B716" t="s">
        <v>590</v>
      </c>
      <c r="C716" t="s">
        <v>3085</v>
      </c>
      <c r="D716" t="s">
        <v>3104</v>
      </c>
      <c r="E716" t="s">
        <v>1719</v>
      </c>
    </row>
    <row r="717" spans="1:5" x14ac:dyDescent="0.2">
      <c r="A717">
        <v>717</v>
      </c>
      <c r="B717" t="s">
        <v>590</v>
      </c>
      <c r="C717" t="s">
        <v>3105</v>
      </c>
      <c r="D717" t="s">
        <v>3106</v>
      </c>
      <c r="E717" t="s">
        <v>2110</v>
      </c>
    </row>
    <row r="718" spans="1:5" x14ac:dyDescent="0.2">
      <c r="A718">
        <v>718</v>
      </c>
      <c r="B718" t="s">
        <v>590</v>
      </c>
      <c r="C718" t="s">
        <v>3087</v>
      </c>
      <c r="D718" t="s">
        <v>3107</v>
      </c>
      <c r="E718" t="s">
        <v>2110</v>
      </c>
    </row>
    <row r="719" spans="1:5" x14ac:dyDescent="0.2">
      <c r="A719">
        <v>719</v>
      </c>
      <c r="B719" t="s">
        <v>590</v>
      </c>
      <c r="C719" t="s">
        <v>3105</v>
      </c>
      <c r="D719" t="s">
        <v>3108</v>
      </c>
      <c r="E719" t="s">
        <v>2110</v>
      </c>
    </row>
    <row r="720" spans="1:5" x14ac:dyDescent="0.2">
      <c r="A720">
        <v>720</v>
      </c>
      <c r="B720" t="s">
        <v>590</v>
      </c>
      <c r="C720" t="s">
        <v>3097</v>
      </c>
      <c r="D720" t="s">
        <v>3109</v>
      </c>
      <c r="E720" t="s">
        <v>1719</v>
      </c>
    </row>
    <row r="721" spans="1:5" x14ac:dyDescent="0.2">
      <c r="A721">
        <v>721</v>
      </c>
      <c r="B721" t="s">
        <v>3110</v>
      </c>
      <c r="C721" t="s">
        <v>3111</v>
      </c>
      <c r="D721" t="s">
        <v>3112</v>
      </c>
      <c r="E721" t="s">
        <v>2164</v>
      </c>
    </row>
    <row r="722" spans="1:5" x14ac:dyDescent="0.2">
      <c r="A722">
        <v>722</v>
      </c>
      <c r="B722" t="s">
        <v>3110</v>
      </c>
      <c r="C722" t="s">
        <v>3113</v>
      </c>
      <c r="D722" t="s">
        <v>3114</v>
      </c>
      <c r="E722" t="s">
        <v>2164</v>
      </c>
    </row>
    <row r="723" spans="1:5" x14ac:dyDescent="0.2">
      <c r="A723">
        <v>723</v>
      </c>
      <c r="B723" t="s">
        <v>3110</v>
      </c>
      <c r="C723" t="s">
        <v>3115</v>
      </c>
      <c r="D723" t="s">
        <v>3116</v>
      </c>
      <c r="E723" t="s">
        <v>3117</v>
      </c>
    </row>
    <row r="724" spans="1:5" x14ac:dyDescent="0.2">
      <c r="A724">
        <v>724</v>
      </c>
      <c r="B724" t="s">
        <v>3110</v>
      </c>
      <c r="C724" t="s">
        <v>3118</v>
      </c>
      <c r="D724" t="s">
        <v>3119</v>
      </c>
      <c r="E724" t="s">
        <v>3117</v>
      </c>
    </row>
    <row r="725" spans="1:5" x14ac:dyDescent="0.2">
      <c r="A725">
        <v>725</v>
      </c>
      <c r="B725" t="s">
        <v>3110</v>
      </c>
      <c r="C725" t="s">
        <v>3120</v>
      </c>
      <c r="D725" t="s">
        <v>3121</v>
      </c>
      <c r="E725" t="s">
        <v>2164</v>
      </c>
    </row>
    <row r="726" spans="1:5" x14ac:dyDescent="0.2">
      <c r="A726">
        <v>726</v>
      </c>
      <c r="B726" t="s">
        <v>3110</v>
      </c>
      <c r="C726" t="s">
        <v>3122</v>
      </c>
      <c r="D726" t="s">
        <v>3123</v>
      </c>
      <c r="E726" t="s">
        <v>2164</v>
      </c>
    </row>
    <row r="727" spans="1:5" x14ac:dyDescent="0.2">
      <c r="A727">
        <v>727</v>
      </c>
      <c r="B727" t="s">
        <v>3110</v>
      </c>
      <c r="C727" t="s">
        <v>3124</v>
      </c>
      <c r="D727" t="s">
        <v>3125</v>
      </c>
      <c r="E727" t="s">
        <v>2164</v>
      </c>
    </row>
    <row r="728" spans="1:5" x14ac:dyDescent="0.2">
      <c r="A728">
        <v>728</v>
      </c>
      <c r="B728" t="s">
        <v>3110</v>
      </c>
      <c r="C728" t="s">
        <v>3126</v>
      </c>
      <c r="D728" t="s">
        <v>3127</v>
      </c>
      <c r="E728" t="s">
        <v>2164</v>
      </c>
    </row>
    <row r="729" spans="1:5" x14ac:dyDescent="0.2">
      <c r="A729">
        <v>729</v>
      </c>
      <c r="B729" t="s">
        <v>3110</v>
      </c>
      <c r="C729" t="s">
        <v>3128</v>
      </c>
      <c r="D729" t="s">
        <v>3129</v>
      </c>
      <c r="E729" t="s">
        <v>2164</v>
      </c>
    </row>
    <row r="730" spans="1:5" x14ac:dyDescent="0.2">
      <c r="A730">
        <v>730</v>
      </c>
      <c r="B730" t="s">
        <v>3110</v>
      </c>
      <c r="C730" t="s">
        <v>3130</v>
      </c>
      <c r="D730" t="s">
        <v>3131</v>
      </c>
      <c r="E730" t="s">
        <v>2164</v>
      </c>
    </row>
    <row r="731" spans="1:5" x14ac:dyDescent="0.2">
      <c r="A731">
        <v>731</v>
      </c>
      <c r="B731" t="s">
        <v>3110</v>
      </c>
      <c r="C731" t="s">
        <v>3132</v>
      </c>
      <c r="D731" t="s">
        <v>3133</v>
      </c>
      <c r="E731" t="s">
        <v>2164</v>
      </c>
    </row>
    <row r="732" spans="1:5" x14ac:dyDescent="0.2">
      <c r="A732">
        <v>732</v>
      </c>
      <c r="B732" t="s">
        <v>3110</v>
      </c>
      <c r="C732" t="s">
        <v>3134</v>
      </c>
      <c r="D732" t="s">
        <v>3135</v>
      </c>
      <c r="E732" t="s">
        <v>2164</v>
      </c>
    </row>
    <row r="733" spans="1:5" x14ac:dyDescent="0.2">
      <c r="A733">
        <v>733</v>
      </c>
      <c r="B733" t="s">
        <v>3110</v>
      </c>
      <c r="C733" t="s">
        <v>3136</v>
      </c>
      <c r="D733" t="s">
        <v>3137</v>
      </c>
      <c r="E733" t="s">
        <v>2164</v>
      </c>
    </row>
    <row r="734" spans="1:5" x14ac:dyDescent="0.2">
      <c r="A734">
        <v>734</v>
      </c>
      <c r="B734" t="s">
        <v>3110</v>
      </c>
      <c r="C734" t="s">
        <v>3138</v>
      </c>
      <c r="D734" t="s">
        <v>2785</v>
      </c>
      <c r="E734" t="s">
        <v>2164</v>
      </c>
    </row>
    <row r="735" spans="1:5" x14ac:dyDescent="0.2">
      <c r="A735">
        <v>735</v>
      </c>
      <c r="B735" t="s">
        <v>3110</v>
      </c>
      <c r="C735" t="s">
        <v>3139</v>
      </c>
      <c r="D735" t="s">
        <v>3140</v>
      </c>
      <c r="E735" t="s">
        <v>2164</v>
      </c>
    </row>
    <row r="736" spans="1:5" x14ac:dyDescent="0.2">
      <c r="A736">
        <v>736</v>
      </c>
      <c r="B736" t="s">
        <v>3110</v>
      </c>
      <c r="C736" t="s">
        <v>3141</v>
      </c>
      <c r="D736" t="s">
        <v>2076</v>
      </c>
      <c r="E736" t="s">
        <v>2164</v>
      </c>
    </row>
    <row r="737" spans="1:5" x14ac:dyDescent="0.2">
      <c r="A737">
        <v>737</v>
      </c>
      <c r="B737" t="s">
        <v>3110</v>
      </c>
      <c r="C737" t="s">
        <v>3142</v>
      </c>
      <c r="D737" t="s">
        <v>3143</v>
      </c>
      <c r="E737" t="s">
        <v>2164</v>
      </c>
    </row>
    <row r="738" spans="1:5" x14ac:dyDescent="0.2">
      <c r="A738">
        <v>738</v>
      </c>
      <c r="B738" t="s">
        <v>3110</v>
      </c>
      <c r="C738" t="s">
        <v>3144</v>
      </c>
      <c r="D738" t="s">
        <v>3145</v>
      </c>
      <c r="E738" t="s">
        <v>2164</v>
      </c>
    </row>
    <row r="739" spans="1:5" x14ac:dyDescent="0.2">
      <c r="A739">
        <v>739</v>
      </c>
      <c r="B739" t="s">
        <v>3110</v>
      </c>
      <c r="C739" t="s">
        <v>3146</v>
      </c>
      <c r="D739" t="s">
        <v>3147</v>
      </c>
      <c r="E739" t="s">
        <v>2164</v>
      </c>
    </row>
    <row r="740" spans="1:5" x14ac:dyDescent="0.2">
      <c r="A740">
        <v>740</v>
      </c>
      <c r="B740" t="s">
        <v>3110</v>
      </c>
      <c r="C740" t="s">
        <v>3148</v>
      </c>
      <c r="D740" t="s">
        <v>3149</v>
      </c>
      <c r="E740" t="s">
        <v>2164</v>
      </c>
    </row>
    <row r="741" spans="1:5" x14ac:dyDescent="0.2">
      <c r="A741">
        <v>741</v>
      </c>
      <c r="B741" t="s">
        <v>3110</v>
      </c>
      <c r="C741" t="s">
        <v>3150</v>
      </c>
      <c r="D741" t="s">
        <v>3151</v>
      </c>
      <c r="E741" t="s">
        <v>2164</v>
      </c>
    </row>
    <row r="742" spans="1:5" x14ac:dyDescent="0.2">
      <c r="A742">
        <v>742</v>
      </c>
      <c r="B742" t="s">
        <v>3110</v>
      </c>
      <c r="C742" t="s">
        <v>3152</v>
      </c>
      <c r="D742" t="s">
        <v>3153</v>
      </c>
      <c r="E742" t="s">
        <v>2164</v>
      </c>
    </row>
    <row r="743" spans="1:5" x14ac:dyDescent="0.2">
      <c r="A743">
        <v>743</v>
      </c>
      <c r="B743" t="s">
        <v>3110</v>
      </c>
      <c r="C743" t="s">
        <v>3154</v>
      </c>
      <c r="D743" t="s">
        <v>3155</v>
      </c>
      <c r="E743" t="s">
        <v>2164</v>
      </c>
    </row>
    <row r="744" spans="1:5" x14ac:dyDescent="0.2">
      <c r="A744">
        <v>744</v>
      </c>
      <c r="B744" t="s">
        <v>595</v>
      </c>
      <c r="C744" t="s">
        <v>3156</v>
      </c>
      <c r="D744" t="s">
        <v>3157</v>
      </c>
      <c r="E744" t="s">
        <v>3158</v>
      </c>
    </row>
    <row r="745" spans="1:5" x14ac:dyDescent="0.2">
      <c r="A745">
        <v>745</v>
      </c>
      <c r="B745" t="s">
        <v>595</v>
      </c>
      <c r="C745" t="s">
        <v>3156</v>
      </c>
      <c r="D745" t="s">
        <v>3159</v>
      </c>
      <c r="E745" t="s">
        <v>3158</v>
      </c>
    </row>
    <row r="746" spans="1:5" x14ac:dyDescent="0.2">
      <c r="A746">
        <v>746</v>
      </c>
      <c r="B746" t="s">
        <v>595</v>
      </c>
      <c r="C746" t="s">
        <v>3160</v>
      </c>
      <c r="D746" t="s">
        <v>3161</v>
      </c>
      <c r="E746" t="s">
        <v>3162</v>
      </c>
    </row>
    <row r="747" spans="1:5" x14ac:dyDescent="0.2">
      <c r="A747">
        <v>747</v>
      </c>
      <c r="B747" t="s">
        <v>595</v>
      </c>
      <c r="C747" t="s">
        <v>3160</v>
      </c>
      <c r="D747" t="s">
        <v>3163</v>
      </c>
      <c r="E747" t="s">
        <v>3162</v>
      </c>
    </row>
    <row r="748" spans="1:5" x14ac:dyDescent="0.2">
      <c r="A748">
        <v>748</v>
      </c>
      <c r="B748" t="s">
        <v>595</v>
      </c>
      <c r="C748" t="s">
        <v>3164</v>
      </c>
      <c r="D748" t="s">
        <v>3165</v>
      </c>
      <c r="E748" t="s">
        <v>3158</v>
      </c>
    </row>
    <row r="749" spans="1:5" x14ac:dyDescent="0.2">
      <c r="A749">
        <v>749</v>
      </c>
      <c r="B749" t="s">
        <v>595</v>
      </c>
      <c r="C749" t="s">
        <v>3164</v>
      </c>
      <c r="D749" t="s">
        <v>3166</v>
      </c>
      <c r="E749" t="s">
        <v>3158</v>
      </c>
    </row>
    <row r="750" spans="1:5" x14ac:dyDescent="0.2">
      <c r="A750">
        <v>750</v>
      </c>
      <c r="B750" t="s">
        <v>595</v>
      </c>
      <c r="C750" t="s">
        <v>3167</v>
      </c>
      <c r="D750" t="s">
        <v>3168</v>
      </c>
      <c r="E750" t="s">
        <v>3169</v>
      </c>
    </row>
    <row r="751" spans="1:5" x14ac:dyDescent="0.2">
      <c r="A751">
        <v>751</v>
      </c>
      <c r="B751" t="s">
        <v>595</v>
      </c>
      <c r="C751" t="s">
        <v>3167</v>
      </c>
      <c r="D751" t="s">
        <v>3170</v>
      </c>
      <c r="E751" t="s">
        <v>3169</v>
      </c>
    </row>
    <row r="752" spans="1:5" x14ac:dyDescent="0.2">
      <c r="A752">
        <v>752</v>
      </c>
      <c r="B752" t="s">
        <v>595</v>
      </c>
      <c r="C752" t="s">
        <v>3171</v>
      </c>
      <c r="D752" t="s">
        <v>3172</v>
      </c>
      <c r="E752" t="s">
        <v>3158</v>
      </c>
    </row>
    <row r="753" spans="1:5" x14ac:dyDescent="0.2">
      <c r="A753">
        <v>753</v>
      </c>
      <c r="B753" t="s">
        <v>595</v>
      </c>
      <c r="C753" t="s">
        <v>3173</v>
      </c>
      <c r="D753" t="s">
        <v>3174</v>
      </c>
      <c r="E753" t="s">
        <v>3158</v>
      </c>
    </row>
    <row r="754" spans="1:5" x14ac:dyDescent="0.2">
      <c r="A754">
        <v>754</v>
      </c>
      <c r="B754" t="s">
        <v>595</v>
      </c>
      <c r="C754" t="s">
        <v>3175</v>
      </c>
      <c r="D754" t="s">
        <v>3176</v>
      </c>
      <c r="E754" t="s">
        <v>3158</v>
      </c>
    </row>
    <row r="755" spans="1:5" x14ac:dyDescent="0.2">
      <c r="A755">
        <v>755</v>
      </c>
      <c r="B755" t="s">
        <v>595</v>
      </c>
      <c r="C755" t="s">
        <v>3177</v>
      </c>
      <c r="D755" t="s">
        <v>3178</v>
      </c>
      <c r="E755" t="s">
        <v>3158</v>
      </c>
    </row>
    <row r="756" spans="1:5" x14ac:dyDescent="0.2">
      <c r="A756">
        <v>756</v>
      </c>
      <c r="B756" t="s">
        <v>595</v>
      </c>
      <c r="C756" t="s">
        <v>3177</v>
      </c>
      <c r="D756" t="s">
        <v>3179</v>
      </c>
      <c r="E756" t="s">
        <v>3158</v>
      </c>
    </row>
    <row r="757" spans="1:5" x14ac:dyDescent="0.2">
      <c r="A757">
        <v>757</v>
      </c>
      <c r="B757" t="s">
        <v>595</v>
      </c>
      <c r="C757" t="s">
        <v>3180</v>
      </c>
      <c r="D757" t="s">
        <v>3181</v>
      </c>
      <c r="E757" t="s">
        <v>3158</v>
      </c>
    </row>
    <row r="758" spans="1:5" x14ac:dyDescent="0.2">
      <c r="A758">
        <v>758</v>
      </c>
      <c r="B758" t="s">
        <v>595</v>
      </c>
      <c r="C758" t="s">
        <v>3180</v>
      </c>
      <c r="D758" t="s">
        <v>3182</v>
      </c>
      <c r="E758" t="s">
        <v>3158</v>
      </c>
    </row>
    <row r="759" spans="1:5" x14ac:dyDescent="0.2">
      <c r="A759">
        <v>759</v>
      </c>
      <c r="B759" t="s">
        <v>595</v>
      </c>
      <c r="C759" t="s">
        <v>3183</v>
      </c>
      <c r="D759" t="s">
        <v>3184</v>
      </c>
      <c r="E759" t="s">
        <v>3158</v>
      </c>
    </row>
    <row r="760" spans="1:5" x14ac:dyDescent="0.2">
      <c r="A760">
        <v>760</v>
      </c>
      <c r="B760" t="s">
        <v>595</v>
      </c>
      <c r="C760" t="s">
        <v>3183</v>
      </c>
      <c r="D760" t="s">
        <v>3185</v>
      </c>
      <c r="E760" t="s">
        <v>3158</v>
      </c>
    </row>
    <row r="761" spans="1:5" x14ac:dyDescent="0.2">
      <c r="A761">
        <v>761</v>
      </c>
      <c r="B761" t="s">
        <v>595</v>
      </c>
      <c r="C761" t="s">
        <v>3186</v>
      </c>
      <c r="D761" t="s">
        <v>3187</v>
      </c>
      <c r="E761" t="s">
        <v>3158</v>
      </c>
    </row>
    <row r="762" spans="1:5" x14ac:dyDescent="0.2">
      <c r="A762">
        <v>762</v>
      </c>
      <c r="B762" t="s">
        <v>595</v>
      </c>
      <c r="C762" t="s">
        <v>3186</v>
      </c>
      <c r="D762" t="s">
        <v>3188</v>
      </c>
      <c r="E762" t="s">
        <v>3158</v>
      </c>
    </row>
    <row r="763" spans="1:5" x14ac:dyDescent="0.2">
      <c r="A763">
        <v>763</v>
      </c>
      <c r="B763" t="s">
        <v>595</v>
      </c>
      <c r="C763" t="s">
        <v>3189</v>
      </c>
      <c r="D763" t="s">
        <v>3190</v>
      </c>
      <c r="E763" t="s">
        <v>3158</v>
      </c>
    </row>
    <row r="764" spans="1:5" x14ac:dyDescent="0.2">
      <c r="A764">
        <v>764</v>
      </c>
      <c r="B764" t="s">
        <v>595</v>
      </c>
      <c r="C764" t="s">
        <v>3191</v>
      </c>
      <c r="D764" t="s">
        <v>3192</v>
      </c>
      <c r="E764" t="s">
        <v>3158</v>
      </c>
    </row>
    <row r="765" spans="1:5" x14ac:dyDescent="0.2">
      <c r="A765">
        <v>765</v>
      </c>
      <c r="B765" t="s">
        <v>595</v>
      </c>
      <c r="C765" t="s">
        <v>3193</v>
      </c>
      <c r="D765" t="s">
        <v>3194</v>
      </c>
      <c r="E765" t="s">
        <v>3158</v>
      </c>
    </row>
    <row r="766" spans="1:5" x14ac:dyDescent="0.2">
      <c r="A766">
        <v>766</v>
      </c>
      <c r="B766" t="s">
        <v>595</v>
      </c>
      <c r="C766" t="s">
        <v>3195</v>
      </c>
      <c r="D766" t="s">
        <v>3196</v>
      </c>
      <c r="E766" t="s">
        <v>3158</v>
      </c>
    </row>
    <row r="767" spans="1:5" x14ac:dyDescent="0.2">
      <c r="A767">
        <v>767</v>
      </c>
      <c r="B767" t="s">
        <v>595</v>
      </c>
      <c r="C767" t="s">
        <v>3197</v>
      </c>
      <c r="D767" t="s">
        <v>3198</v>
      </c>
      <c r="E767" t="s">
        <v>3169</v>
      </c>
    </row>
    <row r="768" spans="1:5" x14ac:dyDescent="0.2">
      <c r="A768">
        <v>768</v>
      </c>
      <c r="B768" t="s">
        <v>595</v>
      </c>
      <c r="C768" t="s">
        <v>3197</v>
      </c>
      <c r="D768" t="s">
        <v>3199</v>
      </c>
      <c r="E768" t="s">
        <v>3169</v>
      </c>
    </row>
    <row r="769" spans="1:5" x14ac:dyDescent="0.2">
      <c r="A769">
        <v>769</v>
      </c>
      <c r="B769" t="s">
        <v>595</v>
      </c>
      <c r="C769" t="s">
        <v>3173</v>
      </c>
      <c r="D769" t="s">
        <v>3200</v>
      </c>
      <c r="E769" t="s">
        <v>3158</v>
      </c>
    </row>
    <row r="770" spans="1:5" x14ac:dyDescent="0.2">
      <c r="A770">
        <v>770</v>
      </c>
      <c r="B770" t="s">
        <v>595</v>
      </c>
      <c r="C770" t="s">
        <v>3171</v>
      </c>
      <c r="D770" t="s">
        <v>3201</v>
      </c>
      <c r="E770" t="s">
        <v>3158</v>
      </c>
    </row>
    <row r="771" spans="1:5" x14ac:dyDescent="0.2">
      <c r="A771">
        <v>771</v>
      </c>
      <c r="B771" t="s">
        <v>595</v>
      </c>
      <c r="C771" t="s">
        <v>3175</v>
      </c>
      <c r="D771" t="s">
        <v>3202</v>
      </c>
      <c r="E771" t="s">
        <v>3158</v>
      </c>
    </row>
    <row r="772" spans="1:5" x14ac:dyDescent="0.2">
      <c r="A772">
        <v>772</v>
      </c>
      <c r="B772" t="s">
        <v>595</v>
      </c>
      <c r="C772" t="s">
        <v>3203</v>
      </c>
      <c r="D772" t="s">
        <v>3204</v>
      </c>
      <c r="E772" t="s">
        <v>3158</v>
      </c>
    </row>
    <row r="773" spans="1:5" x14ac:dyDescent="0.2">
      <c r="A773">
        <v>773</v>
      </c>
      <c r="B773" t="s">
        <v>595</v>
      </c>
      <c r="C773" t="s">
        <v>3193</v>
      </c>
      <c r="D773" t="s">
        <v>3205</v>
      </c>
      <c r="E773" t="s">
        <v>3158</v>
      </c>
    </row>
    <row r="774" spans="1:5" x14ac:dyDescent="0.2">
      <c r="A774">
        <v>774</v>
      </c>
      <c r="B774" t="s">
        <v>595</v>
      </c>
      <c r="C774" t="s">
        <v>3195</v>
      </c>
      <c r="D774" t="s">
        <v>3206</v>
      </c>
      <c r="E774" t="s">
        <v>3158</v>
      </c>
    </row>
    <row r="775" spans="1:5" x14ac:dyDescent="0.2">
      <c r="A775">
        <v>775</v>
      </c>
      <c r="B775" t="s">
        <v>595</v>
      </c>
      <c r="C775" t="s">
        <v>3191</v>
      </c>
      <c r="D775" t="s">
        <v>3207</v>
      </c>
      <c r="E775" t="s">
        <v>3158</v>
      </c>
    </row>
    <row r="776" spans="1:5" x14ac:dyDescent="0.2">
      <c r="A776">
        <v>776</v>
      </c>
      <c r="B776" t="s">
        <v>595</v>
      </c>
      <c r="C776" t="s">
        <v>3189</v>
      </c>
      <c r="D776" t="s">
        <v>3208</v>
      </c>
      <c r="E776" t="s">
        <v>3158</v>
      </c>
    </row>
    <row r="777" spans="1:5" x14ac:dyDescent="0.2">
      <c r="A777">
        <v>777</v>
      </c>
      <c r="B777" t="s">
        <v>597</v>
      </c>
      <c r="C777" t="s">
        <v>3209</v>
      </c>
      <c r="D777" t="s">
        <v>3210</v>
      </c>
      <c r="E777" t="s">
        <v>2087</v>
      </c>
    </row>
    <row r="778" spans="1:5" x14ac:dyDescent="0.2">
      <c r="A778">
        <v>778</v>
      </c>
      <c r="B778" t="s">
        <v>597</v>
      </c>
      <c r="C778" t="s">
        <v>3211</v>
      </c>
      <c r="D778" t="s">
        <v>3212</v>
      </c>
      <c r="E778" t="s">
        <v>2087</v>
      </c>
    </row>
    <row r="779" spans="1:5" x14ac:dyDescent="0.2">
      <c r="A779">
        <v>779</v>
      </c>
      <c r="B779" t="s">
        <v>597</v>
      </c>
      <c r="C779" t="s">
        <v>3213</v>
      </c>
      <c r="D779" t="s">
        <v>3214</v>
      </c>
      <c r="E779" t="s">
        <v>2087</v>
      </c>
    </row>
    <row r="780" spans="1:5" x14ac:dyDescent="0.2">
      <c r="A780">
        <v>780</v>
      </c>
      <c r="B780" t="s">
        <v>597</v>
      </c>
      <c r="C780" t="s">
        <v>3213</v>
      </c>
      <c r="D780" t="s">
        <v>3215</v>
      </c>
      <c r="E780" t="s">
        <v>2087</v>
      </c>
    </row>
    <row r="781" spans="1:5" x14ac:dyDescent="0.2">
      <c r="A781">
        <v>781</v>
      </c>
      <c r="B781" t="s">
        <v>597</v>
      </c>
      <c r="C781" t="s">
        <v>3209</v>
      </c>
      <c r="D781" t="s">
        <v>3216</v>
      </c>
      <c r="E781" t="s">
        <v>2087</v>
      </c>
    </row>
    <row r="782" spans="1:5" x14ac:dyDescent="0.2">
      <c r="A782">
        <v>782</v>
      </c>
      <c r="B782" t="s">
        <v>597</v>
      </c>
      <c r="C782" t="s">
        <v>3217</v>
      </c>
      <c r="D782" t="s">
        <v>3218</v>
      </c>
      <c r="E782" t="s">
        <v>2087</v>
      </c>
    </row>
    <row r="783" spans="1:5" x14ac:dyDescent="0.2">
      <c r="A783">
        <v>783</v>
      </c>
      <c r="B783" t="s">
        <v>597</v>
      </c>
      <c r="C783" t="s">
        <v>3217</v>
      </c>
      <c r="D783" t="s">
        <v>3219</v>
      </c>
      <c r="E783" t="s">
        <v>2087</v>
      </c>
    </row>
    <row r="784" spans="1:5" x14ac:dyDescent="0.2">
      <c r="A784">
        <v>784</v>
      </c>
      <c r="B784" t="s">
        <v>597</v>
      </c>
      <c r="C784" t="s">
        <v>3220</v>
      </c>
      <c r="D784" t="s">
        <v>3221</v>
      </c>
      <c r="E784" t="s">
        <v>2087</v>
      </c>
    </row>
    <row r="785" spans="1:5" x14ac:dyDescent="0.2">
      <c r="A785">
        <v>785</v>
      </c>
      <c r="B785" t="s">
        <v>597</v>
      </c>
      <c r="C785" t="s">
        <v>3222</v>
      </c>
      <c r="D785" t="s">
        <v>3223</v>
      </c>
      <c r="E785" t="s">
        <v>2087</v>
      </c>
    </row>
    <row r="786" spans="1:5" x14ac:dyDescent="0.2">
      <c r="A786">
        <v>786</v>
      </c>
      <c r="B786" t="s">
        <v>597</v>
      </c>
      <c r="C786" t="s">
        <v>3224</v>
      </c>
      <c r="D786" t="s">
        <v>3225</v>
      </c>
      <c r="E786" t="s">
        <v>2087</v>
      </c>
    </row>
    <row r="787" spans="1:5" x14ac:dyDescent="0.2">
      <c r="A787">
        <v>787</v>
      </c>
      <c r="B787" t="s">
        <v>597</v>
      </c>
      <c r="C787" t="s">
        <v>3226</v>
      </c>
      <c r="D787" t="s">
        <v>3227</v>
      </c>
      <c r="E787" t="s">
        <v>2087</v>
      </c>
    </row>
    <row r="788" spans="1:5" x14ac:dyDescent="0.2">
      <c r="A788">
        <v>788</v>
      </c>
      <c r="B788" t="s">
        <v>597</v>
      </c>
      <c r="C788" t="s">
        <v>3222</v>
      </c>
      <c r="D788" t="s">
        <v>3228</v>
      </c>
      <c r="E788" t="s">
        <v>2087</v>
      </c>
    </row>
    <row r="789" spans="1:5" x14ac:dyDescent="0.2">
      <c r="A789">
        <v>789</v>
      </c>
      <c r="B789" t="s">
        <v>597</v>
      </c>
      <c r="C789" t="s">
        <v>3229</v>
      </c>
      <c r="D789" t="s">
        <v>3230</v>
      </c>
      <c r="E789" t="s">
        <v>2087</v>
      </c>
    </row>
    <row r="790" spans="1:5" x14ac:dyDescent="0.2">
      <c r="A790">
        <v>790</v>
      </c>
      <c r="B790" t="s">
        <v>597</v>
      </c>
      <c r="C790" t="s">
        <v>3229</v>
      </c>
      <c r="D790" t="s">
        <v>3231</v>
      </c>
      <c r="E790" t="s">
        <v>2087</v>
      </c>
    </row>
    <row r="791" spans="1:5" x14ac:dyDescent="0.2">
      <c r="A791">
        <v>791</v>
      </c>
      <c r="B791" t="s">
        <v>597</v>
      </c>
      <c r="C791" t="s">
        <v>3211</v>
      </c>
      <c r="D791" t="s">
        <v>3232</v>
      </c>
      <c r="E791" t="s">
        <v>2087</v>
      </c>
    </row>
    <row r="792" spans="1:5" x14ac:dyDescent="0.2">
      <c r="A792">
        <v>792</v>
      </c>
      <c r="B792" t="s">
        <v>597</v>
      </c>
      <c r="C792" t="s">
        <v>3233</v>
      </c>
      <c r="D792" t="s">
        <v>3234</v>
      </c>
      <c r="E792" t="s">
        <v>2087</v>
      </c>
    </row>
    <row r="793" spans="1:5" x14ac:dyDescent="0.2">
      <c r="A793">
        <v>793</v>
      </c>
      <c r="B793" t="s">
        <v>597</v>
      </c>
      <c r="C793" t="s">
        <v>3235</v>
      </c>
      <c r="D793" t="s">
        <v>3236</v>
      </c>
      <c r="E793" t="s">
        <v>2087</v>
      </c>
    </row>
    <row r="794" spans="1:5" x14ac:dyDescent="0.2">
      <c r="A794">
        <v>794</v>
      </c>
      <c r="B794" t="s">
        <v>597</v>
      </c>
      <c r="C794" t="s">
        <v>3233</v>
      </c>
      <c r="D794" t="s">
        <v>3237</v>
      </c>
      <c r="E794" t="s">
        <v>2087</v>
      </c>
    </row>
    <row r="795" spans="1:5" x14ac:dyDescent="0.2">
      <c r="A795">
        <v>795</v>
      </c>
      <c r="B795" t="s">
        <v>597</v>
      </c>
      <c r="C795" t="s">
        <v>3235</v>
      </c>
      <c r="D795" t="s">
        <v>3238</v>
      </c>
      <c r="E795" t="s">
        <v>2087</v>
      </c>
    </row>
    <row r="796" spans="1:5" x14ac:dyDescent="0.2">
      <c r="A796">
        <v>796</v>
      </c>
      <c r="B796" t="s">
        <v>597</v>
      </c>
      <c r="C796" t="s">
        <v>3239</v>
      </c>
      <c r="D796" t="s">
        <v>3240</v>
      </c>
      <c r="E796" t="s">
        <v>2087</v>
      </c>
    </row>
    <row r="797" spans="1:5" x14ac:dyDescent="0.2">
      <c r="A797">
        <v>797</v>
      </c>
      <c r="B797" t="s">
        <v>597</v>
      </c>
      <c r="C797" t="s">
        <v>3241</v>
      </c>
      <c r="D797" t="s">
        <v>3242</v>
      </c>
      <c r="E797" t="s">
        <v>2087</v>
      </c>
    </row>
    <row r="798" spans="1:5" x14ac:dyDescent="0.2">
      <c r="A798">
        <v>798</v>
      </c>
      <c r="B798" t="s">
        <v>597</v>
      </c>
      <c r="C798" t="s">
        <v>3243</v>
      </c>
      <c r="D798" t="s">
        <v>3244</v>
      </c>
      <c r="E798" t="s">
        <v>2087</v>
      </c>
    </row>
    <row r="799" spans="1:5" x14ac:dyDescent="0.2">
      <c r="A799">
        <v>799</v>
      </c>
      <c r="B799" t="s">
        <v>597</v>
      </c>
      <c r="C799" t="s">
        <v>3245</v>
      </c>
      <c r="D799" t="s">
        <v>3246</v>
      </c>
      <c r="E799" t="s">
        <v>2087</v>
      </c>
    </row>
    <row r="800" spans="1:5" x14ac:dyDescent="0.2">
      <c r="A800">
        <v>800</v>
      </c>
      <c r="B800" t="s">
        <v>597</v>
      </c>
      <c r="C800" t="s">
        <v>3247</v>
      </c>
      <c r="D800" t="s">
        <v>3248</v>
      </c>
      <c r="E800" t="s">
        <v>2087</v>
      </c>
    </row>
    <row r="801" spans="1:5" x14ac:dyDescent="0.2">
      <c r="A801">
        <v>801</v>
      </c>
      <c r="B801" t="s">
        <v>597</v>
      </c>
      <c r="C801" t="s">
        <v>3241</v>
      </c>
      <c r="D801" t="s">
        <v>3249</v>
      </c>
      <c r="E801" t="s">
        <v>2087</v>
      </c>
    </row>
    <row r="802" spans="1:5" x14ac:dyDescent="0.2">
      <c r="A802">
        <v>802</v>
      </c>
      <c r="B802" t="s">
        <v>597</v>
      </c>
      <c r="C802" t="s">
        <v>3245</v>
      </c>
      <c r="D802" t="s">
        <v>3250</v>
      </c>
      <c r="E802" t="s">
        <v>2087</v>
      </c>
    </row>
    <row r="803" spans="1:5" x14ac:dyDescent="0.2">
      <c r="A803">
        <v>803</v>
      </c>
      <c r="B803" t="s">
        <v>597</v>
      </c>
      <c r="C803" t="s">
        <v>3243</v>
      </c>
      <c r="D803" t="s">
        <v>3251</v>
      </c>
      <c r="E803" t="s">
        <v>2087</v>
      </c>
    </row>
    <row r="804" spans="1:5" x14ac:dyDescent="0.2">
      <c r="A804">
        <v>804</v>
      </c>
      <c r="B804" t="s">
        <v>597</v>
      </c>
      <c r="C804" t="s">
        <v>3252</v>
      </c>
      <c r="D804" t="s">
        <v>3253</v>
      </c>
      <c r="E804" t="s">
        <v>2087</v>
      </c>
    </row>
    <row r="805" spans="1:5" x14ac:dyDescent="0.2">
      <c r="A805">
        <v>805</v>
      </c>
      <c r="B805" t="s">
        <v>597</v>
      </c>
      <c r="C805" t="s">
        <v>3224</v>
      </c>
      <c r="D805" t="s">
        <v>3254</v>
      </c>
      <c r="E805" t="s">
        <v>2087</v>
      </c>
    </row>
    <row r="806" spans="1:5" x14ac:dyDescent="0.2">
      <c r="A806">
        <v>806</v>
      </c>
      <c r="B806" t="s">
        <v>597</v>
      </c>
      <c r="C806" t="s">
        <v>3255</v>
      </c>
      <c r="D806" t="s">
        <v>3256</v>
      </c>
      <c r="E806" t="s">
        <v>2087</v>
      </c>
    </row>
    <row r="807" spans="1:5" x14ac:dyDescent="0.2">
      <c r="A807">
        <v>807</v>
      </c>
      <c r="B807" t="s">
        <v>597</v>
      </c>
      <c r="C807" t="s">
        <v>3255</v>
      </c>
      <c r="D807" t="s">
        <v>3257</v>
      </c>
      <c r="E807" t="s">
        <v>2087</v>
      </c>
    </row>
    <row r="808" spans="1:5" x14ac:dyDescent="0.2">
      <c r="A808">
        <v>808</v>
      </c>
      <c r="B808" t="s">
        <v>597</v>
      </c>
      <c r="C808" t="s">
        <v>3220</v>
      </c>
      <c r="D808" t="s">
        <v>3258</v>
      </c>
      <c r="E808" t="s">
        <v>2087</v>
      </c>
    </row>
    <row r="809" spans="1:5" x14ac:dyDescent="0.2">
      <c r="A809">
        <v>809</v>
      </c>
      <c r="B809" t="s">
        <v>597</v>
      </c>
      <c r="C809" t="s">
        <v>3247</v>
      </c>
      <c r="D809" t="s">
        <v>3259</v>
      </c>
      <c r="E809" t="s">
        <v>2087</v>
      </c>
    </row>
    <row r="810" spans="1:5" x14ac:dyDescent="0.2">
      <c r="A810">
        <v>810</v>
      </c>
      <c r="B810" t="s">
        <v>597</v>
      </c>
      <c r="C810" t="s">
        <v>3260</v>
      </c>
      <c r="D810" t="s">
        <v>3261</v>
      </c>
      <c r="E810" t="s">
        <v>2087</v>
      </c>
    </row>
    <row r="811" spans="1:5" x14ac:dyDescent="0.2">
      <c r="A811">
        <v>811</v>
      </c>
      <c r="B811" t="s">
        <v>597</v>
      </c>
      <c r="C811" t="s">
        <v>3260</v>
      </c>
      <c r="D811" t="s">
        <v>3262</v>
      </c>
      <c r="E811" t="s">
        <v>2087</v>
      </c>
    </row>
    <row r="812" spans="1:5" x14ac:dyDescent="0.2">
      <c r="A812">
        <v>812</v>
      </c>
      <c r="B812" t="s">
        <v>597</v>
      </c>
      <c r="C812" t="s">
        <v>3263</v>
      </c>
      <c r="D812" t="s">
        <v>3264</v>
      </c>
      <c r="E812" t="s">
        <v>2087</v>
      </c>
    </row>
    <row r="813" spans="1:5" x14ac:dyDescent="0.2">
      <c r="A813">
        <v>813</v>
      </c>
      <c r="B813" t="s">
        <v>597</v>
      </c>
      <c r="C813" t="s">
        <v>3265</v>
      </c>
      <c r="D813" t="s">
        <v>3266</v>
      </c>
      <c r="E813" t="s">
        <v>2087</v>
      </c>
    </row>
    <row r="814" spans="1:5" x14ac:dyDescent="0.2">
      <c r="A814">
        <v>814</v>
      </c>
      <c r="B814" t="s">
        <v>597</v>
      </c>
      <c r="C814" t="s">
        <v>3265</v>
      </c>
      <c r="D814" t="s">
        <v>3267</v>
      </c>
      <c r="E814" t="s">
        <v>2087</v>
      </c>
    </row>
    <row r="815" spans="1:5" x14ac:dyDescent="0.2">
      <c r="A815">
        <v>815</v>
      </c>
      <c r="B815" t="s">
        <v>597</v>
      </c>
      <c r="C815" t="s">
        <v>3263</v>
      </c>
      <c r="D815" t="s">
        <v>3268</v>
      </c>
      <c r="E815" t="s">
        <v>2087</v>
      </c>
    </row>
    <row r="816" spans="1:5" x14ac:dyDescent="0.2">
      <c r="A816">
        <v>816</v>
      </c>
      <c r="B816" t="s">
        <v>597</v>
      </c>
      <c r="C816" t="s">
        <v>3239</v>
      </c>
      <c r="D816" t="s">
        <v>3269</v>
      </c>
      <c r="E816" t="s">
        <v>2087</v>
      </c>
    </row>
    <row r="817" spans="1:5" x14ac:dyDescent="0.2">
      <c r="A817">
        <v>817</v>
      </c>
      <c r="B817" t="s">
        <v>597</v>
      </c>
      <c r="C817" t="s">
        <v>3252</v>
      </c>
      <c r="D817" t="s">
        <v>3270</v>
      </c>
      <c r="E817" t="s">
        <v>2087</v>
      </c>
    </row>
    <row r="818" spans="1:5" x14ac:dyDescent="0.2">
      <c r="A818">
        <v>818</v>
      </c>
      <c r="B818" t="s">
        <v>597</v>
      </c>
      <c r="C818" t="s">
        <v>3271</v>
      </c>
      <c r="D818" t="s">
        <v>3272</v>
      </c>
      <c r="E818" t="s">
        <v>2087</v>
      </c>
    </row>
    <row r="819" spans="1:5" x14ac:dyDescent="0.2">
      <c r="A819">
        <v>819</v>
      </c>
      <c r="B819" t="s">
        <v>597</v>
      </c>
      <c r="C819" t="s">
        <v>3271</v>
      </c>
      <c r="D819" t="s">
        <v>3273</v>
      </c>
      <c r="E819" t="s">
        <v>2087</v>
      </c>
    </row>
    <row r="820" spans="1:5" x14ac:dyDescent="0.2">
      <c r="A820">
        <v>820</v>
      </c>
      <c r="B820" t="s">
        <v>597</v>
      </c>
      <c r="C820" t="s">
        <v>3226</v>
      </c>
      <c r="D820" t="s">
        <v>3274</v>
      </c>
      <c r="E820" t="s">
        <v>2087</v>
      </c>
    </row>
    <row r="821" spans="1:5" x14ac:dyDescent="0.2">
      <c r="A821">
        <v>821</v>
      </c>
      <c r="B821" t="s">
        <v>599</v>
      </c>
      <c r="C821" t="s">
        <v>3275</v>
      </c>
      <c r="D821" t="s">
        <v>3276</v>
      </c>
      <c r="E821" t="s">
        <v>2087</v>
      </c>
    </row>
    <row r="822" spans="1:5" x14ac:dyDescent="0.2">
      <c r="A822">
        <v>822</v>
      </c>
      <c r="B822" t="s">
        <v>599</v>
      </c>
      <c r="C822" t="s">
        <v>3277</v>
      </c>
      <c r="D822" t="s">
        <v>3278</v>
      </c>
      <c r="E822" t="s">
        <v>2087</v>
      </c>
    </row>
    <row r="823" spans="1:5" x14ac:dyDescent="0.2">
      <c r="A823">
        <v>823</v>
      </c>
      <c r="B823" t="s">
        <v>599</v>
      </c>
      <c r="C823" t="s">
        <v>3279</v>
      </c>
      <c r="D823" t="s">
        <v>3280</v>
      </c>
      <c r="E823" t="s">
        <v>2087</v>
      </c>
    </row>
    <row r="824" spans="1:5" x14ac:dyDescent="0.2">
      <c r="A824">
        <v>824</v>
      </c>
      <c r="B824" t="s">
        <v>599</v>
      </c>
      <c r="C824" t="s">
        <v>3281</v>
      </c>
      <c r="D824" t="s">
        <v>3282</v>
      </c>
      <c r="E824" t="s">
        <v>2087</v>
      </c>
    </row>
    <row r="825" spans="1:5" x14ac:dyDescent="0.2">
      <c r="A825">
        <v>825</v>
      </c>
      <c r="B825" t="s">
        <v>599</v>
      </c>
      <c r="C825" t="s">
        <v>3283</v>
      </c>
      <c r="D825" t="s">
        <v>3284</v>
      </c>
      <c r="E825" t="s">
        <v>2087</v>
      </c>
    </row>
    <row r="826" spans="1:5" x14ac:dyDescent="0.2">
      <c r="A826">
        <v>826</v>
      </c>
      <c r="B826" t="s">
        <v>599</v>
      </c>
      <c r="C826" t="s">
        <v>3285</v>
      </c>
      <c r="D826" t="s">
        <v>3286</v>
      </c>
      <c r="E826" t="s">
        <v>2087</v>
      </c>
    </row>
    <row r="827" spans="1:5" x14ac:dyDescent="0.2">
      <c r="A827">
        <v>827</v>
      </c>
      <c r="B827" t="s">
        <v>599</v>
      </c>
      <c r="C827" t="s">
        <v>3287</v>
      </c>
      <c r="D827" t="s">
        <v>3288</v>
      </c>
      <c r="E827" t="s">
        <v>2087</v>
      </c>
    </row>
    <row r="828" spans="1:5" x14ac:dyDescent="0.2">
      <c r="A828">
        <v>828</v>
      </c>
      <c r="B828" t="s">
        <v>599</v>
      </c>
      <c r="C828" t="s">
        <v>3289</v>
      </c>
      <c r="D828" t="s">
        <v>3290</v>
      </c>
      <c r="E828" t="s">
        <v>2087</v>
      </c>
    </row>
    <row r="829" spans="1:5" x14ac:dyDescent="0.2">
      <c r="A829">
        <v>829</v>
      </c>
      <c r="B829" t="s">
        <v>599</v>
      </c>
      <c r="C829" t="s">
        <v>3291</v>
      </c>
      <c r="D829" t="s">
        <v>3292</v>
      </c>
      <c r="E829" t="s">
        <v>2087</v>
      </c>
    </row>
    <row r="830" spans="1:5" x14ac:dyDescent="0.2">
      <c r="A830">
        <v>830</v>
      </c>
      <c r="B830" t="s">
        <v>599</v>
      </c>
      <c r="C830" t="s">
        <v>3293</v>
      </c>
      <c r="D830" t="s">
        <v>3294</v>
      </c>
      <c r="E830" t="s">
        <v>2087</v>
      </c>
    </row>
    <row r="831" spans="1:5" x14ac:dyDescent="0.2">
      <c r="A831">
        <v>831</v>
      </c>
      <c r="B831" t="s">
        <v>599</v>
      </c>
      <c r="C831" t="s">
        <v>3295</v>
      </c>
      <c r="D831" t="s">
        <v>3296</v>
      </c>
      <c r="E831" t="s">
        <v>2087</v>
      </c>
    </row>
    <row r="832" spans="1:5" x14ac:dyDescent="0.2">
      <c r="A832">
        <v>832</v>
      </c>
      <c r="B832" t="s">
        <v>599</v>
      </c>
      <c r="C832" t="s">
        <v>3297</v>
      </c>
      <c r="D832" t="s">
        <v>3298</v>
      </c>
      <c r="E832" t="s">
        <v>2087</v>
      </c>
    </row>
    <row r="833" spans="1:5" x14ac:dyDescent="0.2">
      <c r="A833">
        <v>833</v>
      </c>
      <c r="B833" t="s">
        <v>599</v>
      </c>
      <c r="C833" t="s">
        <v>3299</v>
      </c>
      <c r="D833" t="s">
        <v>3300</v>
      </c>
      <c r="E833" t="s">
        <v>2087</v>
      </c>
    </row>
    <row r="834" spans="1:5" x14ac:dyDescent="0.2">
      <c r="A834">
        <v>834</v>
      </c>
      <c r="B834" t="s">
        <v>599</v>
      </c>
      <c r="C834" t="s">
        <v>3301</v>
      </c>
      <c r="D834" t="s">
        <v>3302</v>
      </c>
      <c r="E834" t="s">
        <v>2087</v>
      </c>
    </row>
    <row r="835" spans="1:5" x14ac:dyDescent="0.2">
      <c r="A835">
        <v>835</v>
      </c>
      <c r="B835" t="s">
        <v>599</v>
      </c>
      <c r="C835" t="s">
        <v>3303</v>
      </c>
      <c r="D835" t="s">
        <v>3304</v>
      </c>
      <c r="E835" t="s">
        <v>2087</v>
      </c>
    </row>
    <row r="836" spans="1:5" x14ac:dyDescent="0.2">
      <c r="A836">
        <v>836</v>
      </c>
      <c r="B836" t="s">
        <v>601</v>
      </c>
      <c r="C836" t="s">
        <v>3305</v>
      </c>
      <c r="D836" t="s">
        <v>3306</v>
      </c>
      <c r="E836" t="s">
        <v>1719</v>
      </c>
    </row>
    <row r="837" spans="1:5" x14ac:dyDescent="0.2">
      <c r="A837">
        <v>837</v>
      </c>
      <c r="B837" t="s">
        <v>601</v>
      </c>
      <c r="C837" t="s">
        <v>3307</v>
      </c>
      <c r="D837" t="s">
        <v>3308</v>
      </c>
      <c r="E837" t="s">
        <v>3309</v>
      </c>
    </row>
    <row r="838" spans="1:5" x14ac:dyDescent="0.2">
      <c r="A838">
        <v>838</v>
      </c>
      <c r="B838" t="s">
        <v>601</v>
      </c>
      <c r="C838" t="s">
        <v>3310</v>
      </c>
      <c r="D838" t="s">
        <v>3311</v>
      </c>
      <c r="E838" t="s">
        <v>2164</v>
      </c>
    </row>
    <row r="839" spans="1:5" x14ac:dyDescent="0.2">
      <c r="A839">
        <v>839</v>
      </c>
      <c r="B839" t="s">
        <v>601</v>
      </c>
      <c r="C839" t="s">
        <v>3312</v>
      </c>
      <c r="D839" t="s">
        <v>3313</v>
      </c>
      <c r="E839" t="s">
        <v>2164</v>
      </c>
    </row>
    <row r="840" spans="1:5" x14ac:dyDescent="0.2">
      <c r="A840">
        <v>840</v>
      </c>
      <c r="B840" t="s">
        <v>601</v>
      </c>
      <c r="C840" t="s">
        <v>3314</v>
      </c>
      <c r="D840" t="s">
        <v>3315</v>
      </c>
      <c r="E840" t="s">
        <v>1719</v>
      </c>
    </row>
    <row r="841" spans="1:5" x14ac:dyDescent="0.2">
      <c r="A841">
        <v>841</v>
      </c>
      <c r="B841" t="s">
        <v>601</v>
      </c>
      <c r="C841" t="s">
        <v>3316</v>
      </c>
      <c r="D841" t="s">
        <v>3317</v>
      </c>
      <c r="E841" t="s">
        <v>1719</v>
      </c>
    </row>
    <row r="842" spans="1:5" x14ac:dyDescent="0.2">
      <c r="A842">
        <v>842</v>
      </c>
      <c r="B842" t="s">
        <v>601</v>
      </c>
      <c r="C842" t="s">
        <v>3318</v>
      </c>
      <c r="D842" t="s">
        <v>3319</v>
      </c>
      <c r="E842" t="s">
        <v>1719</v>
      </c>
    </row>
    <row r="843" spans="1:5" x14ac:dyDescent="0.2">
      <c r="A843">
        <v>843</v>
      </c>
      <c r="B843" t="s">
        <v>601</v>
      </c>
      <c r="C843" t="s">
        <v>3320</v>
      </c>
      <c r="D843" t="s">
        <v>3321</v>
      </c>
      <c r="E843" t="s">
        <v>3322</v>
      </c>
    </row>
    <row r="844" spans="1:5" x14ac:dyDescent="0.2">
      <c r="A844">
        <v>844</v>
      </c>
      <c r="B844" t="s">
        <v>601</v>
      </c>
      <c r="C844" t="s">
        <v>3323</v>
      </c>
      <c r="D844" t="s">
        <v>3324</v>
      </c>
      <c r="E844" t="s">
        <v>1719</v>
      </c>
    </row>
    <row r="845" spans="1:5" x14ac:dyDescent="0.2">
      <c r="A845">
        <v>845</v>
      </c>
      <c r="B845" t="s">
        <v>601</v>
      </c>
      <c r="C845" t="s">
        <v>3325</v>
      </c>
      <c r="D845" t="s">
        <v>3326</v>
      </c>
      <c r="E845" t="s">
        <v>1719</v>
      </c>
    </row>
    <row r="846" spans="1:5" x14ac:dyDescent="0.2">
      <c r="A846">
        <v>846</v>
      </c>
      <c r="B846" t="s">
        <v>601</v>
      </c>
      <c r="C846" t="s">
        <v>3327</v>
      </c>
      <c r="D846" t="s">
        <v>3328</v>
      </c>
      <c r="E846" t="s">
        <v>1719</v>
      </c>
    </row>
    <row r="847" spans="1:5" x14ac:dyDescent="0.2">
      <c r="A847">
        <v>847</v>
      </c>
      <c r="B847" t="s">
        <v>601</v>
      </c>
      <c r="C847" t="s">
        <v>3329</v>
      </c>
      <c r="D847" t="s">
        <v>3330</v>
      </c>
      <c r="E847" t="s">
        <v>1719</v>
      </c>
    </row>
    <row r="848" spans="1:5" x14ac:dyDescent="0.2">
      <c r="A848">
        <v>848</v>
      </c>
      <c r="B848" t="s">
        <v>601</v>
      </c>
      <c r="C848" t="s">
        <v>3331</v>
      </c>
      <c r="D848" t="s">
        <v>3332</v>
      </c>
      <c r="E848" t="s">
        <v>1719</v>
      </c>
    </row>
    <row r="849" spans="1:5" x14ac:dyDescent="0.2">
      <c r="A849">
        <v>849</v>
      </c>
      <c r="B849" t="s">
        <v>601</v>
      </c>
      <c r="C849" t="s">
        <v>3333</v>
      </c>
      <c r="D849" t="s">
        <v>1649</v>
      </c>
      <c r="E849" t="s">
        <v>3309</v>
      </c>
    </row>
    <row r="850" spans="1:5" x14ac:dyDescent="0.2">
      <c r="A850">
        <v>850</v>
      </c>
      <c r="B850" t="s">
        <v>601</v>
      </c>
      <c r="C850" t="s">
        <v>3334</v>
      </c>
      <c r="D850" t="s">
        <v>3335</v>
      </c>
      <c r="E850" t="s">
        <v>1719</v>
      </c>
    </row>
    <row r="851" spans="1:5" x14ac:dyDescent="0.2">
      <c r="A851">
        <v>851</v>
      </c>
      <c r="B851" t="s">
        <v>601</v>
      </c>
      <c r="C851" t="s">
        <v>3336</v>
      </c>
      <c r="D851" t="s">
        <v>3337</v>
      </c>
      <c r="E851" t="s">
        <v>1719</v>
      </c>
    </row>
    <row r="852" spans="1:5" x14ac:dyDescent="0.2">
      <c r="A852">
        <v>852</v>
      </c>
      <c r="B852" t="s">
        <v>601</v>
      </c>
      <c r="C852" t="s">
        <v>3338</v>
      </c>
      <c r="D852" t="s">
        <v>3339</v>
      </c>
      <c r="E852" t="s">
        <v>1719</v>
      </c>
    </row>
    <row r="853" spans="1:5" x14ac:dyDescent="0.2">
      <c r="A853">
        <v>853</v>
      </c>
      <c r="B853" t="s">
        <v>601</v>
      </c>
      <c r="C853" t="s">
        <v>3340</v>
      </c>
      <c r="D853" t="s">
        <v>3341</v>
      </c>
      <c r="E853" t="s">
        <v>1719</v>
      </c>
    </row>
    <row r="854" spans="1:5" x14ac:dyDescent="0.2">
      <c r="A854">
        <v>854</v>
      </c>
      <c r="B854" t="s">
        <v>601</v>
      </c>
      <c r="C854" t="s">
        <v>3342</v>
      </c>
      <c r="D854" t="s">
        <v>3343</v>
      </c>
      <c r="E854" t="s">
        <v>1719</v>
      </c>
    </row>
    <row r="855" spans="1:5" x14ac:dyDescent="0.2">
      <c r="A855">
        <v>855</v>
      </c>
      <c r="B855" t="s">
        <v>601</v>
      </c>
      <c r="C855" t="s">
        <v>3344</v>
      </c>
      <c r="D855" t="s">
        <v>3345</v>
      </c>
      <c r="E855" t="s">
        <v>1719</v>
      </c>
    </row>
    <row r="856" spans="1:5" x14ac:dyDescent="0.2">
      <c r="A856">
        <v>856</v>
      </c>
      <c r="B856" t="s">
        <v>601</v>
      </c>
      <c r="C856" t="s">
        <v>3307</v>
      </c>
      <c r="D856" t="s">
        <v>3346</v>
      </c>
      <c r="E856" t="s">
        <v>3309</v>
      </c>
    </row>
    <row r="857" spans="1:5" x14ac:dyDescent="0.2">
      <c r="A857">
        <v>857</v>
      </c>
      <c r="B857" t="s">
        <v>601</v>
      </c>
      <c r="C857" t="s">
        <v>3347</v>
      </c>
      <c r="D857" t="s">
        <v>3348</v>
      </c>
      <c r="E857" t="s">
        <v>3322</v>
      </c>
    </row>
    <row r="858" spans="1:5" x14ac:dyDescent="0.2">
      <c r="A858">
        <v>858</v>
      </c>
      <c r="B858" t="s">
        <v>601</v>
      </c>
      <c r="C858" t="s">
        <v>3349</v>
      </c>
      <c r="D858" t="s">
        <v>3350</v>
      </c>
      <c r="E858" t="s">
        <v>3322</v>
      </c>
    </row>
    <row r="859" spans="1:5" x14ac:dyDescent="0.2">
      <c r="A859">
        <v>859</v>
      </c>
      <c r="B859" t="s">
        <v>601</v>
      </c>
      <c r="C859" t="s">
        <v>3351</v>
      </c>
      <c r="D859" t="s">
        <v>3352</v>
      </c>
      <c r="E859" t="s">
        <v>1719</v>
      </c>
    </row>
    <row r="860" spans="1:5" x14ac:dyDescent="0.2">
      <c r="A860">
        <v>860</v>
      </c>
      <c r="B860" t="s">
        <v>601</v>
      </c>
      <c r="C860" t="s">
        <v>3353</v>
      </c>
      <c r="D860" t="s">
        <v>3354</v>
      </c>
      <c r="E860" t="s">
        <v>1719</v>
      </c>
    </row>
    <row r="861" spans="1:5" x14ac:dyDescent="0.2">
      <c r="A861">
        <v>861</v>
      </c>
      <c r="B861" t="s">
        <v>601</v>
      </c>
      <c r="C861" t="s">
        <v>3355</v>
      </c>
      <c r="D861" t="s">
        <v>3356</v>
      </c>
      <c r="E861" t="s">
        <v>1719</v>
      </c>
    </row>
    <row r="862" spans="1:5" x14ac:dyDescent="0.2">
      <c r="A862">
        <v>862</v>
      </c>
      <c r="B862" t="s">
        <v>601</v>
      </c>
      <c r="C862" t="s">
        <v>3357</v>
      </c>
      <c r="D862" t="s">
        <v>3358</v>
      </c>
      <c r="E862" t="s">
        <v>2164</v>
      </c>
    </row>
    <row r="863" spans="1:5" x14ac:dyDescent="0.2">
      <c r="A863">
        <v>863</v>
      </c>
      <c r="B863" t="s">
        <v>601</v>
      </c>
      <c r="C863" t="s">
        <v>3359</v>
      </c>
      <c r="D863" t="s">
        <v>3360</v>
      </c>
      <c r="E863" t="s">
        <v>1719</v>
      </c>
    </row>
    <row r="864" spans="1:5" x14ac:dyDescent="0.2">
      <c r="A864">
        <v>864</v>
      </c>
      <c r="B864" t="s">
        <v>601</v>
      </c>
      <c r="C864" t="s">
        <v>3361</v>
      </c>
      <c r="D864" t="s">
        <v>3362</v>
      </c>
      <c r="E864" t="s">
        <v>1719</v>
      </c>
    </row>
    <row r="865" spans="1:5" x14ac:dyDescent="0.2">
      <c r="A865">
        <v>865</v>
      </c>
      <c r="B865" t="s">
        <v>601</v>
      </c>
      <c r="C865" t="s">
        <v>3363</v>
      </c>
      <c r="D865" t="s">
        <v>3364</v>
      </c>
      <c r="E865" t="s">
        <v>1719</v>
      </c>
    </row>
    <row r="866" spans="1:5" x14ac:dyDescent="0.2">
      <c r="A866">
        <v>866</v>
      </c>
      <c r="B866" t="s">
        <v>601</v>
      </c>
      <c r="C866" t="s">
        <v>3365</v>
      </c>
      <c r="D866" t="s">
        <v>3366</v>
      </c>
      <c r="E866" t="s">
        <v>2164</v>
      </c>
    </row>
    <row r="867" spans="1:5" x14ac:dyDescent="0.2">
      <c r="A867">
        <v>867</v>
      </c>
      <c r="B867" t="s">
        <v>601</v>
      </c>
      <c r="C867" t="s">
        <v>3333</v>
      </c>
      <c r="D867" t="s">
        <v>3367</v>
      </c>
      <c r="E867" t="s">
        <v>3309</v>
      </c>
    </row>
    <row r="868" spans="1:5" x14ac:dyDescent="0.2">
      <c r="A868">
        <v>868</v>
      </c>
      <c r="B868" t="s">
        <v>601</v>
      </c>
      <c r="C868" t="s">
        <v>3368</v>
      </c>
      <c r="D868" t="s">
        <v>3369</v>
      </c>
      <c r="E868" t="s">
        <v>3322</v>
      </c>
    </row>
    <row r="869" spans="1:5" x14ac:dyDescent="0.2">
      <c r="A869">
        <v>869</v>
      </c>
      <c r="B869" t="s">
        <v>601</v>
      </c>
      <c r="C869" t="s">
        <v>3370</v>
      </c>
      <c r="D869" t="s">
        <v>3371</v>
      </c>
      <c r="E869" t="s">
        <v>3322</v>
      </c>
    </row>
    <row r="870" spans="1:5" x14ac:dyDescent="0.2">
      <c r="A870">
        <v>870</v>
      </c>
      <c r="B870" t="s">
        <v>601</v>
      </c>
      <c r="C870" t="s">
        <v>3372</v>
      </c>
      <c r="D870" t="s">
        <v>3373</v>
      </c>
      <c r="E870" t="s">
        <v>1719</v>
      </c>
    </row>
    <row r="871" spans="1:5" x14ac:dyDescent="0.2">
      <c r="A871">
        <v>871</v>
      </c>
      <c r="B871" t="s">
        <v>601</v>
      </c>
      <c r="C871" t="s">
        <v>3374</v>
      </c>
      <c r="D871" t="s">
        <v>3375</v>
      </c>
      <c r="E871" t="s">
        <v>1719</v>
      </c>
    </row>
    <row r="872" spans="1:5" x14ac:dyDescent="0.2">
      <c r="A872">
        <v>872</v>
      </c>
      <c r="B872" t="s">
        <v>610</v>
      </c>
      <c r="C872" t="s">
        <v>3376</v>
      </c>
      <c r="D872" t="s">
        <v>2744</v>
      </c>
      <c r="E872" t="s">
        <v>2590</v>
      </c>
    </row>
    <row r="873" spans="1:5" x14ac:dyDescent="0.2">
      <c r="A873">
        <v>873</v>
      </c>
      <c r="B873" t="s">
        <v>610</v>
      </c>
      <c r="C873" t="s">
        <v>3377</v>
      </c>
      <c r="D873" t="s">
        <v>3378</v>
      </c>
      <c r="E873" t="s">
        <v>2590</v>
      </c>
    </row>
    <row r="874" spans="1:5" x14ac:dyDescent="0.2">
      <c r="A874">
        <v>874</v>
      </c>
      <c r="B874" t="s">
        <v>610</v>
      </c>
      <c r="C874" t="s">
        <v>3379</v>
      </c>
      <c r="D874" t="s">
        <v>3380</v>
      </c>
      <c r="E874" t="s">
        <v>2590</v>
      </c>
    </row>
    <row r="875" spans="1:5" x14ac:dyDescent="0.2">
      <c r="A875">
        <v>875</v>
      </c>
      <c r="B875" t="s">
        <v>610</v>
      </c>
      <c r="C875" t="s">
        <v>3381</v>
      </c>
      <c r="D875" t="s">
        <v>3382</v>
      </c>
      <c r="E875" t="s">
        <v>2590</v>
      </c>
    </row>
    <row r="876" spans="1:5" x14ac:dyDescent="0.2">
      <c r="A876">
        <v>876</v>
      </c>
      <c r="B876" t="s">
        <v>610</v>
      </c>
      <c r="C876" t="s">
        <v>3383</v>
      </c>
      <c r="D876" t="s">
        <v>3384</v>
      </c>
      <c r="E876" t="s">
        <v>2590</v>
      </c>
    </row>
    <row r="877" spans="1:5" x14ac:dyDescent="0.2">
      <c r="A877">
        <v>877</v>
      </c>
      <c r="B877" t="s">
        <v>610</v>
      </c>
      <c r="C877" t="s">
        <v>3385</v>
      </c>
      <c r="D877" t="s">
        <v>3386</v>
      </c>
      <c r="E877" t="s">
        <v>2590</v>
      </c>
    </row>
    <row r="878" spans="1:5" x14ac:dyDescent="0.2">
      <c r="A878">
        <v>878</v>
      </c>
      <c r="B878" t="s">
        <v>610</v>
      </c>
      <c r="C878" t="s">
        <v>3387</v>
      </c>
      <c r="D878" t="s">
        <v>3388</v>
      </c>
      <c r="E878" t="s">
        <v>2590</v>
      </c>
    </row>
    <row r="879" spans="1:5" x14ac:dyDescent="0.2">
      <c r="A879">
        <v>879</v>
      </c>
      <c r="B879" t="s">
        <v>610</v>
      </c>
      <c r="C879" t="s">
        <v>3389</v>
      </c>
      <c r="D879" t="s">
        <v>3390</v>
      </c>
      <c r="E879" t="s">
        <v>2590</v>
      </c>
    </row>
    <row r="880" spans="1:5" x14ac:dyDescent="0.2">
      <c r="A880">
        <v>880</v>
      </c>
      <c r="B880" t="s">
        <v>610</v>
      </c>
      <c r="C880" t="s">
        <v>3391</v>
      </c>
      <c r="D880" t="s">
        <v>3392</v>
      </c>
      <c r="E880" t="s">
        <v>2590</v>
      </c>
    </row>
    <row r="881" spans="1:5" x14ac:dyDescent="0.2">
      <c r="A881">
        <v>881</v>
      </c>
      <c r="B881" t="s">
        <v>610</v>
      </c>
      <c r="C881" t="s">
        <v>3393</v>
      </c>
      <c r="D881" t="s">
        <v>3394</v>
      </c>
      <c r="E881" t="s">
        <v>2590</v>
      </c>
    </row>
    <row r="882" spans="1:5" x14ac:dyDescent="0.2">
      <c r="A882">
        <v>882</v>
      </c>
      <c r="B882" t="s">
        <v>610</v>
      </c>
      <c r="C882" t="s">
        <v>3395</v>
      </c>
      <c r="D882" t="s">
        <v>3396</v>
      </c>
      <c r="E882" t="s">
        <v>2590</v>
      </c>
    </row>
    <row r="883" spans="1:5" x14ac:dyDescent="0.2">
      <c r="A883">
        <v>883</v>
      </c>
      <c r="B883" t="s">
        <v>610</v>
      </c>
      <c r="C883" t="s">
        <v>3397</v>
      </c>
      <c r="D883" t="s">
        <v>3398</v>
      </c>
      <c r="E883" t="s">
        <v>2590</v>
      </c>
    </row>
    <row r="884" spans="1:5" x14ac:dyDescent="0.2">
      <c r="A884">
        <v>884</v>
      </c>
      <c r="B884" t="s">
        <v>610</v>
      </c>
      <c r="C884" t="s">
        <v>3399</v>
      </c>
      <c r="D884" t="s">
        <v>3400</v>
      </c>
      <c r="E884" t="s">
        <v>2590</v>
      </c>
    </row>
    <row r="885" spans="1:5" x14ac:dyDescent="0.2">
      <c r="A885">
        <v>885</v>
      </c>
      <c r="B885" t="s">
        <v>610</v>
      </c>
      <c r="C885" t="s">
        <v>3401</v>
      </c>
      <c r="D885" t="s">
        <v>2050</v>
      </c>
      <c r="E885" t="s">
        <v>2590</v>
      </c>
    </row>
    <row r="886" spans="1:5" x14ac:dyDescent="0.2">
      <c r="A886">
        <v>886</v>
      </c>
      <c r="B886" t="s">
        <v>610</v>
      </c>
      <c r="C886" t="s">
        <v>3402</v>
      </c>
      <c r="D886" t="s">
        <v>3403</v>
      </c>
      <c r="E886" t="s">
        <v>3404</v>
      </c>
    </row>
    <row r="887" spans="1:5" x14ac:dyDescent="0.2">
      <c r="A887">
        <v>887</v>
      </c>
      <c r="B887" t="s">
        <v>610</v>
      </c>
      <c r="C887" t="s">
        <v>3405</v>
      </c>
      <c r="D887" t="s">
        <v>3406</v>
      </c>
      <c r="E887" t="s">
        <v>2590</v>
      </c>
    </row>
    <row r="888" spans="1:5" x14ac:dyDescent="0.2">
      <c r="A888">
        <v>888</v>
      </c>
      <c r="B888" t="s">
        <v>610</v>
      </c>
      <c r="C888" t="s">
        <v>3407</v>
      </c>
      <c r="D888" t="s">
        <v>3408</v>
      </c>
      <c r="E888" t="s">
        <v>2590</v>
      </c>
    </row>
    <row r="889" spans="1:5" x14ac:dyDescent="0.2">
      <c r="A889">
        <v>889</v>
      </c>
      <c r="B889" t="s">
        <v>610</v>
      </c>
      <c r="C889" t="s">
        <v>3409</v>
      </c>
      <c r="D889" t="s">
        <v>3410</v>
      </c>
      <c r="E889" t="s">
        <v>2590</v>
      </c>
    </row>
    <row r="890" spans="1:5" x14ac:dyDescent="0.2">
      <c r="A890">
        <v>890</v>
      </c>
      <c r="B890" t="s">
        <v>610</v>
      </c>
      <c r="C890" t="s">
        <v>3411</v>
      </c>
      <c r="D890" t="s">
        <v>3412</v>
      </c>
      <c r="E890" t="s">
        <v>2590</v>
      </c>
    </row>
    <row r="891" spans="1:5" x14ac:dyDescent="0.2">
      <c r="A891">
        <v>891</v>
      </c>
      <c r="B891" t="s">
        <v>610</v>
      </c>
      <c r="C891" t="s">
        <v>3413</v>
      </c>
      <c r="D891" t="s">
        <v>3414</v>
      </c>
      <c r="E891" t="s">
        <v>2590</v>
      </c>
    </row>
    <row r="892" spans="1:5" x14ac:dyDescent="0.2">
      <c r="A892">
        <v>892</v>
      </c>
      <c r="B892" t="s">
        <v>610</v>
      </c>
      <c r="C892" t="s">
        <v>3415</v>
      </c>
      <c r="D892" t="s">
        <v>3416</v>
      </c>
      <c r="E892" t="s">
        <v>2590</v>
      </c>
    </row>
    <row r="893" spans="1:5" x14ac:dyDescent="0.2">
      <c r="A893">
        <v>893</v>
      </c>
      <c r="B893" t="s">
        <v>610</v>
      </c>
      <c r="C893" t="s">
        <v>3417</v>
      </c>
      <c r="D893" t="s">
        <v>3418</v>
      </c>
      <c r="E893" t="s">
        <v>2590</v>
      </c>
    </row>
    <row r="894" spans="1:5" x14ac:dyDescent="0.2">
      <c r="A894">
        <v>894</v>
      </c>
      <c r="B894" t="s">
        <v>610</v>
      </c>
      <c r="C894" t="s">
        <v>3419</v>
      </c>
      <c r="D894" t="s">
        <v>3420</v>
      </c>
      <c r="E894" t="s">
        <v>2590</v>
      </c>
    </row>
    <row r="895" spans="1:5" x14ac:dyDescent="0.2">
      <c r="A895">
        <v>895</v>
      </c>
      <c r="B895" t="s">
        <v>610</v>
      </c>
      <c r="C895" t="s">
        <v>3421</v>
      </c>
      <c r="D895" t="s">
        <v>3422</v>
      </c>
      <c r="E895" t="s">
        <v>2590</v>
      </c>
    </row>
    <row r="896" spans="1:5" x14ac:dyDescent="0.2">
      <c r="A896">
        <v>896</v>
      </c>
      <c r="B896" t="s">
        <v>610</v>
      </c>
      <c r="C896" t="s">
        <v>3423</v>
      </c>
      <c r="D896" t="s">
        <v>3424</v>
      </c>
      <c r="E896" t="s">
        <v>2590</v>
      </c>
    </row>
    <row r="897" spans="1:5" x14ac:dyDescent="0.2">
      <c r="A897">
        <v>897</v>
      </c>
      <c r="B897" t="s">
        <v>610</v>
      </c>
      <c r="C897" t="s">
        <v>3425</v>
      </c>
      <c r="D897" t="s">
        <v>3426</v>
      </c>
      <c r="E897" t="s">
        <v>2590</v>
      </c>
    </row>
    <row r="898" spans="1:5" x14ac:dyDescent="0.2">
      <c r="A898">
        <v>898</v>
      </c>
      <c r="B898" t="s">
        <v>610</v>
      </c>
      <c r="C898" t="s">
        <v>3427</v>
      </c>
      <c r="D898" t="s">
        <v>3428</v>
      </c>
      <c r="E898" t="s">
        <v>2590</v>
      </c>
    </row>
    <row r="899" spans="1:5" x14ac:dyDescent="0.2">
      <c r="A899">
        <v>899</v>
      </c>
      <c r="B899" t="s">
        <v>610</v>
      </c>
      <c r="C899" t="s">
        <v>3429</v>
      </c>
      <c r="D899" t="s">
        <v>3430</v>
      </c>
      <c r="E899" t="s">
        <v>2590</v>
      </c>
    </row>
    <row r="900" spans="1:5" x14ac:dyDescent="0.2">
      <c r="A900">
        <v>900</v>
      </c>
      <c r="B900" t="s">
        <v>610</v>
      </c>
      <c r="C900" t="s">
        <v>3431</v>
      </c>
      <c r="D900" t="s">
        <v>3432</v>
      </c>
      <c r="E900" t="s">
        <v>2590</v>
      </c>
    </row>
    <row r="901" spans="1:5" x14ac:dyDescent="0.2">
      <c r="A901">
        <v>901</v>
      </c>
      <c r="B901" t="s">
        <v>610</v>
      </c>
      <c r="C901" t="s">
        <v>3433</v>
      </c>
      <c r="D901" t="s">
        <v>3434</v>
      </c>
      <c r="E901" t="s">
        <v>2590</v>
      </c>
    </row>
    <row r="902" spans="1:5" x14ac:dyDescent="0.2">
      <c r="A902">
        <v>902</v>
      </c>
      <c r="B902" t="s">
        <v>610</v>
      </c>
      <c r="C902" t="s">
        <v>3435</v>
      </c>
      <c r="D902" t="s">
        <v>3436</v>
      </c>
      <c r="E902" t="s">
        <v>2590</v>
      </c>
    </row>
    <row r="903" spans="1:5" x14ac:dyDescent="0.2">
      <c r="A903">
        <v>903</v>
      </c>
      <c r="B903" t="s">
        <v>610</v>
      </c>
      <c r="C903" t="s">
        <v>3437</v>
      </c>
      <c r="D903" t="s">
        <v>3438</v>
      </c>
      <c r="E903" t="s">
        <v>2590</v>
      </c>
    </row>
    <row r="904" spans="1:5" x14ac:dyDescent="0.2">
      <c r="A904">
        <v>904</v>
      </c>
      <c r="B904" t="s">
        <v>610</v>
      </c>
      <c r="C904" t="s">
        <v>3439</v>
      </c>
      <c r="D904" t="s">
        <v>3440</v>
      </c>
      <c r="E904" t="s">
        <v>2590</v>
      </c>
    </row>
    <row r="905" spans="1:5" x14ac:dyDescent="0.2">
      <c r="A905">
        <v>905</v>
      </c>
      <c r="B905" t="s">
        <v>612</v>
      </c>
      <c r="C905" t="s">
        <v>3441</v>
      </c>
      <c r="D905" t="s">
        <v>3442</v>
      </c>
      <c r="E905" t="s">
        <v>3443</v>
      </c>
    </row>
    <row r="906" spans="1:5" x14ac:dyDescent="0.2">
      <c r="A906">
        <v>906</v>
      </c>
      <c r="B906" t="s">
        <v>612</v>
      </c>
      <c r="C906" t="s">
        <v>3444</v>
      </c>
      <c r="D906" t="s">
        <v>3445</v>
      </c>
      <c r="E906" t="s">
        <v>3443</v>
      </c>
    </row>
    <row r="907" spans="1:5" x14ac:dyDescent="0.2">
      <c r="A907">
        <v>907</v>
      </c>
      <c r="B907" t="s">
        <v>612</v>
      </c>
      <c r="C907" t="s">
        <v>3444</v>
      </c>
      <c r="D907" t="s">
        <v>3446</v>
      </c>
      <c r="E907" t="s">
        <v>3443</v>
      </c>
    </row>
    <row r="908" spans="1:5" x14ac:dyDescent="0.2">
      <c r="A908">
        <v>908</v>
      </c>
      <c r="B908" t="s">
        <v>612</v>
      </c>
      <c r="C908" t="s">
        <v>3441</v>
      </c>
      <c r="D908" t="s">
        <v>3447</v>
      </c>
      <c r="E908" t="s">
        <v>3443</v>
      </c>
    </row>
    <row r="909" spans="1:5" x14ac:dyDescent="0.2">
      <c r="A909">
        <v>909</v>
      </c>
      <c r="B909" t="s">
        <v>612</v>
      </c>
      <c r="C909" t="s">
        <v>3448</v>
      </c>
      <c r="D909" t="s">
        <v>3449</v>
      </c>
      <c r="E909" t="s">
        <v>3443</v>
      </c>
    </row>
    <row r="910" spans="1:5" x14ac:dyDescent="0.2">
      <c r="A910">
        <v>910</v>
      </c>
      <c r="B910" t="s">
        <v>612</v>
      </c>
      <c r="C910" t="s">
        <v>3448</v>
      </c>
      <c r="D910" t="s">
        <v>3450</v>
      </c>
      <c r="E910" t="s">
        <v>3443</v>
      </c>
    </row>
    <row r="911" spans="1:5" x14ac:dyDescent="0.2">
      <c r="A911">
        <v>911</v>
      </c>
      <c r="B911" t="s">
        <v>612</v>
      </c>
      <c r="C911" t="s">
        <v>3448</v>
      </c>
      <c r="D911" t="s">
        <v>3451</v>
      </c>
      <c r="E911" t="s">
        <v>3443</v>
      </c>
    </row>
    <row r="912" spans="1:5" x14ac:dyDescent="0.2">
      <c r="A912">
        <v>912</v>
      </c>
      <c r="B912" t="s">
        <v>612</v>
      </c>
      <c r="C912" t="s">
        <v>3444</v>
      </c>
      <c r="D912" t="s">
        <v>3452</v>
      </c>
      <c r="E912" t="s">
        <v>3443</v>
      </c>
    </row>
    <row r="913" spans="1:5" x14ac:dyDescent="0.2">
      <c r="A913">
        <v>913</v>
      </c>
      <c r="B913" t="s">
        <v>612</v>
      </c>
      <c r="C913" t="s">
        <v>3441</v>
      </c>
      <c r="D913" t="s">
        <v>3453</v>
      </c>
      <c r="E913" t="s">
        <v>3443</v>
      </c>
    </row>
    <row r="914" spans="1:5" x14ac:dyDescent="0.2">
      <c r="A914">
        <v>914</v>
      </c>
      <c r="B914" t="s">
        <v>1101</v>
      </c>
      <c r="C914" t="s">
        <v>3454</v>
      </c>
      <c r="D914" t="s">
        <v>3455</v>
      </c>
      <c r="E914" t="s">
        <v>2087</v>
      </c>
    </row>
    <row r="915" spans="1:5" x14ac:dyDescent="0.2">
      <c r="A915">
        <v>915</v>
      </c>
      <c r="B915" t="s">
        <v>1101</v>
      </c>
      <c r="C915" t="s">
        <v>3456</v>
      </c>
      <c r="D915" t="s">
        <v>3457</v>
      </c>
      <c r="E915" t="s">
        <v>3458</v>
      </c>
    </row>
    <row r="916" spans="1:5" x14ac:dyDescent="0.2">
      <c r="A916">
        <v>916</v>
      </c>
      <c r="B916" t="s">
        <v>1101</v>
      </c>
      <c r="C916" t="s">
        <v>3459</v>
      </c>
      <c r="D916" t="s">
        <v>3460</v>
      </c>
      <c r="E916" t="s">
        <v>2087</v>
      </c>
    </row>
    <row r="917" spans="1:5" x14ac:dyDescent="0.2">
      <c r="A917">
        <v>917</v>
      </c>
      <c r="B917" t="s">
        <v>1101</v>
      </c>
      <c r="C917" t="s">
        <v>3461</v>
      </c>
      <c r="D917" t="s">
        <v>3462</v>
      </c>
      <c r="E917" t="s">
        <v>2087</v>
      </c>
    </row>
    <row r="918" spans="1:5" x14ac:dyDescent="0.2">
      <c r="A918">
        <v>918</v>
      </c>
      <c r="B918" t="s">
        <v>1101</v>
      </c>
      <c r="C918" t="s">
        <v>3463</v>
      </c>
      <c r="D918" t="s">
        <v>3464</v>
      </c>
      <c r="E918" t="s">
        <v>2087</v>
      </c>
    </row>
    <row r="919" spans="1:5" x14ac:dyDescent="0.2">
      <c r="A919">
        <v>919</v>
      </c>
      <c r="B919" t="s">
        <v>1101</v>
      </c>
      <c r="C919" t="s">
        <v>3465</v>
      </c>
      <c r="D919" t="s">
        <v>3466</v>
      </c>
      <c r="E919" t="s">
        <v>2087</v>
      </c>
    </row>
    <row r="920" spans="1:5" x14ac:dyDescent="0.2">
      <c r="A920">
        <v>920</v>
      </c>
      <c r="B920" t="s">
        <v>1101</v>
      </c>
      <c r="C920" t="s">
        <v>3467</v>
      </c>
      <c r="D920" t="s">
        <v>3468</v>
      </c>
      <c r="E920" t="s">
        <v>2087</v>
      </c>
    </row>
    <row r="921" spans="1:5" x14ac:dyDescent="0.2">
      <c r="A921">
        <v>921</v>
      </c>
      <c r="B921" t="s">
        <v>1101</v>
      </c>
      <c r="C921" t="s">
        <v>3469</v>
      </c>
      <c r="D921" t="s">
        <v>3470</v>
      </c>
      <c r="E921" t="s">
        <v>2087</v>
      </c>
    </row>
    <row r="922" spans="1:5" x14ac:dyDescent="0.2">
      <c r="A922">
        <v>922</v>
      </c>
      <c r="B922" t="s">
        <v>1101</v>
      </c>
      <c r="C922" t="s">
        <v>3471</v>
      </c>
      <c r="D922" t="s">
        <v>3472</v>
      </c>
      <c r="E922" t="s">
        <v>2087</v>
      </c>
    </row>
    <row r="923" spans="1:5" x14ac:dyDescent="0.2">
      <c r="A923">
        <v>923</v>
      </c>
      <c r="B923" t="s">
        <v>1101</v>
      </c>
      <c r="C923" t="s">
        <v>3473</v>
      </c>
      <c r="D923" t="s">
        <v>3474</v>
      </c>
      <c r="E923" t="s">
        <v>2087</v>
      </c>
    </row>
    <row r="924" spans="1:5" x14ac:dyDescent="0.2">
      <c r="A924">
        <v>924</v>
      </c>
      <c r="B924" t="s">
        <v>1101</v>
      </c>
      <c r="C924" t="s">
        <v>3475</v>
      </c>
      <c r="D924" t="s">
        <v>3198</v>
      </c>
      <c r="E924" t="s">
        <v>2087</v>
      </c>
    </row>
    <row r="925" spans="1:5" x14ac:dyDescent="0.2">
      <c r="A925">
        <v>925</v>
      </c>
      <c r="B925" t="s">
        <v>1102</v>
      </c>
      <c r="C925" t="s">
        <v>3476</v>
      </c>
      <c r="D925" t="s">
        <v>3477</v>
      </c>
      <c r="E925" t="s">
        <v>1719</v>
      </c>
    </row>
    <row r="926" spans="1:5" x14ac:dyDescent="0.2">
      <c r="A926">
        <v>926</v>
      </c>
      <c r="B926" t="s">
        <v>1102</v>
      </c>
      <c r="C926" t="s">
        <v>3478</v>
      </c>
      <c r="D926" t="s">
        <v>3479</v>
      </c>
      <c r="E926" t="s">
        <v>1719</v>
      </c>
    </row>
    <row r="927" spans="1:5" x14ac:dyDescent="0.2">
      <c r="A927">
        <v>927</v>
      </c>
      <c r="B927" t="s">
        <v>1102</v>
      </c>
      <c r="C927" t="s">
        <v>3480</v>
      </c>
      <c r="D927" t="s">
        <v>3481</v>
      </c>
      <c r="E927" t="s">
        <v>1719</v>
      </c>
    </row>
    <row r="928" spans="1:5" x14ac:dyDescent="0.2">
      <c r="A928">
        <v>928</v>
      </c>
      <c r="B928" t="s">
        <v>1102</v>
      </c>
      <c r="C928" t="s">
        <v>3482</v>
      </c>
      <c r="D928" t="s">
        <v>3483</v>
      </c>
      <c r="E928" t="s">
        <v>1719</v>
      </c>
    </row>
    <row r="929" spans="1:5" x14ac:dyDescent="0.2">
      <c r="A929">
        <v>929</v>
      </c>
      <c r="B929" t="s">
        <v>1102</v>
      </c>
      <c r="C929" t="s">
        <v>3484</v>
      </c>
      <c r="D929" t="s">
        <v>3485</v>
      </c>
      <c r="E929" t="s">
        <v>1719</v>
      </c>
    </row>
    <row r="930" spans="1:5" x14ac:dyDescent="0.2">
      <c r="A930">
        <v>930</v>
      </c>
      <c r="B930" t="s">
        <v>1102</v>
      </c>
      <c r="C930" t="s">
        <v>3486</v>
      </c>
      <c r="D930" t="s">
        <v>3487</v>
      </c>
      <c r="E930" t="s">
        <v>2046</v>
      </c>
    </row>
    <row r="931" spans="1:5" x14ac:dyDescent="0.2">
      <c r="A931">
        <v>931</v>
      </c>
      <c r="B931" t="s">
        <v>1102</v>
      </c>
      <c r="C931" t="s">
        <v>3488</v>
      </c>
      <c r="D931" t="s">
        <v>3489</v>
      </c>
      <c r="E931" t="s">
        <v>1719</v>
      </c>
    </row>
    <row r="932" spans="1:5" x14ac:dyDescent="0.2">
      <c r="A932">
        <v>932</v>
      </c>
      <c r="B932" t="s">
        <v>1102</v>
      </c>
      <c r="C932" t="s">
        <v>3490</v>
      </c>
      <c r="D932" t="s">
        <v>3491</v>
      </c>
      <c r="E932" t="s">
        <v>1719</v>
      </c>
    </row>
    <row r="933" spans="1:5" x14ac:dyDescent="0.2">
      <c r="A933">
        <v>933</v>
      </c>
      <c r="B933" t="s">
        <v>1102</v>
      </c>
      <c r="C933" t="s">
        <v>3492</v>
      </c>
      <c r="D933" t="s">
        <v>3493</v>
      </c>
      <c r="E933" t="s">
        <v>1719</v>
      </c>
    </row>
    <row r="934" spans="1:5" x14ac:dyDescent="0.2">
      <c r="A934">
        <v>934</v>
      </c>
      <c r="B934" t="s">
        <v>1102</v>
      </c>
      <c r="C934" t="s">
        <v>3494</v>
      </c>
      <c r="D934" t="s">
        <v>3495</v>
      </c>
      <c r="E934" t="s">
        <v>1719</v>
      </c>
    </row>
    <row r="935" spans="1:5" x14ac:dyDescent="0.2">
      <c r="A935">
        <v>935</v>
      </c>
      <c r="B935" t="s">
        <v>1102</v>
      </c>
      <c r="C935" t="s">
        <v>3496</v>
      </c>
      <c r="D935" t="s">
        <v>3497</v>
      </c>
      <c r="E935" t="s">
        <v>1719</v>
      </c>
    </row>
    <row r="936" spans="1:5" x14ac:dyDescent="0.2">
      <c r="A936">
        <v>936</v>
      </c>
      <c r="B936" t="s">
        <v>623</v>
      </c>
      <c r="C936" t="s">
        <v>3498</v>
      </c>
      <c r="D936" t="s">
        <v>3499</v>
      </c>
      <c r="E936" t="s">
        <v>1719</v>
      </c>
    </row>
    <row r="937" spans="1:5" x14ac:dyDescent="0.2">
      <c r="A937">
        <v>937</v>
      </c>
      <c r="B937" t="s">
        <v>623</v>
      </c>
      <c r="C937" t="s">
        <v>3500</v>
      </c>
      <c r="D937" t="s">
        <v>3501</v>
      </c>
      <c r="E937" t="s">
        <v>1719</v>
      </c>
    </row>
    <row r="938" spans="1:5" x14ac:dyDescent="0.2">
      <c r="A938">
        <v>938</v>
      </c>
      <c r="B938" t="s">
        <v>623</v>
      </c>
      <c r="C938" t="s">
        <v>3502</v>
      </c>
      <c r="D938" t="s">
        <v>3503</v>
      </c>
      <c r="E938" t="s">
        <v>1719</v>
      </c>
    </row>
    <row r="939" spans="1:5" x14ac:dyDescent="0.2">
      <c r="A939">
        <v>939</v>
      </c>
      <c r="B939" t="s">
        <v>623</v>
      </c>
      <c r="C939" t="s">
        <v>3504</v>
      </c>
      <c r="D939" t="s">
        <v>3505</v>
      </c>
      <c r="E939" t="s">
        <v>1719</v>
      </c>
    </row>
    <row r="940" spans="1:5" x14ac:dyDescent="0.2">
      <c r="A940">
        <v>940</v>
      </c>
      <c r="B940" t="s">
        <v>623</v>
      </c>
      <c r="C940" t="s">
        <v>3506</v>
      </c>
      <c r="D940" t="s">
        <v>3507</v>
      </c>
      <c r="E940" t="s">
        <v>1719</v>
      </c>
    </row>
    <row r="941" spans="1:5" x14ac:dyDescent="0.2">
      <c r="A941">
        <v>941</v>
      </c>
      <c r="B941" t="s">
        <v>623</v>
      </c>
      <c r="C941" t="s">
        <v>3508</v>
      </c>
      <c r="D941" t="s">
        <v>3509</v>
      </c>
      <c r="E941" t="s">
        <v>1719</v>
      </c>
    </row>
    <row r="942" spans="1:5" x14ac:dyDescent="0.2">
      <c r="A942">
        <v>942</v>
      </c>
      <c r="B942" t="s">
        <v>623</v>
      </c>
      <c r="C942" t="s">
        <v>3510</v>
      </c>
      <c r="D942" t="s">
        <v>3511</v>
      </c>
      <c r="E942" t="s">
        <v>1719</v>
      </c>
    </row>
    <row r="943" spans="1:5" x14ac:dyDescent="0.2">
      <c r="A943">
        <v>943</v>
      </c>
      <c r="B943" t="s">
        <v>626</v>
      </c>
      <c r="C943" t="s">
        <v>3512</v>
      </c>
      <c r="D943" t="s">
        <v>3513</v>
      </c>
      <c r="E943" t="s">
        <v>1788</v>
      </c>
    </row>
    <row r="944" spans="1:5" x14ac:dyDescent="0.2">
      <c r="A944">
        <v>944</v>
      </c>
      <c r="B944" t="s">
        <v>626</v>
      </c>
      <c r="C944" t="s">
        <v>3514</v>
      </c>
      <c r="D944" t="s">
        <v>3515</v>
      </c>
      <c r="E944" t="s">
        <v>1788</v>
      </c>
    </row>
    <row r="945" spans="1:5" x14ac:dyDescent="0.2">
      <c r="A945">
        <v>945</v>
      </c>
      <c r="B945" t="s">
        <v>626</v>
      </c>
      <c r="C945" t="s">
        <v>3516</v>
      </c>
      <c r="D945" t="s">
        <v>3517</v>
      </c>
      <c r="E945" t="s">
        <v>1788</v>
      </c>
    </row>
    <row r="946" spans="1:5" x14ac:dyDescent="0.2">
      <c r="A946">
        <v>946</v>
      </c>
      <c r="B946" t="s">
        <v>626</v>
      </c>
      <c r="C946" t="s">
        <v>3518</v>
      </c>
      <c r="D946" t="s">
        <v>3519</v>
      </c>
      <c r="E946" t="s">
        <v>2046</v>
      </c>
    </row>
    <row r="947" spans="1:5" x14ac:dyDescent="0.2">
      <c r="A947">
        <v>947</v>
      </c>
      <c r="B947" t="s">
        <v>626</v>
      </c>
      <c r="C947" t="s">
        <v>3520</v>
      </c>
      <c r="D947" t="s">
        <v>3521</v>
      </c>
      <c r="E947" t="s">
        <v>1788</v>
      </c>
    </row>
    <row r="948" spans="1:5" x14ac:dyDescent="0.2">
      <c r="A948">
        <v>948</v>
      </c>
      <c r="B948" t="s">
        <v>626</v>
      </c>
      <c r="C948" t="s">
        <v>3522</v>
      </c>
      <c r="D948" t="s">
        <v>3523</v>
      </c>
      <c r="E948" t="s">
        <v>1788</v>
      </c>
    </row>
    <row r="949" spans="1:5" x14ac:dyDescent="0.2">
      <c r="A949">
        <v>949</v>
      </c>
      <c r="B949" t="s">
        <v>626</v>
      </c>
      <c r="C949" t="s">
        <v>3524</v>
      </c>
      <c r="D949" t="s">
        <v>3525</v>
      </c>
      <c r="E949" t="s">
        <v>1788</v>
      </c>
    </row>
    <row r="950" spans="1:5" x14ac:dyDescent="0.2">
      <c r="A950">
        <v>950</v>
      </c>
      <c r="B950" t="s">
        <v>626</v>
      </c>
      <c r="C950" t="s">
        <v>3526</v>
      </c>
      <c r="D950" t="s">
        <v>3527</v>
      </c>
      <c r="E950" t="s">
        <v>1788</v>
      </c>
    </row>
    <row r="951" spans="1:5" x14ac:dyDescent="0.2">
      <c r="A951">
        <v>951</v>
      </c>
      <c r="B951" t="s">
        <v>626</v>
      </c>
      <c r="C951" t="s">
        <v>3528</v>
      </c>
      <c r="D951" t="s">
        <v>3529</v>
      </c>
      <c r="E951" t="s">
        <v>1788</v>
      </c>
    </row>
    <row r="952" spans="1:5" x14ac:dyDescent="0.2">
      <c r="A952">
        <v>952</v>
      </c>
      <c r="B952" t="s">
        <v>626</v>
      </c>
      <c r="C952" t="s">
        <v>3530</v>
      </c>
      <c r="D952" t="s">
        <v>3531</v>
      </c>
      <c r="E952" t="s">
        <v>1788</v>
      </c>
    </row>
    <row r="953" spans="1:5" x14ac:dyDescent="0.2">
      <c r="A953">
        <v>953</v>
      </c>
      <c r="B953" t="s">
        <v>626</v>
      </c>
      <c r="C953" t="s">
        <v>3532</v>
      </c>
      <c r="D953" t="s">
        <v>3533</v>
      </c>
      <c r="E953" t="s">
        <v>1788</v>
      </c>
    </row>
    <row r="954" spans="1:5" x14ac:dyDescent="0.2">
      <c r="A954">
        <v>954</v>
      </c>
      <c r="B954" t="s">
        <v>626</v>
      </c>
      <c r="C954" t="s">
        <v>3534</v>
      </c>
      <c r="D954" t="s">
        <v>3535</v>
      </c>
      <c r="E954" t="s">
        <v>1788</v>
      </c>
    </row>
    <row r="955" spans="1:5" x14ac:dyDescent="0.2">
      <c r="A955">
        <v>955</v>
      </c>
      <c r="B955" t="s">
        <v>626</v>
      </c>
      <c r="C955" t="s">
        <v>3536</v>
      </c>
      <c r="D955" t="s">
        <v>3537</v>
      </c>
      <c r="E955" t="s">
        <v>1788</v>
      </c>
    </row>
    <row r="956" spans="1:5" x14ac:dyDescent="0.2">
      <c r="A956">
        <v>956</v>
      </c>
      <c r="B956" t="s">
        <v>626</v>
      </c>
      <c r="C956" t="s">
        <v>3538</v>
      </c>
      <c r="D956" t="s">
        <v>3539</v>
      </c>
      <c r="E956" t="s">
        <v>1788</v>
      </c>
    </row>
    <row r="957" spans="1:5" x14ac:dyDescent="0.2">
      <c r="A957">
        <v>957</v>
      </c>
      <c r="B957" t="s">
        <v>626</v>
      </c>
      <c r="C957" t="s">
        <v>3540</v>
      </c>
      <c r="D957" t="s">
        <v>3541</v>
      </c>
      <c r="E957" t="s">
        <v>1788</v>
      </c>
    </row>
    <row r="958" spans="1:5" x14ac:dyDescent="0.2">
      <c r="A958">
        <v>958</v>
      </c>
      <c r="B958" t="s">
        <v>626</v>
      </c>
      <c r="C958" t="s">
        <v>3542</v>
      </c>
      <c r="D958" t="s">
        <v>3543</v>
      </c>
      <c r="E958" t="s">
        <v>1788</v>
      </c>
    </row>
    <row r="959" spans="1:5" x14ac:dyDescent="0.2">
      <c r="A959">
        <v>959</v>
      </c>
      <c r="B959" t="s">
        <v>626</v>
      </c>
      <c r="C959" t="s">
        <v>3544</v>
      </c>
      <c r="D959" t="s">
        <v>3545</v>
      </c>
      <c r="E959" t="s">
        <v>1788</v>
      </c>
    </row>
    <row r="960" spans="1:5" x14ac:dyDescent="0.2">
      <c r="A960">
        <v>960</v>
      </c>
      <c r="B960" t="s">
        <v>626</v>
      </c>
      <c r="C960" t="s">
        <v>3546</v>
      </c>
      <c r="D960" t="s">
        <v>3547</v>
      </c>
      <c r="E960" t="s">
        <v>1788</v>
      </c>
    </row>
    <row r="961" spans="1:5" x14ac:dyDescent="0.2">
      <c r="A961">
        <v>961</v>
      </c>
      <c r="B961" t="s">
        <v>626</v>
      </c>
      <c r="C961" t="s">
        <v>3548</v>
      </c>
      <c r="D961" t="s">
        <v>3549</v>
      </c>
      <c r="E961" t="s">
        <v>1788</v>
      </c>
    </row>
    <row r="962" spans="1:5" x14ac:dyDescent="0.2">
      <c r="A962">
        <v>962</v>
      </c>
      <c r="B962" t="s">
        <v>626</v>
      </c>
      <c r="C962" t="s">
        <v>3550</v>
      </c>
      <c r="D962" t="s">
        <v>3551</v>
      </c>
      <c r="E962" t="s">
        <v>1788</v>
      </c>
    </row>
    <row r="963" spans="1:5" x14ac:dyDescent="0.2">
      <c r="A963">
        <v>963</v>
      </c>
      <c r="B963" t="s">
        <v>626</v>
      </c>
      <c r="C963" t="s">
        <v>3552</v>
      </c>
      <c r="D963" t="s">
        <v>3553</v>
      </c>
      <c r="E963" t="s">
        <v>1788</v>
      </c>
    </row>
    <row r="964" spans="1:5" x14ac:dyDescent="0.2">
      <c r="A964">
        <v>964</v>
      </c>
      <c r="B964" t="s">
        <v>628</v>
      </c>
      <c r="C964" t="s">
        <v>3554</v>
      </c>
      <c r="D964" t="s">
        <v>3555</v>
      </c>
      <c r="E964" t="s">
        <v>1719</v>
      </c>
    </row>
    <row r="965" spans="1:5" x14ac:dyDescent="0.2">
      <c r="A965">
        <v>965</v>
      </c>
      <c r="B965" t="s">
        <v>628</v>
      </c>
      <c r="C965" t="s">
        <v>3556</v>
      </c>
      <c r="D965" t="s">
        <v>3557</v>
      </c>
      <c r="E965" t="s">
        <v>1719</v>
      </c>
    </row>
    <row r="966" spans="1:5" x14ac:dyDescent="0.2">
      <c r="A966">
        <v>966</v>
      </c>
      <c r="B966" t="s">
        <v>628</v>
      </c>
      <c r="C966" t="s">
        <v>3558</v>
      </c>
      <c r="D966" t="s">
        <v>3559</v>
      </c>
      <c r="E966" t="s">
        <v>1719</v>
      </c>
    </row>
    <row r="967" spans="1:5" x14ac:dyDescent="0.2">
      <c r="A967">
        <v>967</v>
      </c>
      <c r="B967" t="s">
        <v>628</v>
      </c>
      <c r="C967" t="s">
        <v>3560</v>
      </c>
      <c r="D967" t="s">
        <v>3561</v>
      </c>
      <c r="E967" t="s">
        <v>1719</v>
      </c>
    </row>
    <row r="968" spans="1:5" x14ac:dyDescent="0.2">
      <c r="A968">
        <v>968</v>
      </c>
      <c r="B968" t="s">
        <v>628</v>
      </c>
      <c r="C968" t="s">
        <v>3562</v>
      </c>
      <c r="D968" t="s">
        <v>3563</v>
      </c>
      <c r="E968" t="s">
        <v>1719</v>
      </c>
    </row>
    <row r="969" spans="1:5" x14ac:dyDescent="0.2">
      <c r="A969">
        <v>969</v>
      </c>
      <c r="B969" t="s">
        <v>628</v>
      </c>
      <c r="C969" t="s">
        <v>3564</v>
      </c>
      <c r="D969" t="s">
        <v>3565</v>
      </c>
      <c r="E969" t="s">
        <v>1719</v>
      </c>
    </row>
    <row r="970" spans="1:5" x14ac:dyDescent="0.2">
      <c r="A970">
        <v>970</v>
      </c>
      <c r="B970" t="s">
        <v>628</v>
      </c>
      <c r="C970" t="s">
        <v>3566</v>
      </c>
      <c r="D970" t="s">
        <v>3567</v>
      </c>
      <c r="E970" t="s">
        <v>1719</v>
      </c>
    </row>
    <row r="971" spans="1:5" x14ac:dyDescent="0.2">
      <c r="A971">
        <v>971</v>
      </c>
      <c r="B971" t="s">
        <v>628</v>
      </c>
      <c r="C971" t="s">
        <v>3568</v>
      </c>
      <c r="D971" t="s">
        <v>3569</v>
      </c>
      <c r="E971" t="s">
        <v>2673</v>
      </c>
    </row>
    <row r="972" spans="1:5" x14ac:dyDescent="0.2">
      <c r="A972">
        <v>972</v>
      </c>
      <c r="B972" t="s">
        <v>628</v>
      </c>
      <c r="C972" t="s">
        <v>3570</v>
      </c>
      <c r="D972" t="s">
        <v>3571</v>
      </c>
      <c r="E972" t="s">
        <v>1719</v>
      </c>
    </row>
    <row r="973" spans="1:5" x14ac:dyDescent="0.2">
      <c r="A973">
        <v>973</v>
      </c>
      <c r="B973" t="s">
        <v>628</v>
      </c>
      <c r="C973" t="s">
        <v>3572</v>
      </c>
      <c r="D973" t="s">
        <v>3573</v>
      </c>
      <c r="E973" t="s">
        <v>1719</v>
      </c>
    </row>
    <row r="974" spans="1:5" x14ac:dyDescent="0.2">
      <c r="A974">
        <v>974</v>
      </c>
      <c r="B974" t="s">
        <v>628</v>
      </c>
      <c r="C974" t="s">
        <v>3574</v>
      </c>
      <c r="D974" t="s">
        <v>3575</v>
      </c>
      <c r="E974" t="s">
        <v>1719</v>
      </c>
    </row>
    <row r="975" spans="1:5" x14ac:dyDescent="0.2">
      <c r="A975">
        <v>975</v>
      </c>
      <c r="B975" t="s">
        <v>628</v>
      </c>
      <c r="C975" t="s">
        <v>3576</v>
      </c>
      <c r="D975" t="s">
        <v>3577</v>
      </c>
      <c r="E975" t="s">
        <v>1719</v>
      </c>
    </row>
    <row r="976" spans="1:5" x14ac:dyDescent="0.2">
      <c r="A976">
        <v>976</v>
      </c>
      <c r="B976" t="s">
        <v>628</v>
      </c>
      <c r="C976" t="s">
        <v>3578</v>
      </c>
      <c r="D976" t="s">
        <v>3579</v>
      </c>
      <c r="E976" t="s">
        <v>1719</v>
      </c>
    </row>
    <row r="977" spans="1:5" x14ac:dyDescent="0.2">
      <c r="A977">
        <v>977</v>
      </c>
      <c r="B977" t="s">
        <v>628</v>
      </c>
      <c r="C977" t="s">
        <v>3580</v>
      </c>
      <c r="D977" t="s">
        <v>3581</v>
      </c>
      <c r="E977" t="s">
        <v>1719</v>
      </c>
    </row>
    <row r="978" spans="1:5" x14ac:dyDescent="0.2">
      <c r="A978">
        <v>978</v>
      </c>
      <c r="B978" t="s">
        <v>628</v>
      </c>
      <c r="C978" t="s">
        <v>3582</v>
      </c>
      <c r="D978" t="s">
        <v>3583</v>
      </c>
      <c r="E978" t="s">
        <v>1719</v>
      </c>
    </row>
    <row r="979" spans="1:5" x14ac:dyDescent="0.2">
      <c r="A979">
        <v>979</v>
      </c>
      <c r="B979" t="s">
        <v>632</v>
      </c>
      <c r="C979" t="s">
        <v>3584</v>
      </c>
      <c r="D979" t="s">
        <v>3585</v>
      </c>
      <c r="E979" t="s">
        <v>1790</v>
      </c>
    </row>
    <row r="980" spans="1:5" x14ac:dyDescent="0.2">
      <c r="A980">
        <v>980</v>
      </c>
      <c r="B980" t="s">
        <v>632</v>
      </c>
      <c r="C980" t="s">
        <v>3586</v>
      </c>
      <c r="D980" t="s">
        <v>3587</v>
      </c>
      <c r="E980" t="s">
        <v>1790</v>
      </c>
    </row>
    <row r="981" spans="1:5" x14ac:dyDescent="0.2">
      <c r="A981">
        <v>981</v>
      </c>
      <c r="B981" t="s">
        <v>632</v>
      </c>
      <c r="C981" t="s">
        <v>3584</v>
      </c>
      <c r="D981" t="s">
        <v>3588</v>
      </c>
      <c r="E981" t="s">
        <v>1790</v>
      </c>
    </row>
    <row r="982" spans="1:5" x14ac:dyDescent="0.2">
      <c r="A982">
        <v>982</v>
      </c>
      <c r="B982" t="s">
        <v>632</v>
      </c>
      <c r="C982" t="s">
        <v>3589</v>
      </c>
      <c r="D982" t="s">
        <v>3590</v>
      </c>
      <c r="E982" t="s">
        <v>1790</v>
      </c>
    </row>
    <row r="983" spans="1:5" x14ac:dyDescent="0.2">
      <c r="A983">
        <v>983</v>
      </c>
      <c r="B983" t="s">
        <v>632</v>
      </c>
      <c r="C983" t="s">
        <v>3589</v>
      </c>
      <c r="D983" t="s">
        <v>3591</v>
      </c>
      <c r="E983" t="s">
        <v>1790</v>
      </c>
    </row>
    <row r="984" spans="1:5" x14ac:dyDescent="0.2">
      <c r="A984">
        <v>984</v>
      </c>
      <c r="B984" t="s">
        <v>632</v>
      </c>
      <c r="C984" t="s">
        <v>3592</v>
      </c>
      <c r="D984" t="s">
        <v>3593</v>
      </c>
      <c r="E984" t="s">
        <v>1790</v>
      </c>
    </row>
    <row r="985" spans="1:5" x14ac:dyDescent="0.2">
      <c r="A985">
        <v>985</v>
      </c>
      <c r="B985" t="s">
        <v>632</v>
      </c>
      <c r="C985" t="s">
        <v>3594</v>
      </c>
      <c r="D985" t="s">
        <v>3595</v>
      </c>
      <c r="E985" t="s">
        <v>1790</v>
      </c>
    </row>
    <row r="986" spans="1:5" x14ac:dyDescent="0.2">
      <c r="A986">
        <v>986</v>
      </c>
      <c r="B986" t="s">
        <v>632</v>
      </c>
      <c r="C986" t="s">
        <v>3594</v>
      </c>
      <c r="D986" t="s">
        <v>3596</v>
      </c>
      <c r="E986" t="s">
        <v>1790</v>
      </c>
    </row>
    <row r="987" spans="1:5" x14ac:dyDescent="0.2">
      <c r="A987">
        <v>987</v>
      </c>
      <c r="B987" t="s">
        <v>632</v>
      </c>
      <c r="C987" t="s">
        <v>3597</v>
      </c>
      <c r="D987" t="s">
        <v>3598</v>
      </c>
      <c r="E987" t="s">
        <v>1790</v>
      </c>
    </row>
    <row r="988" spans="1:5" x14ac:dyDescent="0.2">
      <c r="A988">
        <v>988</v>
      </c>
      <c r="B988" t="s">
        <v>632</v>
      </c>
      <c r="C988" t="s">
        <v>3597</v>
      </c>
      <c r="D988" t="s">
        <v>3599</v>
      </c>
      <c r="E988" t="s">
        <v>1790</v>
      </c>
    </row>
    <row r="989" spans="1:5" x14ac:dyDescent="0.2">
      <c r="A989">
        <v>989</v>
      </c>
      <c r="B989" t="s">
        <v>632</v>
      </c>
      <c r="C989" t="s">
        <v>3586</v>
      </c>
      <c r="D989" t="s">
        <v>3600</v>
      </c>
      <c r="E989" t="s">
        <v>1790</v>
      </c>
    </row>
    <row r="990" spans="1:5" x14ac:dyDescent="0.2">
      <c r="A990">
        <v>990</v>
      </c>
      <c r="B990" t="s">
        <v>634</v>
      </c>
      <c r="C990" t="s">
        <v>3601</v>
      </c>
      <c r="D990" t="s">
        <v>3602</v>
      </c>
      <c r="E990" t="s">
        <v>1790</v>
      </c>
    </row>
    <row r="991" spans="1:5" x14ac:dyDescent="0.2">
      <c r="A991">
        <v>991</v>
      </c>
      <c r="B991" t="s">
        <v>634</v>
      </c>
      <c r="C991" t="s">
        <v>3603</v>
      </c>
      <c r="D991" t="s">
        <v>3604</v>
      </c>
      <c r="E991" t="s">
        <v>1790</v>
      </c>
    </row>
    <row r="992" spans="1:5" x14ac:dyDescent="0.2">
      <c r="A992">
        <v>992</v>
      </c>
      <c r="B992" t="s">
        <v>634</v>
      </c>
      <c r="C992" t="s">
        <v>3605</v>
      </c>
      <c r="D992" t="s">
        <v>3606</v>
      </c>
      <c r="E992" t="s">
        <v>1790</v>
      </c>
    </row>
    <row r="993" spans="1:5" x14ac:dyDescent="0.2">
      <c r="A993">
        <v>993</v>
      </c>
      <c r="B993" t="s">
        <v>634</v>
      </c>
      <c r="C993" t="s">
        <v>3607</v>
      </c>
      <c r="D993" t="s">
        <v>3608</v>
      </c>
      <c r="E993" t="s">
        <v>1790</v>
      </c>
    </row>
    <row r="994" spans="1:5" x14ac:dyDescent="0.2">
      <c r="A994">
        <v>994</v>
      </c>
      <c r="B994" t="s">
        <v>634</v>
      </c>
      <c r="C994" t="s">
        <v>3609</v>
      </c>
      <c r="D994" t="s">
        <v>3610</v>
      </c>
      <c r="E994" t="s">
        <v>1790</v>
      </c>
    </row>
    <row r="995" spans="1:5" x14ac:dyDescent="0.2">
      <c r="A995">
        <v>995</v>
      </c>
      <c r="B995" t="s">
        <v>634</v>
      </c>
      <c r="C995" t="s">
        <v>3611</v>
      </c>
      <c r="D995" t="s">
        <v>3612</v>
      </c>
      <c r="E995" t="s">
        <v>1790</v>
      </c>
    </row>
    <row r="996" spans="1:5" x14ac:dyDescent="0.2">
      <c r="A996">
        <v>996</v>
      </c>
      <c r="B996" t="s">
        <v>634</v>
      </c>
      <c r="C996" t="s">
        <v>3613</v>
      </c>
      <c r="D996" t="s">
        <v>3614</v>
      </c>
      <c r="E996" t="s">
        <v>1790</v>
      </c>
    </row>
    <row r="997" spans="1:5" x14ac:dyDescent="0.2">
      <c r="A997">
        <v>997</v>
      </c>
      <c r="B997" t="s">
        <v>634</v>
      </c>
      <c r="C997" t="s">
        <v>3615</v>
      </c>
      <c r="D997" t="s">
        <v>3616</v>
      </c>
      <c r="E997" t="s">
        <v>1790</v>
      </c>
    </row>
    <row r="998" spans="1:5" x14ac:dyDescent="0.2">
      <c r="A998">
        <v>998</v>
      </c>
      <c r="B998" t="s">
        <v>634</v>
      </c>
      <c r="C998" t="s">
        <v>3617</v>
      </c>
      <c r="D998" t="s">
        <v>3618</v>
      </c>
      <c r="E998" t="s">
        <v>1790</v>
      </c>
    </row>
    <row r="999" spans="1:5" x14ac:dyDescent="0.2">
      <c r="A999">
        <v>999</v>
      </c>
      <c r="B999" t="s">
        <v>634</v>
      </c>
      <c r="C999" t="s">
        <v>3619</v>
      </c>
      <c r="D999" t="s">
        <v>3620</v>
      </c>
      <c r="E999" t="s">
        <v>1790</v>
      </c>
    </row>
    <row r="1000" spans="1:5" x14ac:dyDescent="0.2">
      <c r="A1000">
        <v>1000</v>
      </c>
      <c r="B1000" t="s">
        <v>634</v>
      </c>
      <c r="C1000" t="s">
        <v>3621</v>
      </c>
      <c r="D1000" t="s">
        <v>3622</v>
      </c>
      <c r="E1000" t="s">
        <v>1790</v>
      </c>
    </row>
    <row r="1001" spans="1:5" x14ac:dyDescent="0.2">
      <c r="A1001">
        <v>1001</v>
      </c>
      <c r="B1001" t="s">
        <v>634</v>
      </c>
      <c r="C1001" t="s">
        <v>3623</v>
      </c>
      <c r="D1001" t="s">
        <v>3624</v>
      </c>
      <c r="E1001" t="s">
        <v>1790</v>
      </c>
    </row>
    <row r="1002" spans="1:5" x14ac:dyDescent="0.2">
      <c r="A1002">
        <v>1002</v>
      </c>
      <c r="B1002" t="s">
        <v>634</v>
      </c>
      <c r="C1002" t="s">
        <v>3625</v>
      </c>
      <c r="D1002" t="s">
        <v>3626</v>
      </c>
      <c r="E1002" t="s">
        <v>1790</v>
      </c>
    </row>
    <row r="1003" spans="1:5" x14ac:dyDescent="0.2">
      <c r="A1003">
        <v>1003</v>
      </c>
      <c r="B1003" t="s">
        <v>634</v>
      </c>
      <c r="C1003" t="s">
        <v>3627</v>
      </c>
      <c r="D1003" t="s">
        <v>3628</v>
      </c>
      <c r="E1003" t="s">
        <v>1790</v>
      </c>
    </row>
    <row r="1004" spans="1:5" x14ac:dyDescent="0.2">
      <c r="A1004">
        <v>1004</v>
      </c>
      <c r="B1004" t="s">
        <v>634</v>
      </c>
      <c r="C1004" t="s">
        <v>3629</v>
      </c>
      <c r="D1004" t="s">
        <v>3630</v>
      </c>
      <c r="E1004" t="s">
        <v>1790</v>
      </c>
    </row>
    <row r="1005" spans="1:5" x14ac:dyDescent="0.2">
      <c r="A1005">
        <v>1005</v>
      </c>
      <c r="B1005" t="s">
        <v>634</v>
      </c>
      <c r="C1005" t="s">
        <v>3631</v>
      </c>
      <c r="D1005" t="s">
        <v>3632</v>
      </c>
      <c r="E1005" t="s">
        <v>1790</v>
      </c>
    </row>
    <row r="1006" spans="1:5" x14ac:dyDescent="0.2">
      <c r="A1006">
        <v>1006</v>
      </c>
      <c r="B1006" t="s">
        <v>634</v>
      </c>
      <c r="C1006" t="s">
        <v>3633</v>
      </c>
      <c r="D1006" t="s">
        <v>3634</v>
      </c>
      <c r="E1006" t="s">
        <v>1790</v>
      </c>
    </row>
    <row r="1007" spans="1:5" x14ac:dyDescent="0.2">
      <c r="A1007">
        <v>1007</v>
      </c>
      <c r="B1007" t="s">
        <v>634</v>
      </c>
      <c r="C1007" t="s">
        <v>3635</v>
      </c>
      <c r="D1007" t="s">
        <v>3636</v>
      </c>
      <c r="E1007" t="s">
        <v>1790</v>
      </c>
    </row>
    <row r="1008" spans="1:5" x14ac:dyDescent="0.2">
      <c r="A1008">
        <v>1008</v>
      </c>
      <c r="B1008" t="s">
        <v>634</v>
      </c>
      <c r="C1008" t="s">
        <v>3637</v>
      </c>
      <c r="D1008" t="s">
        <v>3638</v>
      </c>
      <c r="E1008" t="s">
        <v>1790</v>
      </c>
    </row>
    <row r="1009" spans="1:5" x14ac:dyDescent="0.2">
      <c r="A1009">
        <v>1009</v>
      </c>
      <c r="B1009" t="s">
        <v>634</v>
      </c>
      <c r="C1009" t="s">
        <v>3639</v>
      </c>
      <c r="D1009" t="s">
        <v>3640</v>
      </c>
      <c r="E1009" t="s">
        <v>2087</v>
      </c>
    </row>
    <row r="1010" spans="1:5" x14ac:dyDescent="0.2">
      <c r="A1010">
        <v>1010</v>
      </c>
      <c r="B1010" t="s">
        <v>634</v>
      </c>
      <c r="C1010" t="s">
        <v>3641</v>
      </c>
      <c r="D1010" t="s">
        <v>3642</v>
      </c>
      <c r="E1010" t="s">
        <v>2087</v>
      </c>
    </row>
    <row r="1011" spans="1:5" x14ac:dyDescent="0.2">
      <c r="A1011">
        <v>1011</v>
      </c>
      <c r="B1011" t="s">
        <v>634</v>
      </c>
      <c r="C1011" t="s">
        <v>3643</v>
      </c>
      <c r="D1011" t="s">
        <v>3644</v>
      </c>
      <c r="E1011" t="s">
        <v>1790</v>
      </c>
    </row>
    <row r="1012" spans="1:5" x14ac:dyDescent="0.2">
      <c r="A1012">
        <v>1012</v>
      </c>
      <c r="B1012" t="s">
        <v>634</v>
      </c>
      <c r="C1012" t="s">
        <v>3645</v>
      </c>
      <c r="D1012" t="s">
        <v>3646</v>
      </c>
      <c r="E1012" t="s">
        <v>1790</v>
      </c>
    </row>
    <row r="1013" spans="1:5" x14ac:dyDescent="0.2">
      <c r="A1013">
        <v>1013</v>
      </c>
      <c r="B1013" t="s">
        <v>634</v>
      </c>
      <c r="C1013" t="s">
        <v>3647</v>
      </c>
      <c r="D1013" t="s">
        <v>3648</v>
      </c>
      <c r="E1013" t="s">
        <v>2087</v>
      </c>
    </row>
    <row r="1014" spans="1:5" x14ac:dyDescent="0.2">
      <c r="A1014">
        <v>1014</v>
      </c>
      <c r="B1014" t="s">
        <v>634</v>
      </c>
      <c r="C1014" t="s">
        <v>3649</v>
      </c>
      <c r="D1014" t="s">
        <v>3650</v>
      </c>
      <c r="E1014" t="s">
        <v>1790</v>
      </c>
    </row>
    <row r="1015" spans="1:5" x14ac:dyDescent="0.2">
      <c r="A1015">
        <v>1015</v>
      </c>
      <c r="B1015" t="s">
        <v>634</v>
      </c>
      <c r="C1015" t="s">
        <v>3651</v>
      </c>
      <c r="D1015" t="s">
        <v>3652</v>
      </c>
      <c r="E1015" t="s">
        <v>1790</v>
      </c>
    </row>
    <row r="1016" spans="1:5" x14ac:dyDescent="0.2">
      <c r="A1016">
        <v>1016</v>
      </c>
      <c r="B1016" t="s">
        <v>634</v>
      </c>
      <c r="C1016" t="s">
        <v>3653</v>
      </c>
      <c r="D1016" t="s">
        <v>3654</v>
      </c>
      <c r="E1016" t="s">
        <v>1790</v>
      </c>
    </row>
    <row r="1017" spans="1:5" x14ac:dyDescent="0.2">
      <c r="A1017">
        <v>1017</v>
      </c>
      <c r="B1017" t="s">
        <v>634</v>
      </c>
      <c r="C1017" t="s">
        <v>3655</v>
      </c>
      <c r="D1017" t="s">
        <v>3656</v>
      </c>
      <c r="E1017" t="s">
        <v>1790</v>
      </c>
    </row>
    <row r="1018" spans="1:5" x14ac:dyDescent="0.2">
      <c r="A1018">
        <v>1018</v>
      </c>
      <c r="B1018" t="s">
        <v>634</v>
      </c>
      <c r="C1018" t="s">
        <v>3657</v>
      </c>
      <c r="D1018" t="s">
        <v>3658</v>
      </c>
      <c r="E1018" t="s">
        <v>1790</v>
      </c>
    </row>
    <row r="1019" spans="1:5" x14ac:dyDescent="0.2">
      <c r="A1019">
        <v>1019</v>
      </c>
      <c r="B1019" t="s">
        <v>634</v>
      </c>
      <c r="C1019" t="s">
        <v>3659</v>
      </c>
      <c r="D1019" t="s">
        <v>3660</v>
      </c>
      <c r="E1019" t="s">
        <v>1790</v>
      </c>
    </row>
    <row r="1020" spans="1:5" x14ac:dyDescent="0.2">
      <c r="A1020">
        <v>1020</v>
      </c>
      <c r="B1020" t="s">
        <v>634</v>
      </c>
      <c r="C1020" t="s">
        <v>3661</v>
      </c>
      <c r="D1020" t="s">
        <v>3662</v>
      </c>
      <c r="E1020" t="s">
        <v>2087</v>
      </c>
    </row>
    <row r="1021" spans="1:5" x14ac:dyDescent="0.2">
      <c r="A1021">
        <v>1021</v>
      </c>
      <c r="B1021" t="s">
        <v>634</v>
      </c>
      <c r="C1021" t="s">
        <v>3663</v>
      </c>
      <c r="D1021" t="s">
        <v>3664</v>
      </c>
      <c r="E1021" t="s">
        <v>1790</v>
      </c>
    </row>
    <row r="1022" spans="1:5" x14ac:dyDescent="0.2">
      <c r="A1022">
        <v>1022</v>
      </c>
      <c r="B1022" t="s">
        <v>634</v>
      </c>
      <c r="C1022" t="s">
        <v>3665</v>
      </c>
      <c r="D1022" t="s">
        <v>3666</v>
      </c>
      <c r="E1022" t="s">
        <v>1790</v>
      </c>
    </row>
    <row r="1023" spans="1:5" x14ac:dyDescent="0.2">
      <c r="A1023">
        <v>1023</v>
      </c>
      <c r="B1023" t="s">
        <v>634</v>
      </c>
      <c r="C1023" t="s">
        <v>3667</v>
      </c>
      <c r="D1023" t="s">
        <v>3668</v>
      </c>
      <c r="E1023" t="s">
        <v>2087</v>
      </c>
    </row>
    <row r="1024" spans="1:5" x14ac:dyDescent="0.2">
      <c r="A1024">
        <v>1024</v>
      </c>
      <c r="B1024" t="s">
        <v>634</v>
      </c>
      <c r="C1024" t="s">
        <v>3669</v>
      </c>
      <c r="D1024" t="s">
        <v>3670</v>
      </c>
      <c r="E1024" t="s">
        <v>1790</v>
      </c>
    </row>
    <row r="1025" spans="1:5" x14ac:dyDescent="0.2">
      <c r="A1025">
        <v>1025</v>
      </c>
      <c r="B1025" t="s">
        <v>634</v>
      </c>
      <c r="C1025" t="s">
        <v>3671</v>
      </c>
      <c r="D1025" t="s">
        <v>3672</v>
      </c>
      <c r="E1025" t="s">
        <v>1790</v>
      </c>
    </row>
    <row r="1026" spans="1:5" x14ac:dyDescent="0.2">
      <c r="A1026">
        <v>1026</v>
      </c>
      <c r="B1026" t="s">
        <v>634</v>
      </c>
      <c r="C1026" t="s">
        <v>3673</v>
      </c>
      <c r="D1026" t="s">
        <v>3674</v>
      </c>
      <c r="E1026" t="s">
        <v>1790</v>
      </c>
    </row>
    <row r="1027" spans="1:5" x14ac:dyDescent="0.2">
      <c r="A1027">
        <v>1027</v>
      </c>
      <c r="B1027" t="s">
        <v>634</v>
      </c>
      <c r="C1027" t="s">
        <v>3675</v>
      </c>
      <c r="D1027" t="s">
        <v>3676</v>
      </c>
      <c r="E1027" t="s">
        <v>2087</v>
      </c>
    </row>
    <row r="1028" spans="1:5" x14ac:dyDescent="0.2">
      <c r="A1028">
        <v>1028</v>
      </c>
      <c r="B1028" t="s">
        <v>634</v>
      </c>
      <c r="C1028" t="s">
        <v>3677</v>
      </c>
      <c r="D1028" t="s">
        <v>3678</v>
      </c>
      <c r="E1028" t="s">
        <v>1790</v>
      </c>
    </row>
    <row r="1029" spans="1:5" x14ac:dyDescent="0.2">
      <c r="A1029">
        <v>1029</v>
      </c>
      <c r="B1029" t="s">
        <v>634</v>
      </c>
      <c r="C1029" t="s">
        <v>3679</v>
      </c>
      <c r="D1029" t="s">
        <v>3680</v>
      </c>
      <c r="E1029" t="s">
        <v>1790</v>
      </c>
    </row>
    <row r="1030" spans="1:5" x14ac:dyDescent="0.2">
      <c r="A1030">
        <v>1030</v>
      </c>
      <c r="B1030" t="s">
        <v>634</v>
      </c>
      <c r="C1030" t="s">
        <v>3681</v>
      </c>
      <c r="D1030" t="s">
        <v>3682</v>
      </c>
      <c r="E1030" t="s">
        <v>1790</v>
      </c>
    </row>
    <row r="1031" spans="1:5" x14ac:dyDescent="0.2">
      <c r="A1031">
        <v>1031</v>
      </c>
      <c r="B1031" t="s">
        <v>634</v>
      </c>
      <c r="C1031" t="s">
        <v>3683</v>
      </c>
      <c r="D1031" t="s">
        <v>3684</v>
      </c>
      <c r="E1031" t="s">
        <v>1790</v>
      </c>
    </row>
    <row r="1032" spans="1:5" x14ac:dyDescent="0.2">
      <c r="A1032">
        <v>1032</v>
      </c>
      <c r="B1032" t="s">
        <v>634</v>
      </c>
      <c r="C1032" t="s">
        <v>3685</v>
      </c>
      <c r="D1032" t="s">
        <v>3686</v>
      </c>
      <c r="E1032" t="s">
        <v>1790</v>
      </c>
    </row>
    <row r="1033" spans="1:5" x14ac:dyDescent="0.2">
      <c r="A1033">
        <v>1033</v>
      </c>
      <c r="B1033" t="s">
        <v>634</v>
      </c>
      <c r="C1033" t="s">
        <v>3687</v>
      </c>
      <c r="D1033" t="s">
        <v>3688</v>
      </c>
      <c r="E1033" t="s">
        <v>1790</v>
      </c>
    </row>
    <row r="1034" spans="1:5" x14ac:dyDescent="0.2">
      <c r="A1034">
        <v>1034</v>
      </c>
      <c r="B1034" t="s">
        <v>634</v>
      </c>
      <c r="C1034" t="s">
        <v>3689</v>
      </c>
      <c r="D1034" t="s">
        <v>3690</v>
      </c>
      <c r="E1034" t="s">
        <v>2087</v>
      </c>
    </row>
    <row r="1035" spans="1:5" x14ac:dyDescent="0.2">
      <c r="A1035">
        <v>1035</v>
      </c>
      <c r="B1035" t="s">
        <v>634</v>
      </c>
      <c r="C1035" t="s">
        <v>3691</v>
      </c>
      <c r="D1035" t="s">
        <v>3692</v>
      </c>
      <c r="E1035" t="s">
        <v>1790</v>
      </c>
    </row>
    <row r="1036" spans="1:5" x14ac:dyDescent="0.2">
      <c r="A1036">
        <v>1036</v>
      </c>
      <c r="B1036" t="s">
        <v>634</v>
      </c>
      <c r="C1036" t="s">
        <v>3693</v>
      </c>
      <c r="D1036" t="s">
        <v>3694</v>
      </c>
      <c r="E1036" t="s">
        <v>1790</v>
      </c>
    </row>
    <row r="1037" spans="1:5" x14ac:dyDescent="0.2">
      <c r="A1037">
        <v>1037</v>
      </c>
      <c r="B1037" t="s">
        <v>634</v>
      </c>
      <c r="C1037" t="s">
        <v>3695</v>
      </c>
      <c r="D1037" t="s">
        <v>3696</v>
      </c>
      <c r="E1037" t="s">
        <v>1790</v>
      </c>
    </row>
    <row r="1038" spans="1:5" x14ac:dyDescent="0.2">
      <c r="A1038">
        <v>1038</v>
      </c>
      <c r="B1038" t="s">
        <v>634</v>
      </c>
      <c r="C1038" t="s">
        <v>3697</v>
      </c>
      <c r="D1038" t="s">
        <v>3698</v>
      </c>
      <c r="E1038" t="s">
        <v>2087</v>
      </c>
    </row>
    <row r="1039" spans="1:5" x14ac:dyDescent="0.2">
      <c r="A1039">
        <v>1039</v>
      </c>
      <c r="B1039" t="s">
        <v>634</v>
      </c>
      <c r="C1039" t="s">
        <v>3699</v>
      </c>
      <c r="D1039" t="s">
        <v>3700</v>
      </c>
      <c r="E1039" t="s">
        <v>1790</v>
      </c>
    </row>
    <row r="1040" spans="1:5" x14ac:dyDescent="0.2">
      <c r="A1040">
        <v>1040</v>
      </c>
      <c r="B1040" t="s">
        <v>634</v>
      </c>
      <c r="C1040" t="s">
        <v>3701</v>
      </c>
      <c r="D1040" t="s">
        <v>3702</v>
      </c>
      <c r="E1040" t="s">
        <v>1790</v>
      </c>
    </row>
    <row r="1041" spans="1:5" x14ac:dyDescent="0.2">
      <c r="A1041">
        <v>1041</v>
      </c>
      <c r="B1041" t="s">
        <v>634</v>
      </c>
      <c r="C1041" t="s">
        <v>3703</v>
      </c>
      <c r="D1041" t="s">
        <v>3704</v>
      </c>
      <c r="E1041" t="s">
        <v>1790</v>
      </c>
    </row>
    <row r="1042" spans="1:5" x14ac:dyDescent="0.2">
      <c r="A1042">
        <v>1042</v>
      </c>
      <c r="B1042" t="s">
        <v>634</v>
      </c>
      <c r="C1042" t="s">
        <v>3705</v>
      </c>
      <c r="D1042" t="s">
        <v>3706</v>
      </c>
      <c r="E1042" t="s">
        <v>1790</v>
      </c>
    </row>
    <row r="1043" spans="1:5" x14ac:dyDescent="0.2">
      <c r="A1043">
        <v>1043</v>
      </c>
      <c r="B1043" t="s">
        <v>634</v>
      </c>
      <c r="C1043" t="s">
        <v>3707</v>
      </c>
      <c r="D1043" t="s">
        <v>3708</v>
      </c>
      <c r="E1043" t="s">
        <v>2087</v>
      </c>
    </row>
    <row r="1044" spans="1:5" x14ac:dyDescent="0.2">
      <c r="A1044">
        <v>1044</v>
      </c>
      <c r="B1044" t="s">
        <v>634</v>
      </c>
      <c r="C1044" t="s">
        <v>3709</v>
      </c>
      <c r="D1044" t="s">
        <v>3710</v>
      </c>
      <c r="E1044" t="s">
        <v>1790</v>
      </c>
    </row>
    <row r="1045" spans="1:5" x14ac:dyDescent="0.2">
      <c r="A1045">
        <v>1045</v>
      </c>
      <c r="B1045" t="s">
        <v>634</v>
      </c>
      <c r="C1045" t="s">
        <v>3711</v>
      </c>
      <c r="D1045" t="s">
        <v>3712</v>
      </c>
      <c r="E1045" t="s">
        <v>1790</v>
      </c>
    </row>
    <row r="1046" spans="1:5" x14ac:dyDescent="0.2">
      <c r="A1046">
        <v>1046</v>
      </c>
      <c r="B1046" t="s">
        <v>634</v>
      </c>
      <c r="C1046" t="s">
        <v>3713</v>
      </c>
      <c r="D1046" t="s">
        <v>3714</v>
      </c>
      <c r="E1046" t="s">
        <v>1790</v>
      </c>
    </row>
    <row r="1047" spans="1:5" x14ac:dyDescent="0.2">
      <c r="A1047">
        <v>1047</v>
      </c>
      <c r="B1047" t="s">
        <v>634</v>
      </c>
      <c r="C1047" t="s">
        <v>3715</v>
      </c>
      <c r="D1047" t="s">
        <v>3716</v>
      </c>
      <c r="E1047" t="s">
        <v>1790</v>
      </c>
    </row>
    <row r="1048" spans="1:5" x14ac:dyDescent="0.2">
      <c r="A1048">
        <v>1048</v>
      </c>
      <c r="B1048" t="s">
        <v>634</v>
      </c>
      <c r="C1048" t="s">
        <v>3717</v>
      </c>
      <c r="D1048" t="s">
        <v>3718</v>
      </c>
      <c r="E1048" t="s">
        <v>1790</v>
      </c>
    </row>
    <row r="1049" spans="1:5" x14ac:dyDescent="0.2">
      <c r="A1049">
        <v>1049</v>
      </c>
      <c r="B1049" t="s">
        <v>634</v>
      </c>
      <c r="C1049" t="s">
        <v>3719</v>
      </c>
      <c r="D1049" t="s">
        <v>3720</v>
      </c>
      <c r="E1049" t="s">
        <v>1790</v>
      </c>
    </row>
    <row r="1050" spans="1:5" x14ac:dyDescent="0.2">
      <c r="A1050">
        <v>1050</v>
      </c>
      <c r="B1050" t="s">
        <v>634</v>
      </c>
      <c r="C1050" t="s">
        <v>3721</v>
      </c>
      <c r="D1050" t="s">
        <v>3722</v>
      </c>
      <c r="E1050" t="s">
        <v>1790</v>
      </c>
    </row>
    <row r="1051" spans="1:5" x14ac:dyDescent="0.2">
      <c r="A1051">
        <v>1051</v>
      </c>
      <c r="B1051" t="s">
        <v>634</v>
      </c>
      <c r="C1051" t="s">
        <v>3723</v>
      </c>
      <c r="D1051" t="s">
        <v>3724</v>
      </c>
      <c r="E1051" t="s">
        <v>1790</v>
      </c>
    </row>
    <row r="1052" spans="1:5" x14ac:dyDescent="0.2">
      <c r="A1052">
        <v>1052</v>
      </c>
      <c r="B1052" t="s">
        <v>634</v>
      </c>
      <c r="C1052" t="s">
        <v>3725</v>
      </c>
      <c r="D1052" t="s">
        <v>3726</v>
      </c>
      <c r="E1052" t="s">
        <v>1790</v>
      </c>
    </row>
    <row r="1053" spans="1:5" x14ac:dyDescent="0.2">
      <c r="A1053">
        <v>1053</v>
      </c>
      <c r="B1053" t="s">
        <v>634</v>
      </c>
      <c r="C1053" t="s">
        <v>3727</v>
      </c>
      <c r="D1053" t="s">
        <v>3728</v>
      </c>
      <c r="E1053" t="s">
        <v>1790</v>
      </c>
    </row>
    <row r="1054" spans="1:5" x14ac:dyDescent="0.2">
      <c r="A1054">
        <v>1054</v>
      </c>
      <c r="B1054" t="s">
        <v>634</v>
      </c>
      <c r="C1054" t="s">
        <v>3729</v>
      </c>
      <c r="D1054" t="s">
        <v>3730</v>
      </c>
      <c r="E1054" t="s">
        <v>1790</v>
      </c>
    </row>
    <row r="1055" spans="1:5" x14ac:dyDescent="0.2">
      <c r="A1055">
        <v>1055</v>
      </c>
      <c r="B1055" t="s">
        <v>634</v>
      </c>
      <c r="C1055" t="s">
        <v>3731</v>
      </c>
      <c r="D1055" t="s">
        <v>3732</v>
      </c>
      <c r="E1055" t="s">
        <v>1790</v>
      </c>
    </row>
    <row r="1056" spans="1:5" x14ac:dyDescent="0.2">
      <c r="A1056">
        <v>1056</v>
      </c>
      <c r="B1056" t="s">
        <v>634</v>
      </c>
      <c r="C1056" t="s">
        <v>3733</v>
      </c>
      <c r="D1056" t="s">
        <v>3734</v>
      </c>
      <c r="E1056" t="s">
        <v>1790</v>
      </c>
    </row>
    <row r="1057" spans="1:5" x14ac:dyDescent="0.2">
      <c r="A1057">
        <v>1057</v>
      </c>
      <c r="B1057" t="s">
        <v>634</v>
      </c>
      <c r="C1057" t="s">
        <v>3735</v>
      </c>
      <c r="D1057" t="s">
        <v>3736</v>
      </c>
      <c r="E1057" t="s">
        <v>1790</v>
      </c>
    </row>
    <row r="1058" spans="1:5" x14ac:dyDescent="0.2">
      <c r="A1058">
        <v>1058</v>
      </c>
      <c r="B1058" t="s">
        <v>634</v>
      </c>
      <c r="C1058" t="s">
        <v>3737</v>
      </c>
      <c r="D1058" t="s">
        <v>3738</v>
      </c>
      <c r="E1058" t="s">
        <v>1790</v>
      </c>
    </row>
    <row r="1059" spans="1:5" x14ac:dyDescent="0.2">
      <c r="A1059">
        <v>1059</v>
      </c>
      <c r="B1059" t="s">
        <v>634</v>
      </c>
      <c r="C1059" t="s">
        <v>3739</v>
      </c>
      <c r="D1059" t="s">
        <v>3740</v>
      </c>
      <c r="E1059" t="s">
        <v>1790</v>
      </c>
    </row>
    <row r="1060" spans="1:5" x14ac:dyDescent="0.2">
      <c r="A1060">
        <v>1060</v>
      </c>
      <c r="B1060" t="s">
        <v>634</v>
      </c>
      <c r="C1060" t="s">
        <v>3741</v>
      </c>
      <c r="D1060" t="s">
        <v>3742</v>
      </c>
      <c r="E1060" t="s">
        <v>1790</v>
      </c>
    </row>
    <row r="1061" spans="1:5" x14ac:dyDescent="0.2">
      <c r="A1061">
        <v>1061</v>
      </c>
      <c r="B1061" t="s">
        <v>634</v>
      </c>
      <c r="C1061" t="s">
        <v>3743</v>
      </c>
      <c r="D1061" t="s">
        <v>3744</v>
      </c>
      <c r="E1061" t="s">
        <v>1790</v>
      </c>
    </row>
    <row r="1062" spans="1:5" x14ac:dyDescent="0.2">
      <c r="A1062">
        <v>1062</v>
      </c>
      <c r="B1062" t="s">
        <v>634</v>
      </c>
      <c r="C1062" t="s">
        <v>3745</v>
      </c>
      <c r="D1062" t="s">
        <v>3746</v>
      </c>
      <c r="E1062" t="s">
        <v>2087</v>
      </c>
    </row>
    <row r="1063" spans="1:5" x14ac:dyDescent="0.2">
      <c r="A1063">
        <v>1063</v>
      </c>
      <c r="B1063" t="s">
        <v>634</v>
      </c>
      <c r="C1063" t="s">
        <v>3747</v>
      </c>
      <c r="D1063" t="s">
        <v>3748</v>
      </c>
      <c r="E1063" t="s">
        <v>1790</v>
      </c>
    </row>
    <row r="1064" spans="1:5" x14ac:dyDescent="0.2">
      <c r="A1064">
        <v>1064</v>
      </c>
      <c r="B1064" t="s">
        <v>634</v>
      </c>
      <c r="C1064" t="s">
        <v>3749</v>
      </c>
      <c r="D1064" t="s">
        <v>3750</v>
      </c>
      <c r="E1064" t="s">
        <v>1790</v>
      </c>
    </row>
    <row r="1065" spans="1:5" x14ac:dyDescent="0.2">
      <c r="A1065">
        <v>1065</v>
      </c>
      <c r="B1065" t="s">
        <v>634</v>
      </c>
      <c r="C1065" t="s">
        <v>3751</v>
      </c>
      <c r="D1065" t="s">
        <v>3752</v>
      </c>
      <c r="E1065" t="s">
        <v>1790</v>
      </c>
    </row>
    <row r="1066" spans="1:5" x14ac:dyDescent="0.2">
      <c r="A1066">
        <v>1066</v>
      </c>
      <c r="B1066" t="s">
        <v>634</v>
      </c>
      <c r="C1066" t="s">
        <v>3753</v>
      </c>
      <c r="D1066" t="s">
        <v>3754</v>
      </c>
      <c r="E1066" t="s">
        <v>1790</v>
      </c>
    </row>
    <row r="1067" spans="1:5" x14ac:dyDescent="0.2">
      <c r="A1067">
        <v>1067</v>
      </c>
      <c r="B1067" t="s">
        <v>634</v>
      </c>
      <c r="C1067" t="s">
        <v>3755</v>
      </c>
      <c r="D1067" t="s">
        <v>3756</v>
      </c>
      <c r="E1067" t="s">
        <v>1790</v>
      </c>
    </row>
    <row r="1068" spans="1:5" x14ac:dyDescent="0.2">
      <c r="A1068">
        <v>1068</v>
      </c>
      <c r="B1068" t="s">
        <v>634</v>
      </c>
      <c r="C1068" t="s">
        <v>3757</v>
      </c>
      <c r="D1068" t="s">
        <v>3758</v>
      </c>
      <c r="E1068" t="s">
        <v>1790</v>
      </c>
    </row>
    <row r="1069" spans="1:5" x14ac:dyDescent="0.2">
      <c r="A1069">
        <v>1069</v>
      </c>
      <c r="B1069" t="s">
        <v>634</v>
      </c>
      <c r="C1069" t="s">
        <v>3759</v>
      </c>
      <c r="D1069" t="s">
        <v>3760</v>
      </c>
      <c r="E1069" t="s">
        <v>1790</v>
      </c>
    </row>
    <row r="1070" spans="1:5" x14ac:dyDescent="0.2">
      <c r="A1070">
        <v>1070</v>
      </c>
      <c r="B1070" t="s">
        <v>634</v>
      </c>
      <c r="C1070" t="s">
        <v>3761</v>
      </c>
      <c r="D1070" t="s">
        <v>3762</v>
      </c>
      <c r="E1070" t="s">
        <v>1790</v>
      </c>
    </row>
    <row r="1071" spans="1:5" x14ac:dyDescent="0.2">
      <c r="A1071">
        <v>1071</v>
      </c>
      <c r="B1071" t="s">
        <v>634</v>
      </c>
      <c r="C1071" t="s">
        <v>3763</v>
      </c>
      <c r="D1071" t="s">
        <v>3764</v>
      </c>
      <c r="E1071" t="s">
        <v>1790</v>
      </c>
    </row>
    <row r="1072" spans="1:5" x14ac:dyDescent="0.2">
      <c r="A1072">
        <v>1072</v>
      </c>
      <c r="B1072" t="s">
        <v>634</v>
      </c>
      <c r="C1072" t="s">
        <v>3765</v>
      </c>
      <c r="D1072" t="s">
        <v>3766</v>
      </c>
      <c r="E1072" t="s">
        <v>1790</v>
      </c>
    </row>
    <row r="1073" spans="1:5" x14ac:dyDescent="0.2">
      <c r="A1073">
        <v>1073</v>
      </c>
      <c r="B1073" t="s">
        <v>634</v>
      </c>
      <c r="C1073" t="s">
        <v>3767</v>
      </c>
      <c r="D1073" t="s">
        <v>3768</v>
      </c>
      <c r="E1073" t="s">
        <v>2087</v>
      </c>
    </row>
    <row r="1074" spans="1:5" x14ac:dyDescent="0.2">
      <c r="A1074">
        <v>1074</v>
      </c>
      <c r="B1074" t="s">
        <v>634</v>
      </c>
      <c r="C1074" t="s">
        <v>3769</v>
      </c>
      <c r="D1074" t="s">
        <v>3770</v>
      </c>
      <c r="E1074" t="s">
        <v>1790</v>
      </c>
    </row>
    <row r="1075" spans="1:5" x14ac:dyDescent="0.2">
      <c r="A1075">
        <v>1075</v>
      </c>
      <c r="B1075" t="s">
        <v>634</v>
      </c>
      <c r="C1075" t="s">
        <v>3771</v>
      </c>
      <c r="D1075" t="s">
        <v>3772</v>
      </c>
      <c r="E1075" t="s">
        <v>1790</v>
      </c>
    </row>
    <row r="1076" spans="1:5" x14ac:dyDescent="0.2">
      <c r="A1076">
        <v>1076</v>
      </c>
      <c r="B1076" t="s">
        <v>634</v>
      </c>
      <c r="C1076" t="s">
        <v>3773</v>
      </c>
      <c r="D1076" t="s">
        <v>3774</v>
      </c>
      <c r="E1076" t="s">
        <v>1790</v>
      </c>
    </row>
    <row r="1077" spans="1:5" x14ac:dyDescent="0.2">
      <c r="A1077">
        <v>1077</v>
      </c>
      <c r="B1077" t="s">
        <v>634</v>
      </c>
      <c r="C1077" t="s">
        <v>3775</v>
      </c>
      <c r="D1077" t="s">
        <v>3776</v>
      </c>
      <c r="E1077" t="s">
        <v>1790</v>
      </c>
    </row>
    <row r="1078" spans="1:5" x14ac:dyDescent="0.2">
      <c r="A1078">
        <v>1078</v>
      </c>
      <c r="B1078" t="s">
        <v>634</v>
      </c>
      <c r="C1078" t="s">
        <v>3777</v>
      </c>
      <c r="D1078" t="s">
        <v>3778</v>
      </c>
      <c r="E1078" t="s">
        <v>1790</v>
      </c>
    </row>
    <row r="1079" spans="1:5" x14ac:dyDescent="0.2">
      <c r="A1079">
        <v>1079</v>
      </c>
      <c r="B1079" t="s">
        <v>634</v>
      </c>
      <c r="C1079" t="s">
        <v>3779</v>
      </c>
      <c r="D1079" t="s">
        <v>3780</v>
      </c>
      <c r="E1079" t="s">
        <v>1790</v>
      </c>
    </row>
    <row r="1080" spans="1:5" x14ac:dyDescent="0.2">
      <c r="A1080">
        <v>1080</v>
      </c>
      <c r="B1080" t="s">
        <v>634</v>
      </c>
      <c r="C1080" t="s">
        <v>3781</v>
      </c>
      <c r="D1080" t="s">
        <v>3782</v>
      </c>
      <c r="E1080" t="s">
        <v>1790</v>
      </c>
    </row>
    <row r="1081" spans="1:5" x14ac:dyDescent="0.2">
      <c r="A1081">
        <v>1081</v>
      </c>
      <c r="B1081" t="s">
        <v>634</v>
      </c>
      <c r="C1081" t="s">
        <v>3783</v>
      </c>
      <c r="D1081" t="s">
        <v>3784</v>
      </c>
      <c r="E1081" t="s">
        <v>1790</v>
      </c>
    </row>
    <row r="1082" spans="1:5" x14ac:dyDescent="0.2">
      <c r="A1082">
        <v>1082</v>
      </c>
      <c r="B1082" t="s">
        <v>634</v>
      </c>
      <c r="C1082" t="s">
        <v>3785</v>
      </c>
      <c r="D1082" t="s">
        <v>3786</v>
      </c>
      <c r="E1082" t="s">
        <v>2087</v>
      </c>
    </row>
    <row r="1083" spans="1:5" x14ac:dyDescent="0.2">
      <c r="A1083">
        <v>1083</v>
      </c>
      <c r="B1083" t="s">
        <v>634</v>
      </c>
      <c r="C1083" t="s">
        <v>3787</v>
      </c>
      <c r="D1083" t="s">
        <v>3788</v>
      </c>
      <c r="E1083" t="s">
        <v>1790</v>
      </c>
    </row>
    <row r="1084" spans="1:5" x14ac:dyDescent="0.2">
      <c r="A1084">
        <v>1084</v>
      </c>
      <c r="B1084" t="s">
        <v>634</v>
      </c>
      <c r="C1084" t="s">
        <v>3789</v>
      </c>
      <c r="D1084" t="s">
        <v>3790</v>
      </c>
      <c r="E1084" t="s">
        <v>1790</v>
      </c>
    </row>
    <row r="1085" spans="1:5" x14ac:dyDescent="0.2">
      <c r="A1085">
        <v>1085</v>
      </c>
      <c r="B1085" t="s">
        <v>634</v>
      </c>
      <c r="C1085" t="s">
        <v>3791</v>
      </c>
      <c r="D1085" t="s">
        <v>3792</v>
      </c>
      <c r="E1085" t="s">
        <v>2087</v>
      </c>
    </row>
    <row r="1086" spans="1:5" x14ac:dyDescent="0.2">
      <c r="A1086">
        <v>1086</v>
      </c>
      <c r="B1086" t="s">
        <v>634</v>
      </c>
      <c r="C1086" t="s">
        <v>3793</v>
      </c>
      <c r="D1086" t="s">
        <v>3794</v>
      </c>
      <c r="E1086" t="s">
        <v>1790</v>
      </c>
    </row>
    <row r="1087" spans="1:5" x14ac:dyDescent="0.2">
      <c r="A1087">
        <v>1087</v>
      </c>
      <c r="B1087" t="s">
        <v>634</v>
      </c>
      <c r="C1087" t="s">
        <v>3795</v>
      </c>
      <c r="D1087" t="s">
        <v>3796</v>
      </c>
      <c r="E1087" t="s">
        <v>2087</v>
      </c>
    </row>
    <row r="1088" spans="1:5" x14ac:dyDescent="0.2">
      <c r="A1088">
        <v>1088</v>
      </c>
      <c r="B1088" t="s">
        <v>634</v>
      </c>
      <c r="C1088" t="s">
        <v>3797</v>
      </c>
      <c r="D1088" t="s">
        <v>3798</v>
      </c>
      <c r="E1088" t="s">
        <v>1790</v>
      </c>
    </row>
    <row r="1089" spans="1:5" x14ac:dyDescent="0.2">
      <c r="A1089">
        <v>1089</v>
      </c>
      <c r="B1089" t="s">
        <v>634</v>
      </c>
      <c r="C1089" t="s">
        <v>3799</v>
      </c>
      <c r="D1089" t="s">
        <v>3800</v>
      </c>
      <c r="E1089" t="s">
        <v>1790</v>
      </c>
    </row>
    <row r="1090" spans="1:5" x14ac:dyDescent="0.2">
      <c r="A1090">
        <v>1090</v>
      </c>
      <c r="B1090" t="s">
        <v>634</v>
      </c>
      <c r="C1090" t="s">
        <v>3801</v>
      </c>
      <c r="D1090" t="s">
        <v>3802</v>
      </c>
      <c r="E1090" t="s">
        <v>1790</v>
      </c>
    </row>
    <row r="1091" spans="1:5" x14ac:dyDescent="0.2">
      <c r="A1091">
        <v>1091</v>
      </c>
      <c r="B1091" t="s">
        <v>634</v>
      </c>
      <c r="C1091" t="s">
        <v>3803</v>
      </c>
      <c r="D1091" t="s">
        <v>3804</v>
      </c>
      <c r="E1091" t="s">
        <v>1790</v>
      </c>
    </row>
    <row r="1092" spans="1:5" x14ac:dyDescent="0.2">
      <c r="A1092">
        <v>1092</v>
      </c>
      <c r="B1092" t="s">
        <v>634</v>
      </c>
      <c r="C1092" t="s">
        <v>3805</v>
      </c>
      <c r="D1092" t="s">
        <v>3806</v>
      </c>
      <c r="E1092" t="s">
        <v>1790</v>
      </c>
    </row>
    <row r="1093" spans="1:5" x14ac:dyDescent="0.2">
      <c r="A1093">
        <v>1093</v>
      </c>
      <c r="B1093" t="s">
        <v>634</v>
      </c>
      <c r="C1093" t="s">
        <v>3807</v>
      </c>
      <c r="D1093" t="s">
        <v>3808</v>
      </c>
      <c r="E1093" t="s">
        <v>1790</v>
      </c>
    </row>
    <row r="1094" spans="1:5" x14ac:dyDescent="0.2">
      <c r="A1094">
        <v>1094</v>
      </c>
      <c r="B1094" t="s">
        <v>634</v>
      </c>
      <c r="C1094" t="s">
        <v>3809</v>
      </c>
      <c r="D1094" t="s">
        <v>3810</v>
      </c>
      <c r="E1094" t="s">
        <v>1790</v>
      </c>
    </row>
    <row r="1095" spans="1:5" x14ac:dyDescent="0.2">
      <c r="A1095">
        <v>1095</v>
      </c>
      <c r="B1095" t="s">
        <v>1517</v>
      </c>
      <c r="C1095" t="s">
        <v>3811</v>
      </c>
      <c r="D1095" t="s">
        <v>3812</v>
      </c>
      <c r="E1095" t="s">
        <v>2087</v>
      </c>
    </row>
    <row r="1096" spans="1:5" x14ac:dyDescent="0.2">
      <c r="A1096">
        <v>1096</v>
      </c>
      <c r="B1096" t="s">
        <v>1517</v>
      </c>
      <c r="C1096" t="s">
        <v>3813</v>
      </c>
      <c r="D1096" t="s">
        <v>3814</v>
      </c>
      <c r="E1096" t="s">
        <v>2087</v>
      </c>
    </row>
    <row r="1097" spans="1:5" x14ac:dyDescent="0.2">
      <c r="A1097">
        <v>1097</v>
      </c>
      <c r="B1097" t="s">
        <v>1517</v>
      </c>
      <c r="C1097" t="s">
        <v>3815</v>
      </c>
      <c r="D1097" t="s">
        <v>3816</v>
      </c>
      <c r="E1097" t="s">
        <v>2087</v>
      </c>
    </row>
    <row r="1098" spans="1:5" x14ac:dyDescent="0.2">
      <c r="A1098">
        <v>1098</v>
      </c>
      <c r="B1098" t="s">
        <v>1517</v>
      </c>
      <c r="C1098" t="s">
        <v>3817</v>
      </c>
      <c r="D1098" t="s">
        <v>3818</v>
      </c>
      <c r="E1098" t="s">
        <v>2087</v>
      </c>
    </row>
    <row r="1099" spans="1:5" x14ac:dyDescent="0.2">
      <c r="A1099">
        <v>1099</v>
      </c>
      <c r="B1099" t="s">
        <v>1517</v>
      </c>
      <c r="C1099" t="s">
        <v>3819</v>
      </c>
      <c r="D1099" t="s">
        <v>3820</v>
      </c>
      <c r="E1099" t="s">
        <v>2087</v>
      </c>
    </row>
    <row r="1100" spans="1:5" x14ac:dyDescent="0.2">
      <c r="A1100">
        <v>1100</v>
      </c>
      <c r="B1100" t="s">
        <v>1517</v>
      </c>
      <c r="C1100" t="s">
        <v>3821</v>
      </c>
      <c r="D1100" t="s">
        <v>3822</v>
      </c>
      <c r="E1100" t="s">
        <v>2087</v>
      </c>
    </row>
    <row r="1101" spans="1:5" x14ac:dyDescent="0.2">
      <c r="A1101">
        <v>1101</v>
      </c>
      <c r="B1101" t="s">
        <v>1517</v>
      </c>
      <c r="C1101" t="s">
        <v>3823</v>
      </c>
      <c r="D1101" t="s">
        <v>3824</v>
      </c>
      <c r="E1101" t="s">
        <v>2087</v>
      </c>
    </row>
    <row r="1102" spans="1:5" x14ac:dyDescent="0.2">
      <c r="A1102">
        <v>1102</v>
      </c>
      <c r="B1102" t="s">
        <v>1517</v>
      </c>
      <c r="C1102" t="s">
        <v>3825</v>
      </c>
      <c r="D1102" t="s">
        <v>3826</v>
      </c>
      <c r="E1102" t="s">
        <v>2087</v>
      </c>
    </row>
    <row r="1103" spans="1:5" x14ac:dyDescent="0.2">
      <c r="A1103">
        <v>1103</v>
      </c>
      <c r="B1103" t="s">
        <v>1517</v>
      </c>
      <c r="C1103" t="s">
        <v>3827</v>
      </c>
      <c r="D1103" t="s">
        <v>3828</v>
      </c>
      <c r="E1103" t="s">
        <v>2087</v>
      </c>
    </row>
    <row r="1104" spans="1:5" x14ac:dyDescent="0.2">
      <c r="A1104">
        <v>1104</v>
      </c>
      <c r="B1104" t="s">
        <v>1517</v>
      </c>
      <c r="C1104" t="s">
        <v>3829</v>
      </c>
      <c r="D1104" t="s">
        <v>3830</v>
      </c>
      <c r="E1104" t="s">
        <v>2087</v>
      </c>
    </row>
    <row r="1105" spans="1:5" x14ac:dyDescent="0.2">
      <c r="A1105">
        <v>1105</v>
      </c>
      <c r="B1105" t="s">
        <v>1517</v>
      </c>
      <c r="C1105" t="s">
        <v>3831</v>
      </c>
      <c r="D1105" t="s">
        <v>3832</v>
      </c>
      <c r="E1105" t="s">
        <v>2087</v>
      </c>
    </row>
    <row r="1106" spans="1:5" x14ac:dyDescent="0.2">
      <c r="A1106">
        <v>1106</v>
      </c>
      <c r="B1106" t="s">
        <v>1517</v>
      </c>
      <c r="C1106" t="s">
        <v>3833</v>
      </c>
      <c r="D1106" t="s">
        <v>3834</v>
      </c>
      <c r="E1106" t="s">
        <v>2087</v>
      </c>
    </row>
    <row r="1107" spans="1:5" x14ac:dyDescent="0.2">
      <c r="A1107">
        <v>1107</v>
      </c>
      <c r="B1107" t="s">
        <v>1517</v>
      </c>
      <c r="C1107" t="s">
        <v>3835</v>
      </c>
      <c r="D1107" t="s">
        <v>3836</v>
      </c>
      <c r="E1107" t="s">
        <v>2087</v>
      </c>
    </row>
    <row r="1108" spans="1:5" x14ac:dyDescent="0.2">
      <c r="A1108">
        <v>1108</v>
      </c>
      <c r="B1108" t="s">
        <v>1517</v>
      </c>
      <c r="C1108" t="s">
        <v>3837</v>
      </c>
      <c r="D1108" t="s">
        <v>3838</v>
      </c>
      <c r="E1108" t="s">
        <v>2087</v>
      </c>
    </row>
    <row r="1109" spans="1:5" x14ac:dyDescent="0.2">
      <c r="A1109">
        <v>1109</v>
      </c>
      <c r="B1109" t="s">
        <v>1517</v>
      </c>
      <c r="C1109" t="s">
        <v>3839</v>
      </c>
      <c r="D1109" t="s">
        <v>3840</v>
      </c>
      <c r="E1109" t="s">
        <v>2087</v>
      </c>
    </row>
    <row r="1110" spans="1:5" x14ac:dyDescent="0.2">
      <c r="A1110">
        <v>1110</v>
      </c>
      <c r="B1110" t="s">
        <v>1517</v>
      </c>
      <c r="C1110" t="s">
        <v>3841</v>
      </c>
      <c r="D1110" t="s">
        <v>3842</v>
      </c>
      <c r="E1110" t="s">
        <v>2087</v>
      </c>
    </row>
    <row r="1111" spans="1:5" x14ac:dyDescent="0.2">
      <c r="A1111">
        <v>1111</v>
      </c>
      <c r="B1111" t="s">
        <v>1517</v>
      </c>
      <c r="C1111" t="s">
        <v>3843</v>
      </c>
      <c r="D1111" t="s">
        <v>3844</v>
      </c>
      <c r="E1111" t="s">
        <v>2087</v>
      </c>
    </row>
    <row r="1112" spans="1:5" x14ac:dyDescent="0.2">
      <c r="A1112">
        <v>1112</v>
      </c>
      <c r="B1112" t="s">
        <v>1517</v>
      </c>
      <c r="C1112" t="s">
        <v>3845</v>
      </c>
      <c r="D1112" t="s">
        <v>3846</v>
      </c>
      <c r="E1112" t="s">
        <v>2087</v>
      </c>
    </row>
    <row r="1113" spans="1:5" x14ac:dyDescent="0.2">
      <c r="A1113">
        <v>1113</v>
      </c>
      <c r="B1113" t="s">
        <v>1517</v>
      </c>
      <c r="C1113" t="s">
        <v>3847</v>
      </c>
      <c r="D1113" t="s">
        <v>3848</v>
      </c>
      <c r="E1113" t="s">
        <v>2087</v>
      </c>
    </row>
    <row r="1114" spans="1:5" x14ac:dyDescent="0.2">
      <c r="A1114">
        <v>1114</v>
      </c>
      <c r="B1114" t="s">
        <v>636</v>
      </c>
      <c r="C1114" t="s">
        <v>3849</v>
      </c>
      <c r="D1114" t="s">
        <v>3850</v>
      </c>
      <c r="E1114" t="s">
        <v>2087</v>
      </c>
    </row>
    <row r="1115" spans="1:5" x14ac:dyDescent="0.2">
      <c r="A1115">
        <v>1115</v>
      </c>
      <c r="B1115" t="s">
        <v>636</v>
      </c>
      <c r="C1115" t="s">
        <v>3851</v>
      </c>
      <c r="D1115" t="s">
        <v>3852</v>
      </c>
      <c r="E1115" t="s">
        <v>2087</v>
      </c>
    </row>
    <row r="1116" spans="1:5" x14ac:dyDescent="0.2">
      <c r="A1116">
        <v>1116</v>
      </c>
      <c r="B1116" t="s">
        <v>636</v>
      </c>
      <c r="C1116" t="s">
        <v>3853</v>
      </c>
      <c r="D1116" t="s">
        <v>3854</v>
      </c>
      <c r="E1116" t="s">
        <v>2087</v>
      </c>
    </row>
    <row r="1117" spans="1:5" x14ac:dyDescent="0.2">
      <c r="A1117">
        <v>1117</v>
      </c>
      <c r="B1117" t="s">
        <v>636</v>
      </c>
      <c r="C1117" t="s">
        <v>3855</v>
      </c>
      <c r="D1117" t="s">
        <v>3856</v>
      </c>
      <c r="E1117" t="s">
        <v>2087</v>
      </c>
    </row>
    <row r="1118" spans="1:5" x14ac:dyDescent="0.2">
      <c r="A1118">
        <v>1118</v>
      </c>
      <c r="B1118" t="s">
        <v>636</v>
      </c>
      <c r="C1118" t="s">
        <v>3857</v>
      </c>
      <c r="D1118" t="s">
        <v>3858</v>
      </c>
      <c r="E1118" t="s">
        <v>2087</v>
      </c>
    </row>
    <row r="1119" spans="1:5" x14ac:dyDescent="0.2">
      <c r="A1119">
        <v>1119</v>
      </c>
      <c r="B1119" t="s">
        <v>644</v>
      </c>
      <c r="C1119" t="s">
        <v>3859</v>
      </c>
      <c r="D1119" t="s">
        <v>3860</v>
      </c>
      <c r="E1119" t="s">
        <v>2087</v>
      </c>
    </row>
    <row r="1120" spans="1:5" x14ac:dyDescent="0.2">
      <c r="A1120">
        <v>1120</v>
      </c>
      <c r="B1120" t="s">
        <v>644</v>
      </c>
      <c r="C1120" t="s">
        <v>3861</v>
      </c>
      <c r="D1120" t="s">
        <v>3862</v>
      </c>
      <c r="E1120" t="s">
        <v>2087</v>
      </c>
    </row>
    <row r="1121" spans="1:5" x14ac:dyDescent="0.2">
      <c r="A1121">
        <v>1121</v>
      </c>
      <c r="B1121" t="s">
        <v>644</v>
      </c>
      <c r="C1121" t="s">
        <v>3859</v>
      </c>
      <c r="D1121" t="s">
        <v>3863</v>
      </c>
      <c r="E1121" t="s">
        <v>2087</v>
      </c>
    </row>
    <row r="1122" spans="1:5" x14ac:dyDescent="0.2">
      <c r="A1122">
        <v>1122</v>
      </c>
      <c r="B1122" t="s">
        <v>644</v>
      </c>
      <c r="C1122" t="s">
        <v>3861</v>
      </c>
      <c r="D1122" t="s">
        <v>3864</v>
      </c>
      <c r="E1122" t="s">
        <v>2087</v>
      </c>
    </row>
    <row r="1123" spans="1:5" x14ac:dyDescent="0.2">
      <c r="A1123">
        <v>1123</v>
      </c>
      <c r="B1123" t="s">
        <v>644</v>
      </c>
      <c r="C1123" t="s">
        <v>3865</v>
      </c>
      <c r="D1123" t="s">
        <v>3866</v>
      </c>
      <c r="E1123" t="s">
        <v>2087</v>
      </c>
    </row>
    <row r="1124" spans="1:5" x14ac:dyDescent="0.2">
      <c r="A1124">
        <v>1124</v>
      </c>
      <c r="B1124" t="s">
        <v>644</v>
      </c>
      <c r="C1124" t="s">
        <v>3865</v>
      </c>
      <c r="D1124" t="s">
        <v>3867</v>
      </c>
      <c r="E1124" t="s">
        <v>2087</v>
      </c>
    </row>
    <row r="1125" spans="1:5" x14ac:dyDescent="0.2">
      <c r="A1125">
        <v>1125</v>
      </c>
      <c r="B1125" t="s">
        <v>644</v>
      </c>
      <c r="C1125" t="s">
        <v>3868</v>
      </c>
      <c r="D1125" t="s">
        <v>1510</v>
      </c>
      <c r="E1125" t="s">
        <v>2046</v>
      </c>
    </row>
    <row r="1126" spans="1:5" x14ac:dyDescent="0.2">
      <c r="A1126">
        <v>1126</v>
      </c>
      <c r="B1126" t="s">
        <v>644</v>
      </c>
      <c r="C1126" t="s">
        <v>3868</v>
      </c>
      <c r="D1126" t="s">
        <v>3869</v>
      </c>
      <c r="E1126" t="s">
        <v>2046</v>
      </c>
    </row>
    <row r="1127" spans="1:5" x14ac:dyDescent="0.2">
      <c r="A1127">
        <v>1127</v>
      </c>
      <c r="B1127" t="s">
        <v>644</v>
      </c>
      <c r="C1127" t="s">
        <v>3870</v>
      </c>
      <c r="D1127" t="s">
        <v>3871</v>
      </c>
      <c r="E1127" t="s">
        <v>2087</v>
      </c>
    </row>
    <row r="1128" spans="1:5" x14ac:dyDescent="0.2">
      <c r="A1128">
        <v>1128</v>
      </c>
      <c r="B1128" t="s">
        <v>644</v>
      </c>
      <c r="C1128" t="s">
        <v>3872</v>
      </c>
      <c r="D1128" t="s">
        <v>3873</v>
      </c>
      <c r="E1128" t="s">
        <v>2087</v>
      </c>
    </row>
    <row r="1129" spans="1:5" x14ac:dyDescent="0.2">
      <c r="A1129">
        <v>1129</v>
      </c>
      <c r="B1129" t="s">
        <v>644</v>
      </c>
      <c r="C1129" t="s">
        <v>3872</v>
      </c>
      <c r="D1129" t="s">
        <v>3874</v>
      </c>
      <c r="E1129" t="s">
        <v>2087</v>
      </c>
    </row>
    <row r="1130" spans="1:5" x14ac:dyDescent="0.2">
      <c r="A1130">
        <v>1130</v>
      </c>
      <c r="B1130" t="s">
        <v>644</v>
      </c>
      <c r="C1130" t="s">
        <v>3870</v>
      </c>
      <c r="D1130" t="s">
        <v>3875</v>
      </c>
      <c r="E1130" t="s">
        <v>2087</v>
      </c>
    </row>
    <row r="1131" spans="1:5" x14ac:dyDescent="0.2">
      <c r="A1131">
        <v>1131</v>
      </c>
      <c r="B1131" t="s">
        <v>646</v>
      </c>
      <c r="C1131" t="s">
        <v>3876</v>
      </c>
      <c r="D1131" t="s">
        <v>2513</v>
      </c>
      <c r="E1131" t="s">
        <v>1970</v>
      </c>
    </row>
    <row r="1132" spans="1:5" x14ac:dyDescent="0.2">
      <c r="A1132">
        <v>1132</v>
      </c>
      <c r="B1132" t="s">
        <v>646</v>
      </c>
      <c r="C1132" t="s">
        <v>3877</v>
      </c>
      <c r="D1132" t="s">
        <v>3878</v>
      </c>
      <c r="E1132" t="s">
        <v>1970</v>
      </c>
    </row>
    <row r="1133" spans="1:5" x14ac:dyDescent="0.2">
      <c r="A1133">
        <v>1133</v>
      </c>
      <c r="B1133" t="s">
        <v>646</v>
      </c>
      <c r="C1133" t="s">
        <v>3879</v>
      </c>
      <c r="D1133" t="s">
        <v>2025</v>
      </c>
      <c r="E1133" t="s">
        <v>1970</v>
      </c>
    </row>
    <row r="1134" spans="1:5" x14ac:dyDescent="0.2">
      <c r="A1134">
        <v>1134</v>
      </c>
      <c r="B1134" t="s">
        <v>646</v>
      </c>
      <c r="C1134" t="s">
        <v>3880</v>
      </c>
      <c r="D1134" t="s">
        <v>2518</v>
      </c>
      <c r="E1134" t="s">
        <v>1970</v>
      </c>
    </row>
    <row r="1135" spans="1:5" x14ac:dyDescent="0.2">
      <c r="A1135">
        <v>1135</v>
      </c>
      <c r="B1135" t="s">
        <v>646</v>
      </c>
      <c r="C1135" t="s">
        <v>3881</v>
      </c>
      <c r="D1135" t="s">
        <v>2520</v>
      </c>
      <c r="E1135" t="s">
        <v>1970</v>
      </c>
    </row>
    <row r="1136" spans="1:5" x14ac:dyDescent="0.2">
      <c r="A1136">
        <v>1136</v>
      </c>
      <c r="B1136" t="s">
        <v>646</v>
      </c>
      <c r="C1136" t="s">
        <v>3882</v>
      </c>
      <c r="D1136" t="s">
        <v>3883</v>
      </c>
      <c r="E1136" t="s">
        <v>1970</v>
      </c>
    </row>
    <row r="1137" spans="1:5" x14ac:dyDescent="0.2">
      <c r="A1137">
        <v>1137</v>
      </c>
      <c r="B1137" t="s">
        <v>646</v>
      </c>
      <c r="C1137" t="s">
        <v>3884</v>
      </c>
      <c r="D1137" t="s">
        <v>3885</v>
      </c>
      <c r="E1137" t="s">
        <v>1970</v>
      </c>
    </row>
    <row r="1138" spans="1:5" x14ac:dyDescent="0.2">
      <c r="A1138">
        <v>1138</v>
      </c>
      <c r="B1138" t="s">
        <v>646</v>
      </c>
      <c r="C1138" t="s">
        <v>3886</v>
      </c>
      <c r="D1138" t="s">
        <v>3887</v>
      </c>
      <c r="E1138" t="s">
        <v>1970</v>
      </c>
    </row>
    <row r="1139" spans="1:5" x14ac:dyDescent="0.2">
      <c r="A1139">
        <v>1139</v>
      </c>
      <c r="B1139" t="s">
        <v>646</v>
      </c>
      <c r="C1139" t="s">
        <v>3888</v>
      </c>
      <c r="D1139" t="s">
        <v>2031</v>
      </c>
      <c r="E1139" t="s">
        <v>1970</v>
      </c>
    </row>
    <row r="1140" spans="1:5" x14ac:dyDescent="0.2">
      <c r="A1140">
        <v>1140</v>
      </c>
      <c r="B1140" t="s">
        <v>646</v>
      </c>
      <c r="C1140" t="s">
        <v>3889</v>
      </c>
      <c r="D1140" t="s">
        <v>2033</v>
      </c>
      <c r="E1140" t="s">
        <v>1970</v>
      </c>
    </row>
    <row r="1141" spans="1:5" x14ac:dyDescent="0.2">
      <c r="A1141">
        <v>1141</v>
      </c>
      <c r="B1141" t="s">
        <v>648</v>
      </c>
      <c r="C1141" t="s">
        <v>3890</v>
      </c>
      <c r="D1141" t="s">
        <v>3891</v>
      </c>
      <c r="E1141" t="s">
        <v>1719</v>
      </c>
    </row>
    <row r="1142" spans="1:5" x14ac:dyDescent="0.2">
      <c r="A1142">
        <v>1142</v>
      </c>
      <c r="B1142" t="s">
        <v>648</v>
      </c>
      <c r="C1142" t="s">
        <v>3892</v>
      </c>
      <c r="D1142" t="s">
        <v>3893</v>
      </c>
      <c r="E1142" t="s">
        <v>1719</v>
      </c>
    </row>
    <row r="1143" spans="1:5" x14ac:dyDescent="0.2">
      <c r="A1143">
        <v>1143</v>
      </c>
      <c r="B1143" t="s">
        <v>648</v>
      </c>
      <c r="C1143" t="s">
        <v>3894</v>
      </c>
      <c r="D1143" t="s">
        <v>3895</v>
      </c>
      <c r="E1143" t="s">
        <v>1719</v>
      </c>
    </row>
    <row r="1144" spans="1:5" x14ac:dyDescent="0.2">
      <c r="A1144">
        <v>1144</v>
      </c>
      <c r="B1144" t="s">
        <v>648</v>
      </c>
      <c r="C1144" t="s">
        <v>3896</v>
      </c>
      <c r="D1144" t="s">
        <v>3897</v>
      </c>
      <c r="E1144" t="s">
        <v>1719</v>
      </c>
    </row>
    <row r="1145" spans="1:5" x14ac:dyDescent="0.2">
      <c r="A1145">
        <v>1145</v>
      </c>
      <c r="B1145" t="s">
        <v>648</v>
      </c>
      <c r="C1145" t="s">
        <v>3898</v>
      </c>
      <c r="D1145" t="s">
        <v>3899</v>
      </c>
      <c r="E1145" t="s">
        <v>1790</v>
      </c>
    </row>
    <row r="1146" spans="1:5" x14ac:dyDescent="0.2">
      <c r="A1146">
        <v>1146</v>
      </c>
      <c r="B1146" t="s">
        <v>648</v>
      </c>
      <c r="C1146" t="s">
        <v>3900</v>
      </c>
      <c r="D1146" t="s">
        <v>3901</v>
      </c>
      <c r="E1146" t="s">
        <v>1719</v>
      </c>
    </row>
    <row r="1147" spans="1:5" x14ac:dyDescent="0.2">
      <c r="A1147">
        <v>1147</v>
      </c>
      <c r="B1147" t="s">
        <v>648</v>
      </c>
      <c r="C1147" t="s">
        <v>3902</v>
      </c>
      <c r="D1147" t="s">
        <v>3903</v>
      </c>
      <c r="E1147" t="s">
        <v>1719</v>
      </c>
    </row>
    <row r="1148" spans="1:5" x14ac:dyDescent="0.2">
      <c r="A1148">
        <v>1148</v>
      </c>
      <c r="B1148" t="s">
        <v>648</v>
      </c>
      <c r="C1148" t="s">
        <v>3904</v>
      </c>
      <c r="D1148" t="s">
        <v>3905</v>
      </c>
      <c r="E1148" t="s">
        <v>1719</v>
      </c>
    </row>
    <row r="1149" spans="1:5" x14ac:dyDescent="0.2">
      <c r="A1149">
        <v>1149</v>
      </c>
      <c r="B1149" t="s">
        <v>648</v>
      </c>
      <c r="C1149" t="s">
        <v>3906</v>
      </c>
      <c r="D1149" t="s">
        <v>3907</v>
      </c>
      <c r="E1149" t="s">
        <v>1719</v>
      </c>
    </row>
    <row r="1150" spans="1:5" x14ac:dyDescent="0.2">
      <c r="A1150">
        <v>1150</v>
      </c>
      <c r="B1150" t="s">
        <v>648</v>
      </c>
      <c r="C1150" t="s">
        <v>3908</v>
      </c>
      <c r="D1150" t="s">
        <v>3909</v>
      </c>
      <c r="E1150" t="s">
        <v>1719</v>
      </c>
    </row>
    <row r="1151" spans="1:5" x14ac:dyDescent="0.2">
      <c r="A1151">
        <v>1151</v>
      </c>
      <c r="B1151" t="s">
        <v>648</v>
      </c>
      <c r="C1151" t="s">
        <v>3910</v>
      </c>
      <c r="D1151" t="s">
        <v>3911</v>
      </c>
      <c r="E1151" t="s">
        <v>1719</v>
      </c>
    </row>
    <row r="1152" spans="1:5" x14ac:dyDescent="0.2">
      <c r="A1152">
        <v>1152</v>
      </c>
      <c r="B1152" t="s">
        <v>648</v>
      </c>
      <c r="C1152" t="s">
        <v>3912</v>
      </c>
      <c r="D1152" t="s">
        <v>3913</v>
      </c>
      <c r="E1152" t="s">
        <v>1719</v>
      </c>
    </row>
    <row r="1153" spans="1:5" x14ac:dyDescent="0.2">
      <c r="A1153">
        <v>1153</v>
      </c>
      <c r="B1153" t="s">
        <v>648</v>
      </c>
      <c r="C1153" t="s">
        <v>3914</v>
      </c>
      <c r="D1153" t="s">
        <v>3915</v>
      </c>
      <c r="E1153" t="s">
        <v>1719</v>
      </c>
    </row>
    <row r="1154" spans="1:5" x14ac:dyDescent="0.2">
      <c r="A1154">
        <v>1154</v>
      </c>
      <c r="B1154" t="s">
        <v>648</v>
      </c>
      <c r="C1154" t="s">
        <v>3916</v>
      </c>
      <c r="D1154" t="s">
        <v>3917</v>
      </c>
      <c r="E1154" t="s">
        <v>1719</v>
      </c>
    </row>
    <row r="1155" spans="1:5" x14ac:dyDescent="0.2">
      <c r="A1155">
        <v>1155</v>
      </c>
      <c r="B1155" t="s">
        <v>648</v>
      </c>
      <c r="C1155" t="s">
        <v>3918</v>
      </c>
      <c r="D1155" t="s">
        <v>3919</v>
      </c>
      <c r="E1155" t="s">
        <v>1719</v>
      </c>
    </row>
    <row r="1156" spans="1:5" x14ac:dyDescent="0.2">
      <c r="A1156">
        <v>1156</v>
      </c>
      <c r="B1156" t="s">
        <v>648</v>
      </c>
      <c r="C1156" t="s">
        <v>3920</v>
      </c>
      <c r="D1156" t="s">
        <v>3921</v>
      </c>
      <c r="E1156" t="s">
        <v>1719</v>
      </c>
    </row>
    <row r="1157" spans="1:5" x14ac:dyDescent="0.2">
      <c r="A1157">
        <v>1157</v>
      </c>
      <c r="B1157" t="s">
        <v>648</v>
      </c>
      <c r="C1157" t="s">
        <v>3922</v>
      </c>
      <c r="D1157" t="s">
        <v>3923</v>
      </c>
      <c r="E1157" t="s">
        <v>1719</v>
      </c>
    </row>
    <row r="1158" spans="1:5" x14ac:dyDescent="0.2">
      <c r="A1158">
        <v>1158</v>
      </c>
      <c r="B1158" t="s">
        <v>648</v>
      </c>
      <c r="C1158" t="s">
        <v>3924</v>
      </c>
      <c r="D1158" t="s">
        <v>3925</v>
      </c>
      <c r="E1158" t="s">
        <v>1719</v>
      </c>
    </row>
    <row r="1159" spans="1:5" x14ac:dyDescent="0.2">
      <c r="A1159">
        <v>1159</v>
      </c>
      <c r="B1159" t="s">
        <v>648</v>
      </c>
      <c r="C1159" t="s">
        <v>3926</v>
      </c>
      <c r="D1159" t="s">
        <v>3927</v>
      </c>
      <c r="E1159" t="s">
        <v>1719</v>
      </c>
    </row>
    <row r="1160" spans="1:5" x14ac:dyDescent="0.2">
      <c r="A1160">
        <v>1160</v>
      </c>
      <c r="B1160" t="s">
        <v>648</v>
      </c>
      <c r="C1160" t="s">
        <v>3928</v>
      </c>
      <c r="D1160" t="s">
        <v>3929</v>
      </c>
      <c r="E1160" t="s">
        <v>1719</v>
      </c>
    </row>
    <row r="1161" spans="1:5" x14ac:dyDescent="0.2">
      <c r="A1161">
        <v>1161</v>
      </c>
      <c r="B1161" t="s">
        <v>648</v>
      </c>
      <c r="C1161" t="s">
        <v>3930</v>
      </c>
      <c r="D1161" t="s">
        <v>3931</v>
      </c>
      <c r="E1161" t="s">
        <v>1719</v>
      </c>
    </row>
    <row r="1162" spans="1:5" x14ac:dyDescent="0.2">
      <c r="A1162">
        <v>1162</v>
      </c>
      <c r="B1162" t="s">
        <v>648</v>
      </c>
      <c r="C1162" t="s">
        <v>3932</v>
      </c>
      <c r="D1162" t="s">
        <v>3933</v>
      </c>
      <c r="E1162" t="s">
        <v>1719</v>
      </c>
    </row>
    <row r="1163" spans="1:5" x14ac:dyDescent="0.2">
      <c r="A1163">
        <v>1163</v>
      </c>
      <c r="B1163" t="s">
        <v>648</v>
      </c>
      <c r="C1163" t="s">
        <v>3934</v>
      </c>
      <c r="D1163" t="s">
        <v>3935</v>
      </c>
      <c r="E1163" t="s">
        <v>1719</v>
      </c>
    </row>
    <row r="1164" spans="1:5" x14ac:dyDescent="0.2">
      <c r="A1164">
        <v>1164</v>
      </c>
      <c r="B1164" t="s">
        <v>648</v>
      </c>
      <c r="C1164" t="s">
        <v>3936</v>
      </c>
      <c r="D1164" t="s">
        <v>3937</v>
      </c>
      <c r="E1164" t="s">
        <v>1719</v>
      </c>
    </row>
    <row r="1165" spans="1:5" x14ac:dyDescent="0.2">
      <c r="A1165">
        <v>1165</v>
      </c>
      <c r="B1165" t="s">
        <v>648</v>
      </c>
      <c r="C1165" t="s">
        <v>3938</v>
      </c>
      <c r="D1165" t="s">
        <v>3939</v>
      </c>
      <c r="E1165" t="s">
        <v>1719</v>
      </c>
    </row>
    <row r="1166" spans="1:5" x14ac:dyDescent="0.2">
      <c r="A1166">
        <v>1166</v>
      </c>
      <c r="B1166" t="s">
        <v>648</v>
      </c>
      <c r="C1166" t="s">
        <v>3940</v>
      </c>
      <c r="D1166" t="s">
        <v>2072</v>
      </c>
      <c r="E1166" t="s">
        <v>1719</v>
      </c>
    </row>
    <row r="1167" spans="1:5" x14ac:dyDescent="0.2">
      <c r="A1167">
        <v>1167</v>
      </c>
      <c r="B1167" t="s">
        <v>648</v>
      </c>
      <c r="C1167" t="s">
        <v>3941</v>
      </c>
      <c r="D1167" t="s">
        <v>3942</v>
      </c>
      <c r="E1167" t="s">
        <v>1719</v>
      </c>
    </row>
    <row r="1168" spans="1:5" x14ac:dyDescent="0.2">
      <c r="A1168">
        <v>1168</v>
      </c>
      <c r="B1168" t="s">
        <v>648</v>
      </c>
      <c r="C1168" t="s">
        <v>3943</v>
      </c>
      <c r="D1168" t="s">
        <v>3944</v>
      </c>
      <c r="E1168" t="s">
        <v>1719</v>
      </c>
    </row>
    <row r="1169" spans="1:5" x14ac:dyDescent="0.2">
      <c r="A1169">
        <v>1169</v>
      </c>
      <c r="B1169" t="s">
        <v>648</v>
      </c>
      <c r="C1169" t="s">
        <v>3945</v>
      </c>
      <c r="D1169" t="s">
        <v>3946</v>
      </c>
      <c r="E1169" t="s">
        <v>1719</v>
      </c>
    </row>
    <row r="1170" spans="1:5" x14ac:dyDescent="0.2">
      <c r="A1170">
        <v>1170</v>
      </c>
      <c r="B1170" t="s">
        <v>648</v>
      </c>
      <c r="C1170" t="s">
        <v>3947</v>
      </c>
      <c r="D1170" t="s">
        <v>3948</v>
      </c>
      <c r="E1170" t="s">
        <v>1719</v>
      </c>
    </row>
    <row r="1171" spans="1:5" x14ac:dyDescent="0.2">
      <c r="A1171">
        <v>1171</v>
      </c>
      <c r="B1171" t="s">
        <v>648</v>
      </c>
      <c r="C1171" t="s">
        <v>3949</v>
      </c>
      <c r="D1171" t="s">
        <v>3950</v>
      </c>
      <c r="E1171" t="s">
        <v>1719</v>
      </c>
    </row>
    <row r="1172" spans="1:5" x14ac:dyDescent="0.2">
      <c r="A1172">
        <v>1172</v>
      </c>
      <c r="B1172" t="s">
        <v>648</v>
      </c>
      <c r="C1172" t="s">
        <v>3951</v>
      </c>
      <c r="D1172" t="s">
        <v>3952</v>
      </c>
      <c r="E1172" t="s">
        <v>1719</v>
      </c>
    </row>
    <row r="1173" spans="1:5" x14ac:dyDescent="0.2">
      <c r="A1173">
        <v>1173</v>
      </c>
      <c r="B1173" t="s">
        <v>650</v>
      </c>
      <c r="C1173" t="s">
        <v>3953</v>
      </c>
      <c r="D1173" t="s">
        <v>3954</v>
      </c>
      <c r="E1173" t="s">
        <v>1719</v>
      </c>
    </row>
    <row r="1174" spans="1:5" x14ac:dyDescent="0.2">
      <c r="A1174">
        <v>1174</v>
      </c>
      <c r="B1174" t="s">
        <v>650</v>
      </c>
      <c r="C1174" t="s">
        <v>3955</v>
      </c>
      <c r="D1174" t="s">
        <v>3384</v>
      </c>
      <c r="E1174" t="s">
        <v>1719</v>
      </c>
    </row>
    <row r="1175" spans="1:5" x14ac:dyDescent="0.2">
      <c r="A1175">
        <v>1175</v>
      </c>
      <c r="B1175" t="s">
        <v>650</v>
      </c>
      <c r="C1175" t="s">
        <v>3956</v>
      </c>
      <c r="D1175" t="s">
        <v>3957</v>
      </c>
      <c r="E1175" t="s">
        <v>1719</v>
      </c>
    </row>
    <row r="1176" spans="1:5" x14ac:dyDescent="0.2">
      <c r="A1176">
        <v>1176</v>
      </c>
      <c r="B1176" t="s">
        <v>650</v>
      </c>
      <c r="C1176" t="s">
        <v>3958</v>
      </c>
      <c r="D1176" t="s">
        <v>3959</v>
      </c>
      <c r="E1176" t="s">
        <v>1719</v>
      </c>
    </row>
    <row r="1177" spans="1:5" x14ac:dyDescent="0.2">
      <c r="A1177">
        <v>1177</v>
      </c>
      <c r="B1177" t="s">
        <v>650</v>
      </c>
      <c r="C1177" t="s">
        <v>3960</v>
      </c>
      <c r="D1177" t="s">
        <v>3961</v>
      </c>
      <c r="E1177" t="s">
        <v>1719</v>
      </c>
    </row>
    <row r="1178" spans="1:5" x14ac:dyDescent="0.2">
      <c r="A1178">
        <v>1178</v>
      </c>
      <c r="B1178" t="s">
        <v>650</v>
      </c>
      <c r="C1178" t="s">
        <v>3962</v>
      </c>
      <c r="D1178" t="s">
        <v>3963</v>
      </c>
      <c r="E1178" t="s">
        <v>1719</v>
      </c>
    </row>
    <row r="1179" spans="1:5" x14ac:dyDescent="0.2">
      <c r="A1179">
        <v>1179</v>
      </c>
      <c r="B1179" t="s">
        <v>650</v>
      </c>
      <c r="C1179" t="s">
        <v>3964</v>
      </c>
      <c r="D1179" t="s">
        <v>3965</v>
      </c>
      <c r="E1179" t="s">
        <v>1719</v>
      </c>
    </row>
    <row r="1180" spans="1:5" x14ac:dyDescent="0.2">
      <c r="A1180">
        <v>1180</v>
      </c>
      <c r="B1180" t="s">
        <v>650</v>
      </c>
      <c r="C1180" t="s">
        <v>3966</v>
      </c>
      <c r="D1180" t="s">
        <v>3967</v>
      </c>
      <c r="E1180" t="s">
        <v>1719</v>
      </c>
    </row>
    <row r="1181" spans="1:5" x14ac:dyDescent="0.2">
      <c r="A1181">
        <v>1181</v>
      </c>
      <c r="B1181" t="s">
        <v>650</v>
      </c>
      <c r="C1181" t="s">
        <v>3968</v>
      </c>
      <c r="D1181" t="s">
        <v>3969</v>
      </c>
      <c r="E1181" t="s">
        <v>1719</v>
      </c>
    </row>
    <row r="1182" spans="1:5" x14ac:dyDescent="0.2">
      <c r="A1182">
        <v>1182</v>
      </c>
      <c r="B1182" t="s">
        <v>650</v>
      </c>
      <c r="C1182" t="s">
        <v>3970</v>
      </c>
      <c r="D1182" t="s">
        <v>3971</v>
      </c>
      <c r="E1182" t="s">
        <v>1719</v>
      </c>
    </row>
    <row r="1183" spans="1:5" x14ac:dyDescent="0.2">
      <c r="A1183">
        <v>1183</v>
      </c>
      <c r="B1183" t="s">
        <v>650</v>
      </c>
      <c r="C1183" t="s">
        <v>3972</v>
      </c>
      <c r="D1183" t="s">
        <v>3973</v>
      </c>
      <c r="E1183" t="s">
        <v>1719</v>
      </c>
    </row>
    <row r="1184" spans="1:5" x14ac:dyDescent="0.2">
      <c r="A1184">
        <v>1184</v>
      </c>
      <c r="B1184" t="s">
        <v>650</v>
      </c>
      <c r="C1184" t="s">
        <v>3974</v>
      </c>
      <c r="D1184" t="s">
        <v>3975</v>
      </c>
      <c r="E1184" t="s">
        <v>1719</v>
      </c>
    </row>
    <row r="1185" spans="1:5" x14ac:dyDescent="0.2">
      <c r="A1185">
        <v>1185</v>
      </c>
      <c r="B1185" t="s">
        <v>650</v>
      </c>
      <c r="C1185" t="s">
        <v>3976</v>
      </c>
      <c r="D1185" t="s">
        <v>3294</v>
      </c>
      <c r="E1185" t="s">
        <v>1719</v>
      </c>
    </row>
    <row r="1186" spans="1:5" x14ac:dyDescent="0.2">
      <c r="A1186">
        <v>1186</v>
      </c>
      <c r="B1186" t="s">
        <v>650</v>
      </c>
      <c r="C1186" t="s">
        <v>3977</v>
      </c>
      <c r="D1186" t="s">
        <v>3978</v>
      </c>
      <c r="E1186" t="s">
        <v>1719</v>
      </c>
    </row>
    <row r="1187" spans="1:5" x14ac:dyDescent="0.2">
      <c r="A1187">
        <v>1187</v>
      </c>
      <c r="B1187" t="s">
        <v>650</v>
      </c>
      <c r="C1187" t="s">
        <v>3979</v>
      </c>
      <c r="D1187" t="s">
        <v>3980</v>
      </c>
      <c r="E1187" t="s">
        <v>1719</v>
      </c>
    </row>
    <row r="1188" spans="1:5" x14ac:dyDescent="0.2">
      <c r="A1188">
        <v>1188</v>
      </c>
      <c r="B1188" t="s">
        <v>650</v>
      </c>
      <c r="C1188" t="s">
        <v>3981</v>
      </c>
      <c r="D1188" t="s">
        <v>3982</v>
      </c>
      <c r="E1188" t="s">
        <v>1719</v>
      </c>
    </row>
    <row r="1189" spans="1:5" x14ac:dyDescent="0.2">
      <c r="A1189">
        <v>1189</v>
      </c>
      <c r="B1189" t="s">
        <v>650</v>
      </c>
      <c r="C1189" t="s">
        <v>3983</v>
      </c>
      <c r="D1189" t="s">
        <v>3984</v>
      </c>
      <c r="E1189" t="s">
        <v>1719</v>
      </c>
    </row>
    <row r="1190" spans="1:5" x14ac:dyDescent="0.2">
      <c r="A1190">
        <v>1190</v>
      </c>
      <c r="B1190" t="s">
        <v>650</v>
      </c>
      <c r="C1190" t="s">
        <v>3985</v>
      </c>
      <c r="D1190" t="s">
        <v>3986</v>
      </c>
      <c r="E1190" t="s">
        <v>1719</v>
      </c>
    </row>
    <row r="1191" spans="1:5" x14ac:dyDescent="0.2">
      <c r="A1191">
        <v>1191</v>
      </c>
      <c r="B1191" t="s">
        <v>650</v>
      </c>
      <c r="C1191" t="s">
        <v>3987</v>
      </c>
      <c r="D1191" t="s">
        <v>3988</v>
      </c>
      <c r="E1191" t="s">
        <v>1719</v>
      </c>
    </row>
    <row r="1192" spans="1:5" x14ac:dyDescent="0.2">
      <c r="A1192">
        <v>1192</v>
      </c>
      <c r="B1192" t="s">
        <v>650</v>
      </c>
      <c r="C1192" t="s">
        <v>3989</v>
      </c>
      <c r="D1192" t="s">
        <v>3990</v>
      </c>
      <c r="E1192" t="s">
        <v>1719</v>
      </c>
    </row>
    <row r="1193" spans="1:5" x14ac:dyDescent="0.2">
      <c r="A1193">
        <v>1193</v>
      </c>
      <c r="B1193" t="s">
        <v>650</v>
      </c>
      <c r="C1193" t="s">
        <v>3991</v>
      </c>
      <c r="D1193" t="s">
        <v>3992</v>
      </c>
      <c r="E1193" t="s">
        <v>1719</v>
      </c>
    </row>
    <row r="1194" spans="1:5" x14ac:dyDescent="0.2">
      <c r="A1194">
        <v>1194</v>
      </c>
      <c r="B1194" t="s">
        <v>650</v>
      </c>
      <c r="C1194" t="s">
        <v>3993</v>
      </c>
      <c r="D1194" t="s">
        <v>3994</v>
      </c>
      <c r="E1194" t="s">
        <v>1719</v>
      </c>
    </row>
    <row r="1195" spans="1:5" x14ac:dyDescent="0.2">
      <c r="A1195">
        <v>1195</v>
      </c>
      <c r="B1195" t="s">
        <v>650</v>
      </c>
      <c r="C1195" t="s">
        <v>3995</v>
      </c>
      <c r="D1195" t="s">
        <v>3996</v>
      </c>
      <c r="E1195" t="s">
        <v>1719</v>
      </c>
    </row>
    <row r="1196" spans="1:5" x14ac:dyDescent="0.2">
      <c r="A1196">
        <v>1196</v>
      </c>
      <c r="B1196" t="s">
        <v>650</v>
      </c>
      <c r="C1196" t="s">
        <v>3997</v>
      </c>
      <c r="D1196" t="s">
        <v>3998</v>
      </c>
      <c r="E1196" t="s">
        <v>1719</v>
      </c>
    </row>
    <row r="1197" spans="1:5" x14ac:dyDescent="0.2">
      <c r="A1197">
        <v>1197</v>
      </c>
      <c r="B1197" t="s">
        <v>652</v>
      </c>
      <c r="C1197" t="s">
        <v>3999</v>
      </c>
      <c r="D1197" t="s">
        <v>4000</v>
      </c>
      <c r="E1197" t="s">
        <v>2365</v>
      </c>
    </row>
    <row r="1198" spans="1:5" x14ac:dyDescent="0.2">
      <c r="A1198">
        <v>1198</v>
      </c>
      <c r="B1198" t="s">
        <v>652</v>
      </c>
      <c r="C1198" t="s">
        <v>4001</v>
      </c>
      <c r="D1198" t="s">
        <v>4002</v>
      </c>
      <c r="E1198" t="s">
        <v>2365</v>
      </c>
    </row>
    <row r="1199" spans="1:5" x14ac:dyDescent="0.2">
      <c r="A1199">
        <v>1199</v>
      </c>
      <c r="B1199" t="s">
        <v>652</v>
      </c>
      <c r="C1199" t="s">
        <v>4003</v>
      </c>
      <c r="D1199" t="s">
        <v>4004</v>
      </c>
      <c r="E1199" t="s">
        <v>2365</v>
      </c>
    </row>
    <row r="1200" spans="1:5" x14ac:dyDescent="0.2">
      <c r="A1200">
        <v>1200</v>
      </c>
      <c r="B1200" t="s">
        <v>652</v>
      </c>
      <c r="C1200" t="s">
        <v>4005</v>
      </c>
      <c r="D1200" t="s">
        <v>4006</v>
      </c>
      <c r="E1200" t="s">
        <v>2365</v>
      </c>
    </row>
    <row r="1201" spans="1:5" x14ac:dyDescent="0.2">
      <c r="A1201">
        <v>1201</v>
      </c>
      <c r="B1201" t="s">
        <v>652</v>
      </c>
      <c r="C1201" t="s">
        <v>4007</v>
      </c>
      <c r="D1201" t="s">
        <v>4008</v>
      </c>
      <c r="E1201" t="s">
        <v>2365</v>
      </c>
    </row>
    <row r="1202" spans="1:5" x14ac:dyDescent="0.2">
      <c r="A1202">
        <v>1202</v>
      </c>
      <c r="B1202" t="s">
        <v>652</v>
      </c>
      <c r="C1202" t="s">
        <v>4009</v>
      </c>
      <c r="D1202" t="s">
        <v>4010</v>
      </c>
      <c r="E1202" t="s">
        <v>2365</v>
      </c>
    </row>
    <row r="1203" spans="1:5" x14ac:dyDescent="0.2">
      <c r="A1203">
        <v>1203</v>
      </c>
      <c r="B1203" t="s">
        <v>652</v>
      </c>
      <c r="C1203" t="s">
        <v>4011</v>
      </c>
      <c r="D1203" t="s">
        <v>4012</v>
      </c>
      <c r="E1203" t="s">
        <v>2365</v>
      </c>
    </row>
    <row r="1204" spans="1:5" x14ac:dyDescent="0.2">
      <c r="A1204">
        <v>1204</v>
      </c>
      <c r="B1204" t="s">
        <v>652</v>
      </c>
      <c r="C1204" t="s">
        <v>4013</v>
      </c>
      <c r="D1204" t="s">
        <v>4014</v>
      </c>
      <c r="E1204" t="s">
        <v>2365</v>
      </c>
    </row>
    <row r="1205" spans="1:5" x14ac:dyDescent="0.2">
      <c r="A1205">
        <v>1205</v>
      </c>
      <c r="B1205" t="s">
        <v>652</v>
      </c>
      <c r="C1205" t="s">
        <v>4015</v>
      </c>
      <c r="D1205" t="s">
        <v>4016</v>
      </c>
      <c r="E1205" t="s">
        <v>2365</v>
      </c>
    </row>
    <row r="1206" spans="1:5" x14ac:dyDescent="0.2">
      <c r="A1206">
        <v>1206</v>
      </c>
      <c r="B1206" t="s">
        <v>652</v>
      </c>
      <c r="C1206" t="s">
        <v>4017</v>
      </c>
      <c r="D1206" t="s">
        <v>4018</v>
      </c>
      <c r="E1206" t="s">
        <v>2365</v>
      </c>
    </row>
    <row r="1207" spans="1:5" x14ac:dyDescent="0.2">
      <c r="A1207">
        <v>1207</v>
      </c>
      <c r="B1207" t="s">
        <v>652</v>
      </c>
      <c r="C1207" t="s">
        <v>4019</v>
      </c>
      <c r="D1207" t="s">
        <v>4020</v>
      </c>
      <c r="E1207" t="s">
        <v>2365</v>
      </c>
    </row>
    <row r="1208" spans="1:5" x14ac:dyDescent="0.2">
      <c r="A1208">
        <v>1208</v>
      </c>
      <c r="B1208" t="s">
        <v>652</v>
      </c>
      <c r="C1208" t="s">
        <v>4021</v>
      </c>
      <c r="D1208" t="s">
        <v>4022</v>
      </c>
      <c r="E1208" t="s">
        <v>2365</v>
      </c>
    </row>
    <row r="1209" spans="1:5" x14ac:dyDescent="0.2">
      <c r="A1209">
        <v>1209</v>
      </c>
      <c r="B1209" t="s">
        <v>652</v>
      </c>
      <c r="C1209" t="s">
        <v>4023</v>
      </c>
      <c r="D1209" t="s">
        <v>4024</v>
      </c>
      <c r="E1209" t="s">
        <v>2365</v>
      </c>
    </row>
    <row r="1210" spans="1:5" x14ac:dyDescent="0.2">
      <c r="A1210">
        <v>1210</v>
      </c>
      <c r="B1210" t="s">
        <v>652</v>
      </c>
      <c r="C1210" t="s">
        <v>4025</v>
      </c>
      <c r="D1210" t="s">
        <v>4026</v>
      </c>
      <c r="E1210" t="s">
        <v>2365</v>
      </c>
    </row>
    <row r="1211" spans="1:5" x14ac:dyDescent="0.2">
      <c r="A1211">
        <v>1211</v>
      </c>
      <c r="B1211" t="s">
        <v>652</v>
      </c>
      <c r="C1211" t="s">
        <v>4027</v>
      </c>
      <c r="D1211" t="s">
        <v>4028</v>
      </c>
      <c r="E1211" t="s">
        <v>2365</v>
      </c>
    </row>
    <row r="1212" spans="1:5" x14ac:dyDescent="0.2">
      <c r="A1212">
        <v>1212</v>
      </c>
      <c r="B1212" t="s">
        <v>652</v>
      </c>
      <c r="C1212" t="s">
        <v>4029</v>
      </c>
      <c r="D1212" t="s">
        <v>4030</v>
      </c>
      <c r="E1212" t="s">
        <v>2365</v>
      </c>
    </row>
    <row r="1213" spans="1:5" x14ac:dyDescent="0.2">
      <c r="A1213">
        <v>1213</v>
      </c>
      <c r="B1213" t="s">
        <v>652</v>
      </c>
      <c r="C1213" t="s">
        <v>4031</v>
      </c>
      <c r="D1213" t="s">
        <v>4032</v>
      </c>
      <c r="E1213" t="s">
        <v>2365</v>
      </c>
    </row>
    <row r="1214" spans="1:5" x14ac:dyDescent="0.2">
      <c r="A1214">
        <v>1214</v>
      </c>
      <c r="B1214" t="s">
        <v>652</v>
      </c>
      <c r="C1214" t="s">
        <v>4033</v>
      </c>
      <c r="D1214" t="s">
        <v>4034</v>
      </c>
      <c r="E1214" t="s">
        <v>2365</v>
      </c>
    </row>
    <row r="1215" spans="1:5" x14ac:dyDescent="0.2">
      <c r="A1215">
        <v>1215</v>
      </c>
      <c r="B1215" t="s">
        <v>652</v>
      </c>
      <c r="C1215" t="s">
        <v>4035</v>
      </c>
      <c r="D1215" t="s">
        <v>4036</v>
      </c>
      <c r="E1215" t="s">
        <v>2365</v>
      </c>
    </row>
    <row r="1216" spans="1:5" x14ac:dyDescent="0.2">
      <c r="A1216">
        <v>1216</v>
      </c>
      <c r="B1216" t="s">
        <v>652</v>
      </c>
      <c r="C1216" t="s">
        <v>4037</v>
      </c>
      <c r="D1216" t="s">
        <v>4038</v>
      </c>
      <c r="E1216" t="s">
        <v>2365</v>
      </c>
    </row>
    <row r="1217" spans="1:5" x14ac:dyDescent="0.2">
      <c r="A1217">
        <v>1217</v>
      </c>
      <c r="B1217" t="s">
        <v>652</v>
      </c>
      <c r="C1217" t="s">
        <v>4039</v>
      </c>
      <c r="D1217" t="s">
        <v>4040</v>
      </c>
      <c r="E1217" t="s">
        <v>2365</v>
      </c>
    </row>
    <row r="1218" spans="1:5" x14ac:dyDescent="0.2">
      <c r="A1218">
        <v>1218</v>
      </c>
      <c r="B1218" t="s">
        <v>652</v>
      </c>
      <c r="C1218" t="s">
        <v>4041</v>
      </c>
      <c r="D1218" t="s">
        <v>4042</v>
      </c>
      <c r="E1218" t="s">
        <v>2365</v>
      </c>
    </row>
    <row r="1219" spans="1:5" x14ac:dyDescent="0.2">
      <c r="A1219">
        <v>1219</v>
      </c>
      <c r="B1219" t="s">
        <v>652</v>
      </c>
      <c r="C1219" t="s">
        <v>4043</v>
      </c>
      <c r="D1219" t="s">
        <v>4044</v>
      </c>
      <c r="E1219" t="s">
        <v>2365</v>
      </c>
    </row>
    <row r="1220" spans="1:5" x14ac:dyDescent="0.2">
      <c r="A1220">
        <v>1220</v>
      </c>
      <c r="B1220" t="s">
        <v>652</v>
      </c>
      <c r="C1220" t="s">
        <v>4045</v>
      </c>
      <c r="D1220" t="s">
        <v>4046</v>
      </c>
      <c r="E1220" t="s">
        <v>2365</v>
      </c>
    </row>
    <row r="1221" spans="1:5" x14ac:dyDescent="0.2">
      <c r="A1221">
        <v>1221</v>
      </c>
      <c r="B1221" t="s">
        <v>652</v>
      </c>
      <c r="C1221" t="s">
        <v>4047</v>
      </c>
      <c r="D1221" t="s">
        <v>4048</v>
      </c>
      <c r="E1221" t="s">
        <v>2365</v>
      </c>
    </row>
    <row r="1222" spans="1:5" x14ac:dyDescent="0.2">
      <c r="A1222">
        <v>1222</v>
      </c>
      <c r="B1222" t="s">
        <v>652</v>
      </c>
      <c r="C1222" t="s">
        <v>4049</v>
      </c>
      <c r="D1222" t="s">
        <v>4050</v>
      </c>
      <c r="E1222" t="s">
        <v>2365</v>
      </c>
    </row>
    <row r="1223" spans="1:5" x14ac:dyDescent="0.2">
      <c r="A1223">
        <v>1223</v>
      </c>
      <c r="B1223" t="s">
        <v>652</v>
      </c>
      <c r="C1223" t="s">
        <v>4051</v>
      </c>
      <c r="D1223" t="s">
        <v>4052</v>
      </c>
      <c r="E1223" t="s">
        <v>2365</v>
      </c>
    </row>
    <row r="1224" spans="1:5" x14ac:dyDescent="0.2">
      <c r="A1224">
        <v>1224</v>
      </c>
      <c r="B1224" t="s">
        <v>652</v>
      </c>
      <c r="C1224" t="s">
        <v>4053</v>
      </c>
      <c r="D1224" t="s">
        <v>4054</v>
      </c>
      <c r="E1224" t="s">
        <v>2365</v>
      </c>
    </row>
    <row r="1225" spans="1:5" x14ac:dyDescent="0.2">
      <c r="A1225">
        <v>1225</v>
      </c>
      <c r="B1225" t="s">
        <v>652</v>
      </c>
      <c r="C1225" t="s">
        <v>4055</v>
      </c>
      <c r="D1225" t="s">
        <v>4056</v>
      </c>
      <c r="E1225" t="s">
        <v>2365</v>
      </c>
    </row>
    <row r="1226" spans="1:5" x14ac:dyDescent="0.2">
      <c r="A1226">
        <v>1226</v>
      </c>
      <c r="B1226" t="s">
        <v>654</v>
      </c>
      <c r="C1226" t="s">
        <v>4057</v>
      </c>
      <c r="D1226" t="s">
        <v>4058</v>
      </c>
      <c r="E1226" t="s">
        <v>2590</v>
      </c>
    </row>
    <row r="1227" spans="1:5" x14ac:dyDescent="0.2">
      <c r="A1227">
        <v>1227</v>
      </c>
      <c r="B1227" t="s">
        <v>654</v>
      </c>
      <c r="C1227" t="s">
        <v>4059</v>
      </c>
      <c r="D1227" t="s">
        <v>4060</v>
      </c>
      <c r="E1227" t="s">
        <v>2590</v>
      </c>
    </row>
    <row r="1228" spans="1:5" x14ac:dyDescent="0.2">
      <c r="A1228">
        <v>1228</v>
      </c>
      <c r="B1228" t="s">
        <v>654</v>
      </c>
      <c r="C1228" t="s">
        <v>4061</v>
      </c>
      <c r="D1228" t="s">
        <v>4062</v>
      </c>
      <c r="E1228" t="s">
        <v>2590</v>
      </c>
    </row>
    <row r="1229" spans="1:5" x14ac:dyDescent="0.2">
      <c r="A1229">
        <v>1229</v>
      </c>
      <c r="B1229" t="s">
        <v>654</v>
      </c>
      <c r="C1229" t="s">
        <v>4063</v>
      </c>
      <c r="D1229" t="s">
        <v>4064</v>
      </c>
      <c r="E1229" t="s">
        <v>2590</v>
      </c>
    </row>
    <row r="1230" spans="1:5" x14ac:dyDescent="0.2">
      <c r="A1230">
        <v>1230</v>
      </c>
      <c r="B1230" t="s">
        <v>654</v>
      </c>
      <c r="C1230" t="s">
        <v>4065</v>
      </c>
      <c r="D1230" t="s">
        <v>4066</v>
      </c>
      <c r="E1230" t="s">
        <v>2590</v>
      </c>
    </row>
    <row r="1231" spans="1:5" x14ac:dyDescent="0.2">
      <c r="A1231">
        <v>1231</v>
      </c>
      <c r="B1231" t="s">
        <v>654</v>
      </c>
      <c r="C1231" t="s">
        <v>4067</v>
      </c>
      <c r="D1231" t="s">
        <v>2661</v>
      </c>
      <c r="E1231" t="s">
        <v>2590</v>
      </c>
    </row>
    <row r="1232" spans="1:5" x14ac:dyDescent="0.2">
      <c r="A1232">
        <v>1232</v>
      </c>
      <c r="B1232" t="s">
        <v>654</v>
      </c>
      <c r="C1232" t="s">
        <v>4068</v>
      </c>
      <c r="D1232" t="s">
        <v>4069</v>
      </c>
      <c r="E1232" t="s">
        <v>2590</v>
      </c>
    </row>
    <row r="1233" spans="1:5" x14ac:dyDescent="0.2">
      <c r="A1233">
        <v>1233</v>
      </c>
      <c r="B1233" t="s">
        <v>654</v>
      </c>
      <c r="C1233" t="s">
        <v>4070</v>
      </c>
      <c r="D1233" t="s">
        <v>4071</v>
      </c>
      <c r="E1233" t="s">
        <v>2590</v>
      </c>
    </row>
    <row r="1234" spans="1:5" x14ac:dyDescent="0.2">
      <c r="A1234">
        <v>1234</v>
      </c>
      <c r="B1234" t="s">
        <v>654</v>
      </c>
      <c r="C1234" t="s">
        <v>4072</v>
      </c>
      <c r="D1234" t="s">
        <v>4073</v>
      </c>
      <c r="E1234" t="s">
        <v>2590</v>
      </c>
    </row>
    <row r="1235" spans="1:5" x14ac:dyDescent="0.2">
      <c r="A1235">
        <v>1235</v>
      </c>
      <c r="B1235" t="s">
        <v>654</v>
      </c>
      <c r="C1235" t="s">
        <v>4074</v>
      </c>
      <c r="D1235" t="s">
        <v>2352</v>
      </c>
      <c r="E1235" t="s">
        <v>2590</v>
      </c>
    </row>
    <row r="1236" spans="1:5" x14ac:dyDescent="0.2">
      <c r="A1236">
        <v>1236</v>
      </c>
      <c r="B1236" t="s">
        <v>654</v>
      </c>
      <c r="C1236" t="s">
        <v>4075</v>
      </c>
      <c r="D1236" t="s">
        <v>4076</v>
      </c>
      <c r="E1236" t="s">
        <v>2590</v>
      </c>
    </row>
    <row r="1237" spans="1:5" x14ac:dyDescent="0.2">
      <c r="A1237">
        <v>1237</v>
      </c>
      <c r="B1237" t="s">
        <v>654</v>
      </c>
      <c r="C1237" t="s">
        <v>4077</v>
      </c>
      <c r="D1237" t="s">
        <v>4078</v>
      </c>
      <c r="E1237" t="s">
        <v>2590</v>
      </c>
    </row>
    <row r="1238" spans="1:5" x14ac:dyDescent="0.2">
      <c r="A1238">
        <v>1238</v>
      </c>
      <c r="B1238" t="s">
        <v>654</v>
      </c>
      <c r="C1238" t="s">
        <v>4079</v>
      </c>
      <c r="D1238" t="s">
        <v>4080</v>
      </c>
      <c r="E1238" t="s">
        <v>2590</v>
      </c>
    </row>
    <row r="1239" spans="1:5" x14ac:dyDescent="0.2">
      <c r="A1239">
        <v>1239</v>
      </c>
      <c r="B1239" t="s">
        <v>654</v>
      </c>
      <c r="C1239" t="s">
        <v>4081</v>
      </c>
      <c r="D1239" t="s">
        <v>4082</v>
      </c>
      <c r="E1239" t="s">
        <v>2590</v>
      </c>
    </row>
    <row r="1240" spans="1:5" x14ac:dyDescent="0.2">
      <c r="A1240">
        <v>1240</v>
      </c>
      <c r="B1240" t="s">
        <v>666</v>
      </c>
      <c r="C1240" t="s">
        <v>4083</v>
      </c>
      <c r="D1240" t="s">
        <v>4084</v>
      </c>
      <c r="E1240" t="s">
        <v>1719</v>
      </c>
    </row>
    <row r="1241" spans="1:5" x14ac:dyDescent="0.2">
      <c r="A1241">
        <v>1241</v>
      </c>
      <c r="B1241" t="s">
        <v>666</v>
      </c>
      <c r="C1241" t="s">
        <v>4083</v>
      </c>
      <c r="D1241" t="s">
        <v>4085</v>
      </c>
      <c r="E1241" t="s">
        <v>1719</v>
      </c>
    </row>
    <row r="1242" spans="1:5" x14ac:dyDescent="0.2">
      <c r="A1242">
        <v>1242</v>
      </c>
      <c r="B1242" t="s">
        <v>666</v>
      </c>
      <c r="C1242" t="s">
        <v>4083</v>
      </c>
      <c r="D1242" t="s">
        <v>4086</v>
      </c>
      <c r="E1242" t="s">
        <v>1719</v>
      </c>
    </row>
    <row r="1243" spans="1:5" x14ac:dyDescent="0.2">
      <c r="A1243">
        <v>1243</v>
      </c>
      <c r="B1243" t="s">
        <v>666</v>
      </c>
      <c r="C1243" t="s">
        <v>4087</v>
      </c>
      <c r="D1243" t="s">
        <v>4088</v>
      </c>
      <c r="E1243" t="s">
        <v>1719</v>
      </c>
    </row>
    <row r="1244" spans="1:5" x14ac:dyDescent="0.2">
      <c r="A1244">
        <v>1244</v>
      </c>
      <c r="B1244" t="s">
        <v>666</v>
      </c>
      <c r="C1244" t="s">
        <v>4087</v>
      </c>
      <c r="D1244" t="s">
        <v>4089</v>
      </c>
      <c r="E1244" t="s">
        <v>1719</v>
      </c>
    </row>
    <row r="1245" spans="1:5" x14ac:dyDescent="0.2">
      <c r="A1245">
        <v>1245</v>
      </c>
      <c r="B1245" t="s">
        <v>666</v>
      </c>
      <c r="C1245" t="s">
        <v>4090</v>
      </c>
      <c r="D1245" t="s">
        <v>4091</v>
      </c>
      <c r="E1245" t="s">
        <v>1719</v>
      </c>
    </row>
    <row r="1246" spans="1:5" x14ac:dyDescent="0.2">
      <c r="A1246">
        <v>1246</v>
      </c>
      <c r="B1246" t="s">
        <v>666</v>
      </c>
      <c r="C1246" t="s">
        <v>4090</v>
      </c>
      <c r="D1246" t="s">
        <v>4092</v>
      </c>
      <c r="E1246" t="s">
        <v>1719</v>
      </c>
    </row>
    <row r="1247" spans="1:5" x14ac:dyDescent="0.2">
      <c r="A1247">
        <v>1247</v>
      </c>
      <c r="B1247" t="s">
        <v>666</v>
      </c>
      <c r="C1247" t="s">
        <v>4090</v>
      </c>
      <c r="D1247" t="s">
        <v>4093</v>
      </c>
      <c r="E1247" t="s">
        <v>1719</v>
      </c>
    </row>
    <row r="1248" spans="1:5" x14ac:dyDescent="0.2">
      <c r="A1248">
        <v>1248</v>
      </c>
      <c r="B1248" t="s">
        <v>666</v>
      </c>
      <c r="C1248" t="s">
        <v>4094</v>
      </c>
      <c r="D1248" t="s">
        <v>4095</v>
      </c>
      <c r="E1248" t="s">
        <v>1719</v>
      </c>
    </row>
    <row r="1249" spans="1:5" x14ac:dyDescent="0.2">
      <c r="A1249">
        <v>1249</v>
      </c>
      <c r="B1249" t="s">
        <v>666</v>
      </c>
      <c r="C1249" t="s">
        <v>4094</v>
      </c>
      <c r="D1249" t="s">
        <v>4096</v>
      </c>
      <c r="E1249" t="s">
        <v>1719</v>
      </c>
    </row>
    <row r="1250" spans="1:5" x14ac:dyDescent="0.2">
      <c r="A1250">
        <v>1250</v>
      </c>
      <c r="B1250" t="s">
        <v>666</v>
      </c>
      <c r="C1250" t="s">
        <v>4094</v>
      </c>
      <c r="D1250" t="s">
        <v>4097</v>
      </c>
      <c r="E1250" t="s">
        <v>1719</v>
      </c>
    </row>
    <row r="1251" spans="1:5" x14ac:dyDescent="0.2">
      <c r="A1251">
        <v>1251</v>
      </c>
      <c r="B1251" t="s">
        <v>666</v>
      </c>
      <c r="C1251" t="s">
        <v>4098</v>
      </c>
      <c r="D1251" t="s">
        <v>4099</v>
      </c>
      <c r="E1251" t="s">
        <v>1719</v>
      </c>
    </row>
    <row r="1252" spans="1:5" x14ac:dyDescent="0.2">
      <c r="A1252">
        <v>1252</v>
      </c>
      <c r="B1252" t="s">
        <v>666</v>
      </c>
      <c r="C1252" t="s">
        <v>4100</v>
      </c>
      <c r="D1252" t="s">
        <v>4101</v>
      </c>
      <c r="E1252" t="s">
        <v>1719</v>
      </c>
    </row>
    <row r="1253" spans="1:5" x14ac:dyDescent="0.2">
      <c r="A1253">
        <v>1253</v>
      </c>
      <c r="B1253" t="s">
        <v>666</v>
      </c>
      <c r="C1253" t="s">
        <v>4100</v>
      </c>
      <c r="D1253" t="s">
        <v>2604</v>
      </c>
      <c r="E1253" t="s">
        <v>1719</v>
      </c>
    </row>
    <row r="1254" spans="1:5" x14ac:dyDescent="0.2">
      <c r="A1254">
        <v>1254</v>
      </c>
      <c r="B1254" t="s">
        <v>666</v>
      </c>
      <c r="C1254" t="s">
        <v>4102</v>
      </c>
      <c r="D1254" t="s">
        <v>4103</v>
      </c>
      <c r="E1254" t="s">
        <v>2087</v>
      </c>
    </row>
    <row r="1255" spans="1:5" x14ac:dyDescent="0.2">
      <c r="A1255">
        <v>1255</v>
      </c>
      <c r="B1255" t="s">
        <v>666</v>
      </c>
      <c r="C1255" t="s">
        <v>4104</v>
      </c>
      <c r="D1255" t="s">
        <v>4105</v>
      </c>
      <c r="E1255" t="s">
        <v>2087</v>
      </c>
    </row>
    <row r="1256" spans="1:5" x14ac:dyDescent="0.2">
      <c r="A1256">
        <v>1256</v>
      </c>
      <c r="B1256" t="s">
        <v>666</v>
      </c>
      <c r="C1256" t="s">
        <v>4102</v>
      </c>
      <c r="D1256" t="s">
        <v>4106</v>
      </c>
      <c r="E1256" t="s">
        <v>2087</v>
      </c>
    </row>
    <row r="1257" spans="1:5" x14ac:dyDescent="0.2">
      <c r="A1257">
        <v>1257</v>
      </c>
      <c r="B1257" t="s">
        <v>666</v>
      </c>
      <c r="C1257" t="s">
        <v>4104</v>
      </c>
      <c r="D1257" t="s">
        <v>4107</v>
      </c>
      <c r="E1257" t="s">
        <v>2087</v>
      </c>
    </row>
    <row r="1258" spans="1:5" x14ac:dyDescent="0.2">
      <c r="A1258">
        <v>1258</v>
      </c>
      <c r="B1258" t="s">
        <v>666</v>
      </c>
      <c r="C1258" t="s">
        <v>4102</v>
      </c>
      <c r="D1258" t="s">
        <v>4108</v>
      </c>
      <c r="E1258" t="s">
        <v>2087</v>
      </c>
    </row>
    <row r="1259" spans="1:5" x14ac:dyDescent="0.2">
      <c r="A1259">
        <v>1259</v>
      </c>
      <c r="B1259" t="s">
        <v>666</v>
      </c>
      <c r="C1259" t="s">
        <v>4104</v>
      </c>
      <c r="D1259" t="s">
        <v>4109</v>
      </c>
      <c r="E1259" t="s">
        <v>2087</v>
      </c>
    </row>
    <row r="1260" spans="1:5" x14ac:dyDescent="0.2">
      <c r="A1260">
        <v>1260</v>
      </c>
      <c r="B1260" t="s">
        <v>666</v>
      </c>
      <c r="C1260" t="s">
        <v>4110</v>
      </c>
      <c r="D1260" t="s">
        <v>4111</v>
      </c>
      <c r="E1260" t="s">
        <v>1719</v>
      </c>
    </row>
    <row r="1261" spans="1:5" x14ac:dyDescent="0.2">
      <c r="A1261">
        <v>1261</v>
      </c>
      <c r="B1261" t="s">
        <v>666</v>
      </c>
      <c r="C1261" t="s">
        <v>4110</v>
      </c>
      <c r="D1261" t="s">
        <v>4112</v>
      </c>
      <c r="E1261" t="s">
        <v>1719</v>
      </c>
    </row>
    <row r="1262" spans="1:5" x14ac:dyDescent="0.2">
      <c r="A1262">
        <v>1262</v>
      </c>
      <c r="B1262" t="s">
        <v>668</v>
      </c>
      <c r="C1262" t="s">
        <v>4113</v>
      </c>
      <c r="D1262" t="s">
        <v>4114</v>
      </c>
      <c r="E1262" t="s">
        <v>2087</v>
      </c>
    </row>
    <row r="1263" spans="1:5" x14ac:dyDescent="0.2">
      <c r="A1263">
        <v>1263</v>
      </c>
      <c r="B1263" t="s">
        <v>668</v>
      </c>
      <c r="C1263" t="s">
        <v>4115</v>
      </c>
      <c r="D1263" t="s">
        <v>4116</v>
      </c>
      <c r="E1263" t="s">
        <v>2087</v>
      </c>
    </row>
    <row r="1264" spans="1:5" x14ac:dyDescent="0.2">
      <c r="A1264">
        <v>1264</v>
      </c>
      <c r="B1264" t="s">
        <v>668</v>
      </c>
      <c r="C1264" t="s">
        <v>4117</v>
      </c>
      <c r="D1264" t="s">
        <v>4118</v>
      </c>
      <c r="E1264" t="s">
        <v>2087</v>
      </c>
    </row>
    <row r="1265" spans="1:5" x14ac:dyDescent="0.2">
      <c r="A1265">
        <v>1265</v>
      </c>
      <c r="B1265" t="s">
        <v>668</v>
      </c>
      <c r="C1265" t="s">
        <v>4119</v>
      </c>
      <c r="D1265" t="s">
        <v>4120</v>
      </c>
      <c r="E1265" t="s">
        <v>2087</v>
      </c>
    </row>
    <row r="1266" spans="1:5" x14ac:dyDescent="0.2">
      <c r="A1266">
        <v>1266</v>
      </c>
      <c r="B1266" t="s">
        <v>668</v>
      </c>
      <c r="C1266" t="s">
        <v>4121</v>
      </c>
      <c r="D1266" t="s">
        <v>4122</v>
      </c>
      <c r="E1266" t="s">
        <v>2087</v>
      </c>
    </row>
    <row r="1267" spans="1:5" x14ac:dyDescent="0.2">
      <c r="A1267">
        <v>1267</v>
      </c>
      <c r="B1267" t="s">
        <v>668</v>
      </c>
      <c r="C1267" t="s">
        <v>4123</v>
      </c>
      <c r="D1267" t="s">
        <v>4124</v>
      </c>
      <c r="E1267" t="s">
        <v>2087</v>
      </c>
    </row>
    <row r="1268" spans="1:5" x14ac:dyDescent="0.2">
      <c r="A1268">
        <v>1268</v>
      </c>
      <c r="B1268" t="s">
        <v>670</v>
      </c>
      <c r="C1268" t="s">
        <v>4125</v>
      </c>
      <c r="D1268" t="s">
        <v>4126</v>
      </c>
      <c r="E1268" t="s">
        <v>1788</v>
      </c>
    </row>
    <row r="1269" spans="1:5" x14ac:dyDescent="0.2">
      <c r="A1269">
        <v>1269</v>
      </c>
      <c r="B1269" t="s">
        <v>670</v>
      </c>
      <c r="C1269" t="s">
        <v>4127</v>
      </c>
      <c r="D1269" t="s">
        <v>4128</v>
      </c>
      <c r="E1269" t="s">
        <v>1788</v>
      </c>
    </row>
    <row r="1270" spans="1:5" x14ac:dyDescent="0.2">
      <c r="A1270">
        <v>1270</v>
      </c>
      <c r="B1270" t="s">
        <v>670</v>
      </c>
      <c r="C1270" t="s">
        <v>4129</v>
      </c>
      <c r="D1270" t="s">
        <v>4130</v>
      </c>
      <c r="E1270" t="s">
        <v>1788</v>
      </c>
    </row>
    <row r="1271" spans="1:5" x14ac:dyDescent="0.2">
      <c r="A1271">
        <v>1271</v>
      </c>
      <c r="B1271" t="s">
        <v>670</v>
      </c>
      <c r="C1271" t="s">
        <v>4131</v>
      </c>
      <c r="D1271" t="s">
        <v>4132</v>
      </c>
      <c r="E1271" t="s">
        <v>1788</v>
      </c>
    </row>
    <row r="1272" spans="1:5" x14ac:dyDescent="0.2">
      <c r="A1272">
        <v>1272</v>
      </c>
      <c r="B1272" t="s">
        <v>670</v>
      </c>
      <c r="C1272" t="s">
        <v>4133</v>
      </c>
      <c r="D1272" t="s">
        <v>4134</v>
      </c>
      <c r="E1272" t="s">
        <v>1788</v>
      </c>
    </row>
    <row r="1273" spans="1:5" x14ac:dyDescent="0.2">
      <c r="A1273">
        <v>1273</v>
      </c>
      <c r="B1273" t="s">
        <v>670</v>
      </c>
      <c r="C1273" t="s">
        <v>4135</v>
      </c>
      <c r="D1273" t="s">
        <v>4136</v>
      </c>
      <c r="E1273" t="s">
        <v>1788</v>
      </c>
    </row>
    <row r="1274" spans="1:5" x14ac:dyDescent="0.2">
      <c r="A1274">
        <v>1274</v>
      </c>
      <c r="B1274" t="s">
        <v>670</v>
      </c>
      <c r="C1274" t="s">
        <v>4137</v>
      </c>
      <c r="D1274" t="s">
        <v>4138</v>
      </c>
      <c r="E1274" t="s">
        <v>1788</v>
      </c>
    </row>
    <row r="1275" spans="1:5" x14ac:dyDescent="0.2">
      <c r="A1275">
        <v>1275</v>
      </c>
      <c r="B1275" t="s">
        <v>670</v>
      </c>
      <c r="C1275" t="s">
        <v>4139</v>
      </c>
      <c r="D1275" t="s">
        <v>4140</v>
      </c>
      <c r="E1275" t="s">
        <v>1788</v>
      </c>
    </row>
    <row r="1276" spans="1:5" x14ac:dyDescent="0.2">
      <c r="A1276">
        <v>1276</v>
      </c>
      <c r="B1276" t="s">
        <v>670</v>
      </c>
      <c r="C1276" t="s">
        <v>4141</v>
      </c>
      <c r="D1276" t="s">
        <v>4142</v>
      </c>
      <c r="E1276" t="s">
        <v>1788</v>
      </c>
    </row>
    <row r="1277" spans="1:5" x14ac:dyDescent="0.2">
      <c r="A1277">
        <v>1277</v>
      </c>
      <c r="B1277" t="s">
        <v>670</v>
      </c>
      <c r="C1277" t="s">
        <v>4143</v>
      </c>
      <c r="D1277" t="s">
        <v>4144</v>
      </c>
      <c r="E1277" t="s">
        <v>1788</v>
      </c>
    </row>
    <row r="1278" spans="1:5" x14ac:dyDescent="0.2">
      <c r="A1278">
        <v>1278</v>
      </c>
      <c r="B1278" t="s">
        <v>670</v>
      </c>
      <c r="C1278" t="s">
        <v>4145</v>
      </c>
      <c r="D1278" t="s">
        <v>4146</v>
      </c>
      <c r="E1278" t="s">
        <v>1788</v>
      </c>
    </row>
    <row r="1279" spans="1:5" x14ac:dyDescent="0.2">
      <c r="A1279">
        <v>1279</v>
      </c>
      <c r="B1279" t="s">
        <v>670</v>
      </c>
      <c r="C1279" t="s">
        <v>4147</v>
      </c>
      <c r="D1279" t="s">
        <v>4148</v>
      </c>
      <c r="E1279" t="s">
        <v>1788</v>
      </c>
    </row>
    <row r="1280" spans="1:5" x14ac:dyDescent="0.2">
      <c r="A1280">
        <v>1280</v>
      </c>
      <c r="B1280" t="s">
        <v>670</v>
      </c>
      <c r="C1280" t="s">
        <v>4149</v>
      </c>
      <c r="D1280" t="s">
        <v>4150</v>
      </c>
      <c r="E1280" t="s">
        <v>1788</v>
      </c>
    </row>
    <row r="1281" spans="1:5" x14ac:dyDescent="0.2">
      <c r="A1281">
        <v>1281</v>
      </c>
      <c r="B1281" t="s">
        <v>670</v>
      </c>
      <c r="C1281" t="s">
        <v>4151</v>
      </c>
      <c r="D1281" t="s">
        <v>4152</v>
      </c>
      <c r="E1281" t="s">
        <v>1788</v>
      </c>
    </row>
    <row r="1282" spans="1:5" x14ac:dyDescent="0.2">
      <c r="A1282">
        <v>1282</v>
      </c>
      <c r="B1282" t="s">
        <v>670</v>
      </c>
      <c r="C1282" t="s">
        <v>4153</v>
      </c>
      <c r="D1282" t="s">
        <v>4154</v>
      </c>
      <c r="E1282" t="s">
        <v>1788</v>
      </c>
    </row>
    <row r="1283" spans="1:5" x14ac:dyDescent="0.2">
      <c r="A1283">
        <v>1283</v>
      </c>
      <c r="B1283" t="s">
        <v>672</v>
      </c>
      <c r="C1283" t="s">
        <v>4155</v>
      </c>
      <c r="D1283" t="s">
        <v>4156</v>
      </c>
      <c r="E1283" t="s">
        <v>4157</v>
      </c>
    </row>
    <row r="1284" spans="1:5" x14ac:dyDescent="0.2">
      <c r="A1284">
        <v>1284</v>
      </c>
      <c r="B1284" t="s">
        <v>672</v>
      </c>
      <c r="C1284" t="s">
        <v>4158</v>
      </c>
      <c r="D1284" t="s">
        <v>4159</v>
      </c>
      <c r="E1284" t="s">
        <v>2113</v>
      </c>
    </row>
    <row r="1285" spans="1:5" x14ac:dyDescent="0.2">
      <c r="A1285">
        <v>1285</v>
      </c>
      <c r="B1285" t="s">
        <v>672</v>
      </c>
      <c r="C1285" t="s">
        <v>4160</v>
      </c>
      <c r="D1285" t="s">
        <v>4161</v>
      </c>
      <c r="E1285" t="s">
        <v>2113</v>
      </c>
    </row>
    <row r="1286" spans="1:5" x14ac:dyDescent="0.2">
      <c r="A1286">
        <v>1286</v>
      </c>
      <c r="B1286" t="s">
        <v>672</v>
      </c>
      <c r="C1286" t="s">
        <v>4162</v>
      </c>
      <c r="D1286" t="s">
        <v>4163</v>
      </c>
      <c r="E1286" t="s">
        <v>2113</v>
      </c>
    </row>
    <row r="1287" spans="1:5" x14ac:dyDescent="0.2">
      <c r="A1287">
        <v>1287</v>
      </c>
      <c r="B1287" t="s">
        <v>672</v>
      </c>
      <c r="C1287" t="s">
        <v>4162</v>
      </c>
      <c r="D1287" t="s">
        <v>4164</v>
      </c>
      <c r="E1287" t="s">
        <v>2113</v>
      </c>
    </row>
    <row r="1288" spans="1:5" x14ac:dyDescent="0.2">
      <c r="A1288">
        <v>1288</v>
      </c>
      <c r="B1288" t="s">
        <v>672</v>
      </c>
      <c r="C1288" t="s">
        <v>4165</v>
      </c>
      <c r="D1288" t="s">
        <v>4166</v>
      </c>
      <c r="E1288" t="s">
        <v>4157</v>
      </c>
    </row>
    <row r="1289" spans="1:5" x14ac:dyDescent="0.2">
      <c r="A1289">
        <v>1289</v>
      </c>
      <c r="B1289" t="s">
        <v>672</v>
      </c>
      <c r="C1289" t="s">
        <v>4165</v>
      </c>
      <c r="D1289" t="s">
        <v>4167</v>
      </c>
      <c r="E1289" t="s">
        <v>4157</v>
      </c>
    </row>
    <row r="1290" spans="1:5" x14ac:dyDescent="0.2">
      <c r="A1290">
        <v>1290</v>
      </c>
      <c r="B1290" t="s">
        <v>672</v>
      </c>
      <c r="C1290" t="s">
        <v>4168</v>
      </c>
      <c r="D1290" t="s">
        <v>4169</v>
      </c>
      <c r="E1290" t="s">
        <v>2113</v>
      </c>
    </row>
    <row r="1291" spans="1:5" x14ac:dyDescent="0.2">
      <c r="A1291">
        <v>1291</v>
      </c>
      <c r="B1291" t="s">
        <v>672</v>
      </c>
      <c r="C1291" t="s">
        <v>4168</v>
      </c>
      <c r="D1291" t="s">
        <v>4170</v>
      </c>
      <c r="E1291" t="s">
        <v>2113</v>
      </c>
    </row>
    <row r="1292" spans="1:5" x14ac:dyDescent="0.2">
      <c r="A1292">
        <v>1292</v>
      </c>
      <c r="B1292" t="s">
        <v>672</v>
      </c>
      <c r="C1292" t="s">
        <v>4171</v>
      </c>
      <c r="D1292" t="s">
        <v>4172</v>
      </c>
      <c r="E1292" t="s">
        <v>2113</v>
      </c>
    </row>
    <row r="1293" spans="1:5" x14ac:dyDescent="0.2">
      <c r="A1293">
        <v>1293</v>
      </c>
      <c r="B1293" t="s">
        <v>672</v>
      </c>
      <c r="C1293" t="s">
        <v>4171</v>
      </c>
      <c r="D1293" t="s">
        <v>4173</v>
      </c>
      <c r="E1293" t="s">
        <v>2113</v>
      </c>
    </row>
    <row r="1294" spans="1:5" x14ac:dyDescent="0.2">
      <c r="A1294">
        <v>1294</v>
      </c>
      <c r="B1294" t="s">
        <v>672</v>
      </c>
      <c r="C1294" t="s">
        <v>4174</v>
      </c>
      <c r="D1294" t="s">
        <v>4175</v>
      </c>
      <c r="E1294" t="s">
        <v>2113</v>
      </c>
    </row>
    <row r="1295" spans="1:5" x14ac:dyDescent="0.2">
      <c r="A1295">
        <v>1295</v>
      </c>
      <c r="B1295" t="s">
        <v>672</v>
      </c>
      <c r="C1295" t="s">
        <v>4174</v>
      </c>
      <c r="D1295" t="s">
        <v>4176</v>
      </c>
      <c r="E1295" t="s">
        <v>2113</v>
      </c>
    </row>
    <row r="1296" spans="1:5" x14ac:dyDescent="0.2">
      <c r="A1296">
        <v>1296</v>
      </c>
      <c r="B1296" t="s">
        <v>672</v>
      </c>
      <c r="C1296" t="s">
        <v>4177</v>
      </c>
      <c r="D1296" t="s">
        <v>4178</v>
      </c>
      <c r="E1296" t="s">
        <v>2113</v>
      </c>
    </row>
    <row r="1297" spans="1:5" x14ac:dyDescent="0.2">
      <c r="A1297">
        <v>1297</v>
      </c>
      <c r="B1297" t="s">
        <v>672</v>
      </c>
      <c r="C1297" t="s">
        <v>4179</v>
      </c>
      <c r="D1297" t="s">
        <v>4180</v>
      </c>
      <c r="E1297" t="s">
        <v>2113</v>
      </c>
    </row>
    <row r="1298" spans="1:5" x14ac:dyDescent="0.2">
      <c r="A1298">
        <v>1298</v>
      </c>
      <c r="B1298" t="s">
        <v>672</v>
      </c>
      <c r="C1298" t="s">
        <v>4177</v>
      </c>
      <c r="D1298" t="s">
        <v>4181</v>
      </c>
      <c r="E1298" t="s">
        <v>2113</v>
      </c>
    </row>
    <row r="1299" spans="1:5" x14ac:dyDescent="0.2">
      <c r="A1299">
        <v>1299</v>
      </c>
      <c r="B1299" t="s">
        <v>672</v>
      </c>
      <c r="C1299" t="s">
        <v>4182</v>
      </c>
      <c r="D1299" t="s">
        <v>4183</v>
      </c>
      <c r="E1299" t="s">
        <v>2113</v>
      </c>
    </row>
    <row r="1300" spans="1:5" x14ac:dyDescent="0.2">
      <c r="A1300">
        <v>1300</v>
      </c>
      <c r="B1300" t="s">
        <v>672</v>
      </c>
      <c r="C1300" t="s">
        <v>4182</v>
      </c>
      <c r="D1300" t="s">
        <v>4184</v>
      </c>
      <c r="E1300" t="s">
        <v>2113</v>
      </c>
    </row>
    <row r="1301" spans="1:5" x14ac:dyDescent="0.2">
      <c r="A1301">
        <v>1301</v>
      </c>
      <c r="B1301" t="s">
        <v>672</v>
      </c>
      <c r="C1301" t="s">
        <v>4179</v>
      </c>
      <c r="D1301" t="s">
        <v>4185</v>
      </c>
      <c r="E1301" t="s">
        <v>2113</v>
      </c>
    </row>
    <row r="1302" spans="1:5" x14ac:dyDescent="0.2">
      <c r="A1302">
        <v>1302</v>
      </c>
      <c r="B1302" t="s">
        <v>672</v>
      </c>
      <c r="C1302" t="s">
        <v>4155</v>
      </c>
      <c r="D1302" t="s">
        <v>4186</v>
      </c>
      <c r="E1302" t="s">
        <v>4157</v>
      </c>
    </row>
    <row r="1303" spans="1:5" x14ac:dyDescent="0.2">
      <c r="A1303">
        <v>1303</v>
      </c>
      <c r="B1303" t="s">
        <v>672</v>
      </c>
      <c r="C1303" t="s">
        <v>4158</v>
      </c>
      <c r="D1303" t="s">
        <v>4187</v>
      </c>
      <c r="E1303" t="s">
        <v>2113</v>
      </c>
    </row>
    <row r="1304" spans="1:5" x14ac:dyDescent="0.2">
      <c r="A1304">
        <v>1304</v>
      </c>
      <c r="B1304" t="s">
        <v>672</v>
      </c>
      <c r="C1304" t="s">
        <v>4160</v>
      </c>
      <c r="D1304" t="s">
        <v>4188</v>
      </c>
      <c r="E1304" t="s">
        <v>2113</v>
      </c>
    </row>
    <row r="1305" spans="1:5" x14ac:dyDescent="0.2">
      <c r="A1305">
        <v>1305</v>
      </c>
      <c r="B1305" t="s">
        <v>681</v>
      </c>
      <c r="C1305" t="s">
        <v>4189</v>
      </c>
      <c r="D1305" t="s">
        <v>2720</v>
      </c>
      <c r="E1305" t="s">
        <v>2383</v>
      </c>
    </row>
    <row r="1306" spans="1:5" x14ac:dyDescent="0.2">
      <c r="A1306">
        <v>1306</v>
      </c>
      <c r="B1306" t="s">
        <v>681</v>
      </c>
      <c r="C1306" t="s">
        <v>4190</v>
      </c>
      <c r="D1306" t="s">
        <v>4191</v>
      </c>
      <c r="E1306" t="s">
        <v>2383</v>
      </c>
    </row>
    <row r="1307" spans="1:5" x14ac:dyDescent="0.2">
      <c r="A1307">
        <v>1307</v>
      </c>
      <c r="B1307" t="s">
        <v>681</v>
      </c>
      <c r="C1307" t="s">
        <v>4192</v>
      </c>
      <c r="D1307" t="s">
        <v>4193</v>
      </c>
      <c r="E1307" t="s">
        <v>2383</v>
      </c>
    </row>
    <row r="1308" spans="1:5" x14ac:dyDescent="0.2">
      <c r="A1308">
        <v>1308</v>
      </c>
      <c r="B1308" t="s">
        <v>681</v>
      </c>
      <c r="C1308" t="s">
        <v>4194</v>
      </c>
      <c r="D1308" t="s">
        <v>4195</v>
      </c>
      <c r="E1308" t="s">
        <v>2021</v>
      </c>
    </row>
    <row r="1309" spans="1:5" x14ac:dyDescent="0.2">
      <c r="A1309">
        <v>1309</v>
      </c>
      <c r="B1309" t="s">
        <v>681</v>
      </c>
      <c r="C1309" t="s">
        <v>4196</v>
      </c>
      <c r="D1309" t="s">
        <v>4197</v>
      </c>
      <c r="E1309" t="s">
        <v>2383</v>
      </c>
    </row>
    <row r="1310" spans="1:5" x14ac:dyDescent="0.2">
      <c r="A1310">
        <v>1310</v>
      </c>
      <c r="B1310" t="s">
        <v>683</v>
      </c>
      <c r="C1310" t="s">
        <v>4198</v>
      </c>
      <c r="D1310" t="s">
        <v>4199</v>
      </c>
      <c r="E1310" t="s">
        <v>2087</v>
      </c>
    </row>
    <row r="1311" spans="1:5" x14ac:dyDescent="0.2">
      <c r="A1311">
        <v>1311</v>
      </c>
      <c r="B1311" t="s">
        <v>683</v>
      </c>
      <c r="C1311" t="s">
        <v>4200</v>
      </c>
      <c r="D1311" t="s">
        <v>4201</v>
      </c>
      <c r="E1311" t="s">
        <v>2087</v>
      </c>
    </row>
    <row r="1312" spans="1:5" x14ac:dyDescent="0.2">
      <c r="A1312">
        <v>1312</v>
      </c>
      <c r="B1312" t="s">
        <v>683</v>
      </c>
      <c r="C1312" t="s">
        <v>4202</v>
      </c>
      <c r="D1312" t="s">
        <v>4203</v>
      </c>
      <c r="E1312" t="s">
        <v>2087</v>
      </c>
    </row>
    <row r="1313" spans="1:5" x14ac:dyDescent="0.2">
      <c r="A1313">
        <v>1313</v>
      </c>
      <c r="B1313" t="s">
        <v>683</v>
      </c>
      <c r="C1313" t="s">
        <v>4204</v>
      </c>
      <c r="D1313" t="s">
        <v>4205</v>
      </c>
      <c r="E1313" t="s">
        <v>2087</v>
      </c>
    </row>
    <row r="1314" spans="1:5" x14ac:dyDescent="0.2">
      <c r="A1314">
        <v>1314</v>
      </c>
      <c r="B1314" t="s">
        <v>683</v>
      </c>
      <c r="C1314" t="s">
        <v>4206</v>
      </c>
      <c r="D1314" t="s">
        <v>4207</v>
      </c>
      <c r="E1314" t="s">
        <v>2087</v>
      </c>
    </row>
    <row r="1315" spans="1:5" x14ac:dyDescent="0.2">
      <c r="A1315">
        <v>1315</v>
      </c>
      <c r="B1315" t="s">
        <v>683</v>
      </c>
      <c r="C1315" t="s">
        <v>4208</v>
      </c>
      <c r="D1315" t="s">
        <v>4209</v>
      </c>
      <c r="E1315" t="s">
        <v>2087</v>
      </c>
    </row>
    <row r="1316" spans="1:5" x14ac:dyDescent="0.2">
      <c r="A1316">
        <v>1316</v>
      </c>
      <c r="B1316" t="s">
        <v>683</v>
      </c>
      <c r="C1316" t="s">
        <v>4210</v>
      </c>
      <c r="D1316" t="s">
        <v>4211</v>
      </c>
      <c r="E1316" t="s">
        <v>2087</v>
      </c>
    </row>
    <row r="1317" spans="1:5" x14ac:dyDescent="0.2">
      <c r="A1317">
        <v>1317</v>
      </c>
      <c r="B1317" t="s">
        <v>683</v>
      </c>
      <c r="C1317" t="s">
        <v>4212</v>
      </c>
      <c r="D1317" t="s">
        <v>4213</v>
      </c>
      <c r="E1317" t="s">
        <v>2087</v>
      </c>
    </row>
    <row r="1318" spans="1:5" x14ac:dyDescent="0.2">
      <c r="A1318">
        <v>1318</v>
      </c>
      <c r="B1318" t="s">
        <v>683</v>
      </c>
      <c r="C1318" t="s">
        <v>4212</v>
      </c>
      <c r="D1318" t="s">
        <v>4214</v>
      </c>
      <c r="E1318" t="s">
        <v>2087</v>
      </c>
    </row>
    <row r="1319" spans="1:5" x14ac:dyDescent="0.2">
      <c r="A1319">
        <v>1319</v>
      </c>
      <c r="B1319" t="s">
        <v>683</v>
      </c>
      <c r="C1319" t="s">
        <v>4204</v>
      </c>
      <c r="D1319" t="s">
        <v>4215</v>
      </c>
      <c r="E1319" t="s">
        <v>2087</v>
      </c>
    </row>
    <row r="1320" spans="1:5" x14ac:dyDescent="0.2">
      <c r="A1320">
        <v>1320</v>
      </c>
      <c r="B1320" t="s">
        <v>683</v>
      </c>
      <c r="C1320" t="s">
        <v>4216</v>
      </c>
      <c r="D1320" t="s">
        <v>4217</v>
      </c>
      <c r="E1320" t="s">
        <v>2087</v>
      </c>
    </row>
    <row r="1321" spans="1:5" x14ac:dyDescent="0.2">
      <c r="A1321">
        <v>1321</v>
      </c>
      <c r="B1321" t="s">
        <v>683</v>
      </c>
      <c r="C1321" t="s">
        <v>4218</v>
      </c>
      <c r="D1321" t="s">
        <v>4219</v>
      </c>
      <c r="E1321" t="s">
        <v>2087</v>
      </c>
    </row>
    <row r="1322" spans="1:5" x14ac:dyDescent="0.2">
      <c r="A1322">
        <v>1322</v>
      </c>
      <c r="B1322" t="s">
        <v>683</v>
      </c>
      <c r="C1322" t="s">
        <v>4220</v>
      </c>
      <c r="D1322" t="s">
        <v>4221</v>
      </c>
      <c r="E1322" t="s">
        <v>2087</v>
      </c>
    </row>
    <row r="1323" spans="1:5" x14ac:dyDescent="0.2">
      <c r="A1323">
        <v>1323</v>
      </c>
      <c r="B1323" t="s">
        <v>683</v>
      </c>
      <c r="C1323" t="s">
        <v>4220</v>
      </c>
      <c r="D1323" t="s">
        <v>4222</v>
      </c>
      <c r="E1323" t="s">
        <v>2087</v>
      </c>
    </row>
    <row r="1324" spans="1:5" x14ac:dyDescent="0.2">
      <c r="A1324">
        <v>1324</v>
      </c>
      <c r="B1324" t="s">
        <v>683</v>
      </c>
      <c r="C1324" t="s">
        <v>4198</v>
      </c>
      <c r="D1324" t="s">
        <v>4223</v>
      </c>
      <c r="E1324" t="s">
        <v>2087</v>
      </c>
    </row>
    <row r="1325" spans="1:5" x14ac:dyDescent="0.2">
      <c r="A1325">
        <v>1325</v>
      </c>
      <c r="B1325" t="s">
        <v>683</v>
      </c>
      <c r="C1325" t="s">
        <v>4224</v>
      </c>
      <c r="D1325" t="s">
        <v>4225</v>
      </c>
      <c r="E1325" t="s">
        <v>2087</v>
      </c>
    </row>
    <row r="1326" spans="1:5" x14ac:dyDescent="0.2">
      <c r="A1326">
        <v>1326</v>
      </c>
      <c r="B1326" t="s">
        <v>683</v>
      </c>
      <c r="C1326" t="s">
        <v>4224</v>
      </c>
      <c r="D1326" t="s">
        <v>4226</v>
      </c>
      <c r="E1326" t="s">
        <v>2087</v>
      </c>
    </row>
    <row r="1327" spans="1:5" x14ac:dyDescent="0.2">
      <c r="A1327">
        <v>1327</v>
      </c>
      <c r="B1327" t="s">
        <v>683</v>
      </c>
      <c r="C1327" t="s">
        <v>4218</v>
      </c>
      <c r="D1327" t="s">
        <v>4227</v>
      </c>
      <c r="E1327" t="s">
        <v>2087</v>
      </c>
    </row>
    <row r="1328" spans="1:5" x14ac:dyDescent="0.2">
      <c r="A1328">
        <v>1328</v>
      </c>
      <c r="B1328" t="s">
        <v>683</v>
      </c>
      <c r="C1328" t="s">
        <v>4216</v>
      </c>
      <c r="D1328" t="s">
        <v>4228</v>
      </c>
      <c r="E1328" t="s">
        <v>2087</v>
      </c>
    </row>
    <row r="1329" spans="1:5" x14ac:dyDescent="0.2">
      <c r="A1329">
        <v>1329</v>
      </c>
      <c r="B1329" t="s">
        <v>683</v>
      </c>
      <c r="C1329" t="s">
        <v>4229</v>
      </c>
      <c r="D1329" t="s">
        <v>4230</v>
      </c>
      <c r="E1329" t="s">
        <v>2087</v>
      </c>
    </row>
    <row r="1330" spans="1:5" x14ac:dyDescent="0.2">
      <c r="A1330">
        <v>1330</v>
      </c>
      <c r="B1330" t="s">
        <v>683</v>
      </c>
      <c r="C1330" t="s">
        <v>4231</v>
      </c>
      <c r="D1330" t="s">
        <v>4232</v>
      </c>
      <c r="E1330" t="s">
        <v>2087</v>
      </c>
    </row>
    <row r="1331" spans="1:5" x14ac:dyDescent="0.2">
      <c r="A1331">
        <v>1331</v>
      </c>
      <c r="B1331" t="s">
        <v>683</v>
      </c>
      <c r="C1331" t="s">
        <v>4233</v>
      </c>
      <c r="D1331" t="s">
        <v>4234</v>
      </c>
      <c r="E1331" t="s">
        <v>2087</v>
      </c>
    </row>
    <row r="1332" spans="1:5" x14ac:dyDescent="0.2">
      <c r="A1332">
        <v>1332</v>
      </c>
      <c r="B1332" t="s">
        <v>683</v>
      </c>
      <c r="C1332" t="s">
        <v>4235</v>
      </c>
      <c r="D1332" t="s">
        <v>4236</v>
      </c>
      <c r="E1332" t="s">
        <v>2087</v>
      </c>
    </row>
    <row r="1333" spans="1:5" x14ac:dyDescent="0.2">
      <c r="A1333">
        <v>1333</v>
      </c>
      <c r="B1333" t="s">
        <v>683</v>
      </c>
      <c r="C1333" t="s">
        <v>4200</v>
      </c>
      <c r="D1333" t="s">
        <v>4237</v>
      </c>
      <c r="E1333" t="s">
        <v>2087</v>
      </c>
    </row>
    <row r="1334" spans="1:5" x14ac:dyDescent="0.2">
      <c r="A1334">
        <v>1334</v>
      </c>
      <c r="B1334" t="s">
        <v>683</v>
      </c>
      <c r="C1334" t="s">
        <v>4238</v>
      </c>
      <c r="D1334" t="s">
        <v>4239</v>
      </c>
      <c r="E1334" t="s">
        <v>2087</v>
      </c>
    </row>
    <row r="1335" spans="1:5" x14ac:dyDescent="0.2">
      <c r="A1335">
        <v>1335</v>
      </c>
      <c r="B1335" t="s">
        <v>683</v>
      </c>
      <c r="C1335" t="s">
        <v>4229</v>
      </c>
      <c r="D1335" t="s">
        <v>4240</v>
      </c>
      <c r="E1335" t="s">
        <v>2087</v>
      </c>
    </row>
    <row r="1336" spans="1:5" x14ac:dyDescent="0.2">
      <c r="A1336">
        <v>1336</v>
      </c>
      <c r="B1336" t="s">
        <v>683</v>
      </c>
      <c r="C1336" t="s">
        <v>4233</v>
      </c>
      <c r="D1336" t="s">
        <v>4241</v>
      </c>
      <c r="E1336" t="s">
        <v>2087</v>
      </c>
    </row>
    <row r="1337" spans="1:5" x14ac:dyDescent="0.2">
      <c r="A1337">
        <v>1337</v>
      </c>
      <c r="B1337" t="s">
        <v>683</v>
      </c>
      <c r="C1337" t="s">
        <v>4231</v>
      </c>
      <c r="D1337" t="s">
        <v>4242</v>
      </c>
      <c r="E1337" t="s">
        <v>2087</v>
      </c>
    </row>
    <row r="1338" spans="1:5" x14ac:dyDescent="0.2">
      <c r="A1338">
        <v>1338</v>
      </c>
      <c r="B1338" t="s">
        <v>683</v>
      </c>
      <c r="C1338" t="s">
        <v>4243</v>
      </c>
      <c r="D1338" t="s">
        <v>4244</v>
      </c>
      <c r="E1338" t="s">
        <v>2087</v>
      </c>
    </row>
    <row r="1339" spans="1:5" x14ac:dyDescent="0.2">
      <c r="A1339">
        <v>1339</v>
      </c>
      <c r="B1339" t="s">
        <v>683</v>
      </c>
      <c r="C1339" t="s">
        <v>4243</v>
      </c>
      <c r="D1339" t="s">
        <v>4245</v>
      </c>
      <c r="E1339" t="s">
        <v>2087</v>
      </c>
    </row>
    <row r="1340" spans="1:5" x14ac:dyDescent="0.2">
      <c r="A1340">
        <v>1340</v>
      </c>
      <c r="B1340" t="s">
        <v>683</v>
      </c>
      <c r="C1340" t="s">
        <v>4246</v>
      </c>
      <c r="D1340" t="s">
        <v>4247</v>
      </c>
      <c r="E1340" t="s">
        <v>2087</v>
      </c>
    </row>
    <row r="1341" spans="1:5" x14ac:dyDescent="0.2">
      <c r="A1341">
        <v>1341</v>
      </c>
      <c r="B1341" t="s">
        <v>683</v>
      </c>
      <c r="C1341" t="s">
        <v>4246</v>
      </c>
      <c r="D1341" t="s">
        <v>4248</v>
      </c>
      <c r="E1341" t="s">
        <v>2087</v>
      </c>
    </row>
    <row r="1342" spans="1:5" x14ac:dyDescent="0.2">
      <c r="A1342">
        <v>1342</v>
      </c>
      <c r="B1342" t="s">
        <v>683</v>
      </c>
      <c r="C1342" t="s">
        <v>4206</v>
      </c>
      <c r="D1342" t="s">
        <v>4249</v>
      </c>
      <c r="E1342" t="s">
        <v>2087</v>
      </c>
    </row>
    <row r="1343" spans="1:5" x14ac:dyDescent="0.2">
      <c r="A1343">
        <v>1343</v>
      </c>
      <c r="B1343" t="s">
        <v>683</v>
      </c>
      <c r="C1343" t="s">
        <v>4210</v>
      </c>
      <c r="D1343" t="s">
        <v>4250</v>
      </c>
      <c r="E1343" t="s">
        <v>2087</v>
      </c>
    </row>
    <row r="1344" spans="1:5" x14ac:dyDescent="0.2">
      <c r="A1344">
        <v>1344</v>
      </c>
      <c r="B1344" t="s">
        <v>683</v>
      </c>
      <c r="C1344" t="s">
        <v>4208</v>
      </c>
      <c r="D1344" t="s">
        <v>4251</v>
      </c>
      <c r="E1344" t="s">
        <v>2087</v>
      </c>
    </row>
    <row r="1345" spans="1:5" x14ac:dyDescent="0.2">
      <c r="A1345">
        <v>1345</v>
      </c>
      <c r="B1345" t="s">
        <v>683</v>
      </c>
      <c r="C1345" t="s">
        <v>4235</v>
      </c>
      <c r="D1345" t="s">
        <v>4252</v>
      </c>
      <c r="E1345" t="s">
        <v>2087</v>
      </c>
    </row>
    <row r="1346" spans="1:5" x14ac:dyDescent="0.2">
      <c r="A1346">
        <v>1346</v>
      </c>
      <c r="B1346" t="s">
        <v>683</v>
      </c>
      <c r="C1346" t="s">
        <v>4202</v>
      </c>
      <c r="D1346" t="s">
        <v>4253</v>
      </c>
      <c r="E1346" t="s">
        <v>2087</v>
      </c>
    </row>
    <row r="1347" spans="1:5" x14ac:dyDescent="0.2">
      <c r="A1347">
        <v>1347</v>
      </c>
      <c r="B1347" t="s">
        <v>683</v>
      </c>
      <c r="C1347" t="s">
        <v>4238</v>
      </c>
      <c r="D1347" t="s">
        <v>4254</v>
      </c>
      <c r="E1347" t="s">
        <v>2087</v>
      </c>
    </row>
    <row r="1348" spans="1:5" x14ac:dyDescent="0.2">
      <c r="A1348">
        <v>1348</v>
      </c>
      <c r="B1348" t="s">
        <v>685</v>
      </c>
      <c r="C1348" t="s">
        <v>4255</v>
      </c>
      <c r="D1348" t="s">
        <v>4256</v>
      </c>
      <c r="E1348" t="s">
        <v>4257</v>
      </c>
    </row>
    <row r="1349" spans="1:5" x14ac:dyDescent="0.2">
      <c r="A1349">
        <v>1349</v>
      </c>
      <c r="B1349" t="s">
        <v>685</v>
      </c>
      <c r="C1349" t="s">
        <v>4258</v>
      </c>
      <c r="D1349" t="s">
        <v>4259</v>
      </c>
      <c r="E1349" t="s">
        <v>4257</v>
      </c>
    </row>
    <row r="1350" spans="1:5" x14ac:dyDescent="0.2">
      <c r="A1350">
        <v>1350</v>
      </c>
      <c r="B1350" t="s">
        <v>685</v>
      </c>
      <c r="C1350" t="s">
        <v>4260</v>
      </c>
      <c r="D1350" t="s">
        <v>4261</v>
      </c>
      <c r="E1350" t="s">
        <v>4257</v>
      </c>
    </row>
    <row r="1351" spans="1:5" x14ac:dyDescent="0.2">
      <c r="A1351">
        <v>1351</v>
      </c>
      <c r="B1351" t="s">
        <v>685</v>
      </c>
      <c r="C1351" t="s">
        <v>4262</v>
      </c>
      <c r="D1351" t="s">
        <v>4263</v>
      </c>
      <c r="E1351" t="s">
        <v>4257</v>
      </c>
    </row>
    <row r="1352" spans="1:5" x14ac:dyDescent="0.2">
      <c r="A1352">
        <v>1352</v>
      </c>
      <c r="B1352" t="s">
        <v>685</v>
      </c>
      <c r="C1352" t="s">
        <v>4264</v>
      </c>
      <c r="D1352" t="s">
        <v>4265</v>
      </c>
      <c r="E1352" t="s">
        <v>4257</v>
      </c>
    </row>
    <row r="1353" spans="1:5" x14ac:dyDescent="0.2">
      <c r="A1353">
        <v>1353</v>
      </c>
      <c r="B1353" t="s">
        <v>685</v>
      </c>
      <c r="C1353" t="s">
        <v>4266</v>
      </c>
      <c r="D1353" t="s">
        <v>4267</v>
      </c>
      <c r="E1353" t="s">
        <v>4268</v>
      </c>
    </row>
    <row r="1354" spans="1:5" x14ac:dyDescent="0.2">
      <c r="A1354">
        <v>1354</v>
      </c>
      <c r="B1354" t="s">
        <v>685</v>
      </c>
      <c r="C1354" t="s">
        <v>4269</v>
      </c>
      <c r="D1354" t="s">
        <v>4270</v>
      </c>
      <c r="E1354" t="s">
        <v>4268</v>
      </c>
    </row>
    <row r="1355" spans="1:5" x14ac:dyDescent="0.2">
      <c r="A1355">
        <v>1355</v>
      </c>
      <c r="B1355" t="s">
        <v>685</v>
      </c>
      <c r="C1355" t="s">
        <v>4271</v>
      </c>
      <c r="D1355" t="s">
        <v>4272</v>
      </c>
      <c r="E1355" t="s">
        <v>4257</v>
      </c>
    </row>
    <row r="1356" spans="1:5" x14ac:dyDescent="0.2">
      <c r="A1356">
        <v>1356</v>
      </c>
      <c r="B1356" t="s">
        <v>685</v>
      </c>
      <c r="C1356" t="s">
        <v>4273</v>
      </c>
      <c r="D1356" t="s">
        <v>4274</v>
      </c>
      <c r="E1356" t="s">
        <v>4257</v>
      </c>
    </row>
    <row r="1357" spans="1:5" x14ac:dyDescent="0.2">
      <c r="A1357">
        <v>1357</v>
      </c>
      <c r="B1357" t="s">
        <v>685</v>
      </c>
      <c r="C1357" t="s">
        <v>4275</v>
      </c>
      <c r="D1357" t="s">
        <v>4276</v>
      </c>
      <c r="E1357" t="s">
        <v>4257</v>
      </c>
    </row>
    <row r="1358" spans="1:5" x14ac:dyDescent="0.2">
      <c r="A1358">
        <v>1358</v>
      </c>
      <c r="B1358" t="s">
        <v>685</v>
      </c>
      <c r="C1358" t="s">
        <v>4277</v>
      </c>
      <c r="D1358" t="s">
        <v>4278</v>
      </c>
      <c r="E1358" t="s">
        <v>4257</v>
      </c>
    </row>
    <row r="1359" spans="1:5" x14ac:dyDescent="0.2">
      <c r="A1359">
        <v>1359</v>
      </c>
      <c r="B1359" t="s">
        <v>685</v>
      </c>
      <c r="C1359" t="s">
        <v>4279</v>
      </c>
      <c r="D1359" t="s">
        <v>4280</v>
      </c>
      <c r="E1359" t="s">
        <v>4257</v>
      </c>
    </row>
    <row r="1360" spans="1:5" x14ac:dyDescent="0.2">
      <c r="A1360">
        <v>1360</v>
      </c>
      <c r="B1360" t="s">
        <v>685</v>
      </c>
      <c r="C1360" t="s">
        <v>4281</v>
      </c>
      <c r="D1360" t="s">
        <v>4282</v>
      </c>
      <c r="E1360" t="s">
        <v>4268</v>
      </c>
    </row>
    <row r="1361" spans="1:5" x14ac:dyDescent="0.2">
      <c r="A1361">
        <v>1361</v>
      </c>
      <c r="B1361" t="s">
        <v>685</v>
      </c>
      <c r="C1361" t="s">
        <v>4283</v>
      </c>
      <c r="D1361" t="s">
        <v>4284</v>
      </c>
      <c r="E1361" t="s">
        <v>4257</v>
      </c>
    </row>
    <row r="1362" spans="1:5" x14ac:dyDescent="0.2">
      <c r="A1362">
        <v>1362</v>
      </c>
      <c r="B1362" t="s">
        <v>685</v>
      </c>
      <c r="C1362" t="s">
        <v>4285</v>
      </c>
      <c r="D1362" t="s">
        <v>4286</v>
      </c>
      <c r="E1362" t="s">
        <v>4257</v>
      </c>
    </row>
    <row r="1363" spans="1:5" x14ac:dyDescent="0.2">
      <c r="A1363">
        <v>1363</v>
      </c>
      <c r="B1363" t="s">
        <v>685</v>
      </c>
      <c r="C1363" t="s">
        <v>4287</v>
      </c>
      <c r="D1363" t="s">
        <v>4288</v>
      </c>
      <c r="E1363" t="s">
        <v>4268</v>
      </c>
    </row>
    <row r="1364" spans="1:5" x14ac:dyDescent="0.2">
      <c r="A1364">
        <v>1364</v>
      </c>
      <c r="B1364" t="s">
        <v>685</v>
      </c>
      <c r="C1364" t="s">
        <v>4289</v>
      </c>
      <c r="D1364" t="s">
        <v>4290</v>
      </c>
      <c r="E1364" t="s">
        <v>4257</v>
      </c>
    </row>
    <row r="1365" spans="1:5" x14ac:dyDescent="0.2">
      <c r="A1365">
        <v>1365</v>
      </c>
      <c r="B1365" t="s">
        <v>685</v>
      </c>
      <c r="C1365" t="s">
        <v>4291</v>
      </c>
      <c r="D1365" t="s">
        <v>4292</v>
      </c>
      <c r="E1365" t="s">
        <v>4268</v>
      </c>
    </row>
    <row r="1366" spans="1:5" x14ac:dyDescent="0.2">
      <c r="A1366">
        <v>1366</v>
      </c>
      <c r="B1366" t="s">
        <v>685</v>
      </c>
      <c r="C1366" t="s">
        <v>4293</v>
      </c>
      <c r="D1366" t="s">
        <v>4294</v>
      </c>
      <c r="E1366" t="s">
        <v>4268</v>
      </c>
    </row>
    <row r="1367" spans="1:5" x14ac:dyDescent="0.2">
      <c r="A1367">
        <v>1367</v>
      </c>
      <c r="B1367" t="s">
        <v>685</v>
      </c>
      <c r="C1367" t="s">
        <v>4295</v>
      </c>
      <c r="D1367" t="s">
        <v>4296</v>
      </c>
      <c r="E1367" t="s">
        <v>4257</v>
      </c>
    </row>
    <row r="1368" spans="1:5" x14ac:dyDescent="0.2">
      <c r="A1368">
        <v>1368</v>
      </c>
      <c r="B1368" t="s">
        <v>685</v>
      </c>
      <c r="C1368" t="s">
        <v>4297</v>
      </c>
      <c r="D1368" t="s">
        <v>4298</v>
      </c>
      <c r="E1368" t="s">
        <v>4257</v>
      </c>
    </row>
    <row r="1369" spans="1:5" x14ac:dyDescent="0.2">
      <c r="A1369">
        <v>1369</v>
      </c>
      <c r="B1369" t="s">
        <v>685</v>
      </c>
      <c r="C1369" t="s">
        <v>4299</v>
      </c>
      <c r="D1369" t="s">
        <v>2875</v>
      </c>
      <c r="E1369" t="s">
        <v>4268</v>
      </c>
    </row>
    <row r="1370" spans="1:5" x14ac:dyDescent="0.2">
      <c r="A1370">
        <v>1370</v>
      </c>
      <c r="B1370" t="s">
        <v>685</v>
      </c>
      <c r="C1370" t="s">
        <v>4300</v>
      </c>
      <c r="D1370" t="s">
        <v>4301</v>
      </c>
      <c r="E1370" t="s">
        <v>4268</v>
      </c>
    </row>
    <row r="1371" spans="1:5" x14ac:dyDescent="0.2">
      <c r="A1371">
        <v>1371</v>
      </c>
      <c r="B1371" t="s">
        <v>685</v>
      </c>
      <c r="C1371" t="s">
        <v>4302</v>
      </c>
      <c r="D1371" t="s">
        <v>4303</v>
      </c>
      <c r="E1371" t="s">
        <v>4257</v>
      </c>
    </row>
    <row r="1372" spans="1:5" x14ac:dyDescent="0.2">
      <c r="A1372">
        <v>1372</v>
      </c>
      <c r="B1372" t="s">
        <v>685</v>
      </c>
      <c r="C1372" t="s">
        <v>4304</v>
      </c>
      <c r="D1372" t="s">
        <v>4305</v>
      </c>
      <c r="E1372" t="s">
        <v>4257</v>
      </c>
    </row>
    <row r="1373" spans="1:5" x14ac:dyDescent="0.2">
      <c r="A1373">
        <v>1373</v>
      </c>
      <c r="B1373" t="s">
        <v>685</v>
      </c>
      <c r="C1373" t="s">
        <v>4306</v>
      </c>
      <c r="D1373" t="s">
        <v>4307</v>
      </c>
      <c r="E1373" t="s">
        <v>4257</v>
      </c>
    </row>
    <row r="1374" spans="1:5" x14ac:dyDescent="0.2">
      <c r="A1374">
        <v>1374</v>
      </c>
      <c r="B1374" t="s">
        <v>685</v>
      </c>
      <c r="C1374" t="s">
        <v>4308</v>
      </c>
      <c r="D1374" t="s">
        <v>4309</v>
      </c>
      <c r="E1374" t="s">
        <v>2021</v>
      </c>
    </row>
    <row r="1375" spans="1:5" x14ac:dyDescent="0.2">
      <c r="A1375">
        <v>1375</v>
      </c>
      <c r="B1375" t="s">
        <v>685</v>
      </c>
      <c r="C1375" t="s">
        <v>4310</v>
      </c>
      <c r="D1375" t="s">
        <v>4311</v>
      </c>
      <c r="E1375" t="s">
        <v>4257</v>
      </c>
    </row>
    <row r="1376" spans="1:5" x14ac:dyDescent="0.2">
      <c r="A1376">
        <v>1376</v>
      </c>
      <c r="B1376" t="s">
        <v>685</v>
      </c>
      <c r="C1376" t="s">
        <v>4312</v>
      </c>
      <c r="D1376" t="s">
        <v>4313</v>
      </c>
      <c r="E1376" t="s">
        <v>4268</v>
      </c>
    </row>
    <row r="1377" spans="1:5" x14ac:dyDescent="0.2">
      <c r="A1377">
        <v>1377</v>
      </c>
      <c r="B1377" t="s">
        <v>685</v>
      </c>
      <c r="C1377" t="s">
        <v>4314</v>
      </c>
      <c r="D1377" t="s">
        <v>4315</v>
      </c>
      <c r="E1377" t="s">
        <v>4257</v>
      </c>
    </row>
    <row r="1378" spans="1:5" x14ac:dyDescent="0.2">
      <c r="A1378">
        <v>1378</v>
      </c>
      <c r="B1378" t="s">
        <v>685</v>
      </c>
      <c r="C1378" t="s">
        <v>4316</v>
      </c>
      <c r="D1378" t="s">
        <v>4317</v>
      </c>
      <c r="E1378" t="s">
        <v>4257</v>
      </c>
    </row>
    <row r="1379" spans="1:5" x14ac:dyDescent="0.2">
      <c r="A1379">
        <v>1379</v>
      </c>
      <c r="B1379" t="s">
        <v>685</v>
      </c>
      <c r="C1379" t="s">
        <v>4318</v>
      </c>
      <c r="D1379" t="s">
        <v>4319</v>
      </c>
      <c r="E1379" t="s">
        <v>4257</v>
      </c>
    </row>
    <row r="1380" spans="1:5" x14ac:dyDescent="0.2">
      <c r="A1380">
        <v>1380</v>
      </c>
      <c r="B1380" t="s">
        <v>685</v>
      </c>
      <c r="C1380" t="s">
        <v>4320</v>
      </c>
      <c r="D1380" t="s">
        <v>4321</v>
      </c>
      <c r="E1380" t="s">
        <v>4257</v>
      </c>
    </row>
    <row r="1381" spans="1:5" x14ac:dyDescent="0.2">
      <c r="A1381">
        <v>1381</v>
      </c>
      <c r="B1381" t="s">
        <v>685</v>
      </c>
      <c r="C1381" t="s">
        <v>4322</v>
      </c>
      <c r="D1381" t="s">
        <v>4323</v>
      </c>
      <c r="E1381" t="s">
        <v>4257</v>
      </c>
    </row>
    <row r="1382" spans="1:5" x14ac:dyDescent="0.2">
      <c r="A1382">
        <v>1382</v>
      </c>
      <c r="B1382" t="s">
        <v>685</v>
      </c>
      <c r="C1382" t="s">
        <v>4324</v>
      </c>
      <c r="D1382" t="s">
        <v>4325</v>
      </c>
      <c r="E1382" t="s">
        <v>4257</v>
      </c>
    </row>
    <row r="1383" spans="1:5" x14ac:dyDescent="0.2">
      <c r="A1383">
        <v>1383</v>
      </c>
      <c r="B1383" t="s">
        <v>685</v>
      </c>
      <c r="C1383" t="s">
        <v>4326</v>
      </c>
      <c r="D1383" t="s">
        <v>4327</v>
      </c>
      <c r="E1383" t="s">
        <v>4257</v>
      </c>
    </row>
    <row r="1384" spans="1:5" x14ac:dyDescent="0.2">
      <c r="A1384">
        <v>1384</v>
      </c>
      <c r="B1384" t="s">
        <v>685</v>
      </c>
      <c r="C1384" t="s">
        <v>4328</v>
      </c>
      <c r="D1384" t="s">
        <v>4329</v>
      </c>
      <c r="E1384" t="s">
        <v>4257</v>
      </c>
    </row>
    <row r="1385" spans="1:5" x14ac:dyDescent="0.2">
      <c r="A1385">
        <v>1385</v>
      </c>
      <c r="B1385" t="s">
        <v>685</v>
      </c>
      <c r="C1385" t="s">
        <v>4330</v>
      </c>
      <c r="D1385" t="s">
        <v>4331</v>
      </c>
      <c r="E1385" t="s">
        <v>4257</v>
      </c>
    </row>
    <row r="1386" spans="1:5" x14ac:dyDescent="0.2">
      <c r="A1386">
        <v>1386</v>
      </c>
      <c r="B1386" t="s">
        <v>685</v>
      </c>
      <c r="C1386" t="s">
        <v>4332</v>
      </c>
      <c r="D1386" t="s">
        <v>4333</v>
      </c>
      <c r="E1386" t="s">
        <v>4257</v>
      </c>
    </row>
    <row r="1387" spans="1:5" x14ac:dyDescent="0.2">
      <c r="A1387">
        <v>1387</v>
      </c>
      <c r="B1387" t="s">
        <v>685</v>
      </c>
      <c r="C1387" t="s">
        <v>4334</v>
      </c>
      <c r="D1387" t="s">
        <v>4335</v>
      </c>
      <c r="E1387" t="s">
        <v>4257</v>
      </c>
    </row>
    <row r="1388" spans="1:5" x14ac:dyDescent="0.2">
      <c r="A1388">
        <v>1388</v>
      </c>
      <c r="B1388" t="s">
        <v>685</v>
      </c>
      <c r="C1388" t="s">
        <v>4336</v>
      </c>
      <c r="D1388" t="s">
        <v>4337</v>
      </c>
      <c r="E1388" t="s">
        <v>4257</v>
      </c>
    </row>
    <row r="1389" spans="1:5" x14ac:dyDescent="0.2">
      <c r="A1389">
        <v>1389</v>
      </c>
      <c r="B1389" t="s">
        <v>685</v>
      </c>
      <c r="C1389" t="s">
        <v>4338</v>
      </c>
      <c r="D1389" t="s">
        <v>4339</v>
      </c>
      <c r="E1389" t="s">
        <v>4268</v>
      </c>
    </row>
    <row r="1390" spans="1:5" x14ac:dyDescent="0.2">
      <c r="A1390">
        <v>1390</v>
      </c>
      <c r="B1390" t="s">
        <v>685</v>
      </c>
      <c r="C1390" t="s">
        <v>4340</v>
      </c>
      <c r="D1390" t="s">
        <v>4341</v>
      </c>
      <c r="E1390" t="s">
        <v>4257</v>
      </c>
    </row>
    <row r="1391" spans="1:5" x14ac:dyDescent="0.2">
      <c r="A1391">
        <v>1391</v>
      </c>
      <c r="B1391" t="s">
        <v>685</v>
      </c>
      <c r="C1391" t="s">
        <v>4342</v>
      </c>
      <c r="D1391" t="s">
        <v>4343</v>
      </c>
      <c r="E1391" t="s">
        <v>4257</v>
      </c>
    </row>
    <row r="1392" spans="1:5" x14ac:dyDescent="0.2">
      <c r="A1392">
        <v>1392</v>
      </c>
      <c r="B1392" t="s">
        <v>685</v>
      </c>
      <c r="C1392" t="s">
        <v>4344</v>
      </c>
      <c r="D1392" t="s">
        <v>4345</v>
      </c>
      <c r="E1392" t="s">
        <v>4257</v>
      </c>
    </row>
    <row r="1393" spans="1:5" x14ac:dyDescent="0.2">
      <c r="A1393">
        <v>1393</v>
      </c>
      <c r="B1393" t="s">
        <v>685</v>
      </c>
      <c r="C1393" t="s">
        <v>4346</v>
      </c>
      <c r="D1393" t="s">
        <v>4347</v>
      </c>
      <c r="E1393" t="s">
        <v>4348</v>
      </c>
    </row>
    <row r="1394" spans="1:5" x14ac:dyDescent="0.2">
      <c r="A1394">
        <v>1394</v>
      </c>
      <c r="B1394" t="s">
        <v>685</v>
      </c>
      <c r="C1394" t="s">
        <v>4349</v>
      </c>
      <c r="D1394" t="s">
        <v>4350</v>
      </c>
      <c r="E1394" t="s">
        <v>4348</v>
      </c>
    </row>
    <row r="1395" spans="1:5" x14ac:dyDescent="0.2">
      <c r="A1395">
        <v>1395</v>
      </c>
      <c r="B1395" t="s">
        <v>685</v>
      </c>
      <c r="C1395" t="s">
        <v>4351</v>
      </c>
      <c r="D1395" t="s">
        <v>4352</v>
      </c>
      <c r="E1395" t="s">
        <v>4257</v>
      </c>
    </row>
    <row r="1396" spans="1:5" x14ac:dyDescent="0.2">
      <c r="A1396">
        <v>1396</v>
      </c>
      <c r="B1396" t="s">
        <v>685</v>
      </c>
      <c r="C1396" t="s">
        <v>4353</v>
      </c>
      <c r="D1396" t="s">
        <v>4354</v>
      </c>
      <c r="E1396" t="s">
        <v>4257</v>
      </c>
    </row>
    <row r="1397" spans="1:5" x14ac:dyDescent="0.2">
      <c r="A1397">
        <v>1397</v>
      </c>
      <c r="B1397" t="s">
        <v>685</v>
      </c>
      <c r="C1397" t="s">
        <v>4355</v>
      </c>
      <c r="D1397" t="s">
        <v>4356</v>
      </c>
      <c r="E1397" t="s">
        <v>4257</v>
      </c>
    </row>
    <row r="1398" spans="1:5" x14ac:dyDescent="0.2">
      <c r="A1398">
        <v>1398</v>
      </c>
      <c r="B1398" t="s">
        <v>685</v>
      </c>
      <c r="C1398" t="s">
        <v>4357</v>
      </c>
      <c r="D1398" t="s">
        <v>4358</v>
      </c>
      <c r="E1398" t="s">
        <v>4257</v>
      </c>
    </row>
    <row r="1399" spans="1:5" x14ac:dyDescent="0.2">
      <c r="A1399">
        <v>1399</v>
      </c>
      <c r="B1399" t="s">
        <v>685</v>
      </c>
      <c r="C1399" t="s">
        <v>4359</v>
      </c>
      <c r="D1399" t="s">
        <v>4360</v>
      </c>
      <c r="E1399" t="s">
        <v>4257</v>
      </c>
    </row>
    <row r="1400" spans="1:5" x14ac:dyDescent="0.2">
      <c r="A1400">
        <v>1400</v>
      </c>
      <c r="B1400" t="s">
        <v>685</v>
      </c>
      <c r="C1400" t="s">
        <v>4361</v>
      </c>
      <c r="D1400" t="s">
        <v>4362</v>
      </c>
      <c r="E1400" t="s">
        <v>4268</v>
      </c>
    </row>
    <row r="1401" spans="1:5" x14ac:dyDescent="0.2">
      <c r="A1401">
        <v>1401</v>
      </c>
      <c r="B1401" t="s">
        <v>685</v>
      </c>
      <c r="C1401" t="s">
        <v>4363</v>
      </c>
      <c r="D1401" t="s">
        <v>4364</v>
      </c>
      <c r="E1401" t="s">
        <v>4257</v>
      </c>
    </row>
    <row r="1402" spans="1:5" x14ac:dyDescent="0.2">
      <c r="A1402">
        <v>1402</v>
      </c>
      <c r="B1402" t="s">
        <v>685</v>
      </c>
      <c r="C1402" t="s">
        <v>4365</v>
      </c>
      <c r="D1402" t="s">
        <v>4366</v>
      </c>
      <c r="E1402" t="s">
        <v>4257</v>
      </c>
    </row>
    <row r="1403" spans="1:5" x14ac:dyDescent="0.2">
      <c r="A1403">
        <v>1403</v>
      </c>
      <c r="B1403" t="s">
        <v>685</v>
      </c>
      <c r="C1403" t="s">
        <v>4367</v>
      </c>
      <c r="D1403" t="s">
        <v>4368</v>
      </c>
      <c r="E1403" t="s">
        <v>4257</v>
      </c>
    </row>
    <row r="1404" spans="1:5" x14ac:dyDescent="0.2">
      <c r="A1404">
        <v>1404</v>
      </c>
      <c r="B1404" t="s">
        <v>685</v>
      </c>
      <c r="C1404" t="s">
        <v>4369</v>
      </c>
      <c r="D1404" t="s">
        <v>4370</v>
      </c>
      <c r="E1404" t="s">
        <v>4257</v>
      </c>
    </row>
    <row r="1405" spans="1:5" x14ac:dyDescent="0.2">
      <c r="A1405">
        <v>1405</v>
      </c>
      <c r="B1405" t="s">
        <v>685</v>
      </c>
      <c r="C1405" t="s">
        <v>4371</v>
      </c>
      <c r="D1405" t="s">
        <v>4372</v>
      </c>
      <c r="E1405" t="s">
        <v>4257</v>
      </c>
    </row>
    <row r="1406" spans="1:5" x14ac:dyDescent="0.2">
      <c r="A1406">
        <v>1406</v>
      </c>
      <c r="B1406" t="s">
        <v>685</v>
      </c>
      <c r="C1406" t="s">
        <v>4373</v>
      </c>
      <c r="D1406" t="s">
        <v>4374</v>
      </c>
      <c r="E1406" t="s">
        <v>4257</v>
      </c>
    </row>
    <row r="1407" spans="1:5" x14ac:dyDescent="0.2">
      <c r="A1407">
        <v>1407</v>
      </c>
      <c r="B1407" t="s">
        <v>685</v>
      </c>
      <c r="C1407" t="s">
        <v>4375</v>
      </c>
      <c r="D1407" t="s">
        <v>4376</v>
      </c>
      <c r="E1407" t="s">
        <v>4257</v>
      </c>
    </row>
    <row r="1408" spans="1:5" x14ac:dyDescent="0.2">
      <c r="A1408">
        <v>1408</v>
      </c>
      <c r="B1408" t="s">
        <v>685</v>
      </c>
      <c r="C1408" t="s">
        <v>4377</v>
      </c>
      <c r="D1408" t="s">
        <v>4378</v>
      </c>
      <c r="E1408" t="s">
        <v>4257</v>
      </c>
    </row>
    <row r="1409" spans="1:5" x14ac:dyDescent="0.2">
      <c r="A1409">
        <v>1409</v>
      </c>
      <c r="B1409" t="s">
        <v>685</v>
      </c>
      <c r="C1409" t="s">
        <v>4379</v>
      </c>
      <c r="D1409" t="s">
        <v>4380</v>
      </c>
      <c r="E1409" t="s">
        <v>4257</v>
      </c>
    </row>
    <row r="1410" spans="1:5" x14ac:dyDescent="0.2">
      <c r="A1410">
        <v>1410</v>
      </c>
      <c r="B1410" t="s">
        <v>685</v>
      </c>
      <c r="C1410" t="s">
        <v>4381</v>
      </c>
      <c r="D1410" t="s">
        <v>4382</v>
      </c>
      <c r="E1410" t="s">
        <v>4257</v>
      </c>
    </row>
    <row r="1411" spans="1:5" x14ac:dyDescent="0.2">
      <c r="A1411">
        <v>1411</v>
      </c>
      <c r="B1411" t="s">
        <v>685</v>
      </c>
      <c r="C1411" t="s">
        <v>4383</v>
      </c>
      <c r="D1411" t="s">
        <v>4384</v>
      </c>
      <c r="E1411" t="s">
        <v>4257</v>
      </c>
    </row>
    <row r="1412" spans="1:5" x14ac:dyDescent="0.2">
      <c r="A1412">
        <v>1412</v>
      </c>
      <c r="B1412" t="s">
        <v>685</v>
      </c>
      <c r="C1412" t="s">
        <v>4385</v>
      </c>
      <c r="D1412" t="s">
        <v>4386</v>
      </c>
      <c r="E1412" t="s">
        <v>4257</v>
      </c>
    </row>
    <row r="1413" spans="1:5" x14ac:dyDescent="0.2">
      <c r="A1413">
        <v>1413</v>
      </c>
      <c r="B1413" t="s">
        <v>685</v>
      </c>
      <c r="C1413" t="s">
        <v>4387</v>
      </c>
      <c r="D1413" t="s">
        <v>4388</v>
      </c>
      <c r="E1413" t="s">
        <v>4348</v>
      </c>
    </row>
    <row r="1414" spans="1:5" x14ac:dyDescent="0.2">
      <c r="A1414">
        <v>1414</v>
      </c>
      <c r="B1414" t="s">
        <v>685</v>
      </c>
      <c r="C1414" t="s">
        <v>4389</v>
      </c>
      <c r="D1414" t="s">
        <v>4390</v>
      </c>
      <c r="E1414" t="s">
        <v>4257</v>
      </c>
    </row>
    <row r="1415" spans="1:5" x14ac:dyDescent="0.2">
      <c r="A1415">
        <v>1415</v>
      </c>
      <c r="B1415" t="s">
        <v>685</v>
      </c>
      <c r="C1415" t="s">
        <v>4391</v>
      </c>
      <c r="D1415" t="s">
        <v>4392</v>
      </c>
      <c r="E1415" t="s">
        <v>4268</v>
      </c>
    </row>
    <row r="1416" spans="1:5" x14ac:dyDescent="0.2">
      <c r="A1416">
        <v>1416</v>
      </c>
      <c r="B1416" t="s">
        <v>685</v>
      </c>
      <c r="C1416" t="s">
        <v>4393</v>
      </c>
      <c r="D1416" t="s">
        <v>4394</v>
      </c>
      <c r="E1416" t="s">
        <v>4268</v>
      </c>
    </row>
    <row r="1417" spans="1:5" x14ac:dyDescent="0.2">
      <c r="A1417">
        <v>1417</v>
      </c>
      <c r="B1417" t="s">
        <v>685</v>
      </c>
      <c r="C1417" t="s">
        <v>4395</v>
      </c>
      <c r="D1417" t="s">
        <v>4396</v>
      </c>
      <c r="E1417" t="s">
        <v>4257</v>
      </c>
    </row>
    <row r="1418" spans="1:5" x14ac:dyDescent="0.2">
      <c r="A1418">
        <v>1418</v>
      </c>
      <c r="B1418" t="s">
        <v>685</v>
      </c>
      <c r="C1418" t="s">
        <v>4397</v>
      </c>
      <c r="D1418" t="s">
        <v>4398</v>
      </c>
      <c r="E1418" t="s">
        <v>4257</v>
      </c>
    </row>
    <row r="1419" spans="1:5" x14ac:dyDescent="0.2">
      <c r="A1419">
        <v>1419</v>
      </c>
      <c r="B1419" t="s">
        <v>685</v>
      </c>
      <c r="C1419" t="s">
        <v>4399</v>
      </c>
      <c r="D1419" t="s">
        <v>4400</v>
      </c>
      <c r="E1419" t="s">
        <v>4257</v>
      </c>
    </row>
    <row r="1420" spans="1:5" x14ac:dyDescent="0.2">
      <c r="A1420">
        <v>1420</v>
      </c>
      <c r="B1420" t="s">
        <v>685</v>
      </c>
      <c r="C1420" t="s">
        <v>4401</v>
      </c>
      <c r="D1420" t="s">
        <v>4402</v>
      </c>
      <c r="E1420" t="s">
        <v>4257</v>
      </c>
    </row>
    <row r="1421" spans="1:5" x14ac:dyDescent="0.2">
      <c r="A1421">
        <v>1421</v>
      </c>
      <c r="B1421" t="s">
        <v>685</v>
      </c>
      <c r="C1421" t="s">
        <v>4403</v>
      </c>
      <c r="D1421" t="s">
        <v>4404</v>
      </c>
      <c r="E1421" t="s">
        <v>4268</v>
      </c>
    </row>
    <row r="1422" spans="1:5" x14ac:dyDescent="0.2">
      <c r="A1422">
        <v>1422</v>
      </c>
      <c r="B1422" t="s">
        <v>685</v>
      </c>
      <c r="C1422" t="s">
        <v>4405</v>
      </c>
      <c r="D1422" t="s">
        <v>4406</v>
      </c>
      <c r="E1422" t="s">
        <v>4257</v>
      </c>
    </row>
    <row r="1423" spans="1:5" x14ac:dyDescent="0.2">
      <c r="A1423">
        <v>1423</v>
      </c>
      <c r="B1423" t="s">
        <v>685</v>
      </c>
      <c r="C1423" t="s">
        <v>4407</v>
      </c>
      <c r="D1423" t="s">
        <v>4408</v>
      </c>
      <c r="E1423" t="s">
        <v>4257</v>
      </c>
    </row>
    <row r="1424" spans="1:5" x14ac:dyDescent="0.2">
      <c r="A1424">
        <v>1424</v>
      </c>
      <c r="B1424" t="s">
        <v>685</v>
      </c>
      <c r="C1424" t="s">
        <v>4409</v>
      </c>
      <c r="D1424" t="s">
        <v>4410</v>
      </c>
      <c r="E1424" t="s">
        <v>4257</v>
      </c>
    </row>
    <row r="1425" spans="1:5" x14ac:dyDescent="0.2">
      <c r="A1425">
        <v>1425</v>
      </c>
      <c r="B1425" t="s">
        <v>685</v>
      </c>
      <c r="C1425" t="s">
        <v>4411</v>
      </c>
      <c r="D1425" t="s">
        <v>4412</v>
      </c>
      <c r="E1425" t="s">
        <v>4257</v>
      </c>
    </row>
    <row r="1426" spans="1:5" x14ac:dyDescent="0.2">
      <c r="A1426">
        <v>1426</v>
      </c>
      <c r="B1426" t="s">
        <v>685</v>
      </c>
      <c r="C1426" t="s">
        <v>4413</v>
      </c>
      <c r="D1426" t="s">
        <v>4414</v>
      </c>
      <c r="E1426" t="s">
        <v>4257</v>
      </c>
    </row>
    <row r="1427" spans="1:5" x14ac:dyDescent="0.2">
      <c r="A1427">
        <v>1427</v>
      </c>
      <c r="B1427" t="s">
        <v>685</v>
      </c>
      <c r="C1427" t="s">
        <v>4415</v>
      </c>
      <c r="D1427" t="s">
        <v>4416</v>
      </c>
      <c r="E1427" t="s">
        <v>4257</v>
      </c>
    </row>
    <row r="1428" spans="1:5" x14ac:dyDescent="0.2">
      <c r="A1428">
        <v>1428</v>
      </c>
      <c r="B1428" t="s">
        <v>685</v>
      </c>
      <c r="C1428" t="s">
        <v>4417</v>
      </c>
      <c r="D1428" t="s">
        <v>4418</v>
      </c>
      <c r="E1428" t="s">
        <v>4348</v>
      </c>
    </row>
    <row r="1429" spans="1:5" x14ac:dyDescent="0.2">
      <c r="A1429">
        <v>1429</v>
      </c>
      <c r="B1429" t="s">
        <v>685</v>
      </c>
      <c r="C1429" t="s">
        <v>4419</v>
      </c>
      <c r="D1429" t="s">
        <v>4420</v>
      </c>
      <c r="E1429" t="s">
        <v>4257</v>
      </c>
    </row>
    <row r="1430" spans="1:5" x14ac:dyDescent="0.2">
      <c r="A1430">
        <v>1430</v>
      </c>
      <c r="B1430" t="s">
        <v>685</v>
      </c>
      <c r="C1430" t="s">
        <v>4421</v>
      </c>
      <c r="D1430" t="s">
        <v>4422</v>
      </c>
      <c r="E1430" t="s">
        <v>4348</v>
      </c>
    </row>
    <row r="1431" spans="1:5" x14ac:dyDescent="0.2">
      <c r="A1431">
        <v>1431</v>
      </c>
      <c r="B1431" t="s">
        <v>685</v>
      </c>
      <c r="C1431" t="s">
        <v>4423</v>
      </c>
      <c r="D1431" t="s">
        <v>4424</v>
      </c>
      <c r="E1431" t="s">
        <v>4257</v>
      </c>
    </row>
    <row r="1432" spans="1:5" x14ac:dyDescent="0.2">
      <c r="A1432">
        <v>1432</v>
      </c>
      <c r="B1432" t="s">
        <v>685</v>
      </c>
      <c r="C1432" t="s">
        <v>4425</v>
      </c>
      <c r="D1432" t="s">
        <v>4426</v>
      </c>
      <c r="E1432" t="s">
        <v>4257</v>
      </c>
    </row>
    <row r="1433" spans="1:5" x14ac:dyDescent="0.2">
      <c r="A1433">
        <v>1433</v>
      </c>
      <c r="B1433" t="s">
        <v>685</v>
      </c>
      <c r="C1433" t="s">
        <v>4427</v>
      </c>
      <c r="D1433" t="s">
        <v>4428</v>
      </c>
      <c r="E1433" t="s">
        <v>4268</v>
      </c>
    </row>
    <row r="1434" spans="1:5" x14ac:dyDescent="0.2">
      <c r="A1434">
        <v>1434</v>
      </c>
      <c r="B1434" t="s">
        <v>685</v>
      </c>
      <c r="C1434" t="s">
        <v>4429</v>
      </c>
      <c r="D1434" t="s">
        <v>4430</v>
      </c>
      <c r="E1434" t="s">
        <v>4257</v>
      </c>
    </row>
    <row r="1435" spans="1:5" x14ac:dyDescent="0.2">
      <c r="A1435">
        <v>1435</v>
      </c>
      <c r="B1435" t="s">
        <v>685</v>
      </c>
      <c r="C1435" t="s">
        <v>4431</v>
      </c>
      <c r="D1435" t="s">
        <v>4432</v>
      </c>
      <c r="E1435" t="s">
        <v>4257</v>
      </c>
    </row>
    <row r="1436" spans="1:5" x14ac:dyDescent="0.2">
      <c r="A1436">
        <v>1436</v>
      </c>
      <c r="B1436" t="s">
        <v>685</v>
      </c>
      <c r="C1436" t="s">
        <v>4433</v>
      </c>
      <c r="D1436" t="s">
        <v>4434</v>
      </c>
      <c r="E1436" t="s">
        <v>4257</v>
      </c>
    </row>
    <row r="1437" spans="1:5" x14ac:dyDescent="0.2">
      <c r="A1437">
        <v>1437</v>
      </c>
      <c r="B1437" t="s">
        <v>685</v>
      </c>
      <c r="C1437" t="s">
        <v>4435</v>
      </c>
      <c r="D1437" t="s">
        <v>2929</v>
      </c>
      <c r="E1437" t="s">
        <v>4257</v>
      </c>
    </row>
    <row r="1438" spans="1:5" x14ac:dyDescent="0.2">
      <c r="A1438">
        <v>1438</v>
      </c>
      <c r="B1438" t="s">
        <v>685</v>
      </c>
      <c r="C1438" t="s">
        <v>4436</v>
      </c>
      <c r="D1438" t="s">
        <v>4437</v>
      </c>
      <c r="E1438" t="s">
        <v>4268</v>
      </c>
    </row>
    <row r="1439" spans="1:5" x14ac:dyDescent="0.2">
      <c r="A1439">
        <v>1439</v>
      </c>
      <c r="B1439" t="s">
        <v>685</v>
      </c>
      <c r="C1439" t="s">
        <v>4438</v>
      </c>
      <c r="D1439" t="s">
        <v>4439</v>
      </c>
      <c r="E1439" t="s">
        <v>4440</v>
      </c>
    </row>
    <row r="1440" spans="1:5" x14ac:dyDescent="0.2">
      <c r="A1440">
        <v>1440</v>
      </c>
      <c r="B1440" t="s">
        <v>685</v>
      </c>
      <c r="C1440" t="s">
        <v>4441</v>
      </c>
      <c r="D1440" t="s">
        <v>4442</v>
      </c>
      <c r="E1440" t="s">
        <v>4257</v>
      </c>
    </row>
    <row r="1441" spans="1:5" x14ac:dyDescent="0.2">
      <c r="A1441">
        <v>1441</v>
      </c>
      <c r="B1441" t="s">
        <v>685</v>
      </c>
      <c r="C1441" t="s">
        <v>4443</v>
      </c>
      <c r="D1441" t="s">
        <v>4444</v>
      </c>
      <c r="E1441" t="s">
        <v>4257</v>
      </c>
    </row>
    <row r="1442" spans="1:5" x14ac:dyDescent="0.2">
      <c r="A1442">
        <v>1442</v>
      </c>
      <c r="B1442" t="s">
        <v>685</v>
      </c>
      <c r="C1442" t="s">
        <v>4445</v>
      </c>
      <c r="D1442" t="s">
        <v>4446</v>
      </c>
      <c r="E1442" t="s">
        <v>4257</v>
      </c>
    </row>
    <row r="1443" spans="1:5" x14ac:dyDescent="0.2">
      <c r="A1443">
        <v>1443</v>
      </c>
      <c r="B1443" t="s">
        <v>685</v>
      </c>
      <c r="C1443" t="s">
        <v>4447</v>
      </c>
      <c r="D1443" t="s">
        <v>4448</v>
      </c>
      <c r="E1443" t="s">
        <v>4257</v>
      </c>
    </row>
    <row r="1444" spans="1:5" x14ac:dyDescent="0.2">
      <c r="A1444">
        <v>1444</v>
      </c>
      <c r="B1444" t="s">
        <v>685</v>
      </c>
      <c r="C1444" t="s">
        <v>4449</v>
      </c>
      <c r="D1444" t="s">
        <v>4450</v>
      </c>
      <c r="E1444" t="s">
        <v>4268</v>
      </c>
    </row>
    <row r="1445" spans="1:5" x14ac:dyDescent="0.2">
      <c r="A1445">
        <v>1445</v>
      </c>
      <c r="B1445" t="s">
        <v>685</v>
      </c>
      <c r="C1445" t="s">
        <v>4451</v>
      </c>
      <c r="D1445" t="s">
        <v>4452</v>
      </c>
      <c r="E1445" t="s">
        <v>4268</v>
      </c>
    </row>
    <row r="1446" spans="1:5" x14ac:dyDescent="0.2">
      <c r="A1446">
        <v>1446</v>
      </c>
      <c r="B1446" t="s">
        <v>685</v>
      </c>
      <c r="C1446" t="s">
        <v>4453</v>
      </c>
      <c r="D1446" t="s">
        <v>4454</v>
      </c>
      <c r="E1446" t="s">
        <v>4268</v>
      </c>
    </row>
    <row r="1447" spans="1:5" x14ac:dyDescent="0.2">
      <c r="A1447">
        <v>1447</v>
      </c>
      <c r="B1447" t="s">
        <v>685</v>
      </c>
      <c r="C1447" t="s">
        <v>4455</v>
      </c>
      <c r="D1447" t="s">
        <v>4456</v>
      </c>
      <c r="E1447" t="s">
        <v>4440</v>
      </c>
    </row>
    <row r="1448" spans="1:5" x14ac:dyDescent="0.2">
      <c r="A1448">
        <v>1448</v>
      </c>
      <c r="B1448" t="s">
        <v>685</v>
      </c>
      <c r="C1448" t="s">
        <v>4457</v>
      </c>
      <c r="D1448" t="s">
        <v>4458</v>
      </c>
      <c r="E1448" t="s">
        <v>4268</v>
      </c>
    </row>
    <row r="1449" spans="1:5" x14ac:dyDescent="0.2">
      <c r="A1449">
        <v>1449</v>
      </c>
      <c r="B1449" t="s">
        <v>685</v>
      </c>
      <c r="C1449" t="s">
        <v>4459</v>
      </c>
      <c r="D1449" t="s">
        <v>4460</v>
      </c>
      <c r="E1449" t="s">
        <v>4257</v>
      </c>
    </row>
    <row r="1450" spans="1:5" x14ac:dyDescent="0.2">
      <c r="A1450">
        <v>1450</v>
      </c>
      <c r="B1450" t="s">
        <v>685</v>
      </c>
      <c r="C1450" t="s">
        <v>4461</v>
      </c>
      <c r="D1450" t="s">
        <v>4462</v>
      </c>
      <c r="E1450" t="s">
        <v>4257</v>
      </c>
    </row>
    <row r="1451" spans="1:5" x14ac:dyDescent="0.2">
      <c r="A1451">
        <v>1451</v>
      </c>
      <c r="B1451" t="s">
        <v>685</v>
      </c>
      <c r="C1451" t="s">
        <v>4463</v>
      </c>
      <c r="D1451" t="s">
        <v>4464</v>
      </c>
      <c r="E1451" t="s">
        <v>4257</v>
      </c>
    </row>
    <row r="1452" spans="1:5" x14ac:dyDescent="0.2">
      <c r="A1452">
        <v>1452</v>
      </c>
      <c r="B1452" t="s">
        <v>685</v>
      </c>
      <c r="C1452" t="s">
        <v>4465</v>
      </c>
      <c r="D1452" t="s">
        <v>4466</v>
      </c>
      <c r="E1452" t="s">
        <v>4257</v>
      </c>
    </row>
    <row r="1453" spans="1:5" x14ac:dyDescent="0.2">
      <c r="A1453">
        <v>1453</v>
      </c>
      <c r="B1453" t="s">
        <v>685</v>
      </c>
      <c r="C1453" t="s">
        <v>4467</v>
      </c>
      <c r="D1453" t="s">
        <v>4468</v>
      </c>
      <c r="E1453" t="s">
        <v>4268</v>
      </c>
    </row>
    <row r="1454" spans="1:5" x14ac:dyDescent="0.2">
      <c r="A1454">
        <v>1454</v>
      </c>
      <c r="B1454" t="s">
        <v>685</v>
      </c>
      <c r="C1454" t="s">
        <v>4469</v>
      </c>
      <c r="D1454" t="s">
        <v>4470</v>
      </c>
      <c r="E1454" t="s">
        <v>4440</v>
      </c>
    </row>
    <row r="1455" spans="1:5" x14ac:dyDescent="0.2">
      <c r="A1455">
        <v>1455</v>
      </c>
      <c r="B1455" t="s">
        <v>685</v>
      </c>
      <c r="C1455" t="s">
        <v>4471</v>
      </c>
      <c r="D1455" t="s">
        <v>4472</v>
      </c>
      <c r="E1455" t="s">
        <v>4440</v>
      </c>
    </row>
    <row r="1456" spans="1:5" x14ac:dyDescent="0.2">
      <c r="A1456">
        <v>1456</v>
      </c>
      <c r="B1456" t="s">
        <v>685</v>
      </c>
      <c r="C1456" t="s">
        <v>4473</v>
      </c>
      <c r="D1456" t="s">
        <v>4474</v>
      </c>
      <c r="E1456" t="s">
        <v>4440</v>
      </c>
    </row>
    <row r="1457" spans="1:5" x14ac:dyDescent="0.2">
      <c r="A1457">
        <v>1457</v>
      </c>
      <c r="B1457" t="s">
        <v>685</v>
      </c>
      <c r="C1457" t="s">
        <v>4475</v>
      </c>
      <c r="D1457" t="s">
        <v>4476</v>
      </c>
      <c r="E1457" t="s">
        <v>4257</v>
      </c>
    </row>
    <row r="1458" spans="1:5" x14ac:dyDescent="0.2">
      <c r="A1458">
        <v>1458</v>
      </c>
      <c r="B1458" t="s">
        <v>685</v>
      </c>
      <c r="C1458" t="s">
        <v>4477</v>
      </c>
      <c r="D1458" t="s">
        <v>4478</v>
      </c>
      <c r="E1458" t="s">
        <v>4257</v>
      </c>
    </row>
    <row r="1459" spans="1:5" x14ac:dyDescent="0.2">
      <c r="A1459">
        <v>1459</v>
      </c>
      <c r="B1459" t="s">
        <v>685</v>
      </c>
      <c r="C1459" t="s">
        <v>4479</v>
      </c>
      <c r="D1459" t="s">
        <v>4480</v>
      </c>
      <c r="E1459" t="s">
        <v>4257</v>
      </c>
    </row>
    <row r="1460" spans="1:5" x14ac:dyDescent="0.2">
      <c r="A1460">
        <v>1460</v>
      </c>
      <c r="B1460" t="s">
        <v>685</v>
      </c>
      <c r="C1460" t="s">
        <v>4481</v>
      </c>
      <c r="D1460" t="s">
        <v>4482</v>
      </c>
      <c r="E1460" t="s">
        <v>4257</v>
      </c>
    </row>
    <row r="1461" spans="1:5" x14ac:dyDescent="0.2">
      <c r="A1461">
        <v>1461</v>
      </c>
      <c r="B1461" t="s">
        <v>685</v>
      </c>
      <c r="C1461" t="s">
        <v>4483</v>
      </c>
      <c r="D1461" t="s">
        <v>4484</v>
      </c>
      <c r="E1461" t="s">
        <v>4257</v>
      </c>
    </row>
    <row r="1462" spans="1:5" x14ac:dyDescent="0.2">
      <c r="A1462">
        <v>1462</v>
      </c>
      <c r="B1462" t="s">
        <v>685</v>
      </c>
      <c r="C1462" t="s">
        <v>4485</v>
      </c>
      <c r="D1462" t="s">
        <v>4486</v>
      </c>
      <c r="E1462" t="s">
        <v>4257</v>
      </c>
    </row>
    <row r="1463" spans="1:5" x14ac:dyDescent="0.2">
      <c r="A1463">
        <v>1463</v>
      </c>
      <c r="B1463" t="s">
        <v>685</v>
      </c>
      <c r="C1463" t="s">
        <v>4487</v>
      </c>
      <c r="D1463" t="s">
        <v>4488</v>
      </c>
      <c r="E1463" t="s">
        <v>4257</v>
      </c>
    </row>
    <row r="1464" spans="1:5" x14ac:dyDescent="0.2">
      <c r="A1464">
        <v>1464</v>
      </c>
      <c r="B1464" t="s">
        <v>685</v>
      </c>
      <c r="C1464" t="s">
        <v>4489</v>
      </c>
      <c r="D1464" t="s">
        <v>4490</v>
      </c>
      <c r="E1464" t="s">
        <v>4257</v>
      </c>
    </row>
    <row r="1465" spans="1:5" x14ac:dyDescent="0.2">
      <c r="A1465">
        <v>1465</v>
      </c>
      <c r="B1465" t="s">
        <v>685</v>
      </c>
      <c r="C1465" t="s">
        <v>4491</v>
      </c>
      <c r="D1465" t="s">
        <v>4492</v>
      </c>
      <c r="E1465" t="s">
        <v>4257</v>
      </c>
    </row>
    <row r="1466" spans="1:5" x14ac:dyDescent="0.2">
      <c r="A1466">
        <v>1466</v>
      </c>
      <c r="B1466" t="s">
        <v>685</v>
      </c>
      <c r="C1466" t="s">
        <v>4493</v>
      </c>
      <c r="D1466" t="s">
        <v>4494</v>
      </c>
      <c r="E1466" t="s">
        <v>4440</v>
      </c>
    </row>
    <row r="1467" spans="1:5" x14ac:dyDescent="0.2">
      <c r="A1467">
        <v>1467</v>
      </c>
      <c r="B1467" t="s">
        <v>685</v>
      </c>
      <c r="C1467" t="s">
        <v>4495</v>
      </c>
      <c r="D1467" t="s">
        <v>4496</v>
      </c>
      <c r="E1467" t="s">
        <v>4257</v>
      </c>
    </row>
    <row r="1468" spans="1:5" x14ac:dyDescent="0.2">
      <c r="A1468">
        <v>1468</v>
      </c>
      <c r="B1468" t="s">
        <v>685</v>
      </c>
      <c r="C1468" t="s">
        <v>4497</v>
      </c>
      <c r="D1468" t="s">
        <v>4498</v>
      </c>
      <c r="E1468" t="s">
        <v>4257</v>
      </c>
    </row>
    <row r="1469" spans="1:5" x14ac:dyDescent="0.2">
      <c r="A1469">
        <v>1469</v>
      </c>
      <c r="B1469" t="s">
        <v>685</v>
      </c>
      <c r="C1469" t="s">
        <v>4499</v>
      </c>
      <c r="D1469" t="s">
        <v>4500</v>
      </c>
      <c r="E1469" t="s">
        <v>4257</v>
      </c>
    </row>
    <row r="1470" spans="1:5" x14ac:dyDescent="0.2">
      <c r="A1470">
        <v>1470</v>
      </c>
      <c r="B1470" t="s">
        <v>685</v>
      </c>
      <c r="C1470" t="s">
        <v>4501</v>
      </c>
      <c r="D1470" t="s">
        <v>4502</v>
      </c>
      <c r="E1470" t="s">
        <v>4257</v>
      </c>
    </row>
    <row r="1471" spans="1:5" x14ac:dyDescent="0.2">
      <c r="A1471">
        <v>1471</v>
      </c>
      <c r="B1471" t="s">
        <v>685</v>
      </c>
      <c r="C1471" t="s">
        <v>4503</v>
      </c>
      <c r="D1471" t="s">
        <v>4504</v>
      </c>
      <c r="E1471" t="s">
        <v>4257</v>
      </c>
    </row>
    <row r="1472" spans="1:5" x14ac:dyDescent="0.2">
      <c r="A1472">
        <v>1472</v>
      </c>
      <c r="B1472" t="s">
        <v>685</v>
      </c>
      <c r="C1472" t="s">
        <v>4505</v>
      </c>
      <c r="D1472" t="s">
        <v>4506</v>
      </c>
      <c r="E1472" t="s">
        <v>4257</v>
      </c>
    </row>
    <row r="1473" spans="1:5" x14ac:dyDescent="0.2">
      <c r="A1473">
        <v>1473</v>
      </c>
      <c r="B1473" t="s">
        <v>685</v>
      </c>
      <c r="C1473" t="s">
        <v>4507</v>
      </c>
      <c r="D1473" t="s">
        <v>4508</v>
      </c>
      <c r="E1473" t="s">
        <v>4257</v>
      </c>
    </row>
    <row r="1474" spans="1:5" x14ac:dyDescent="0.2">
      <c r="A1474">
        <v>1474</v>
      </c>
      <c r="B1474" t="s">
        <v>685</v>
      </c>
      <c r="C1474" t="s">
        <v>4509</v>
      </c>
      <c r="D1474" t="s">
        <v>4510</v>
      </c>
      <c r="E1474" t="s">
        <v>4257</v>
      </c>
    </row>
    <row r="1475" spans="1:5" x14ac:dyDescent="0.2">
      <c r="A1475">
        <v>1475</v>
      </c>
      <c r="B1475" t="s">
        <v>685</v>
      </c>
      <c r="C1475" t="s">
        <v>4511</v>
      </c>
      <c r="D1475" t="s">
        <v>4512</v>
      </c>
      <c r="E1475" t="s">
        <v>4440</v>
      </c>
    </row>
    <row r="1476" spans="1:5" x14ac:dyDescent="0.2">
      <c r="A1476">
        <v>1476</v>
      </c>
      <c r="B1476" t="s">
        <v>685</v>
      </c>
      <c r="C1476" t="s">
        <v>4513</v>
      </c>
      <c r="D1476" t="s">
        <v>4514</v>
      </c>
      <c r="E1476" t="s">
        <v>4257</v>
      </c>
    </row>
    <row r="1477" spans="1:5" x14ac:dyDescent="0.2">
      <c r="A1477">
        <v>1477</v>
      </c>
      <c r="B1477" t="s">
        <v>685</v>
      </c>
      <c r="C1477" t="s">
        <v>4515</v>
      </c>
      <c r="D1477" t="s">
        <v>4516</v>
      </c>
      <c r="E1477" t="s">
        <v>4257</v>
      </c>
    </row>
    <row r="1478" spans="1:5" x14ac:dyDescent="0.2">
      <c r="A1478">
        <v>1478</v>
      </c>
      <c r="B1478" t="s">
        <v>685</v>
      </c>
      <c r="C1478" t="s">
        <v>4517</v>
      </c>
      <c r="D1478" t="s">
        <v>4518</v>
      </c>
      <c r="E1478" t="s">
        <v>4268</v>
      </c>
    </row>
    <row r="1479" spans="1:5" x14ac:dyDescent="0.2">
      <c r="A1479">
        <v>1479</v>
      </c>
      <c r="B1479" t="s">
        <v>693</v>
      </c>
      <c r="C1479" t="s">
        <v>4519</v>
      </c>
      <c r="D1479" t="s">
        <v>4520</v>
      </c>
      <c r="E1479" t="s">
        <v>1719</v>
      </c>
    </row>
    <row r="1480" spans="1:5" x14ac:dyDescent="0.2">
      <c r="A1480">
        <v>1480</v>
      </c>
      <c r="B1480" t="s">
        <v>693</v>
      </c>
      <c r="C1480" t="s">
        <v>4521</v>
      </c>
      <c r="D1480" t="s">
        <v>4522</v>
      </c>
      <c r="E1480" t="s">
        <v>1719</v>
      </c>
    </row>
    <row r="1481" spans="1:5" x14ac:dyDescent="0.2">
      <c r="A1481">
        <v>1481</v>
      </c>
      <c r="B1481" t="s">
        <v>693</v>
      </c>
      <c r="C1481" t="s">
        <v>4523</v>
      </c>
      <c r="D1481" t="s">
        <v>4524</v>
      </c>
      <c r="E1481" t="s">
        <v>1719</v>
      </c>
    </row>
    <row r="1482" spans="1:5" x14ac:dyDescent="0.2">
      <c r="A1482">
        <v>1482</v>
      </c>
      <c r="B1482" t="s">
        <v>693</v>
      </c>
      <c r="C1482" t="s">
        <v>4525</v>
      </c>
      <c r="D1482" t="s">
        <v>4526</v>
      </c>
      <c r="E1482" t="s">
        <v>1719</v>
      </c>
    </row>
    <row r="1483" spans="1:5" x14ac:dyDescent="0.2">
      <c r="A1483">
        <v>1483</v>
      </c>
      <c r="B1483" t="s">
        <v>693</v>
      </c>
      <c r="C1483" t="s">
        <v>4527</v>
      </c>
      <c r="D1483" t="s">
        <v>4528</v>
      </c>
      <c r="E1483" t="s">
        <v>1719</v>
      </c>
    </row>
    <row r="1484" spans="1:5" x14ac:dyDescent="0.2">
      <c r="A1484">
        <v>1484</v>
      </c>
      <c r="B1484" t="s">
        <v>693</v>
      </c>
      <c r="C1484" t="s">
        <v>4529</v>
      </c>
      <c r="D1484" t="s">
        <v>4530</v>
      </c>
      <c r="E1484" t="s">
        <v>1719</v>
      </c>
    </row>
    <row r="1485" spans="1:5" x14ac:dyDescent="0.2">
      <c r="A1485">
        <v>1485</v>
      </c>
      <c r="B1485" t="s">
        <v>693</v>
      </c>
      <c r="C1485" t="s">
        <v>4531</v>
      </c>
      <c r="D1485" t="s">
        <v>4532</v>
      </c>
      <c r="E1485" t="s">
        <v>1719</v>
      </c>
    </row>
    <row r="1486" spans="1:5" x14ac:dyDescent="0.2">
      <c r="A1486">
        <v>1486</v>
      </c>
      <c r="B1486" t="s">
        <v>693</v>
      </c>
      <c r="C1486" t="s">
        <v>4533</v>
      </c>
      <c r="D1486" t="s">
        <v>4534</v>
      </c>
      <c r="E1486" t="s">
        <v>1719</v>
      </c>
    </row>
    <row r="1487" spans="1:5" x14ac:dyDescent="0.2">
      <c r="A1487">
        <v>1487</v>
      </c>
      <c r="B1487" t="s">
        <v>693</v>
      </c>
      <c r="C1487" t="s">
        <v>4535</v>
      </c>
      <c r="D1487" t="s">
        <v>4536</v>
      </c>
      <c r="E1487" t="s">
        <v>1719</v>
      </c>
    </row>
    <row r="1488" spans="1:5" x14ac:dyDescent="0.2">
      <c r="A1488">
        <v>1488</v>
      </c>
      <c r="B1488" t="s">
        <v>1105</v>
      </c>
      <c r="C1488" t="s">
        <v>4537</v>
      </c>
      <c r="D1488" t="s">
        <v>4538</v>
      </c>
      <c r="E1488" t="s">
        <v>2046</v>
      </c>
    </row>
    <row r="1489" spans="1:5" x14ac:dyDescent="0.2">
      <c r="A1489">
        <v>1489</v>
      </c>
      <c r="B1489" t="s">
        <v>1105</v>
      </c>
      <c r="C1489" t="s">
        <v>4539</v>
      </c>
      <c r="D1489" t="s">
        <v>4540</v>
      </c>
      <c r="E1489" t="s">
        <v>2383</v>
      </c>
    </row>
    <row r="1490" spans="1:5" x14ac:dyDescent="0.2">
      <c r="A1490">
        <v>1490</v>
      </c>
      <c r="B1490" t="s">
        <v>1105</v>
      </c>
      <c r="C1490" t="s">
        <v>4541</v>
      </c>
      <c r="D1490" t="s">
        <v>4542</v>
      </c>
      <c r="E1490" t="s">
        <v>2383</v>
      </c>
    </row>
    <row r="1491" spans="1:5" x14ac:dyDescent="0.2">
      <c r="A1491">
        <v>1491</v>
      </c>
      <c r="B1491" t="s">
        <v>1105</v>
      </c>
      <c r="C1491" t="s">
        <v>4543</v>
      </c>
      <c r="D1491" t="s">
        <v>4544</v>
      </c>
      <c r="E1491" t="s">
        <v>2383</v>
      </c>
    </row>
    <row r="1492" spans="1:5" x14ac:dyDescent="0.2">
      <c r="A1492">
        <v>1492</v>
      </c>
      <c r="B1492" t="s">
        <v>1105</v>
      </c>
      <c r="C1492" t="s">
        <v>4545</v>
      </c>
      <c r="D1492" t="s">
        <v>4546</v>
      </c>
      <c r="E1492" t="s">
        <v>2383</v>
      </c>
    </row>
    <row r="1493" spans="1:5" x14ac:dyDescent="0.2">
      <c r="A1493">
        <v>1493</v>
      </c>
      <c r="B1493" t="s">
        <v>1105</v>
      </c>
      <c r="C1493" t="s">
        <v>4547</v>
      </c>
      <c r="D1493" t="s">
        <v>4197</v>
      </c>
      <c r="E1493" t="s">
        <v>2383</v>
      </c>
    </row>
    <row r="1494" spans="1:5" x14ac:dyDescent="0.2">
      <c r="A1494">
        <v>1494</v>
      </c>
      <c r="B1494" t="s">
        <v>700</v>
      </c>
      <c r="C1494" t="s">
        <v>4548</v>
      </c>
      <c r="D1494" t="s">
        <v>4549</v>
      </c>
      <c r="E1494" t="s">
        <v>2218</v>
      </c>
    </row>
    <row r="1495" spans="1:5" x14ac:dyDescent="0.2">
      <c r="A1495">
        <v>1495</v>
      </c>
      <c r="B1495" t="s">
        <v>700</v>
      </c>
      <c r="C1495" t="s">
        <v>4550</v>
      </c>
      <c r="D1495" t="s">
        <v>4551</v>
      </c>
      <c r="E1495" t="s">
        <v>2218</v>
      </c>
    </row>
    <row r="1496" spans="1:5" x14ac:dyDescent="0.2">
      <c r="A1496">
        <v>1496</v>
      </c>
      <c r="B1496" t="s">
        <v>700</v>
      </c>
      <c r="C1496" t="s">
        <v>4552</v>
      </c>
      <c r="D1496" t="s">
        <v>4553</v>
      </c>
      <c r="E1496" t="s">
        <v>2087</v>
      </c>
    </row>
    <row r="1497" spans="1:5" x14ac:dyDescent="0.2">
      <c r="A1497">
        <v>1497</v>
      </c>
      <c r="B1497" t="s">
        <v>700</v>
      </c>
      <c r="C1497" t="s">
        <v>4554</v>
      </c>
      <c r="D1497" t="s">
        <v>4555</v>
      </c>
      <c r="E1497" t="s">
        <v>2087</v>
      </c>
    </row>
    <row r="1498" spans="1:5" x14ac:dyDescent="0.2">
      <c r="A1498">
        <v>1498</v>
      </c>
      <c r="B1498" t="s">
        <v>700</v>
      </c>
      <c r="C1498" t="s">
        <v>4556</v>
      </c>
      <c r="D1498" t="s">
        <v>4557</v>
      </c>
      <c r="E1498" t="s">
        <v>2087</v>
      </c>
    </row>
    <row r="1499" spans="1:5" x14ac:dyDescent="0.2">
      <c r="A1499">
        <v>1499</v>
      </c>
      <c r="B1499" t="s">
        <v>700</v>
      </c>
      <c r="C1499" t="s">
        <v>4558</v>
      </c>
      <c r="D1499" t="s">
        <v>4559</v>
      </c>
      <c r="E1499" t="s">
        <v>2087</v>
      </c>
    </row>
    <row r="1500" spans="1:5" x14ac:dyDescent="0.2">
      <c r="A1500">
        <v>1500</v>
      </c>
      <c r="B1500" t="s">
        <v>700</v>
      </c>
      <c r="C1500" t="s">
        <v>4560</v>
      </c>
      <c r="D1500" t="s">
        <v>4561</v>
      </c>
      <c r="E1500" t="s">
        <v>2087</v>
      </c>
    </row>
    <row r="1501" spans="1:5" x14ac:dyDescent="0.2">
      <c r="A1501">
        <v>1501</v>
      </c>
      <c r="B1501" t="s">
        <v>700</v>
      </c>
      <c r="C1501" t="s">
        <v>4562</v>
      </c>
      <c r="D1501" t="s">
        <v>4563</v>
      </c>
      <c r="E1501" t="s">
        <v>2087</v>
      </c>
    </row>
    <row r="1502" spans="1:5" x14ac:dyDescent="0.2">
      <c r="A1502">
        <v>1502</v>
      </c>
      <c r="B1502" t="s">
        <v>700</v>
      </c>
      <c r="C1502" t="s">
        <v>4564</v>
      </c>
      <c r="D1502" t="s">
        <v>4565</v>
      </c>
      <c r="E1502" t="s">
        <v>2087</v>
      </c>
    </row>
    <row r="1503" spans="1:5" x14ac:dyDescent="0.2">
      <c r="A1503">
        <v>1503</v>
      </c>
      <c r="B1503" t="s">
        <v>700</v>
      </c>
      <c r="C1503" t="s">
        <v>4566</v>
      </c>
      <c r="D1503" t="s">
        <v>4567</v>
      </c>
      <c r="E1503" t="s">
        <v>2087</v>
      </c>
    </row>
    <row r="1504" spans="1:5" x14ac:dyDescent="0.2">
      <c r="A1504">
        <v>1504</v>
      </c>
      <c r="B1504" t="s">
        <v>700</v>
      </c>
      <c r="C1504" t="s">
        <v>4568</v>
      </c>
      <c r="D1504" t="s">
        <v>4569</v>
      </c>
      <c r="E1504" t="s">
        <v>2087</v>
      </c>
    </row>
    <row r="1505" spans="1:5" x14ac:dyDescent="0.2">
      <c r="A1505">
        <v>1505</v>
      </c>
      <c r="B1505" t="s">
        <v>700</v>
      </c>
      <c r="C1505" t="s">
        <v>4570</v>
      </c>
      <c r="D1505" t="s">
        <v>4571</v>
      </c>
      <c r="E1505" t="s">
        <v>2046</v>
      </c>
    </row>
    <row r="1506" spans="1:5" x14ac:dyDescent="0.2">
      <c r="A1506">
        <v>1506</v>
      </c>
      <c r="B1506" t="s">
        <v>702</v>
      </c>
      <c r="C1506" t="s">
        <v>4572</v>
      </c>
      <c r="D1506" t="s">
        <v>4573</v>
      </c>
      <c r="E1506" t="s">
        <v>4574</v>
      </c>
    </row>
    <row r="1507" spans="1:5" x14ac:dyDescent="0.2">
      <c r="A1507">
        <v>1507</v>
      </c>
      <c r="B1507" t="s">
        <v>702</v>
      </c>
      <c r="C1507" t="s">
        <v>4575</v>
      </c>
      <c r="D1507" t="s">
        <v>4576</v>
      </c>
      <c r="E1507" t="s">
        <v>4574</v>
      </c>
    </row>
    <row r="1508" spans="1:5" x14ac:dyDescent="0.2">
      <c r="A1508">
        <v>1508</v>
      </c>
      <c r="B1508" t="s">
        <v>702</v>
      </c>
      <c r="C1508" t="s">
        <v>4577</v>
      </c>
      <c r="D1508" t="s">
        <v>4578</v>
      </c>
      <c r="E1508" t="s">
        <v>4574</v>
      </c>
    </row>
    <row r="1509" spans="1:5" x14ac:dyDescent="0.2">
      <c r="A1509">
        <v>1509</v>
      </c>
      <c r="B1509" t="s">
        <v>702</v>
      </c>
      <c r="C1509" t="s">
        <v>4579</v>
      </c>
      <c r="D1509" t="s">
        <v>4580</v>
      </c>
      <c r="E1509" t="s">
        <v>4574</v>
      </c>
    </row>
    <row r="1510" spans="1:5" x14ac:dyDescent="0.2">
      <c r="A1510">
        <v>1510</v>
      </c>
      <c r="B1510" t="s">
        <v>702</v>
      </c>
      <c r="C1510" t="s">
        <v>4581</v>
      </c>
      <c r="D1510" t="s">
        <v>4582</v>
      </c>
      <c r="E1510" t="s">
        <v>4574</v>
      </c>
    </row>
    <row r="1511" spans="1:5" x14ac:dyDescent="0.2">
      <c r="A1511">
        <v>1511</v>
      </c>
      <c r="B1511" t="s">
        <v>702</v>
      </c>
      <c r="C1511" t="s">
        <v>4583</v>
      </c>
      <c r="D1511" t="s">
        <v>4584</v>
      </c>
      <c r="E1511" t="s">
        <v>4574</v>
      </c>
    </row>
    <row r="1512" spans="1:5" x14ac:dyDescent="0.2">
      <c r="A1512">
        <v>1512</v>
      </c>
      <c r="B1512" t="s">
        <v>702</v>
      </c>
      <c r="C1512" t="s">
        <v>4585</v>
      </c>
      <c r="D1512" t="s">
        <v>4586</v>
      </c>
      <c r="E1512" t="s">
        <v>4574</v>
      </c>
    </row>
    <row r="1513" spans="1:5" x14ac:dyDescent="0.2">
      <c r="A1513">
        <v>1513</v>
      </c>
      <c r="B1513" t="s">
        <v>702</v>
      </c>
      <c r="C1513" t="s">
        <v>4587</v>
      </c>
      <c r="D1513" t="s">
        <v>4588</v>
      </c>
      <c r="E1513" t="s">
        <v>4574</v>
      </c>
    </row>
    <row r="1514" spans="1:5" x14ac:dyDescent="0.2">
      <c r="A1514">
        <v>1514</v>
      </c>
      <c r="B1514" t="s">
        <v>702</v>
      </c>
      <c r="C1514" t="s">
        <v>4589</v>
      </c>
      <c r="D1514" t="s">
        <v>4590</v>
      </c>
      <c r="E1514" t="s">
        <v>4574</v>
      </c>
    </row>
    <row r="1515" spans="1:5" x14ac:dyDescent="0.2">
      <c r="A1515">
        <v>1515</v>
      </c>
      <c r="B1515" t="s">
        <v>702</v>
      </c>
      <c r="C1515" t="s">
        <v>4591</v>
      </c>
      <c r="D1515" t="s">
        <v>4592</v>
      </c>
      <c r="E1515" t="s">
        <v>4574</v>
      </c>
    </row>
    <row r="1516" spans="1:5" x14ac:dyDescent="0.2">
      <c r="A1516">
        <v>1516</v>
      </c>
      <c r="B1516" t="s">
        <v>702</v>
      </c>
      <c r="C1516" t="s">
        <v>4593</v>
      </c>
      <c r="D1516" t="s">
        <v>4594</v>
      </c>
      <c r="E1516" t="s">
        <v>4574</v>
      </c>
    </row>
    <row r="1517" spans="1:5" x14ac:dyDescent="0.2">
      <c r="A1517">
        <v>1517</v>
      </c>
      <c r="B1517" t="s">
        <v>702</v>
      </c>
      <c r="C1517" t="s">
        <v>4595</v>
      </c>
      <c r="D1517" t="s">
        <v>4596</v>
      </c>
      <c r="E1517" t="s">
        <v>4574</v>
      </c>
    </row>
    <row r="1518" spans="1:5" x14ac:dyDescent="0.2">
      <c r="A1518">
        <v>1518</v>
      </c>
      <c r="B1518" t="s">
        <v>702</v>
      </c>
      <c r="C1518" t="s">
        <v>4597</v>
      </c>
      <c r="D1518" t="s">
        <v>4598</v>
      </c>
      <c r="E1518" t="s">
        <v>4574</v>
      </c>
    </row>
    <row r="1519" spans="1:5" x14ac:dyDescent="0.2">
      <c r="A1519">
        <v>1519</v>
      </c>
      <c r="B1519" t="s">
        <v>702</v>
      </c>
      <c r="C1519" t="s">
        <v>4599</v>
      </c>
      <c r="D1519" t="s">
        <v>4600</v>
      </c>
      <c r="E1519" t="s">
        <v>4574</v>
      </c>
    </row>
    <row r="1520" spans="1:5" x14ac:dyDescent="0.2">
      <c r="A1520">
        <v>1520</v>
      </c>
      <c r="B1520" t="s">
        <v>702</v>
      </c>
      <c r="C1520" t="s">
        <v>4601</v>
      </c>
      <c r="D1520" t="s">
        <v>4602</v>
      </c>
      <c r="E1520" t="s">
        <v>4574</v>
      </c>
    </row>
    <row r="1521" spans="1:5" x14ac:dyDescent="0.2">
      <c r="A1521">
        <v>1521</v>
      </c>
      <c r="B1521" t="s">
        <v>702</v>
      </c>
      <c r="C1521" t="s">
        <v>4603</v>
      </c>
      <c r="D1521" t="s">
        <v>4604</v>
      </c>
      <c r="E1521" t="s">
        <v>4574</v>
      </c>
    </row>
    <row r="1522" spans="1:5" x14ac:dyDescent="0.2">
      <c r="A1522">
        <v>1522</v>
      </c>
      <c r="B1522" t="s">
        <v>704</v>
      </c>
      <c r="C1522" t="s">
        <v>4605</v>
      </c>
      <c r="D1522" t="s">
        <v>4606</v>
      </c>
      <c r="E1522" t="s">
        <v>2087</v>
      </c>
    </row>
    <row r="1523" spans="1:5" x14ac:dyDescent="0.2">
      <c r="A1523">
        <v>1523</v>
      </c>
      <c r="B1523" t="s">
        <v>704</v>
      </c>
      <c r="C1523" t="s">
        <v>4607</v>
      </c>
      <c r="D1523" t="s">
        <v>4608</v>
      </c>
      <c r="E1523" t="s">
        <v>2087</v>
      </c>
    </row>
    <row r="1524" spans="1:5" x14ac:dyDescent="0.2">
      <c r="A1524">
        <v>1524</v>
      </c>
      <c r="B1524" t="s">
        <v>704</v>
      </c>
      <c r="C1524" t="s">
        <v>4609</v>
      </c>
      <c r="D1524" t="s">
        <v>2720</v>
      </c>
      <c r="E1524" t="s">
        <v>2087</v>
      </c>
    </row>
    <row r="1525" spans="1:5" x14ac:dyDescent="0.2">
      <c r="A1525">
        <v>1525</v>
      </c>
      <c r="B1525" t="s">
        <v>704</v>
      </c>
      <c r="C1525" t="s">
        <v>4610</v>
      </c>
      <c r="D1525" t="s">
        <v>4191</v>
      </c>
      <c r="E1525" t="s">
        <v>2087</v>
      </c>
    </row>
    <row r="1526" spans="1:5" x14ac:dyDescent="0.2">
      <c r="A1526">
        <v>1526</v>
      </c>
      <c r="B1526" t="s">
        <v>704</v>
      </c>
      <c r="C1526" t="s">
        <v>4611</v>
      </c>
      <c r="D1526" t="s">
        <v>4612</v>
      </c>
      <c r="E1526" t="s">
        <v>2087</v>
      </c>
    </row>
    <row r="1527" spans="1:5" x14ac:dyDescent="0.2">
      <c r="A1527">
        <v>1527</v>
      </c>
      <c r="B1527" t="s">
        <v>704</v>
      </c>
      <c r="C1527" t="s">
        <v>4613</v>
      </c>
      <c r="D1527" t="s">
        <v>4193</v>
      </c>
      <c r="E1527" t="s">
        <v>2087</v>
      </c>
    </row>
    <row r="1528" spans="1:5" x14ac:dyDescent="0.2">
      <c r="A1528">
        <v>1528</v>
      </c>
      <c r="B1528" t="s">
        <v>704</v>
      </c>
      <c r="C1528" t="s">
        <v>4614</v>
      </c>
      <c r="D1528" t="s">
        <v>4615</v>
      </c>
      <c r="E1528" t="s">
        <v>2087</v>
      </c>
    </row>
    <row r="1529" spans="1:5" x14ac:dyDescent="0.2">
      <c r="A1529">
        <v>1529</v>
      </c>
      <c r="B1529" t="s">
        <v>704</v>
      </c>
      <c r="C1529" t="s">
        <v>4616</v>
      </c>
      <c r="D1529" t="s">
        <v>4617</v>
      </c>
      <c r="E1529" t="s">
        <v>2087</v>
      </c>
    </row>
    <row r="1530" spans="1:5" x14ac:dyDescent="0.2">
      <c r="A1530">
        <v>1530</v>
      </c>
      <c r="B1530" t="s">
        <v>704</v>
      </c>
      <c r="C1530" t="s">
        <v>4618</v>
      </c>
      <c r="D1530" t="s">
        <v>4619</v>
      </c>
      <c r="E1530" t="s">
        <v>2087</v>
      </c>
    </row>
    <row r="1531" spans="1:5" x14ac:dyDescent="0.2">
      <c r="A1531">
        <v>1531</v>
      </c>
      <c r="B1531" t="s">
        <v>704</v>
      </c>
      <c r="C1531" t="s">
        <v>4620</v>
      </c>
      <c r="D1531" t="s">
        <v>4197</v>
      </c>
      <c r="E1531" t="s">
        <v>2087</v>
      </c>
    </row>
    <row r="1532" spans="1:5" x14ac:dyDescent="0.2">
      <c r="A1532">
        <v>1532</v>
      </c>
      <c r="B1532" t="s">
        <v>711</v>
      </c>
      <c r="C1532" t="s">
        <v>4621</v>
      </c>
      <c r="D1532" t="s">
        <v>4622</v>
      </c>
      <c r="E1532" t="s">
        <v>2590</v>
      </c>
    </row>
    <row r="1533" spans="1:5" x14ac:dyDescent="0.2">
      <c r="A1533">
        <v>1533</v>
      </c>
      <c r="B1533" t="s">
        <v>711</v>
      </c>
      <c r="C1533" t="s">
        <v>4623</v>
      </c>
      <c r="D1533" t="s">
        <v>4624</v>
      </c>
      <c r="E1533" t="s">
        <v>4625</v>
      </c>
    </row>
    <row r="1534" spans="1:5" x14ac:dyDescent="0.2">
      <c r="A1534">
        <v>1534</v>
      </c>
      <c r="B1534" t="s">
        <v>711</v>
      </c>
      <c r="C1534" t="s">
        <v>4626</v>
      </c>
      <c r="D1534" t="s">
        <v>4627</v>
      </c>
      <c r="E1534" t="s">
        <v>2590</v>
      </c>
    </row>
    <row r="1535" spans="1:5" x14ac:dyDescent="0.2">
      <c r="A1535">
        <v>1535</v>
      </c>
      <c r="B1535" t="s">
        <v>711</v>
      </c>
      <c r="C1535" t="s">
        <v>4628</v>
      </c>
      <c r="D1535" t="s">
        <v>4629</v>
      </c>
      <c r="E1535" t="s">
        <v>4630</v>
      </c>
    </row>
    <row r="1536" spans="1:5" x14ac:dyDescent="0.2">
      <c r="A1536">
        <v>1536</v>
      </c>
      <c r="B1536" t="s">
        <v>711</v>
      </c>
      <c r="C1536" t="s">
        <v>4631</v>
      </c>
      <c r="D1536" t="s">
        <v>4632</v>
      </c>
      <c r="E1536" t="s">
        <v>2590</v>
      </c>
    </row>
    <row r="1537" spans="1:5" x14ac:dyDescent="0.2">
      <c r="A1537">
        <v>1537</v>
      </c>
      <c r="B1537" t="s">
        <v>711</v>
      </c>
      <c r="C1537" t="s">
        <v>4633</v>
      </c>
      <c r="D1537" t="s">
        <v>4634</v>
      </c>
      <c r="E1537" t="s">
        <v>2590</v>
      </c>
    </row>
    <row r="1538" spans="1:5" x14ac:dyDescent="0.2">
      <c r="A1538">
        <v>1538</v>
      </c>
      <c r="B1538" t="s">
        <v>711</v>
      </c>
      <c r="C1538" t="s">
        <v>4635</v>
      </c>
      <c r="D1538" t="s">
        <v>3864</v>
      </c>
      <c r="E1538" t="s">
        <v>2590</v>
      </c>
    </row>
    <row r="1539" spans="1:5" x14ac:dyDescent="0.2">
      <c r="A1539">
        <v>1539</v>
      </c>
      <c r="B1539" t="s">
        <v>711</v>
      </c>
      <c r="C1539" t="s">
        <v>4636</v>
      </c>
      <c r="D1539" t="s">
        <v>4637</v>
      </c>
      <c r="E1539" t="s">
        <v>2590</v>
      </c>
    </row>
    <row r="1540" spans="1:5" x14ac:dyDescent="0.2">
      <c r="A1540">
        <v>1540</v>
      </c>
      <c r="B1540" t="s">
        <v>711</v>
      </c>
      <c r="C1540" t="s">
        <v>4638</v>
      </c>
      <c r="D1540" t="s">
        <v>4637</v>
      </c>
      <c r="E1540" t="s">
        <v>4630</v>
      </c>
    </row>
    <row r="1541" spans="1:5" x14ac:dyDescent="0.2">
      <c r="A1541">
        <v>1541</v>
      </c>
      <c r="B1541" t="s">
        <v>711</v>
      </c>
      <c r="C1541" t="s">
        <v>4639</v>
      </c>
      <c r="D1541" t="s">
        <v>4640</v>
      </c>
      <c r="E1541" t="s">
        <v>2590</v>
      </c>
    </row>
    <row r="1542" spans="1:5" x14ac:dyDescent="0.2">
      <c r="A1542">
        <v>1542</v>
      </c>
      <c r="B1542" t="s">
        <v>711</v>
      </c>
      <c r="C1542" t="s">
        <v>4641</v>
      </c>
      <c r="D1542" t="s">
        <v>4642</v>
      </c>
      <c r="E1542" t="s">
        <v>2590</v>
      </c>
    </row>
    <row r="1543" spans="1:5" x14ac:dyDescent="0.2">
      <c r="A1543">
        <v>1543</v>
      </c>
      <c r="B1543" t="s">
        <v>711</v>
      </c>
      <c r="C1543" t="s">
        <v>4643</v>
      </c>
      <c r="D1543" t="s">
        <v>4644</v>
      </c>
      <c r="E1543" t="s">
        <v>2590</v>
      </c>
    </row>
    <row r="1544" spans="1:5" x14ac:dyDescent="0.2">
      <c r="A1544">
        <v>1544</v>
      </c>
      <c r="B1544" t="s">
        <v>711</v>
      </c>
      <c r="C1544" t="s">
        <v>4645</v>
      </c>
      <c r="D1544" t="s">
        <v>4646</v>
      </c>
      <c r="E1544" t="s">
        <v>2590</v>
      </c>
    </row>
    <row r="1545" spans="1:5" x14ac:dyDescent="0.2">
      <c r="A1545">
        <v>1545</v>
      </c>
      <c r="B1545" t="s">
        <v>711</v>
      </c>
      <c r="C1545" t="s">
        <v>4647</v>
      </c>
      <c r="D1545" t="s">
        <v>4648</v>
      </c>
      <c r="E1545" t="s">
        <v>2590</v>
      </c>
    </row>
    <row r="1546" spans="1:5" x14ac:dyDescent="0.2">
      <c r="A1546">
        <v>1546</v>
      </c>
      <c r="B1546" t="s">
        <v>711</v>
      </c>
      <c r="C1546" t="s">
        <v>4649</v>
      </c>
      <c r="D1546" t="s">
        <v>4650</v>
      </c>
      <c r="E1546" t="s">
        <v>4630</v>
      </c>
    </row>
    <row r="1547" spans="1:5" x14ac:dyDescent="0.2">
      <c r="A1547">
        <v>1547</v>
      </c>
      <c r="B1547" t="s">
        <v>711</v>
      </c>
      <c r="C1547" t="s">
        <v>4651</v>
      </c>
      <c r="D1547" t="s">
        <v>4652</v>
      </c>
      <c r="E1547" t="s">
        <v>4630</v>
      </c>
    </row>
    <row r="1548" spans="1:5" x14ac:dyDescent="0.2">
      <c r="A1548">
        <v>1548</v>
      </c>
      <c r="B1548" t="s">
        <v>711</v>
      </c>
      <c r="C1548" t="s">
        <v>4653</v>
      </c>
      <c r="D1548" t="s">
        <v>4654</v>
      </c>
      <c r="E1548" t="s">
        <v>2590</v>
      </c>
    </row>
    <row r="1549" spans="1:5" x14ac:dyDescent="0.2">
      <c r="A1549">
        <v>1549</v>
      </c>
      <c r="B1549" t="s">
        <v>711</v>
      </c>
      <c r="C1549" t="s">
        <v>4655</v>
      </c>
      <c r="D1549" t="s">
        <v>4656</v>
      </c>
      <c r="E1549" t="s">
        <v>2590</v>
      </c>
    </row>
    <row r="1550" spans="1:5" x14ac:dyDescent="0.2">
      <c r="A1550">
        <v>1550</v>
      </c>
      <c r="B1550" t="s">
        <v>711</v>
      </c>
      <c r="C1550" t="s">
        <v>4657</v>
      </c>
      <c r="D1550" t="s">
        <v>4658</v>
      </c>
      <c r="E1550" t="s">
        <v>2590</v>
      </c>
    </row>
    <row r="1551" spans="1:5" x14ac:dyDescent="0.2">
      <c r="A1551">
        <v>1551</v>
      </c>
      <c r="B1551" t="s">
        <v>711</v>
      </c>
      <c r="C1551" t="s">
        <v>4659</v>
      </c>
      <c r="D1551" t="s">
        <v>4660</v>
      </c>
      <c r="E1551" t="s">
        <v>2590</v>
      </c>
    </row>
    <row r="1552" spans="1:5" x14ac:dyDescent="0.2">
      <c r="A1552">
        <v>1552</v>
      </c>
      <c r="B1552" t="s">
        <v>711</v>
      </c>
      <c r="C1552" t="s">
        <v>4661</v>
      </c>
      <c r="D1552" t="s">
        <v>4662</v>
      </c>
      <c r="E1552" t="s">
        <v>2590</v>
      </c>
    </row>
    <row r="1553" spans="1:5" x14ac:dyDescent="0.2">
      <c r="A1553">
        <v>1553</v>
      </c>
      <c r="B1553" t="s">
        <v>711</v>
      </c>
      <c r="C1553" t="s">
        <v>4663</v>
      </c>
      <c r="D1553" t="s">
        <v>4664</v>
      </c>
      <c r="E1553" t="s">
        <v>2590</v>
      </c>
    </row>
    <row r="1554" spans="1:5" x14ac:dyDescent="0.2">
      <c r="A1554">
        <v>1554</v>
      </c>
      <c r="B1554" t="s">
        <v>711</v>
      </c>
      <c r="C1554" t="s">
        <v>4665</v>
      </c>
      <c r="D1554" t="s">
        <v>4666</v>
      </c>
      <c r="E1554" t="s">
        <v>2590</v>
      </c>
    </row>
    <row r="1555" spans="1:5" x14ac:dyDescent="0.2">
      <c r="A1555">
        <v>1555</v>
      </c>
      <c r="B1555" t="s">
        <v>711</v>
      </c>
      <c r="C1555" t="s">
        <v>4667</v>
      </c>
      <c r="D1555" t="s">
        <v>4668</v>
      </c>
      <c r="E1555" t="s">
        <v>2590</v>
      </c>
    </row>
    <row r="1556" spans="1:5" x14ac:dyDescent="0.2">
      <c r="A1556">
        <v>1556</v>
      </c>
      <c r="B1556" t="s">
        <v>711</v>
      </c>
      <c r="C1556" t="s">
        <v>4669</v>
      </c>
      <c r="D1556" t="s">
        <v>4670</v>
      </c>
      <c r="E1556" t="s">
        <v>2590</v>
      </c>
    </row>
    <row r="1557" spans="1:5" x14ac:dyDescent="0.2">
      <c r="A1557">
        <v>1557</v>
      </c>
      <c r="B1557" t="s">
        <v>711</v>
      </c>
      <c r="C1557" t="s">
        <v>4671</v>
      </c>
      <c r="D1557" t="s">
        <v>4672</v>
      </c>
      <c r="E1557" t="s">
        <v>2590</v>
      </c>
    </row>
    <row r="1558" spans="1:5" x14ac:dyDescent="0.2">
      <c r="A1558">
        <v>1558</v>
      </c>
      <c r="B1558" t="s">
        <v>711</v>
      </c>
      <c r="C1558" t="s">
        <v>4673</v>
      </c>
      <c r="D1558" t="s">
        <v>4674</v>
      </c>
      <c r="E1558" t="s">
        <v>4630</v>
      </c>
    </row>
    <row r="1559" spans="1:5" x14ac:dyDescent="0.2">
      <c r="A1559">
        <v>1559</v>
      </c>
      <c r="B1559" t="s">
        <v>711</v>
      </c>
      <c r="C1559" t="s">
        <v>4675</v>
      </c>
      <c r="D1559" t="s">
        <v>4676</v>
      </c>
      <c r="E1559" t="s">
        <v>4630</v>
      </c>
    </row>
    <row r="1560" spans="1:5" x14ac:dyDescent="0.2">
      <c r="A1560">
        <v>1560</v>
      </c>
      <c r="B1560" t="s">
        <v>711</v>
      </c>
      <c r="C1560" t="s">
        <v>4677</v>
      </c>
      <c r="D1560" t="s">
        <v>4678</v>
      </c>
      <c r="E1560" t="s">
        <v>2590</v>
      </c>
    </row>
    <row r="1561" spans="1:5" x14ac:dyDescent="0.2">
      <c r="A1561">
        <v>1561</v>
      </c>
      <c r="B1561" t="s">
        <v>711</v>
      </c>
      <c r="C1561" t="s">
        <v>4679</v>
      </c>
      <c r="D1561" t="s">
        <v>4680</v>
      </c>
      <c r="E1561" t="s">
        <v>2590</v>
      </c>
    </row>
    <row r="1562" spans="1:5" x14ac:dyDescent="0.2">
      <c r="A1562">
        <v>1562</v>
      </c>
      <c r="B1562" t="s">
        <v>711</v>
      </c>
      <c r="C1562" t="s">
        <v>4681</v>
      </c>
      <c r="D1562" t="s">
        <v>4682</v>
      </c>
      <c r="E1562" t="s">
        <v>2590</v>
      </c>
    </row>
    <row r="1563" spans="1:5" x14ac:dyDescent="0.2">
      <c r="A1563">
        <v>1563</v>
      </c>
      <c r="B1563" t="s">
        <v>711</v>
      </c>
      <c r="C1563" t="s">
        <v>4683</v>
      </c>
      <c r="D1563" t="s">
        <v>4684</v>
      </c>
      <c r="E1563" t="s">
        <v>2590</v>
      </c>
    </row>
    <row r="1564" spans="1:5" x14ac:dyDescent="0.2">
      <c r="A1564">
        <v>1564</v>
      </c>
      <c r="B1564" t="s">
        <v>711</v>
      </c>
      <c r="C1564" t="s">
        <v>4685</v>
      </c>
      <c r="D1564" t="s">
        <v>4686</v>
      </c>
      <c r="E1564" t="s">
        <v>2590</v>
      </c>
    </row>
    <row r="1565" spans="1:5" x14ac:dyDescent="0.2">
      <c r="A1565">
        <v>1565</v>
      </c>
      <c r="B1565" t="s">
        <v>711</v>
      </c>
      <c r="C1565" t="s">
        <v>4687</v>
      </c>
      <c r="D1565" t="s">
        <v>4688</v>
      </c>
      <c r="E1565" t="s">
        <v>4630</v>
      </c>
    </row>
    <row r="1566" spans="1:5" x14ac:dyDescent="0.2">
      <c r="A1566">
        <v>1566</v>
      </c>
      <c r="B1566" t="s">
        <v>711</v>
      </c>
      <c r="C1566" t="s">
        <v>4689</v>
      </c>
      <c r="D1566" t="s">
        <v>4690</v>
      </c>
      <c r="E1566" t="s">
        <v>2590</v>
      </c>
    </row>
    <row r="1567" spans="1:5" x14ac:dyDescent="0.2">
      <c r="A1567">
        <v>1567</v>
      </c>
      <c r="B1567" t="s">
        <v>711</v>
      </c>
      <c r="C1567" t="s">
        <v>4691</v>
      </c>
      <c r="D1567" t="s">
        <v>4692</v>
      </c>
      <c r="E1567" t="s">
        <v>2590</v>
      </c>
    </row>
    <row r="1568" spans="1:5" x14ac:dyDescent="0.2">
      <c r="A1568">
        <v>1568</v>
      </c>
      <c r="B1568" t="s">
        <v>711</v>
      </c>
      <c r="C1568" t="s">
        <v>4693</v>
      </c>
      <c r="D1568" t="s">
        <v>4694</v>
      </c>
      <c r="E1568" t="s">
        <v>2590</v>
      </c>
    </row>
    <row r="1569" spans="1:5" x14ac:dyDescent="0.2">
      <c r="A1569">
        <v>1569</v>
      </c>
      <c r="B1569" t="s">
        <v>711</v>
      </c>
      <c r="C1569" t="s">
        <v>4695</v>
      </c>
      <c r="D1569" t="s">
        <v>4696</v>
      </c>
      <c r="E1569" t="s">
        <v>2590</v>
      </c>
    </row>
    <row r="1570" spans="1:5" x14ac:dyDescent="0.2">
      <c r="A1570">
        <v>1570</v>
      </c>
      <c r="B1570" t="s">
        <v>711</v>
      </c>
      <c r="C1570" t="s">
        <v>4697</v>
      </c>
      <c r="D1570" t="s">
        <v>4698</v>
      </c>
      <c r="E1570" t="s">
        <v>4630</v>
      </c>
    </row>
    <row r="1571" spans="1:5" x14ac:dyDescent="0.2">
      <c r="A1571">
        <v>1571</v>
      </c>
      <c r="B1571" t="s">
        <v>711</v>
      </c>
      <c r="C1571" t="s">
        <v>4699</v>
      </c>
      <c r="D1571" t="s">
        <v>4700</v>
      </c>
      <c r="E1571" t="s">
        <v>2590</v>
      </c>
    </row>
    <row r="1572" spans="1:5" x14ac:dyDescent="0.2">
      <c r="A1572">
        <v>1572</v>
      </c>
      <c r="B1572" t="s">
        <v>711</v>
      </c>
      <c r="C1572" t="s">
        <v>4701</v>
      </c>
      <c r="D1572" t="s">
        <v>4702</v>
      </c>
      <c r="E1572" t="s">
        <v>2590</v>
      </c>
    </row>
    <row r="1573" spans="1:5" x14ac:dyDescent="0.2">
      <c r="A1573">
        <v>1573</v>
      </c>
      <c r="B1573" t="s">
        <v>711</v>
      </c>
      <c r="C1573" t="s">
        <v>4703</v>
      </c>
      <c r="D1573" t="s">
        <v>4704</v>
      </c>
      <c r="E1573" t="s">
        <v>2590</v>
      </c>
    </row>
    <row r="1574" spans="1:5" x14ac:dyDescent="0.2">
      <c r="A1574">
        <v>1574</v>
      </c>
      <c r="B1574" t="s">
        <v>711</v>
      </c>
      <c r="C1574" t="s">
        <v>4705</v>
      </c>
      <c r="D1574" t="s">
        <v>4706</v>
      </c>
      <c r="E1574" t="s">
        <v>2590</v>
      </c>
    </row>
    <row r="1575" spans="1:5" x14ac:dyDescent="0.2">
      <c r="A1575">
        <v>1575</v>
      </c>
      <c r="B1575" t="s">
        <v>711</v>
      </c>
      <c r="C1575" t="s">
        <v>4707</v>
      </c>
      <c r="D1575" t="s">
        <v>4708</v>
      </c>
      <c r="E1575" t="s">
        <v>2590</v>
      </c>
    </row>
    <row r="1576" spans="1:5" x14ac:dyDescent="0.2">
      <c r="A1576">
        <v>1576</v>
      </c>
      <c r="B1576" t="s">
        <v>711</v>
      </c>
      <c r="C1576" t="s">
        <v>4709</v>
      </c>
      <c r="D1576" t="s">
        <v>4710</v>
      </c>
      <c r="E1576" t="s">
        <v>2590</v>
      </c>
    </row>
    <row r="1577" spans="1:5" x14ac:dyDescent="0.2">
      <c r="A1577">
        <v>1577</v>
      </c>
      <c r="B1577" t="s">
        <v>711</v>
      </c>
      <c r="C1577" t="s">
        <v>4711</v>
      </c>
      <c r="D1577" t="s">
        <v>4712</v>
      </c>
      <c r="E1577" t="s">
        <v>2590</v>
      </c>
    </row>
    <row r="1578" spans="1:5" x14ac:dyDescent="0.2">
      <c r="A1578">
        <v>1578</v>
      </c>
      <c r="B1578" t="s">
        <v>711</v>
      </c>
      <c r="C1578" t="s">
        <v>4713</v>
      </c>
      <c r="D1578" t="s">
        <v>4714</v>
      </c>
      <c r="E1578" t="s">
        <v>2590</v>
      </c>
    </row>
    <row r="1579" spans="1:5" x14ac:dyDescent="0.2">
      <c r="A1579">
        <v>1579</v>
      </c>
      <c r="B1579" t="s">
        <v>711</v>
      </c>
      <c r="C1579" t="s">
        <v>4715</v>
      </c>
      <c r="D1579" t="s">
        <v>4716</v>
      </c>
      <c r="E1579" t="s">
        <v>4630</v>
      </c>
    </row>
    <row r="1580" spans="1:5" x14ac:dyDescent="0.2">
      <c r="A1580">
        <v>1580</v>
      </c>
      <c r="B1580" t="s">
        <v>711</v>
      </c>
      <c r="C1580" t="s">
        <v>4717</v>
      </c>
      <c r="D1580" t="s">
        <v>4718</v>
      </c>
      <c r="E1580" t="s">
        <v>2590</v>
      </c>
    </row>
    <row r="1581" spans="1:5" x14ac:dyDescent="0.2">
      <c r="A1581">
        <v>1581</v>
      </c>
      <c r="B1581" t="s">
        <v>711</v>
      </c>
      <c r="C1581" t="s">
        <v>4719</v>
      </c>
      <c r="D1581" t="s">
        <v>4720</v>
      </c>
      <c r="E1581" t="s">
        <v>4630</v>
      </c>
    </row>
    <row r="1582" spans="1:5" x14ac:dyDescent="0.2">
      <c r="A1582">
        <v>1582</v>
      </c>
      <c r="B1582" t="s">
        <v>711</v>
      </c>
      <c r="C1582" t="s">
        <v>4721</v>
      </c>
      <c r="D1582" t="s">
        <v>4722</v>
      </c>
      <c r="E1582" t="s">
        <v>2590</v>
      </c>
    </row>
    <row r="1583" spans="1:5" x14ac:dyDescent="0.2">
      <c r="A1583">
        <v>1583</v>
      </c>
      <c r="B1583" t="s">
        <v>711</v>
      </c>
      <c r="C1583" t="s">
        <v>4723</v>
      </c>
      <c r="D1583" t="s">
        <v>4724</v>
      </c>
      <c r="E1583" t="s">
        <v>2590</v>
      </c>
    </row>
    <row r="1584" spans="1:5" x14ac:dyDescent="0.2">
      <c r="A1584">
        <v>1584</v>
      </c>
      <c r="B1584" t="s">
        <v>711</v>
      </c>
      <c r="C1584" t="s">
        <v>4725</v>
      </c>
      <c r="D1584" t="s">
        <v>4726</v>
      </c>
      <c r="E1584" t="s">
        <v>2590</v>
      </c>
    </row>
    <row r="1585" spans="1:5" x14ac:dyDescent="0.2">
      <c r="A1585">
        <v>1585</v>
      </c>
      <c r="B1585" t="s">
        <v>711</v>
      </c>
      <c r="C1585" t="s">
        <v>4727</v>
      </c>
      <c r="D1585" t="s">
        <v>4728</v>
      </c>
      <c r="E1585" t="s">
        <v>2590</v>
      </c>
    </row>
    <row r="1586" spans="1:5" x14ac:dyDescent="0.2">
      <c r="A1586">
        <v>1586</v>
      </c>
      <c r="B1586" t="s">
        <v>711</v>
      </c>
      <c r="C1586" t="s">
        <v>4729</v>
      </c>
      <c r="D1586" t="s">
        <v>4730</v>
      </c>
      <c r="E1586" t="s">
        <v>2590</v>
      </c>
    </row>
    <row r="1587" spans="1:5" x14ac:dyDescent="0.2">
      <c r="A1587">
        <v>1587</v>
      </c>
      <c r="B1587" t="s">
        <v>711</v>
      </c>
      <c r="C1587" t="s">
        <v>4731</v>
      </c>
      <c r="D1587" t="s">
        <v>4732</v>
      </c>
      <c r="E1587" t="s">
        <v>2590</v>
      </c>
    </row>
    <row r="1588" spans="1:5" x14ac:dyDescent="0.2">
      <c r="A1588">
        <v>1588</v>
      </c>
      <c r="B1588" t="s">
        <v>711</v>
      </c>
      <c r="C1588" t="s">
        <v>4733</v>
      </c>
      <c r="D1588" t="s">
        <v>4734</v>
      </c>
      <c r="E1588" t="s">
        <v>4630</v>
      </c>
    </row>
    <row r="1589" spans="1:5" x14ac:dyDescent="0.2">
      <c r="A1589">
        <v>1589</v>
      </c>
      <c r="B1589" t="s">
        <v>711</v>
      </c>
      <c r="C1589" t="s">
        <v>4735</v>
      </c>
      <c r="D1589" t="s">
        <v>4736</v>
      </c>
      <c r="E1589" t="s">
        <v>2590</v>
      </c>
    </row>
    <row r="1590" spans="1:5" x14ac:dyDescent="0.2">
      <c r="A1590">
        <v>1590</v>
      </c>
      <c r="B1590" t="s">
        <v>711</v>
      </c>
      <c r="C1590" t="s">
        <v>4737</v>
      </c>
      <c r="D1590" t="s">
        <v>4738</v>
      </c>
      <c r="E1590" t="s">
        <v>4630</v>
      </c>
    </row>
    <row r="1591" spans="1:5" x14ac:dyDescent="0.2">
      <c r="A1591">
        <v>1591</v>
      </c>
      <c r="B1591" t="s">
        <v>711</v>
      </c>
      <c r="C1591" t="s">
        <v>4739</v>
      </c>
      <c r="D1591" t="s">
        <v>4740</v>
      </c>
      <c r="E1591" t="s">
        <v>2590</v>
      </c>
    </row>
    <row r="1592" spans="1:5" x14ac:dyDescent="0.2">
      <c r="A1592">
        <v>1592</v>
      </c>
      <c r="B1592" t="s">
        <v>711</v>
      </c>
      <c r="C1592" t="s">
        <v>4741</v>
      </c>
      <c r="D1592" t="s">
        <v>4742</v>
      </c>
      <c r="E1592" t="s">
        <v>2590</v>
      </c>
    </row>
    <row r="1593" spans="1:5" x14ac:dyDescent="0.2">
      <c r="A1593">
        <v>1593</v>
      </c>
      <c r="B1593" t="s">
        <v>711</v>
      </c>
      <c r="C1593" t="s">
        <v>4743</v>
      </c>
      <c r="D1593" t="s">
        <v>4744</v>
      </c>
      <c r="E1593" t="s">
        <v>2590</v>
      </c>
    </row>
    <row r="1594" spans="1:5" x14ac:dyDescent="0.2">
      <c r="A1594">
        <v>1594</v>
      </c>
      <c r="B1594" t="s">
        <v>711</v>
      </c>
      <c r="C1594" t="s">
        <v>4745</v>
      </c>
      <c r="D1594" t="s">
        <v>4746</v>
      </c>
      <c r="E1594" t="s">
        <v>4630</v>
      </c>
    </row>
    <row r="1595" spans="1:5" x14ac:dyDescent="0.2">
      <c r="A1595">
        <v>1595</v>
      </c>
      <c r="B1595" t="s">
        <v>711</v>
      </c>
      <c r="C1595" t="s">
        <v>4747</v>
      </c>
      <c r="D1595" t="s">
        <v>4748</v>
      </c>
      <c r="E1595" t="s">
        <v>2590</v>
      </c>
    </row>
    <row r="1596" spans="1:5" x14ac:dyDescent="0.2">
      <c r="A1596">
        <v>1596</v>
      </c>
      <c r="B1596" t="s">
        <v>711</v>
      </c>
      <c r="C1596" t="s">
        <v>4749</v>
      </c>
      <c r="D1596" t="s">
        <v>4750</v>
      </c>
      <c r="E1596" t="s">
        <v>2590</v>
      </c>
    </row>
    <row r="1597" spans="1:5" x14ac:dyDescent="0.2">
      <c r="A1597">
        <v>1597</v>
      </c>
      <c r="B1597" t="s">
        <v>713</v>
      </c>
      <c r="C1597" t="s">
        <v>4751</v>
      </c>
      <c r="D1597" t="s">
        <v>4752</v>
      </c>
      <c r="E1597" t="s">
        <v>2164</v>
      </c>
    </row>
    <row r="1598" spans="1:5" x14ac:dyDescent="0.2">
      <c r="A1598">
        <v>1598</v>
      </c>
      <c r="B1598" t="s">
        <v>713</v>
      </c>
      <c r="C1598" t="s">
        <v>4753</v>
      </c>
      <c r="D1598" t="s">
        <v>4754</v>
      </c>
      <c r="E1598" t="s">
        <v>2164</v>
      </c>
    </row>
    <row r="1599" spans="1:5" x14ac:dyDescent="0.2">
      <c r="A1599">
        <v>1599</v>
      </c>
      <c r="B1599" t="s">
        <v>713</v>
      </c>
      <c r="C1599" t="s">
        <v>4755</v>
      </c>
      <c r="D1599" t="s">
        <v>4756</v>
      </c>
      <c r="E1599" t="s">
        <v>2164</v>
      </c>
    </row>
    <row r="1600" spans="1:5" x14ac:dyDescent="0.2">
      <c r="A1600">
        <v>1600</v>
      </c>
      <c r="B1600" t="s">
        <v>713</v>
      </c>
      <c r="C1600" t="s">
        <v>4757</v>
      </c>
      <c r="D1600" t="s">
        <v>4758</v>
      </c>
      <c r="E1600" t="s">
        <v>2164</v>
      </c>
    </row>
    <row r="1601" spans="1:5" x14ac:dyDescent="0.2">
      <c r="A1601">
        <v>1601</v>
      </c>
      <c r="B1601" t="s">
        <v>715</v>
      </c>
      <c r="C1601" t="s">
        <v>4759</v>
      </c>
      <c r="D1601" t="s">
        <v>2513</v>
      </c>
      <c r="E1601" t="s">
        <v>1970</v>
      </c>
    </row>
    <row r="1602" spans="1:5" x14ac:dyDescent="0.2">
      <c r="A1602">
        <v>1602</v>
      </c>
      <c r="B1602" t="s">
        <v>715</v>
      </c>
      <c r="C1602" t="s">
        <v>4760</v>
      </c>
      <c r="D1602" t="s">
        <v>3878</v>
      </c>
      <c r="E1602" t="s">
        <v>1970</v>
      </c>
    </row>
    <row r="1603" spans="1:5" x14ac:dyDescent="0.2">
      <c r="A1603">
        <v>1603</v>
      </c>
      <c r="B1603" t="s">
        <v>715</v>
      </c>
      <c r="C1603" t="s">
        <v>4761</v>
      </c>
      <c r="D1603" t="s">
        <v>2025</v>
      </c>
      <c r="E1603" t="s">
        <v>1970</v>
      </c>
    </row>
    <row r="1604" spans="1:5" x14ac:dyDescent="0.2">
      <c r="A1604">
        <v>1604</v>
      </c>
      <c r="B1604" t="s">
        <v>715</v>
      </c>
      <c r="C1604" t="s">
        <v>4762</v>
      </c>
      <c r="D1604" t="s">
        <v>2518</v>
      </c>
      <c r="E1604" t="s">
        <v>1970</v>
      </c>
    </row>
    <row r="1605" spans="1:5" x14ac:dyDescent="0.2">
      <c r="A1605">
        <v>1605</v>
      </c>
      <c r="B1605" t="s">
        <v>715</v>
      </c>
      <c r="C1605" t="s">
        <v>4763</v>
      </c>
      <c r="D1605" t="s">
        <v>3885</v>
      </c>
      <c r="E1605" t="s">
        <v>1970</v>
      </c>
    </row>
    <row r="1606" spans="1:5" x14ac:dyDescent="0.2">
      <c r="A1606">
        <v>1606</v>
      </c>
      <c r="B1606" t="s">
        <v>715</v>
      </c>
      <c r="C1606" t="s">
        <v>4764</v>
      </c>
      <c r="D1606" t="s">
        <v>3887</v>
      </c>
      <c r="E1606" t="s">
        <v>1970</v>
      </c>
    </row>
    <row r="1607" spans="1:5" x14ac:dyDescent="0.2">
      <c r="A1607">
        <v>1607</v>
      </c>
      <c r="B1607" t="s">
        <v>715</v>
      </c>
      <c r="C1607" t="s">
        <v>4765</v>
      </c>
      <c r="D1607" t="s">
        <v>4766</v>
      </c>
      <c r="E1607" t="s">
        <v>2021</v>
      </c>
    </row>
    <row r="1608" spans="1:5" x14ac:dyDescent="0.2">
      <c r="A1608">
        <v>1608</v>
      </c>
      <c r="B1608" t="s">
        <v>724</v>
      </c>
      <c r="C1608" t="s">
        <v>4767</v>
      </c>
      <c r="D1608" t="s">
        <v>4768</v>
      </c>
      <c r="E1608" t="s">
        <v>2590</v>
      </c>
    </row>
    <row r="1609" spans="1:5" x14ac:dyDescent="0.2">
      <c r="A1609">
        <v>1609</v>
      </c>
      <c r="B1609" t="s">
        <v>724</v>
      </c>
      <c r="C1609" t="s">
        <v>4769</v>
      </c>
      <c r="D1609" t="s">
        <v>4770</v>
      </c>
      <c r="E1609" t="s">
        <v>2590</v>
      </c>
    </row>
    <row r="1610" spans="1:5" x14ac:dyDescent="0.2">
      <c r="A1610">
        <v>1610</v>
      </c>
      <c r="B1610" t="s">
        <v>724</v>
      </c>
      <c r="C1610" t="s">
        <v>4771</v>
      </c>
      <c r="D1610" t="s">
        <v>4772</v>
      </c>
      <c r="E1610" t="s">
        <v>2590</v>
      </c>
    </row>
    <row r="1611" spans="1:5" x14ac:dyDescent="0.2">
      <c r="A1611">
        <v>1611</v>
      </c>
      <c r="B1611" t="s">
        <v>724</v>
      </c>
      <c r="C1611" t="s">
        <v>4773</v>
      </c>
      <c r="D1611" t="s">
        <v>4774</v>
      </c>
      <c r="E1611" t="s">
        <v>2590</v>
      </c>
    </row>
    <row r="1612" spans="1:5" x14ac:dyDescent="0.2">
      <c r="A1612">
        <v>1612</v>
      </c>
      <c r="B1612" t="s">
        <v>724</v>
      </c>
      <c r="C1612" t="s">
        <v>4775</v>
      </c>
      <c r="D1612" t="s">
        <v>4776</v>
      </c>
      <c r="E1612" t="s">
        <v>2590</v>
      </c>
    </row>
    <row r="1613" spans="1:5" x14ac:dyDescent="0.2">
      <c r="A1613">
        <v>1613</v>
      </c>
      <c r="B1613" t="s">
        <v>724</v>
      </c>
      <c r="C1613" t="s">
        <v>4777</v>
      </c>
      <c r="D1613" t="s">
        <v>4778</v>
      </c>
      <c r="E1613" t="s">
        <v>2590</v>
      </c>
    </row>
    <row r="1614" spans="1:5" x14ac:dyDescent="0.2">
      <c r="A1614">
        <v>1614</v>
      </c>
      <c r="B1614" t="s">
        <v>724</v>
      </c>
      <c r="C1614" t="s">
        <v>4779</v>
      </c>
      <c r="D1614" t="s">
        <v>1577</v>
      </c>
      <c r="E1614" t="s">
        <v>2590</v>
      </c>
    </row>
    <row r="1615" spans="1:5" x14ac:dyDescent="0.2">
      <c r="A1615">
        <v>1615</v>
      </c>
      <c r="B1615" t="s">
        <v>724</v>
      </c>
      <c r="C1615" t="s">
        <v>4780</v>
      </c>
      <c r="D1615" t="s">
        <v>4781</v>
      </c>
      <c r="E1615" t="s">
        <v>2590</v>
      </c>
    </row>
    <row r="1616" spans="1:5" x14ac:dyDescent="0.2">
      <c r="A1616">
        <v>1616</v>
      </c>
      <c r="B1616" t="s">
        <v>724</v>
      </c>
      <c r="C1616" t="s">
        <v>4782</v>
      </c>
      <c r="D1616" t="s">
        <v>4783</v>
      </c>
      <c r="E1616" t="s">
        <v>2590</v>
      </c>
    </row>
    <row r="1617" spans="1:5" x14ac:dyDescent="0.2">
      <c r="A1617">
        <v>1617</v>
      </c>
      <c r="B1617" t="s">
        <v>724</v>
      </c>
      <c r="C1617" t="s">
        <v>4784</v>
      </c>
      <c r="D1617" t="s">
        <v>4785</v>
      </c>
      <c r="E1617" t="s">
        <v>2590</v>
      </c>
    </row>
    <row r="1618" spans="1:5" x14ac:dyDescent="0.2">
      <c r="A1618">
        <v>1618</v>
      </c>
      <c r="B1618" t="s">
        <v>724</v>
      </c>
      <c r="C1618" t="s">
        <v>4786</v>
      </c>
      <c r="D1618" t="s">
        <v>4787</v>
      </c>
      <c r="E1618" t="s">
        <v>2590</v>
      </c>
    </row>
    <row r="1619" spans="1:5" x14ac:dyDescent="0.2">
      <c r="A1619">
        <v>1619</v>
      </c>
      <c r="B1619" t="s">
        <v>724</v>
      </c>
      <c r="C1619" t="s">
        <v>4788</v>
      </c>
      <c r="D1619" t="s">
        <v>4789</v>
      </c>
      <c r="E1619" t="s">
        <v>2590</v>
      </c>
    </row>
    <row r="1620" spans="1:5" x14ac:dyDescent="0.2">
      <c r="A1620">
        <v>1620</v>
      </c>
      <c r="B1620" t="s">
        <v>724</v>
      </c>
      <c r="C1620" t="s">
        <v>4790</v>
      </c>
      <c r="D1620" t="s">
        <v>4791</v>
      </c>
      <c r="E1620" t="s">
        <v>2590</v>
      </c>
    </row>
    <row r="1621" spans="1:5" x14ac:dyDescent="0.2">
      <c r="A1621">
        <v>1621</v>
      </c>
      <c r="B1621" t="s">
        <v>724</v>
      </c>
      <c r="C1621" t="s">
        <v>4792</v>
      </c>
      <c r="D1621" t="s">
        <v>4793</v>
      </c>
      <c r="E1621" t="s">
        <v>2590</v>
      </c>
    </row>
    <row r="1622" spans="1:5" x14ac:dyDescent="0.2">
      <c r="A1622">
        <v>1622</v>
      </c>
      <c r="B1622" t="s">
        <v>724</v>
      </c>
      <c r="C1622" t="s">
        <v>4794</v>
      </c>
      <c r="D1622" t="s">
        <v>4795</v>
      </c>
      <c r="E1622" t="s">
        <v>2590</v>
      </c>
    </row>
    <row r="1623" spans="1:5" x14ac:dyDescent="0.2">
      <c r="A1623">
        <v>1623</v>
      </c>
      <c r="B1623" t="s">
        <v>724</v>
      </c>
      <c r="C1623" t="s">
        <v>4796</v>
      </c>
      <c r="D1623" t="s">
        <v>4797</v>
      </c>
      <c r="E1623" t="s">
        <v>2590</v>
      </c>
    </row>
    <row r="1624" spans="1:5" x14ac:dyDescent="0.2">
      <c r="A1624">
        <v>1624</v>
      </c>
      <c r="B1624" t="s">
        <v>724</v>
      </c>
      <c r="C1624" t="s">
        <v>4798</v>
      </c>
      <c r="D1624" t="s">
        <v>4799</v>
      </c>
      <c r="E1624" t="s">
        <v>2590</v>
      </c>
    </row>
    <row r="1625" spans="1:5" x14ac:dyDescent="0.2">
      <c r="A1625">
        <v>1625</v>
      </c>
      <c r="B1625" t="s">
        <v>724</v>
      </c>
      <c r="C1625" t="s">
        <v>4800</v>
      </c>
      <c r="D1625" t="s">
        <v>4801</v>
      </c>
      <c r="E1625" t="s">
        <v>2590</v>
      </c>
    </row>
    <row r="1626" spans="1:5" x14ac:dyDescent="0.2">
      <c r="A1626">
        <v>1626</v>
      </c>
      <c r="B1626" t="s">
        <v>724</v>
      </c>
      <c r="C1626" t="s">
        <v>4802</v>
      </c>
      <c r="D1626" t="s">
        <v>4803</v>
      </c>
      <c r="E1626" t="s">
        <v>2590</v>
      </c>
    </row>
    <row r="1627" spans="1:5" x14ac:dyDescent="0.2">
      <c r="A1627">
        <v>1627</v>
      </c>
      <c r="B1627" t="s">
        <v>724</v>
      </c>
      <c r="C1627" t="s">
        <v>4804</v>
      </c>
      <c r="D1627" t="s">
        <v>4805</v>
      </c>
      <c r="E1627" t="s">
        <v>2590</v>
      </c>
    </row>
    <row r="1628" spans="1:5" x14ac:dyDescent="0.2">
      <c r="A1628">
        <v>1628</v>
      </c>
      <c r="B1628" t="s">
        <v>724</v>
      </c>
      <c r="C1628" t="s">
        <v>4806</v>
      </c>
      <c r="D1628" t="s">
        <v>4807</v>
      </c>
      <c r="E1628" t="s">
        <v>2590</v>
      </c>
    </row>
    <row r="1629" spans="1:5" x14ac:dyDescent="0.2">
      <c r="A1629">
        <v>1629</v>
      </c>
      <c r="B1629" t="s">
        <v>724</v>
      </c>
      <c r="C1629" t="s">
        <v>4808</v>
      </c>
      <c r="D1629" t="s">
        <v>4809</v>
      </c>
      <c r="E1629" t="s">
        <v>2590</v>
      </c>
    </row>
    <row r="1630" spans="1:5" x14ac:dyDescent="0.2">
      <c r="A1630">
        <v>1630</v>
      </c>
      <c r="B1630" t="s">
        <v>728</v>
      </c>
      <c r="C1630" t="s">
        <v>4810</v>
      </c>
      <c r="D1630" t="s">
        <v>4811</v>
      </c>
      <c r="E1630" t="s">
        <v>3158</v>
      </c>
    </row>
    <row r="1631" spans="1:5" x14ac:dyDescent="0.2">
      <c r="A1631">
        <v>1631</v>
      </c>
      <c r="B1631" t="s">
        <v>728</v>
      </c>
      <c r="C1631" t="s">
        <v>4812</v>
      </c>
      <c r="D1631" t="s">
        <v>4813</v>
      </c>
      <c r="E1631" t="s">
        <v>3158</v>
      </c>
    </row>
    <row r="1632" spans="1:5" x14ac:dyDescent="0.2">
      <c r="A1632">
        <v>1632</v>
      </c>
      <c r="B1632" t="s">
        <v>728</v>
      </c>
      <c r="C1632" t="s">
        <v>4814</v>
      </c>
      <c r="D1632" t="s">
        <v>4815</v>
      </c>
      <c r="E1632" t="s">
        <v>2365</v>
      </c>
    </row>
    <row r="1633" spans="1:5" x14ac:dyDescent="0.2">
      <c r="A1633">
        <v>1633</v>
      </c>
      <c r="B1633" t="s">
        <v>728</v>
      </c>
      <c r="C1633" t="s">
        <v>4816</v>
      </c>
      <c r="D1633" t="s">
        <v>4815</v>
      </c>
      <c r="E1633" t="s">
        <v>3158</v>
      </c>
    </row>
    <row r="1634" spans="1:5" x14ac:dyDescent="0.2">
      <c r="A1634">
        <v>1634</v>
      </c>
      <c r="B1634" t="s">
        <v>728</v>
      </c>
      <c r="C1634" t="s">
        <v>4817</v>
      </c>
      <c r="D1634" t="s">
        <v>4818</v>
      </c>
      <c r="E1634" t="s">
        <v>4819</v>
      </c>
    </row>
    <row r="1635" spans="1:5" x14ac:dyDescent="0.2">
      <c r="A1635">
        <v>1635</v>
      </c>
      <c r="B1635" t="s">
        <v>728</v>
      </c>
      <c r="C1635" t="s">
        <v>4820</v>
      </c>
      <c r="D1635" t="s">
        <v>4821</v>
      </c>
      <c r="E1635" t="s">
        <v>3158</v>
      </c>
    </row>
    <row r="1636" spans="1:5" x14ac:dyDescent="0.2">
      <c r="A1636">
        <v>1636</v>
      </c>
      <c r="B1636" t="s">
        <v>728</v>
      </c>
      <c r="C1636" t="s">
        <v>4822</v>
      </c>
      <c r="D1636" t="s">
        <v>4823</v>
      </c>
      <c r="E1636" t="s">
        <v>3158</v>
      </c>
    </row>
    <row r="1637" spans="1:5" x14ac:dyDescent="0.2">
      <c r="A1637">
        <v>1637</v>
      </c>
      <c r="B1637" t="s">
        <v>728</v>
      </c>
      <c r="C1637" t="s">
        <v>4824</v>
      </c>
      <c r="D1637" t="s">
        <v>4825</v>
      </c>
      <c r="E1637" t="s">
        <v>3158</v>
      </c>
    </row>
    <row r="1638" spans="1:5" x14ac:dyDescent="0.2">
      <c r="A1638">
        <v>1638</v>
      </c>
      <c r="B1638" t="s">
        <v>728</v>
      </c>
      <c r="C1638" t="s">
        <v>4826</v>
      </c>
      <c r="D1638" t="s">
        <v>4827</v>
      </c>
      <c r="E1638" t="s">
        <v>3158</v>
      </c>
    </row>
    <row r="1639" spans="1:5" x14ac:dyDescent="0.2">
      <c r="A1639">
        <v>1639</v>
      </c>
      <c r="B1639" t="s">
        <v>728</v>
      </c>
      <c r="C1639" t="s">
        <v>4828</v>
      </c>
      <c r="D1639" t="s">
        <v>4829</v>
      </c>
      <c r="E1639" t="s">
        <v>3158</v>
      </c>
    </row>
    <row r="1640" spans="1:5" x14ac:dyDescent="0.2">
      <c r="A1640">
        <v>1640</v>
      </c>
      <c r="B1640" t="s">
        <v>728</v>
      </c>
      <c r="C1640" t="s">
        <v>4830</v>
      </c>
      <c r="D1640" t="s">
        <v>4831</v>
      </c>
      <c r="E1640" t="s">
        <v>2365</v>
      </c>
    </row>
    <row r="1641" spans="1:5" x14ac:dyDescent="0.2">
      <c r="A1641">
        <v>1641</v>
      </c>
      <c r="B1641" t="s">
        <v>728</v>
      </c>
      <c r="C1641" t="s">
        <v>4832</v>
      </c>
      <c r="D1641" t="s">
        <v>4831</v>
      </c>
      <c r="E1641" t="s">
        <v>3158</v>
      </c>
    </row>
    <row r="1642" spans="1:5" x14ac:dyDescent="0.2">
      <c r="A1642">
        <v>1642</v>
      </c>
      <c r="B1642" t="s">
        <v>728</v>
      </c>
      <c r="C1642" t="s">
        <v>4833</v>
      </c>
      <c r="D1642" t="s">
        <v>4834</v>
      </c>
      <c r="E1642" t="s">
        <v>3158</v>
      </c>
    </row>
    <row r="1643" spans="1:5" x14ac:dyDescent="0.2">
      <c r="A1643">
        <v>1643</v>
      </c>
      <c r="B1643" t="s">
        <v>728</v>
      </c>
      <c r="C1643" t="s">
        <v>4835</v>
      </c>
      <c r="D1643" t="s">
        <v>4836</v>
      </c>
      <c r="E1643" t="s">
        <v>3158</v>
      </c>
    </row>
    <row r="1644" spans="1:5" x14ac:dyDescent="0.2">
      <c r="A1644">
        <v>1644</v>
      </c>
      <c r="B1644" t="s">
        <v>728</v>
      </c>
      <c r="C1644" t="s">
        <v>4837</v>
      </c>
      <c r="D1644" t="s">
        <v>4838</v>
      </c>
      <c r="E1644" t="s">
        <v>3158</v>
      </c>
    </row>
    <row r="1645" spans="1:5" x14ac:dyDescent="0.2">
      <c r="A1645">
        <v>1645</v>
      </c>
      <c r="B1645" t="s">
        <v>728</v>
      </c>
      <c r="C1645" t="s">
        <v>4839</v>
      </c>
      <c r="D1645" t="s">
        <v>4840</v>
      </c>
      <c r="E1645" t="s">
        <v>3158</v>
      </c>
    </row>
    <row r="1646" spans="1:5" x14ac:dyDescent="0.2">
      <c r="A1646">
        <v>1646</v>
      </c>
      <c r="B1646" t="s">
        <v>728</v>
      </c>
      <c r="C1646" t="s">
        <v>4841</v>
      </c>
      <c r="D1646" t="s">
        <v>4842</v>
      </c>
      <c r="E1646" t="s">
        <v>2365</v>
      </c>
    </row>
    <row r="1647" spans="1:5" x14ac:dyDescent="0.2">
      <c r="A1647">
        <v>1647</v>
      </c>
      <c r="B1647" t="s">
        <v>728</v>
      </c>
      <c r="C1647" t="s">
        <v>4843</v>
      </c>
      <c r="D1647" t="s">
        <v>4842</v>
      </c>
      <c r="E1647" t="s">
        <v>3158</v>
      </c>
    </row>
    <row r="1648" spans="1:5" x14ac:dyDescent="0.2">
      <c r="A1648">
        <v>1648</v>
      </c>
      <c r="B1648" t="s">
        <v>728</v>
      </c>
      <c r="C1648" t="s">
        <v>4844</v>
      </c>
      <c r="D1648" t="s">
        <v>4845</v>
      </c>
      <c r="E1648" t="s">
        <v>2365</v>
      </c>
    </row>
    <row r="1649" spans="1:5" x14ac:dyDescent="0.2">
      <c r="A1649">
        <v>1649</v>
      </c>
      <c r="B1649" t="s">
        <v>728</v>
      </c>
      <c r="C1649" t="s">
        <v>4846</v>
      </c>
      <c r="D1649" t="s">
        <v>4845</v>
      </c>
      <c r="E1649" t="s">
        <v>3158</v>
      </c>
    </row>
    <row r="1650" spans="1:5" x14ac:dyDescent="0.2">
      <c r="A1650">
        <v>1650</v>
      </c>
      <c r="B1650" t="s">
        <v>728</v>
      </c>
      <c r="C1650" t="s">
        <v>4847</v>
      </c>
      <c r="D1650" t="s">
        <v>4848</v>
      </c>
      <c r="E1650" t="s">
        <v>3158</v>
      </c>
    </row>
    <row r="1651" spans="1:5" x14ac:dyDescent="0.2">
      <c r="A1651">
        <v>1651</v>
      </c>
      <c r="B1651" t="s">
        <v>728</v>
      </c>
      <c r="C1651" t="s">
        <v>4849</v>
      </c>
      <c r="D1651" t="s">
        <v>4850</v>
      </c>
      <c r="E1651" t="s">
        <v>3158</v>
      </c>
    </row>
    <row r="1652" spans="1:5" x14ac:dyDescent="0.2">
      <c r="A1652">
        <v>1652</v>
      </c>
      <c r="B1652" t="s">
        <v>728</v>
      </c>
      <c r="C1652" t="s">
        <v>4851</v>
      </c>
      <c r="D1652" t="s">
        <v>4852</v>
      </c>
      <c r="E1652" t="s">
        <v>3158</v>
      </c>
    </row>
    <row r="1653" spans="1:5" x14ac:dyDescent="0.2">
      <c r="A1653">
        <v>1653</v>
      </c>
      <c r="B1653" t="s">
        <v>728</v>
      </c>
      <c r="C1653" t="s">
        <v>4853</v>
      </c>
      <c r="D1653" t="s">
        <v>4854</v>
      </c>
      <c r="E1653" t="s">
        <v>3158</v>
      </c>
    </row>
    <row r="1654" spans="1:5" x14ac:dyDescent="0.2">
      <c r="A1654">
        <v>1654</v>
      </c>
      <c r="B1654" t="s">
        <v>728</v>
      </c>
      <c r="C1654" t="s">
        <v>4855</v>
      </c>
      <c r="D1654" t="s">
        <v>4856</v>
      </c>
      <c r="E1654" t="s">
        <v>3158</v>
      </c>
    </row>
    <row r="1655" spans="1:5" x14ac:dyDescent="0.2">
      <c r="A1655">
        <v>1655</v>
      </c>
      <c r="B1655" t="s">
        <v>728</v>
      </c>
      <c r="C1655" t="s">
        <v>4857</v>
      </c>
      <c r="D1655" t="s">
        <v>4858</v>
      </c>
      <c r="E1655" t="s">
        <v>2365</v>
      </c>
    </row>
    <row r="1656" spans="1:5" x14ac:dyDescent="0.2">
      <c r="A1656">
        <v>1656</v>
      </c>
      <c r="B1656" t="s">
        <v>728</v>
      </c>
      <c r="C1656" t="s">
        <v>4859</v>
      </c>
      <c r="D1656" t="s">
        <v>4858</v>
      </c>
      <c r="E1656" t="s">
        <v>3158</v>
      </c>
    </row>
    <row r="1657" spans="1:5" x14ac:dyDescent="0.2">
      <c r="A1657">
        <v>1657</v>
      </c>
      <c r="B1657" t="s">
        <v>728</v>
      </c>
      <c r="C1657" t="s">
        <v>4860</v>
      </c>
      <c r="D1657" t="s">
        <v>4861</v>
      </c>
      <c r="E1657" t="s">
        <v>3158</v>
      </c>
    </row>
    <row r="1658" spans="1:5" x14ac:dyDescent="0.2">
      <c r="A1658">
        <v>1658</v>
      </c>
      <c r="B1658" t="s">
        <v>728</v>
      </c>
      <c r="C1658" t="s">
        <v>4862</v>
      </c>
      <c r="D1658" t="s">
        <v>4863</v>
      </c>
      <c r="E1658" t="s">
        <v>3158</v>
      </c>
    </row>
    <row r="1659" spans="1:5" x14ac:dyDescent="0.2">
      <c r="A1659">
        <v>1659</v>
      </c>
      <c r="B1659" t="s">
        <v>728</v>
      </c>
      <c r="C1659" t="s">
        <v>4864</v>
      </c>
      <c r="D1659" t="s">
        <v>4865</v>
      </c>
      <c r="E1659" t="s">
        <v>3158</v>
      </c>
    </row>
    <row r="1660" spans="1:5" x14ac:dyDescent="0.2">
      <c r="A1660">
        <v>1660</v>
      </c>
      <c r="B1660" t="s">
        <v>728</v>
      </c>
      <c r="C1660" t="s">
        <v>4866</v>
      </c>
      <c r="D1660" t="s">
        <v>1701</v>
      </c>
      <c r="E1660" t="s">
        <v>3158</v>
      </c>
    </row>
    <row r="1661" spans="1:5" x14ac:dyDescent="0.2">
      <c r="A1661">
        <v>1661</v>
      </c>
      <c r="B1661" t="s">
        <v>728</v>
      </c>
      <c r="C1661" t="s">
        <v>4867</v>
      </c>
      <c r="D1661" t="s">
        <v>4868</v>
      </c>
      <c r="E1661" t="s">
        <v>2365</v>
      </c>
    </row>
    <row r="1662" spans="1:5" x14ac:dyDescent="0.2">
      <c r="A1662">
        <v>1662</v>
      </c>
      <c r="B1662" t="s">
        <v>728</v>
      </c>
      <c r="C1662" t="s">
        <v>4869</v>
      </c>
      <c r="D1662" t="s">
        <v>4868</v>
      </c>
      <c r="E1662" t="s">
        <v>3158</v>
      </c>
    </row>
    <row r="1663" spans="1:5" x14ac:dyDescent="0.2">
      <c r="A1663">
        <v>1663</v>
      </c>
      <c r="B1663" t="s">
        <v>728</v>
      </c>
      <c r="C1663" t="s">
        <v>4870</v>
      </c>
      <c r="D1663" t="s">
        <v>4871</v>
      </c>
      <c r="E1663" t="s">
        <v>3158</v>
      </c>
    </row>
    <row r="1664" spans="1:5" x14ac:dyDescent="0.2">
      <c r="A1664">
        <v>1664</v>
      </c>
      <c r="B1664" t="s">
        <v>728</v>
      </c>
      <c r="C1664" t="s">
        <v>4872</v>
      </c>
      <c r="D1664" t="s">
        <v>4873</v>
      </c>
      <c r="E1664" t="s">
        <v>2365</v>
      </c>
    </row>
    <row r="1665" spans="1:5" x14ac:dyDescent="0.2">
      <c r="A1665">
        <v>1665</v>
      </c>
      <c r="B1665" t="s">
        <v>728</v>
      </c>
      <c r="C1665" t="s">
        <v>4874</v>
      </c>
      <c r="D1665" t="s">
        <v>4873</v>
      </c>
      <c r="E1665" t="s">
        <v>3158</v>
      </c>
    </row>
    <row r="1666" spans="1:5" x14ac:dyDescent="0.2">
      <c r="A1666">
        <v>1666</v>
      </c>
      <c r="B1666" t="s">
        <v>728</v>
      </c>
      <c r="C1666" t="s">
        <v>4875</v>
      </c>
      <c r="D1666" t="s">
        <v>4876</v>
      </c>
      <c r="E1666" t="s">
        <v>3158</v>
      </c>
    </row>
    <row r="1667" spans="1:5" x14ac:dyDescent="0.2">
      <c r="A1667">
        <v>1667</v>
      </c>
      <c r="B1667" t="s">
        <v>728</v>
      </c>
      <c r="C1667" t="s">
        <v>4877</v>
      </c>
      <c r="D1667" t="s">
        <v>4878</v>
      </c>
      <c r="E1667" t="s">
        <v>3158</v>
      </c>
    </row>
    <row r="1668" spans="1:5" x14ac:dyDescent="0.2">
      <c r="A1668">
        <v>1668</v>
      </c>
      <c r="B1668" t="s">
        <v>728</v>
      </c>
      <c r="C1668" t="s">
        <v>4879</v>
      </c>
      <c r="D1668" t="s">
        <v>4880</v>
      </c>
      <c r="E1668" t="s">
        <v>3158</v>
      </c>
    </row>
    <row r="1669" spans="1:5" x14ac:dyDescent="0.2">
      <c r="A1669">
        <v>1669</v>
      </c>
      <c r="B1669" t="s">
        <v>728</v>
      </c>
      <c r="C1669" t="s">
        <v>4881</v>
      </c>
      <c r="D1669" t="s">
        <v>4882</v>
      </c>
      <c r="E1669" t="s">
        <v>3158</v>
      </c>
    </row>
    <row r="1670" spans="1:5" x14ac:dyDescent="0.2">
      <c r="A1670">
        <v>1670</v>
      </c>
      <c r="B1670" t="s">
        <v>728</v>
      </c>
      <c r="C1670" t="s">
        <v>4883</v>
      </c>
      <c r="D1670" t="s">
        <v>4884</v>
      </c>
      <c r="E1670" t="s">
        <v>3158</v>
      </c>
    </row>
    <row r="1671" spans="1:5" x14ac:dyDescent="0.2">
      <c r="A1671">
        <v>1671</v>
      </c>
      <c r="B1671" t="s">
        <v>730</v>
      </c>
      <c r="C1671" t="s">
        <v>4885</v>
      </c>
      <c r="D1671" t="s">
        <v>4886</v>
      </c>
      <c r="E1671" t="s">
        <v>2087</v>
      </c>
    </row>
    <row r="1672" spans="1:5" x14ac:dyDescent="0.2">
      <c r="A1672">
        <v>1672</v>
      </c>
      <c r="B1672" t="s">
        <v>730</v>
      </c>
      <c r="C1672" t="s">
        <v>4887</v>
      </c>
      <c r="D1672" t="s">
        <v>4888</v>
      </c>
      <c r="E1672" t="s">
        <v>2087</v>
      </c>
    </row>
    <row r="1673" spans="1:5" x14ac:dyDescent="0.2">
      <c r="A1673">
        <v>1673</v>
      </c>
      <c r="B1673" t="s">
        <v>730</v>
      </c>
      <c r="C1673" t="s">
        <v>4889</v>
      </c>
      <c r="D1673" t="s">
        <v>4890</v>
      </c>
      <c r="E1673" t="s">
        <v>4891</v>
      </c>
    </row>
    <row r="1674" spans="1:5" x14ac:dyDescent="0.2">
      <c r="A1674">
        <v>1674</v>
      </c>
      <c r="B1674" t="s">
        <v>730</v>
      </c>
      <c r="C1674" t="s">
        <v>4892</v>
      </c>
      <c r="D1674" t="s">
        <v>4893</v>
      </c>
      <c r="E1674" t="s">
        <v>2087</v>
      </c>
    </row>
    <row r="1675" spans="1:5" x14ac:dyDescent="0.2">
      <c r="A1675">
        <v>1675</v>
      </c>
      <c r="B1675" t="s">
        <v>730</v>
      </c>
      <c r="C1675" t="s">
        <v>4894</v>
      </c>
      <c r="D1675" t="s">
        <v>4895</v>
      </c>
      <c r="E1675" t="s">
        <v>2087</v>
      </c>
    </row>
    <row r="1676" spans="1:5" x14ac:dyDescent="0.2">
      <c r="A1676">
        <v>1676</v>
      </c>
      <c r="B1676" t="s">
        <v>730</v>
      </c>
      <c r="C1676" t="s">
        <v>4896</v>
      </c>
      <c r="D1676" t="s">
        <v>4897</v>
      </c>
      <c r="E1676" t="s">
        <v>2087</v>
      </c>
    </row>
    <row r="1677" spans="1:5" x14ac:dyDescent="0.2">
      <c r="A1677">
        <v>1677</v>
      </c>
      <c r="B1677" t="s">
        <v>730</v>
      </c>
      <c r="C1677" t="s">
        <v>4898</v>
      </c>
      <c r="D1677" t="s">
        <v>4899</v>
      </c>
      <c r="E1677" t="s">
        <v>1719</v>
      </c>
    </row>
    <row r="1678" spans="1:5" x14ac:dyDescent="0.2">
      <c r="A1678">
        <v>1678</v>
      </c>
      <c r="B1678" t="s">
        <v>730</v>
      </c>
      <c r="C1678" t="s">
        <v>4900</v>
      </c>
      <c r="D1678" t="s">
        <v>4901</v>
      </c>
      <c r="E1678" t="s">
        <v>1719</v>
      </c>
    </row>
    <row r="1679" spans="1:5" x14ac:dyDescent="0.2">
      <c r="A1679">
        <v>1679</v>
      </c>
      <c r="B1679" t="s">
        <v>730</v>
      </c>
      <c r="C1679" t="s">
        <v>4902</v>
      </c>
      <c r="D1679" t="s">
        <v>4903</v>
      </c>
      <c r="E1679" t="s">
        <v>2087</v>
      </c>
    </row>
    <row r="1680" spans="1:5" x14ac:dyDescent="0.2">
      <c r="A1680">
        <v>1680</v>
      </c>
      <c r="B1680" t="s">
        <v>730</v>
      </c>
      <c r="C1680" t="s">
        <v>4904</v>
      </c>
      <c r="D1680" t="s">
        <v>4905</v>
      </c>
      <c r="E1680" t="s">
        <v>2087</v>
      </c>
    </row>
    <row r="1681" spans="1:5" x14ac:dyDescent="0.2">
      <c r="A1681">
        <v>1681</v>
      </c>
      <c r="B1681" t="s">
        <v>730</v>
      </c>
      <c r="C1681" t="s">
        <v>4906</v>
      </c>
      <c r="D1681" t="s">
        <v>4907</v>
      </c>
      <c r="E1681" t="s">
        <v>1719</v>
      </c>
    </row>
    <row r="1682" spans="1:5" x14ac:dyDescent="0.2">
      <c r="A1682">
        <v>1682</v>
      </c>
      <c r="B1682" t="s">
        <v>730</v>
      </c>
      <c r="C1682" t="s">
        <v>4908</v>
      </c>
      <c r="D1682" t="s">
        <v>4909</v>
      </c>
      <c r="E1682" t="s">
        <v>2087</v>
      </c>
    </row>
    <row r="1683" spans="1:5" x14ac:dyDescent="0.2">
      <c r="A1683">
        <v>1683</v>
      </c>
      <c r="B1683" t="s">
        <v>732</v>
      </c>
      <c r="C1683" t="s">
        <v>4910</v>
      </c>
      <c r="D1683" t="s">
        <v>4911</v>
      </c>
      <c r="E1683" t="s">
        <v>2087</v>
      </c>
    </row>
    <row r="1684" spans="1:5" x14ac:dyDescent="0.2">
      <c r="A1684">
        <v>1684</v>
      </c>
      <c r="B1684" t="s">
        <v>732</v>
      </c>
      <c r="C1684" t="s">
        <v>4912</v>
      </c>
      <c r="D1684" t="s">
        <v>4913</v>
      </c>
      <c r="E1684" t="s">
        <v>2087</v>
      </c>
    </row>
    <row r="1685" spans="1:5" x14ac:dyDescent="0.2">
      <c r="A1685">
        <v>1685</v>
      </c>
      <c r="B1685" t="s">
        <v>732</v>
      </c>
      <c r="C1685" t="s">
        <v>4914</v>
      </c>
      <c r="D1685" t="s">
        <v>4915</v>
      </c>
      <c r="E1685" t="s">
        <v>2087</v>
      </c>
    </row>
    <row r="1686" spans="1:5" x14ac:dyDescent="0.2">
      <c r="A1686">
        <v>1686</v>
      </c>
      <c r="B1686" t="s">
        <v>732</v>
      </c>
      <c r="C1686" t="s">
        <v>4916</v>
      </c>
      <c r="D1686" t="s">
        <v>4917</v>
      </c>
      <c r="E1686" t="s">
        <v>2087</v>
      </c>
    </row>
    <row r="1687" spans="1:5" x14ac:dyDescent="0.2">
      <c r="A1687">
        <v>1687</v>
      </c>
      <c r="B1687" t="s">
        <v>732</v>
      </c>
      <c r="C1687" t="s">
        <v>4918</v>
      </c>
      <c r="D1687" t="s">
        <v>4919</v>
      </c>
      <c r="E1687" t="s">
        <v>2087</v>
      </c>
    </row>
    <row r="1688" spans="1:5" x14ac:dyDescent="0.2">
      <c r="A1688">
        <v>1688</v>
      </c>
      <c r="B1688" t="s">
        <v>732</v>
      </c>
      <c r="C1688" t="s">
        <v>4920</v>
      </c>
      <c r="D1688" t="s">
        <v>4921</v>
      </c>
      <c r="E1688" t="s">
        <v>2087</v>
      </c>
    </row>
    <row r="1689" spans="1:5" x14ac:dyDescent="0.2">
      <c r="A1689">
        <v>1689</v>
      </c>
      <c r="B1689" t="s">
        <v>732</v>
      </c>
      <c r="C1689" t="s">
        <v>4922</v>
      </c>
      <c r="D1689" t="s">
        <v>4923</v>
      </c>
      <c r="E1689" t="s">
        <v>2087</v>
      </c>
    </row>
    <row r="1690" spans="1:5" x14ac:dyDescent="0.2">
      <c r="A1690">
        <v>1690</v>
      </c>
      <c r="B1690" t="s">
        <v>732</v>
      </c>
      <c r="C1690" t="s">
        <v>4924</v>
      </c>
      <c r="D1690" t="s">
        <v>4925</v>
      </c>
      <c r="E1690" t="s">
        <v>2087</v>
      </c>
    </row>
    <row r="1691" spans="1:5" x14ac:dyDescent="0.2">
      <c r="A1691">
        <v>1691</v>
      </c>
      <c r="B1691" t="s">
        <v>732</v>
      </c>
      <c r="C1691" t="s">
        <v>4926</v>
      </c>
      <c r="D1691" t="s">
        <v>4927</v>
      </c>
      <c r="E1691" t="s">
        <v>2087</v>
      </c>
    </row>
    <row r="1692" spans="1:5" x14ac:dyDescent="0.2">
      <c r="A1692">
        <v>1692</v>
      </c>
      <c r="B1692" t="s">
        <v>732</v>
      </c>
      <c r="C1692" t="s">
        <v>4928</v>
      </c>
      <c r="D1692" t="s">
        <v>4929</v>
      </c>
      <c r="E1692" t="s">
        <v>2087</v>
      </c>
    </row>
    <row r="1693" spans="1:5" x14ac:dyDescent="0.2">
      <c r="A1693">
        <v>1693</v>
      </c>
      <c r="B1693" t="s">
        <v>734</v>
      </c>
      <c r="C1693" t="s">
        <v>4930</v>
      </c>
      <c r="D1693" t="s">
        <v>4931</v>
      </c>
      <c r="E1693" t="s">
        <v>2590</v>
      </c>
    </row>
    <row r="1694" spans="1:5" x14ac:dyDescent="0.2">
      <c r="A1694">
        <v>1694</v>
      </c>
      <c r="B1694" t="s">
        <v>734</v>
      </c>
      <c r="C1694" t="s">
        <v>4932</v>
      </c>
      <c r="D1694" t="s">
        <v>2875</v>
      </c>
      <c r="E1694" t="s">
        <v>2590</v>
      </c>
    </row>
    <row r="1695" spans="1:5" x14ac:dyDescent="0.2">
      <c r="A1695">
        <v>1695</v>
      </c>
      <c r="B1695" t="s">
        <v>734</v>
      </c>
      <c r="C1695" t="s">
        <v>4933</v>
      </c>
      <c r="D1695" t="s">
        <v>4934</v>
      </c>
      <c r="E1695" t="s">
        <v>2590</v>
      </c>
    </row>
    <row r="1696" spans="1:5" x14ac:dyDescent="0.2">
      <c r="A1696">
        <v>1696</v>
      </c>
      <c r="B1696" t="s">
        <v>734</v>
      </c>
      <c r="C1696" t="s">
        <v>4933</v>
      </c>
      <c r="D1696" t="s">
        <v>4935</v>
      </c>
      <c r="E1696" t="s">
        <v>2590</v>
      </c>
    </row>
    <row r="1697" spans="1:5" x14ac:dyDescent="0.2">
      <c r="A1697">
        <v>1697</v>
      </c>
      <c r="B1697" t="s">
        <v>734</v>
      </c>
      <c r="C1697" t="s">
        <v>4930</v>
      </c>
      <c r="D1697" t="s">
        <v>4936</v>
      </c>
      <c r="E1697" t="s">
        <v>2590</v>
      </c>
    </row>
    <row r="1698" spans="1:5" x14ac:dyDescent="0.2">
      <c r="A1698">
        <v>1698</v>
      </c>
      <c r="B1698" t="s">
        <v>734</v>
      </c>
      <c r="C1698" t="s">
        <v>4937</v>
      </c>
      <c r="D1698" t="s">
        <v>4938</v>
      </c>
      <c r="E1698" t="s">
        <v>2590</v>
      </c>
    </row>
    <row r="1699" spans="1:5" x14ac:dyDescent="0.2">
      <c r="A1699">
        <v>1699</v>
      </c>
      <c r="B1699" t="s">
        <v>734</v>
      </c>
      <c r="C1699" t="s">
        <v>4939</v>
      </c>
      <c r="D1699" t="s">
        <v>4940</v>
      </c>
      <c r="E1699" t="s">
        <v>2590</v>
      </c>
    </row>
    <row r="1700" spans="1:5" x14ac:dyDescent="0.2">
      <c r="A1700">
        <v>1700</v>
      </c>
      <c r="B1700" t="s">
        <v>734</v>
      </c>
      <c r="C1700" t="s">
        <v>4939</v>
      </c>
      <c r="D1700" t="s">
        <v>4941</v>
      </c>
      <c r="E1700" t="s">
        <v>2590</v>
      </c>
    </row>
    <row r="1701" spans="1:5" x14ac:dyDescent="0.2">
      <c r="A1701">
        <v>1701</v>
      </c>
      <c r="B1701" t="s">
        <v>734</v>
      </c>
      <c r="C1701" t="s">
        <v>4942</v>
      </c>
      <c r="D1701" t="s">
        <v>2929</v>
      </c>
      <c r="E1701" t="s">
        <v>2590</v>
      </c>
    </row>
    <row r="1702" spans="1:5" x14ac:dyDescent="0.2">
      <c r="A1702">
        <v>1702</v>
      </c>
      <c r="B1702" t="s">
        <v>734</v>
      </c>
      <c r="C1702" t="s">
        <v>4943</v>
      </c>
      <c r="D1702" t="s">
        <v>4944</v>
      </c>
      <c r="E1702" t="s">
        <v>2590</v>
      </c>
    </row>
    <row r="1703" spans="1:5" x14ac:dyDescent="0.2">
      <c r="A1703">
        <v>1703</v>
      </c>
      <c r="B1703" t="s">
        <v>734</v>
      </c>
      <c r="C1703" t="s">
        <v>4945</v>
      </c>
      <c r="D1703" t="s">
        <v>3066</v>
      </c>
      <c r="E1703" t="s">
        <v>2590</v>
      </c>
    </row>
    <row r="1704" spans="1:5" x14ac:dyDescent="0.2">
      <c r="A1704">
        <v>1704</v>
      </c>
      <c r="B1704" t="s">
        <v>734</v>
      </c>
      <c r="C1704" t="s">
        <v>4942</v>
      </c>
      <c r="D1704" t="s">
        <v>4946</v>
      </c>
      <c r="E1704" t="s">
        <v>2590</v>
      </c>
    </row>
    <row r="1705" spans="1:5" x14ac:dyDescent="0.2">
      <c r="A1705">
        <v>1705</v>
      </c>
      <c r="B1705" t="s">
        <v>734</v>
      </c>
      <c r="C1705" t="s">
        <v>4945</v>
      </c>
      <c r="D1705" t="s">
        <v>4947</v>
      </c>
      <c r="E1705" t="s">
        <v>2590</v>
      </c>
    </row>
    <row r="1706" spans="1:5" x14ac:dyDescent="0.2">
      <c r="A1706">
        <v>1706</v>
      </c>
      <c r="B1706" t="s">
        <v>734</v>
      </c>
      <c r="C1706" t="s">
        <v>4943</v>
      </c>
      <c r="D1706" t="s">
        <v>4948</v>
      </c>
      <c r="E1706" t="s">
        <v>2590</v>
      </c>
    </row>
    <row r="1707" spans="1:5" x14ac:dyDescent="0.2">
      <c r="A1707">
        <v>1707</v>
      </c>
      <c r="B1707" t="s">
        <v>734</v>
      </c>
      <c r="C1707" t="s">
        <v>4937</v>
      </c>
      <c r="D1707" t="s">
        <v>3069</v>
      </c>
      <c r="E1707" t="s">
        <v>2590</v>
      </c>
    </row>
    <row r="1708" spans="1:5" x14ac:dyDescent="0.2">
      <c r="A1708">
        <v>1708</v>
      </c>
      <c r="B1708" t="s">
        <v>734</v>
      </c>
      <c r="C1708" t="s">
        <v>4932</v>
      </c>
      <c r="D1708" t="s">
        <v>4949</v>
      </c>
      <c r="E1708" t="s">
        <v>2590</v>
      </c>
    </row>
    <row r="1709" spans="1:5" x14ac:dyDescent="0.2">
      <c r="A1709">
        <v>1709</v>
      </c>
      <c r="B1709" t="s">
        <v>734</v>
      </c>
      <c r="C1709" t="s">
        <v>4950</v>
      </c>
      <c r="D1709" t="s">
        <v>4951</v>
      </c>
      <c r="E1709" t="s">
        <v>2590</v>
      </c>
    </row>
    <row r="1710" spans="1:5" x14ac:dyDescent="0.2">
      <c r="A1710">
        <v>1710</v>
      </c>
      <c r="B1710" t="s">
        <v>734</v>
      </c>
      <c r="C1710" t="s">
        <v>4952</v>
      </c>
      <c r="D1710" t="s">
        <v>4953</v>
      </c>
      <c r="E1710" t="s">
        <v>2590</v>
      </c>
    </row>
    <row r="1711" spans="1:5" x14ac:dyDescent="0.2">
      <c r="A1711">
        <v>1711</v>
      </c>
      <c r="B1711" t="s">
        <v>734</v>
      </c>
      <c r="C1711" t="s">
        <v>4950</v>
      </c>
      <c r="D1711" t="s">
        <v>3074</v>
      </c>
      <c r="E1711" t="s">
        <v>2590</v>
      </c>
    </row>
    <row r="1712" spans="1:5" x14ac:dyDescent="0.2">
      <c r="A1712">
        <v>1712</v>
      </c>
      <c r="B1712" t="s">
        <v>734</v>
      </c>
      <c r="C1712" t="s">
        <v>4952</v>
      </c>
      <c r="D1712" t="s">
        <v>4954</v>
      </c>
      <c r="E1712" t="s">
        <v>2590</v>
      </c>
    </row>
    <row r="1713" spans="1:5" x14ac:dyDescent="0.2">
      <c r="A1713">
        <v>1713</v>
      </c>
      <c r="B1713" t="s">
        <v>738</v>
      </c>
      <c r="C1713" t="s">
        <v>4955</v>
      </c>
      <c r="D1713" t="s">
        <v>4956</v>
      </c>
      <c r="E1713" t="s">
        <v>2590</v>
      </c>
    </row>
    <row r="1714" spans="1:5" x14ac:dyDescent="0.2">
      <c r="A1714">
        <v>1714</v>
      </c>
      <c r="B1714" t="s">
        <v>738</v>
      </c>
      <c r="C1714" t="s">
        <v>4957</v>
      </c>
      <c r="D1714" t="s">
        <v>4958</v>
      </c>
      <c r="E1714" t="s">
        <v>2590</v>
      </c>
    </row>
    <row r="1715" spans="1:5" x14ac:dyDescent="0.2">
      <c r="A1715">
        <v>1715</v>
      </c>
      <c r="B1715" t="s">
        <v>738</v>
      </c>
      <c r="C1715" t="s">
        <v>4959</v>
      </c>
      <c r="D1715" t="s">
        <v>4960</v>
      </c>
      <c r="E1715" t="s">
        <v>2590</v>
      </c>
    </row>
    <row r="1716" spans="1:5" x14ac:dyDescent="0.2">
      <c r="A1716">
        <v>1716</v>
      </c>
      <c r="B1716" t="s">
        <v>738</v>
      </c>
      <c r="C1716" t="s">
        <v>4961</v>
      </c>
      <c r="D1716" t="s">
        <v>4962</v>
      </c>
      <c r="E1716" t="s">
        <v>2590</v>
      </c>
    </row>
    <row r="1717" spans="1:5" x14ac:dyDescent="0.2">
      <c r="A1717">
        <v>1717</v>
      </c>
      <c r="B1717" t="s">
        <v>738</v>
      </c>
      <c r="C1717" t="s">
        <v>4963</v>
      </c>
      <c r="D1717" t="s">
        <v>4964</v>
      </c>
      <c r="E1717" t="s">
        <v>2590</v>
      </c>
    </row>
    <row r="1718" spans="1:5" x14ac:dyDescent="0.2">
      <c r="A1718">
        <v>1718</v>
      </c>
      <c r="B1718" t="s">
        <v>738</v>
      </c>
      <c r="C1718" t="s">
        <v>4965</v>
      </c>
      <c r="D1718" t="s">
        <v>4966</v>
      </c>
      <c r="E1718" t="s">
        <v>2590</v>
      </c>
    </row>
    <row r="1719" spans="1:5" x14ac:dyDescent="0.2">
      <c r="A1719">
        <v>1719</v>
      </c>
      <c r="B1719" t="s">
        <v>738</v>
      </c>
      <c r="C1719" t="s">
        <v>4967</v>
      </c>
      <c r="D1719" t="s">
        <v>4968</v>
      </c>
      <c r="E1719" t="s">
        <v>2590</v>
      </c>
    </row>
    <row r="1720" spans="1:5" x14ac:dyDescent="0.2">
      <c r="A1720">
        <v>1720</v>
      </c>
      <c r="B1720" t="s">
        <v>738</v>
      </c>
      <c r="C1720" t="s">
        <v>4969</v>
      </c>
      <c r="D1720" t="s">
        <v>4970</v>
      </c>
      <c r="E1720" t="s">
        <v>2590</v>
      </c>
    </row>
    <row r="1721" spans="1:5" x14ac:dyDescent="0.2">
      <c r="A1721">
        <v>1721</v>
      </c>
      <c r="B1721" t="s">
        <v>738</v>
      </c>
      <c r="C1721" t="s">
        <v>4971</v>
      </c>
      <c r="D1721" t="s">
        <v>4972</v>
      </c>
      <c r="E1721" t="s">
        <v>2590</v>
      </c>
    </row>
    <row r="1722" spans="1:5" x14ac:dyDescent="0.2">
      <c r="A1722">
        <v>1722</v>
      </c>
      <c r="B1722" t="s">
        <v>738</v>
      </c>
      <c r="C1722" t="s">
        <v>4973</v>
      </c>
      <c r="D1722" t="s">
        <v>4974</v>
      </c>
      <c r="E1722" t="s">
        <v>2590</v>
      </c>
    </row>
    <row r="1723" spans="1:5" x14ac:dyDescent="0.2">
      <c r="A1723">
        <v>1723</v>
      </c>
      <c r="B1723" t="s">
        <v>738</v>
      </c>
      <c r="C1723" t="s">
        <v>4975</v>
      </c>
      <c r="D1723" t="s">
        <v>4976</v>
      </c>
      <c r="E1723" t="s">
        <v>2590</v>
      </c>
    </row>
    <row r="1724" spans="1:5" x14ac:dyDescent="0.2">
      <c r="A1724">
        <v>1724</v>
      </c>
      <c r="B1724" t="s">
        <v>738</v>
      </c>
      <c r="C1724" t="s">
        <v>4977</v>
      </c>
      <c r="D1724" t="s">
        <v>2661</v>
      </c>
      <c r="E1724" t="s">
        <v>2590</v>
      </c>
    </row>
    <row r="1725" spans="1:5" x14ac:dyDescent="0.2">
      <c r="A1725">
        <v>1725</v>
      </c>
      <c r="B1725" t="s">
        <v>738</v>
      </c>
      <c r="C1725" t="s">
        <v>4978</v>
      </c>
      <c r="D1725" t="s">
        <v>4979</v>
      </c>
      <c r="E1725" t="s">
        <v>2590</v>
      </c>
    </row>
    <row r="1726" spans="1:5" x14ac:dyDescent="0.2">
      <c r="A1726">
        <v>1726</v>
      </c>
      <c r="B1726" t="s">
        <v>738</v>
      </c>
      <c r="C1726" t="s">
        <v>4980</v>
      </c>
      <c r="D1726" t="s">
        <v>4981</v>
      </c>
      <c r="E1726" t="s">
        <v>2590</v>
      </c>
    </row>
    <row r="1727" spans="1:5" x14ac:dyDescent="0.2">
      <c r="A1727">
        <v>1727</v>
      </c>
      <c r="B1727" t="s">
        <v>738</v>
      </c>
      <c r="C1727" t="s">
        <v>4982</v>
      </c>
      <c r="D1727" t="s">
        <v>4983</v>
      </c>
      <c r="E1727" t="s">
        <v>2590</v>
      </c>
    </row>
    <row r="1728" spans="1:5" x14ac:dyDescent="0.2">
      <c r="A1728">
        <v>1728</v>
      </c>
      <c r="B1728" t="s">
        <v>738</v>
      </c>
      <c r="C1728" t="s">
        <v>4984</v>
      </c>
      <c r="D1728" t="s">
        <v>4985</v>
      </c>
      <c r="E1728" t="s">
        <v>2590</v>
      </c>
    </row>
    <row r="1729" spans="1:5" x14ac:dyDescent="0.2">
      <c r="A1729">
        <v>1729</v>
      </c>
      <c r="B1729" t="s">
        <v>738</v>
      </c>
      <c r="C1729" t="s">
        <v>4986</v>
      </c>
      <c r="D1729" t="s">
        <v>4987</v>
      </c>
      <c r="E1729" t="s">
        <v>2590</v>
      </c>
    </row>
    <row r="1730" spans="1:5" x14ac:dyDescent="0.2">
      <c r="A1730">
        <v>1730</v>
      </c>
      <c r="B1730" t="s">
        <v>738</v>
      </c>
      <c r="C1730" t="s">
        <v>4988</v>
      </c>
      <c r="D1730" t="s">
        <v>4989</v>
      </c>
      <c r="E1730" t="s">
        <v>2590</v>
      </c>
    </row>
    <row r="1731" spans="1:5" x14ac:dyDescent="0.2">
      <c r="A1731">
        <v>1731</v>
      </c>
      <c r="B1731" t="s">
        <v>745</v>
      </c>
      <c r="C1731" t="s">
        <v>4990</v>
      </c>
      <c r="D1731" t="s">
        <v>4991</v>
      </c>
      <c r="E1731" t="s">
        <v>1788</v>
      </c>
    </row>
    <row r="1732" spans="1:5" x14ac:dyDescent="0.2">
      <c r="A1732">
        <v>1732</v>
      </c>
      <c r="B1732" t="s">
        <v>745</v>
      </c>
      <c r="C1732" t="s">
        <v>4992</v>
      </c>
      <c r="D1732" t="s">
        <v>4993</v>
      </c>
      <c r="E1732" t="s">
        <v>1788</v>
      </c>
    </row>
    <row r="1733" spans="1:5" x14ac:dyDescent="0.2">
      <c r="A1733">
        <v>1733</v>
      </c>
      <c r="B1733" t="s">
        <v>745</v>
      </c>
      <c r="C1733" t="s">
        <v>4994</v>
      </c>
      <c r="D1733" t="s">
        <v>4995</v>
      </c>
      <c r="E1733" t="s">
        <v>4996</v>
      </c>
    </row>
    <row r="1734" spans="1:5" x14ac:dyDescent="0.2">
      <c r="A1734">
        <v>1734</v>
      </c>
      <c r="B1734" t="s">
        <v>745</v>
      </c>
      <c r="C1734" t="s">
        <v>4997</v>
      </c>
      <c r="D1734" t="s">
        <v>4998</v>
      </c>
      <c r="E1734" t="s">
        <v>1788</v>
      </c>
    </row>
    <row r="1735" spans="1:5" x14ac:dyDescent="0.2">
      <c r="A1735">
        <v>1735</v>
      </c>
      <c r="B1735" t="s">
        <v>745</v>
      </c>
      <c r="C1735" t="s">
        <v>4999</v>
      </c>
      <c r="D1735" t="s">
        <v>5000</v>
      </c>
      <c r="E1735" t="s">
        <v>1788</v>
      </c>
    </row>
    <row r="1736" spans="1:5" x14ac:dyDescent="0.2">
      <c r="A1736">
        <v>1736</v>
      </c>
      <c r="B1736" t="s">
        <v>745</v>
      </c>
      <c r="C1736" t="s">
        <v>5001</v>
      </c>
      <c r="D1736" t="s">
        <v>5002</v>
      </c>
      <c r="E1736" t="s">
        <v>5003</v>
      </c>
    </row>
    <row r="1737" spans="1:5" x14ac:dyDescent="0.2">
      <c r="A1737">
        <v>1737</v>
      </c>
      <c r="B1737" t="s">
        <v>745</v>
      </c>
      <c r="C1737" t="s">
        <v>5004</v>
      </c>
      <c r="D1737" t="s">
        <v>5005</v>
      </c>
      <c r="E1737" t="s">
        <v>1788</v>
      </c>
    </row>
    <row r="1738" spans="1:5" x14ac:dyDescent="0.2">
      <c r="A1738">
        <v>1738</v>
      </c>
      <c r="B1738" t="s">
        <v>745</v>
      </c>
      <c r="C1738" t="s">
        <v>5006</v>
      </c>
      <c r="D1738" t="s">
        <v>5007</v>
      </c>
      <c r="E1738" t="s">
        <v>5003</v>
      </c>
    </row>
    <row r="1739" spans="1:5" x14ac:dyDescent="0.2">
      <c r="A1739">
        <v>1739</v>
      </c>
      <c r="B1739" t="s">
        <v>745</v>
      </c>
      <c r="C1739" t="s">
        <v>5008</v>
      </c>
      <c r="D1739" t="s">
        <v>5009</v>
      </c>
      <c r="E1739" t="s">
        <v>5003</v>
      </c>
    </row>
    <row r="1740" spans="1:5" x14ac:dyDescent="0.2">
      <c r="A1740">
        <v>1740</v>
      </c>
      <c r="B1740" t="s">
        <v>745</v>
      </c>
      <c r="C1740" t="s">
        <v>5010</v>
      </c>
      <c r="D1740" t="s">
        <v>5011</v>
      </c>
      <c r="E1740" t="s">
        <v>5003</v>
      </c>
    </row>
    <row r="1741" spans="1:5" x14ac:dyDescent="0.2">
      <c r="A1741">
        <v>1741</v>
      </c>
      <c r="B1741" t="s">
        <v>745</v>
      </c>
      <c r="C1741" t="s">
        <v>5012</v>
      </c>
      <c r="D1741" t="s">
        <v>5013</v>
      </c>
      <c r="E1741" t="s">
        <v>1788</v>
      </c>
    </row>
    <row r="1742" spans="1:5" x14ac:dyDescent="0.2">
      <c r="A1742">
        <v>1742</v>
      </c>
      <c r="B1742" t="s">
        <v>745</v>
      </c>
      <c r="C1742" t="s">
        <v>5014</v>
      </c>
      <c r="D1742" t="s">
        <v>5015</v>
      </c>
      <c r="E1742" t="s">
        <v>5003</v>
      </c>
    </row>
    <row r="1743" spans="1:5" x14ac:dyDescent="0.2">
      <c r="A1743">
        <v>1743</v>
      </c>
      <c r="B1743" t="s">
        <v>745</v>
      </c>
      <c r="C1743" t="s">
        <v>5016</v>
      </c>
      <c r="D1743" t="s">
        <v>5017</v>
      </c>
      <c r="E1743" t="s">
        <v>1788</v>
      </c>
    </row>
    <row r="1744" spans="1:5" x14ac:dyDescent="0.2">
      <c r="A1744">
        <v>1744</v>
      </c>
      <c r="B1744" t="s">
        <v>745</v>
      </c>
      <c r="C1744" t="s">
        <v>5018</v>
      </c>
      <c r="D1744" t="s">
        <v>5019</v>
      </c>
      <c r="E1744" t="s">
        <v>1788</v>
      </c>
    </row>
    <row r="1745" spans="1:5" x14ac:dyDescent="0.2">
      <c r="A1745">
        <v>1745</v>
      </c>
      <c r="B1745" t="s">
        <v>745</v>
      </c>
      <c r="C1745" t="s">
        <v>5020</v>
      </c>
      <c r="D1745" t="s">
        <v>5021</v>
      </c>
      <c r="E1745" t="s">
        <v>1788</v>
      </c>
    </row>
    <row r="1746" spans="1:5" x14ac:dyDescent="0.2">
      <c r="A1746">
        <v>1746</v>
      </c>
      <c r="B1746" t="s">
        <v>745</v>
      </c>
      <c r="C1746" t="s">
        <v>5022</v>
      </c>
      <c r="D1746" t="s">
        <v>5023</v>
      </c>
      <c r="E1746" t="s">
        <v>5003</v>
      </c>
    </row>
    <row r="1747" spans="1:5" x14ac:dyDescent="0.2">
      <c r="A1747">
        <v>1747</v>
      </c>
      <c r="B1747" t="s">
        <v>745</v>
      </c>
      <c r="C1747" t="s">
        <v>5024</v>
      </c>
      <c r="D1747" t="s">
        <v>5025</v>
      </c>
      <c r="E1747" t="s">
        <v>1788</v>
      </c>
    </row>
    <row r="1748" spans="1:5" x14ac:dyDescent="0.2">
      <c r="A1748">
        <v>1748</v>
      </c>
      <c r="B1748" t="s">
        <v>745</v>
      </c>
      <c r="C1748" t="s">
        <v>5026</v>
      </c>
      <c r="D1748" t="s">
        <v>5027</v>
      </c>
      <c r="E1748" t="s">
        <v>5003</v>
      </c>
    </row>
    <row r="1749" spans="1:5" x14ac:dyDescent="0.2">
      <c r="A1749">
        <v>1749</v>
      </c>
      <c r="B1749" t="s">
        <v>745</v>
      </c>
      <c r="C1749" t="s">
        <v>5028</v>
      </c>
      <c r="D1749" t="s">
        <v>5029</v>
      </c>
      <c r="E1749" t="s">
        <v>5003</v>
      </c>
    </row>
    <row r="1750" spans="1:5" x14ac:dyDescent="0.2">
      <c r="A1750">
        <v>1750</v>
      </c>
      <c r="B1750" t="s">
        <v>745</v>
      </c>
      <c r="C1750" t="s">
        <v>5030</v>
      </c>
      <c r="D1750" t="s">
        <v>5031</v>
      </c>
      <c r="E1750" t="s">
        <v>1788</v>
      </c>
    </row>
    <row r="1751" spans="1:5" x14ac:dyDescent="0.2">
      <c r="A1751">
        <v>1751</v>
      </c>
      <c r="B1751" t="s">
        <v>745</v>
      </c>
      <c r="C1751" t="s">
        <v>5032</v>
      </c>
      <c r="D1751" t="s">
        <v>5033</v>
      </c>
      <c r="E1751" t="s">
        <v>5003</v>
      </c>
    </row>
    <row r="1752" spans="1:5" x14ac:dyDescent="0.2">
      <c r="A1752">
        <v>1752</v>
      </c>
      <c r="B1752" t="s">
        <v>745</v>
      </c>
      <c r="C1752" t="s">
        <v>5034</v>
      </c>
      <c r="D1752" t="s">
        <v>5035</v>
      </c>
      <c r="E1752" t="s">
        <v>5003</v>
      </c>
    </row>
    <row r="1753" spans="1:5" x14ac:dyDescent="0.2">
      <c r="A1753">
        <v>1753</v>
      </c>
      <c r="B1753" t="s">
        <v>745</v>
      </c>
      <c r="C1753" t="s">
        <v>5036</v>
      </c>
      <c r="D1753" t="s">
        <v>5037</v>
      </c>
      <c r="E1753" t="s">
        <v>5003</v>
      </c>
    </row>
    <row r="1754" spans="1:5" x14ac:dyDescent="0.2">
      <c r="A1754">
        <v>1754</v>
      </c>
      <c r="B1754" t="s">
        <v>745</v>
      </c>
      <c r="C1754" t="s">
        <v>5038</v>
      </c>
      <c r="D1754" t="s">
        <v>5039</v>
      </c>
      <c r="E1754" t="s">
        <v>1788</v>
      </c>
    </row>
    <row r="1755" spans="1:5" x14ac:dyDescent="0.2">
      <c r="A1755">
        <v>1755</v>
      </c>
      <c r="B1755" t="s">
        <v>745</v>
      </c>
      <c r="C1755" t="s">
        <v>5040</v>
      </c>
      <c r="D1755" t="s">
        <v>5041</v>
      </c>
      <c r="E1755" t="s">
        <v>1788</v>
      </c>
    </row>
    <row r="1756" spans="1:5" x14ac:dyDescent="0.2">
      <c r="A1756">
        <v>1756</v>
      </c>
      <c r="B1756" t="s">
        <v>745</v>
      </c>
      <c r="C1756" t="s">
        <v>5042</v>
      </c>
      <c r="D1756" t="s">
        <v>5043</v>
      </c>
      <c r="E1756" t="s">
        <v>5003</v>
      </c>
    </row>
    <row r="1757" spans="1:5" x14ac:dyDescent="0.2">
      <c r="A1757">
        <v>1757</v>
      </c>
      <c r="B1757" t="s">
        <v>745</v>
      </c>
      <c r="C1757" t="s">
        <v>5044</v>
      </c>
      <c r="D1757" t="s">
        <v>5045</v>
      </c>
      <c r="E1757" t="s">
        <v>5003</v>
      </c>
    </row>
    <row r="1758" spans="1:5" x14ac:dyDescent="0.2">
      <c r="A1758">
        <v>1758</v>
      </c>
      <c r="B1758" t="s">
        <v>745</v>
      </c>
      <c r="C1758" t="s">
        <v>5046</v>
      </c>
      <c r="D1758" t="s">
        <v>5047</v>
      </c>
      <c r="E1758" t="s">
        <v>1788</v>
      </c>
    </row>
    <row r="1759" spans="1:5" x14ac:dyDescent="0.2">
      <c r="A1759">
        <v>1759</v>
      </c>
      <c r="B1759" t="s">
        <v>745</v>
      </c>
      <c r="C1759" t="s">
        <v>5048</v>
      </c>
      <c r="D1759" t="s">
        <v>5049</v>
      </c>
      <c r="E1759" t="s">
        <v>5003</v>
      </c>
    </row>
    <row r="1760" spans="1:5" x14ac:dyDescent="0.2">
      <c r="A1760">
        <v>1760</v>
      </c>
      <c r="B1760" t="s">
        <v>745</v>
      </c>
      <c r="C1760" t="s">
        <v>5050</v>
      </c>
      <c r="D1760" t="s">
        <v>5051</v>
      </c>
      <c r="E1760" t="s">
        <v>1788</v>
      </c>
    </row>
    <row r="1761" spans="1:5" x14ac:dyDescent="0.2">
      <c r="A1761">
        <v>1761</v>
      </c>
      <c r="B1761" t="s">
        <v>745</v>
      </c>
      <c r="C1761" t="s">
        <v>5052</v>
      </c>
      <c r="D1761" t="s">
        <v>5053</v>
      </c>
      <c r="E1761" t="s">
        <v>5003</v>
      </c>
    </row>
    <row r="1762" spans="1:5" x14ac:dyDescent="0.2">
      <c r="A1762">
        <v>1762</v>
      </c>
      <c r="B1762" t="s">
        <v>745</v>
      </c>
      <c r="C1762" t="s">
        <v>5054</v>
      </c>
      <c r="D1762" t="s">
        <v>5055</v>
      </c>
      <c r="E1762" t="s">
        <v>5003</v>
      </c>
    </row>
    <row r="1763" spans="1:5" x14ac:dyDescent="0.2">
      <c r="A1763">
        <v>1763</v>
      </c>
      <c r="B1763" t="s">
        <v>745</v>
      </c>
      <c r="C1763" t="s">
        <v>5056</v>
      </c>
      <c r="D1763" t="s">
        <v>5057</v>
      </c>
      <c r="E1763" t="s">
        <v>5003</v>
      </c>
    </row>
    <row r="1764" spans="1:5" x14ac:dyDescent="0.2">
      <c r="A1764">
        <v>1764</v>
      </c>
      <c r="B1764" t="s">
        <v>745</v>
      </c>
      <c r="C1764" t="s">
        <v>5058</v>
      </c>
      <c r="D1764" t="s">
        <v>5059</v>
      </c>
      <c r="E1764" t="s">
        <v>5003</v>
      </c>
    </row>
    <row r="1765" spans="1:5" x14ac:dyDescent="0.2">
      <c r="A1765">
        <v>1765</v>
      </c>
      <c r="B1765" t="s">
        <v>745</v>
      </c>
      <c r="C1765" t="s">
        <v>5060</v>
      </c>
      <c r="D1765" t="s">
        <v>5061</v>
      </c>
      <c r="E1765" t="s">
        <v>5003</v>
      </c>
    </row>
    <row r="1766" spans="1:5" x14ac:dyDescent="0.2">
      <c r="A1766">
        <v>1766</v>
      </c>
      <c r="B1766" t="s">
        <v>745</v>
      </c>
      <c r="C1766" t="s">
        <v>5062</v>
      </c>
      <c r="D1766" t="s">
        <v>5063</v>
      </c>
      <c r="E1766" t="s">
        <v>5003</v>
      </c>
    </row>
    <row r="1767" spans="1:5" x14ac:dyDescent="0.2">
      <c r="A1767">
        <v>1767</v>
      </c>
      <c r="B1767" t="s">
        <v>745</v>
      </c>
      <c r="C1767" t="s">
        <v>5064</v>
      </c>
      <c r="D1767" t="s">
        <v>5065</v>
      </c>
      <c r="E1767" t="s">
        <v>1788</v>
      </c>
    </row>
    <row r="1768" spans="1:5" x14ac:dyDescent="0.2">
      <c r="A1768">
        <v>1768</v>
      </c>
      <c r="B1768" t="s">
        <v>745</v>
      </c>
      <c r="C1768" t="s">
        <v>5066</v>
      </c>
      <c r="D1768" t="s">
        <v>5067</v>
      </c>
      <c r="E1768" t="s">
        <v>1788</v>
      </c>
    </row>
    <row r="1769" spans="1:5" x14ac:dyDescent="0.2">
      <c r="A1769">
        <v>1769</v>
      </c>
      <c r="B1769" t="s">
        <v>745</v>
      </c>
      <c r="C1769" t="s">
        <v>5068</v>
      </c>
      <c r="D1769" t="s">
        <v>5069</v>
      </c>
      <c r="E1769" t="s">
        <v>1788</v>
      </c>
    </row>
    <row r="1770" spans="1:5" x14ac:dyDescent="0.2">
      <c r="A1770">
        <v>1770</v>
      </c>
      <c r="B1770" t="s">
        <v>745</v>
      </c>
      <c r="C1770" t="s">
        <v>5070</v>
      </c>
      <c r="D1770" t="s">
        <v>5069</v>
      </c>
      <c r="E1770" t="s">
        <v>5003</v>
      </c>
    </row>
    <row r="1771" spans="1:5" x14ac:dyDescent="0.2">
      <c r="A1771">
        <v>1771</v>
      </c>
      <c r="B1771" t="s">
        <v>745</v>
      </c>
      <c r="C1771" t="s">
        <v>5071</v>
      </c>
      <c r="D1771" t="s">
        <v>5072</v>
      </c>
      <c r="E1771" t="s">
        <v>1788</v>
      </c>
    </row>
    <row r="1772" spans="1:5" x14ac:dyDescent="0.2">
      <c r="A1772">
        <v>1772</v>
      </c>
      <c r="B1772" t="s">
        <v>745</v>
      </c>
      <c r="C1772" t="s">
        <v>5073</v>
      </c>
      <c r="D1772" t="s">
        <v>5074</v>
      </c>
      <c r="E1772" t="s">
        <v>5003</v>
      </c>
    </row>
    <row r="1773" spans="1:5" x14ac:dyDescent="0.2">
      <c r="A1773">
        <v>1773</v>
      </c>
      <c r="B1773" t="s">
        <v>745</v>
      </c>
      <c r="C1773" t="s">
        <v>5075</v>
      </c>
      <c r="D1773" t="s">
        <v>5076</v>
      </c>
      <c r="E1773" t="s">
        <v>5003</v>
      </c>
    </row>
    <row r="1774" spans="1:5" x14ac:dyDescent="0.2">
      <c r="A1774">
        <v>1774</v>
      </c>
      <c r="B1774" t="s">
        <v>747</v>
      </c>
      <c r="C1774" t="s">
        <v>5077</v>
      </c>
      <c r="D1774" t="s">
        <v>5078</v>
      </c>
      <c r="E1774" t="s">
        <v>2087</v>
      </c>
    </row>
    <row r="1775" spans="1:5" x14ac:dyDescent="0.2">
      <c r="A1775">
        <v>1775</v>
      </c>
      <c r="B1775" t="s">
        <v>747</v>
      </c>
      <c r="C1775" t="s">
        <v>5079</v>
      </c>
      <c r="D1775" t="s">
        <v>5080</v>
      </c>
      <c r="E1775" t="s">
        <v>2087</v>
      </c>
    </row>
    <row r="1776" spans="1:5" x14ac:dyDescent="0.2">
      <c r="A1776">
        <v>1776</v>
      </c>
      <c r="B1776" t="s">
        <v>747</v>
      </c>
      <c r="C1776" t="s">
        <v>5081</v>
      </c>
      <c r="D1776" t="s">
        <v>5082</v>
      </c>
      <c r="E1776" t="s">
        <v>2087</v>
      </c>
    </row>
    <row r="1777" spans="1:5" x14ac:dyDescent="0.2">
      <c r="A1777">
        <v>1777</v>
      </c>
      <c r="B1777" t="s">
        <v>747</v>
      </c>
      <c r="C1777" t="s">
        <v>5083</v>
      </c>
      <c r="D1777" t="s">
        <v>5084</v>
      </c>
      <c r="E1777" t="s">
        <v>2087</v>
      </c>
    </row>
    <row r="1778" spans="1:5" x14ac:dyDescent="0.2">
      <c r="A1778">
        <v>1778</v>
      </c>
      <c r="B1778" t="s">
        <v>747</v>
      </c>
      <c r="C1778" t="s">
        <v>5085</v>
      </c>
      <c r="D1778" t="s">
        <v>5086</v>
      </c>
      <c r="E1778" t="s">
        <v>2087</v>
      </c>
    </row>
    <row r="1779" spans="1:5" x14ac:dyDescent="0.2">
      <c r="A1779">
        <v>1779</v>
      </c>
      <c r="B1779" t="s">
        <v>747</v>
      </c>
      <c r="C1779" t="s">
        <v>5087</v>
      </c>
      <c r="D1779" t="s">
        <v>5088</v>
      </c>
      <c r="E1779" t="s">
        <v>2087</v>
      </c>
    </row>
    <row r="1780" spans="1:5" x14ac:dyDescent="0.2">
      <c r="A1780">
        <v>1780</v>
      </c>
      <c r="B1780" t="s">
        <v>747</v>
      </c>
      <c r="C1780" t="s">
        <v>5089</v>
      </c>
      <c r="D1780" t="s">
        <v>5090</v>
      </c>
      <c r="E1780" t="s">
        <v>2087</v>
      </c>
    </row>
    <row r="1781" spans="1:5" x14ac:dyDescent="0.2">
      <c r="A1781">
        <v>1781</v>
      </c>
      <c r="B1781" t="s">
        <v>747</v>
      </c>
      <c r="C1781" t="s">
        <v>5091</v>
      </c>
      <c r="D1781" t="s">
        <v>5092</v>
      </c>
      <c r="E1781" t="s">
        <v>2087</v>
      </c>
    </row>
    <row r="1782" spans="1:5" x14ac:dyDescent="0.2">
      <c r="A1782">
        <v>1782</v>
      </c>
      <c r="B1782" t="s">
        <v>747</v>
      </c>
      <c r="C1782" t="s">
        <v>5093</v>
      </c>
      <c r="D1782" t="s">
        <v>5094</v>
      </c>
      <c r="E1782" t="s">
        <v>2087</v>
      </c>
    </row>
    <row r="1783" spans="1:5" x14ac:dyDescent="0.2">
      <c r="A1783">
        <v>1783</v>
      </c>
      <c r="B1783" t="s">
        <v>749</v>
      </c>
      <c r="C1783" t="s">
        <v>5095</v>
      </c>
      <c r="D1783" t="s">
        <v>5096</v>
      </c>
      <c r="E1783" t="s">
        <v>5097</v>
      </c>
    </row>
    <row r="1784" spans="1:5" x14ac:dyDescent="0.2">
      <c r="A1784">
        <v>1784</v>
      </c>
      <c r="B1784" t="s">
        <v>749</v>
      </c>
      <c r="C1784" t="s">
        <v>5098</v>
      </c>
      <c r="D1784" t="s">
        <v>5099</v>
      </c>
      <c r="E1784" t="s">
        <v>2113</v>
      </c>
    </row>
    <row r="1785" spans="1:5" x14ac:dyDescent="0.2">
      <c r="A1785">
        <v>1785</v>
      </c>
      <c r="B1785" t="s">
        <v>749</v>
      </c>
      <c r="C1785" t="s">
        <v>5100</v>
      </c>
      <c r="D1785" t="s">
        <v>5101</v>
      </c>
      <c r="E1785" t="s">
        <v>2113</v>
      </c>
    </row>
    <row r="1786" spans="1:5" x14ac:dyDescent="0.2">
      <c r="A1786">
        <v>1786</v>
      </c>
      <c r="B1786" t="s">
        <v>749</v>
      </c>
      <c r="C1786" t="s">
        <v>5102</v>
      </c>
      <c r="D1786" t="s">
        <v>5103</v>
      </c>
      <c r="E1786" t="s">
        <v>2113</v>
      </c>
    </row>
    <row r="1787" spans="1:5" x14ac:dyDescent="0.2">
      <c r="A1787">
        <v>1787</v>
      </c>
      <c r="B1787" t="s">
        <v>749</v>
      </c>
      <c r="C1787" t="s">
        <v>5104</v>
      </c>
      <c r="D1787" t="s">
        <v>5105</v>
      </c>
      <c r="E1787" t="s">
        <v>2113</v>
      </c>
    </row>
    <row r="1788" spans="1:5" x14ac:dyDescent="0.2">
      <c r="A1788">
        <v>1788</v>
      </c>
      <c r="B1788" t="s">
        <v>749</v>
      </c>
      <c r="C1788" t="s">
        <v>5106</v>
      </c>
      <c r="D1788" t="s">
        <v>5107</v>
      </c>
      <c r="E1788" t="s">
        <v>5097</v>
      </c>
    </row>
    <row r="1789" spans="1:5" x14ac:dyDescent="0.2">
      <c r="A1789">
        <v>1789</v>
      </c>
      <c r="B1789" t="s">
        <v>749</v>
      </c>
      <c r="C1789" t="s">
        <v>5108</v>
      </c>
      <c r="D1789" t="s">
        <v>5109</v>
      </c>
      <c r="E1789" t="s">
        <v>2113</v>
      </c>
    </row>
    <row r="1790" spans="1:5" x14ac:dyDescent="0.2">
      <c r="A1790">
        <v>1790</v>
      </c>
      <c r="B1790" t="s">
        <v>749</v>
      </c>
      <c r="C1790" t="s">
        <v>5110</v>
      </c>
      <c r="D1790" t="s">
        <v>5111</v>
      </c>
      <c r="E1790" t="s">
        <v>5097</v>
      </c>
    </row>
    <row r="1791" spans="1:5" x14ac:dyDescent="0.2">
      <c r="A1791">
        <v>1791</v>
      </c>
      <c r="B1791" t="s">
        <v>749</v>
      </c>
      <c r="C1791" t="s">
        <v>5112</v>
      </c>
      <c r="D1791" t="s">
        <v>5113</v>
      </c>
      <c r="E1791" t="s">
        <v>5097</v>
      </c>
    </row>
    <row r="1792" spans="1:5" x14ac:dyDescent="0.2">
      <c r="A1792">
        <v>1792</v>
      </c>
      <c r="B1792" t="s">
        <v>749</v>
      </c>
      <c r="C1792" t="s">
        <v>5114</v>
      </c>
      <c r="D1792" t="s">
        <v>5115</v>
      </c>
      <c r="E1792" t="s">
        <v>5097</v>
      </c>
    </row>
    <row r="1793" spans="1:5" x14ac:dyDescent="0.2">
      <c r="A1793">
        <v>1793</v>
      </c>
      <c r="B1793" t="s">
        <v>749</v>
      </c>
      <c r="C1793" t="s">
        <v>5116</v>
      </c>
      <c r="D1793" t="s">
        <v>5117</v>
      </c>
      <c r="E1793" t="s">
        <v>2113</v>
      </c>
    </row>
    <row r="1794" spans="1:5" x14ac:dyDescent="0.2">
      <c r="A1794">
        <v>1794</v>
      </c>
      <c r="B1794" t="s">
        <v>749</v>
      </c>
      <c r="C1794" t="s">
        <v>5118</v>
      </c>
      <c r="D1794" t="s">
        <v>5119</v>
      </c>
      <c r="E1794" t="s">
        <v>2113</v>
      </c>
    </row>
    <row r="1795" spans="1:5" x14ac:dyDescent="0.2">
      <c r="A1795">
        <v>1795</v>
      </c>
      <c r="B1795" t="s">
        <v>749</v>
      </c>
      <c r="C1795" t="s">
        <v>5120</v>
      </c>
      <c r="D1795" t="s">
        <v>5121</v>
      </c>
      <c r="E1795" t="s">
        <v>2113</v>
      </c>
    </row>
    <row r="1796" spans="1:5" x14ac:dyDescent="0.2">
      <c r="A1796">
        <v>1796</v>
      </c>
      <c r="B1796" t="s">
        <v>749</v>
      </c>
      <c r="C1796" t="s">
        <v>5122</v>
      </c>
      <c r="D1796" t="s">
        <v>5123</v>
      </c>
      <c r="E1796" t="s">
        <v>2113</v>
      </c>
    </row>
    <row r="1797" spans="1:5" x14ac:dyDescent="0.2">
      <c r="A1797">
        <v>1797</v>
      </c>
      <c r="B1797" t="s">
        <v>749</v>
      </c>
      <c r="C1797" t="s">
        <v>5124</v>
      </c>
      <c r="D1797" t="s">
        <v>5125</v>
      </c>
      <c r="E1797" t="s">
        <v>2113</v>
      </c>
    </row>
    <row r="1798" spans="1:5" x14ac:dyDescent="0.2">
      <c r="A1798">
        <v>1798</v>
      </c>
      <c r="B1798" t="s">
        <v>749</v>
      </c>
      <c r="C1798" t="s">
        <v>5126</v>
      </c>
      <c r="D1798" t="s">
        <v>5127</v>
      </c>
      <c r="E1798" t="s">
        <v>2113</v>
      </c>
    </row>
    <row r="1799" spans="1:5" x14ac:dyDescent="0.2">
      <c r="A1799">
        <v>1799</v>
      </c>
      <c r="B1799" t="s">
        <v>749</v>
      </c>
      <c r="C1799" t="s">
        <v>5128</v>
      </c>
      <c r="D1799" t="s">
        <v>5129</v>
      </c>
      <c r="E1799" t="s">
        <v>2113</v>
      </c>
    </row>
    <row r="1800" spans="1:5" x14ac:dyDescent="0.2">
      <c r="A1800">
        <v>1800</v>
      </c>
      <c r="B1800" t="s">
        <v>749</v>
      </c>
      <c r="C1800" t="s">
        <v>5130</v>
      </c>
      <c r="D1800" t="s">
        <v>5131</v>
      </c>
      <c r="E1800" t="s">
        <v>2113</v>
      </c>
    </row>
    <row r="1801" spans="1:5" x14ac:dyDescent="0.2">
      <c r="A1801">
        <v>1801</v>
      </c>
      <c r="B1801" t="s">
        <v>749</v>
      </c>
      <c r="C1801" t="s">
        <v>5132</v>
      </c>
      <c r="D1801" t="s">
        <v>5133</v>
      </c>
      <c r="E1801" t="s">
        <v>5097</v>
      </c>
    </row>
    <row r="1802" spans="1:5" x14ac:dyDescent="0.2">
      <c r="A1802">
        <v>1802</v>
      </c>
      <c r="B1802" t="s">
        <v>749</v>
      </c>
      <c r="C1802" t="s">
        <v>5134</v>
      </c>
      <c r="D1802" t="s">
        <v>5133</v>
      </c>
      <c r="E1802" t="s">
        <v>2113</v>
      </c>
    </row>
    <row r="1803" spans="1:5" x14ac:dyDescent="0.2">
      <c r="A1803">
        <v>1803</v>
      </c>
      <c r="B1803" t="s">
        <v>749</v>
      </c>
      <c r="C1803" t="s">
        <v>5135</v>
      </c>
      <c r="D1803" t="s">
        <v>5136</v>
      </c>
      <c r="E1803" t="s">
        <v>2113</v>
      </c>
    </row>
    <row r="1804" spans="1:5" x14ac:dyDescent="0.2">
      <c r="A1804">
        <v>1804</v>
      </c>
      <c r="B1804" t="s">
        <v>749</v>
      </c>
      <c r="C1804" t="s">
        <v>5137</v>
      </c>
      <c r="D1804" t="s">
        <v>5138</v>
      </c>
      <c r="E1804" t="s">
        <v>2113</v>
      </c>
    </row>
    <row r="1805" spans="1:5" x14ac:dyDescent="0.2">
      <c r="A1805">
        <v>1805</v>
      </c>
      <c r="B1805" t="s">
        <v>749</v>
      </c>
      <c r="C1805" t="s">
        <v>5139</v>
      </c>
      <c r="D1805" t="s">
        <v>5140</v>
      </c>
      <c r="E1805" t="s">
        <v>2113</v>
      </c>
    </row>
    <row r="1806" spans="1:5" x14ac:dyDescent="0.2">
      <c r="A1806">
        <v>1806</v>
      </c>
      <c r="B1806" t="s">
        <v>749</v>
      </c>
      <c r="C1806" t="s">
        <v>5141</v>
      </c>
      <c r="D1806" t="s">
        <v>5142</v>
      </c>
      <c r="E1806" t="s">
        <v>2113</v>
      </c>
    </row>
    <row r="1807" spans="1:5" x14ac:dyDescent="0.2">
      <c r="A1807">
        <v>1807</v>
      </c>
      <c r="B1807" t="s">
        <v>749</v>
      </c>
      <c r="C1807" t="s">
        <v>5143</v>
      </c>
      <c r="D1807" t="s">
        <v>5144</v>
      </c>
      <c r="E1807" t="s">
        <v>2113</v>
      </c>
    </row>
    <row r="1808" spans="1:5" x14ac:dyDescent="0.2">
      <c r="A1808">
        <v>1808</v>
      </c>
      <c r="B1808" t="s">
        <v>749</v>
      </c>
      <c r="C1808" t="s">
        <v>5145</v>
      </c>
      <c r="D1808" t="s">
        <v>5146</v>
      </c>
      <c r="E1808" t="s">
        <v>2113</v>
      </c>
    </row>
    <row r="1809" spans="1:5" x14ac:dyDescent="0.2">
      <c r="A1809">
        <v>1809</v>
      </c>
      <c r="B1809" t="s">
        <v>749</v>
      </c>
      <c r="C1809" t="s">
        <v>5147</v>
      </c>
      <c r="D1809" t="s">
        <v>5148</v>
      </c>
      <c r="E1809" t="s">
        <v>5097</v>
      </c>
    </row>
    <row r="1810" spans="1:5" x14ac:dyDescent="0.2">
      <c r="A1810">
        <v>1810</v>
      </c>
      <c r="B1810" t="s">
        <v>749</v>
      </c>
      <c r="C1810" t="s">
        <v>5149</v>
      </c>
      <c r="D1810" t="s">
        <v>5150</v>
      </c>
      <c r="E1810" t="s">
        <v>2113</v>
      </c>
    </row>
    <row r="1811" spans="1:5" x14ac:dyDescent="0.2">
      <c r="A1811">
        <v>1811</v>
      </c>
      <c r="B1811" t="s">
        <v>749</v>
      </c>
      <c r="C1811" t="s">
        <v>5151</v>
      </c>
      <c r="D1811" t="s">
        <v>5152</v>
      </c>
      <c r="E1811" t="s">
        <v>2113</v>
      </c>
    </row>
    <row r="1812" spans="1:5" x14ac:dyDescent="0.2">
      <c r="A1812">
        <v>1812</v>
      </c>
      <c r="B1812" t="s">
        <v>749</v>
      </c>
      <c r="C1812" t="s">
        <v>5153</v>
      </c>
      <c r="D1812" t="s">
        <v>5154</v>
      </c>
      <c r="E1812" t="s">
        <v>2113</v>
      </c>
    </row>
    <row r="1813" spans="1:5" x14ac:dyDescent="0.2">
      <c r="A1813">
        <v>1813</v>
      </c>
      <c r="B1813" t="s">
        <v>749</v>
      </c>
      <c r="C1813" t="s">
        <v>5155</v>
      </c>
      <c r="D1813" t="s">
        <v>5156</v>
      </c>
      <c r="E1813" t="s">
        <v>2113</v>
      </c>
    </row>
    <row r="1814" spans="1:5" x14ac:dyDescent="0.2">
      <c r="A1814">
        <v>1814</v>
      </c>
      <c r="B1814" t="s">
        <v>749</v>
      </c>
      <c r="C1814" t="s">
        <v>5157</v>
      </c>
      <c r="D1814" t="s">
        <v>5158</v>
      </c>
      <c r="E1814" t="s">
        <v>2113</v>
      </c>
    </row>
    <row r="1815" spans="1:5" x14ac:dyDescent="0.2">
      <c r="A1815">
        <v>1815</v>
      </c>
      <c r="B1815" t="s">
        <v>749</v>
      </c>
      <c r="C1815" t="s">
        <v>5159</v>
      </c>
      <c r="D1815" t="s">
        <v>5160</v>
      </c>
      <c r="E1815" t="s">
        <v>2113</v>
      </c>
    </row>
    <row r="1816" spans="1:5" x14ac:dyDescent="0.2">
      <c r="A1816">
        <v>1816</v>
      </c>
      <c r="B1816" t="s">
        <v>749</v>
      </c>
      <c r="C1816" t="s">
        <v>5161</v>
      </c>
      <c r="D1816" t="s">
        <v>5162</v>
      </c>
      <c r="E1816" t="s">
        <v>2113</v>
      </c>
    </row>
    <row r="1817" spans="1:5" x14ac:dyDescent="0.2">
      <c r="A1817">
        <v>1817</v>
      </c>
      <c r="B1817" t="s">
        <v>751</v>
      </c>
      <c r="C1817" t="s">
        <v>5163</v>
      </c>
      <c r="D1817" t="s">
        <v>5164</v>
      </c>
      <c r="E1817" t="s">
        <v>5165</v>
      </c>
    </row>
    <row r="1818" spans="1:5" x14ac:dyDescent="0.2">
      <c r="A1818">
        <v>1818</v>
      </c>
      <c r="B1818" t="s">
        <v>751</v>
      </c>
      <c r="C1818" t="s">
        <v>5166</v>
      </c>
      <c r="D1818" t="s">
        <v>5167</v>
      </c>
      <c r="E1818" t="s">
        <v>1719</v>
      </c>
    </row>
    <row r="1819" spans="1:5" x14ac:dyDescent="0.2">
      <c r="A1819">
        <v>1819</v>
      </c>
      <c r="B1819" t="s">
        <v>751</v>
      </c>
      <c r="C1819" t="s">
        <v>5168</v>
      </c>
      <c r="D1819" t="s">
        <v>5169</v>
      </c>
      <c r="E1819" t="s">
        <v>1719</v>
      </c>
    </row>
    <row r="1820" spans="1:5" x14ac:dyDescent="0.2">
      <c r="A1820">
        <v>1820</v>
      </c>
      <c r="B1820" t="s">
        <v>751</v>
      </c>
      <c r="C1820" t="s">
        <v>5170</v>
      </c>
      <c r="D1820" t="s">
        <v>5171</v>
      </c>
      <c r="E1820" t="s">
        <v>1719</v>
      </c>
    </row>
    <row r="1821" spans="1:5" x14ac:dyDescent="0.2">
      <c r="A1821">
        <v>1821</v>
      </c>
      <c r="B1821" t="s">
        <v>751</v>
      </c>
      <c r="C1821" t="s">
        <v>5172</v>
      </c>
      <c r="D1821" t="s">
        <v>5173</v>
      </c>
      <c r="E1821" t="s">
        <v>1719</v>
      </c>
    </row>
    <row r="1822" spans="1:5" x14ac:dyDescent="0.2">
      <c r="A1822">
        <v>1822</v>
      </c>
      <c r="B1822" t="s">
        <v>751</v>
      </c>
      <c r="C1822" t="s">
        <v>5174</v>
      </c>
      <c r="D1822" t="s">
        <v>5175</v>
      </c>
      <c r="E1822" t="s">
        <v>1719</v>
      </c>
    </row>
    <row r="1823" spans="1:5" x14ac:dyDescent="0.2">
      <c r="A1823">
        <v>1823</v>
      </c>
      <c r="B1823" t="s">
        <v>751</v>
      </c>
      <c r="C1823" t="s">
        <v>5176</v>
      </c>
      <c r="D1823" t="s">
        <v>5177</v>
      </c>
      <c r="E1823" t="s">
        <v>5178</v>
      </c>
    </row>
    <row r="1824" spans="1:5" x14ac:dyDescent="0.2">
      <c r="A1824">
        <v>1824</v>
      </c>
      <c r="B1824" t="s">
        <v>751</v>
      </c>
      <c r="C1824" t="s">
        <v>5179</v>
      </c>
      <c r="D1824" t="s">
        <v>5180</v>
      </c>
      <c r="E1824" t="s">
        <v>1719</v>
      </c>
    </row>
    <row r="1825" spans="1:5" x14ac:dyDescent="0.2">
      <c r="A1825">
        <v>1825</v>
      </c>
      <c r="B1825" t="s">
        <v>751</v>
      </c>
      <c r="C1825" t="s">
        <v>5181</v>
      </c>
      <c r="D1825" t="s">
        <v>5182</v>
      </c>
      <c r="E1825" t="s">
        <v>5183</v>
      </c>
    </row>
    <row r="1826" spans="1:5" x14ac:dyDescent="0.2">
      <c r="A1826">
        <v>1826</v>
      </c>
      <c r="B1826" t="s">
        <v>751</v>
      </c>
      <c r="C1826" t="s">
        <v>5184</v>
      </c>
      <c r="D1826" t="s">
        <v>5185</v>
      </c>
      <c r="E1826" t="s">
        <v>1719</v>
      </c>
    </row>
    <row r="1827" spans="1:5" x14ac:dyDescent="0.2">
      <c r="A1827">
        <v>1827</v>
      </c>
      <c r="B1827" t="s">
        <v>751</v>
      </c>
      <c r="C1827" t="s">
        <v>5186</v>
      </c>
      <c r="D1827" t="s">
        <v>5187</v>
      </c>
      <c r="E1827" t="s">
        <v>1719</v>
      </c>
    </row>
    <row r="1828" spans="1:5" x14ac:dyDescent="0.2">
      <c r="A1828">
        <v>1828</v>
      </c>
      <c r="B1828" t="s">
        <v>751</v>
      </c>
      <c r="C1828" t="s">
        <v>5188</v>
      </c>
      <c r="D1828" t="s">
        <v>5189</v>
      </c>
      <c r="E1828" t="s">
        <v>1719</v>
      </c>
    </row>
    <row r="1829" spans="1:5" x14ac:dyDescent="0.2">
      <c r="A1829">
        <v>1829</v>
      </c>
      <c r="B1829" t="s">
        <v>751</v>
      </c>
      <c r="C1829" t="s">
        <v>5190</v>
      </c>
      <c r="D1829" t="s">
        <v>5191</v>
      </c>
      <c r="E1829" t="s">
        <v>5183</v>
      </c>
    </row>
    <row r="1830" spans="1:5" x14ac:dyDescent="0.2">
      <c r="A1830">
        <v>1830</v>
      </c>
      <c r="B1830" t="s">
        <v>751</v>
      </c>
      <c r="C1830" t="s">
        <v>5192</v>
      </c>
      <c r="D1830" t="s">
        <v>5193</v>
      </c>
      <c r="E1830" t="s">
        <v>1719</v>
      </c>
    </row>
    <row r="1831" spans="1:5" x14ac:dyDescent="0.2">
      <c r="A1831">
        <v>1831</v>
      </c>
      <c r="B1831" t="s">
        <v>751</v>
      </c>
      <c r="C1831" t="s">
        <v>5194</v>
      </c>
      <c r="D1831" t="s">
        <v>5195</v>
      </c>
      <c r="E1831" t="s">
        <v>1719</v>
      </c>
    </row>
    <row r="1832" spans="1:5" x14ac:dyDescent="0.2">
      <c r="A1832">
        <v>1832</v>
      </c>
      <c r="B1832" t="s">
        <v>751</v>
      </c>
      <c r="C1832" t="s">
        <v>5196</v>
      </c>
      <c r="D1832" t="s">
        <v>5197</v>
      </c>
      <c r="E1832" t="s">
        <v>1719</v>
      </c>
    </row>
    <row r="1833" spans="1:5" x14ac:dyDescent="0.2">
      <c r="A1833">
        <v>1833</v>
      </c>
      <c r="B1833" t="s">
        <v>751</v>
      </c>
      <c r="C1833" t="s">
        <v>5198</v>
      </c>
      <c r="D1833" t="s">
        <v>5199</v>
      </c>
      <c r="E1833" t="s">
        <v>1719</v>
      </c>
    </row>
    <row r="1834" spans="1:5" x14ac:dyDescent="0.2">
      <c r="A1834">
        <v>1834</v>
      </c>
      <c r="B1834" t="s">
        <v>751</v>
      </c>
      <c r="C1834" t="s">
        <v>5200</v>
      </c>
      <c r="D1834" t="s">
        <v>5201</v>
      </c>
      <c r="E1834" t="s">
        <v>1719</v>
      </c>
    </row>
    <row r="1835" spans="1:5" x14ac:dyDescent="0.2">
      <c r="A1835">
        <v>1835</v>
      </c>
      <c r="B1835" t="s">
        <v>751</v>
      </c>
      <c r="C1835" t="s">
        <v>5202</v>
      </c>
      <c r="D1835" t="s">
        <v>5203</v>
      </c>
      <c r="E1835" t="s">
        <v>1719</v>
      </c>
    </row>
    <row r="1836" spans="1:5" x14ac:dyDescent="0.2">
      <c r="A1836">
        <v>1836</v>
      </c>
      <c r="B1836" t="s">
        <v>751</v>
      </c>
      <c r="C1836" t="s">
        <v>5204</v>
      </c>
      <c r="D1836" t="s">
        <v>5205</v>
      </c>
      <c r="E1836" t="s">
        <v>1719</v>
      </c>
    </row>
    <row r="1837" spans="1:5" x14ac:dyDescent="0.2">
      <c r="A1837">
        <v>1837</v>
      </c>
      <c r="B1837" t="s">
        <v>751</v>
      </c>
      <c r="C1837" t="s">
        <v>5206</v>
      </c>
      <c r="D1837" t="s">
        <v>5205</v>
      </c>
      <c r="E1837" t="s">
        <v>5183</v>
      </c>
    </row>
    <row r="1838" spans="1:5" x14ac:dyDescent="0.2">
      <c r="A1838">
        <v>1838</v>
      </c>
      <c r="B1838" t="s">
        <v>751</v>
      </c>
      <c r="C1838" t="s">
        <v>5207</v>
      </c>
      <c r="D1838" t="s">
        <v>5208</v>
      </c>
      <c r="E1838" t="s">
        <v>1719</v>
      </c>
    </row>
    <row r="1839" spans="1:5" x14ac:dyDescent="0.2">
      <c r="A1839">
        <v>1839</v>
      </c>
      <c r="B1839" t="s">
        <v>751</v>
      </c>
      <c r="C1839" t="s">
        <v>5209</v>
      </c>
      <c r="D1839" t="s">
        <v>5210</v>
      </c>
      <c r="E1839" t="s">
        <v>5183</v>
      </c>
    </row>
    <row r="1840" spans="1:5" x14ac:dyDescent="0.2">
      <c r="A1840">
        <v>1840</v>
      </c>
      <c r="B1840" t="s">
        <v>751</v>
      </c>
      <c r="C1840" t="s">
        <v>5211</v>
      </c>
      <c r="D1840" t="s">
        <v>5212</v>
      </c>
      <c r="E1840" t="s">
        <v>1719</v>
      </c>
    </row>
    <row r="1841" spans="1:5" x14ac:dyDescent="0.2">
      <c r="A1841">
        <v>1841</v>
      </c>
      <c r="B1841" t="s">
        <v>751</v>
      </c>
      <c r="C1841" t="s">
        <v>5213</v>
      </c>
      <c r="D1841" t="s">
        <v>5214</v>
      </c>
      <c r="E1841" t="s">
        <v>1719</v>
      </c>
    </row>
    <row r="1842" spans="1:5" x14ac:dyDescent="0.2">
      <c r="A1842">
        <v>1842</v>
      </c>
      <c r="B1842" t="s">
        <v>751</v>
      </c>
      <c r="C1842" t="s">
        <v>5215</v>
      </c>
      <c r="D1842" t="s">
        <v>5216</v>
      </c>
      <c r="E1842" t="s">
        <v>5183</v>
      </c>
    </row>
    <row r="1843" spans="1:5" x14ac:dyDescent="0.2">
      <c r="A1843">
        <v>1843</v>
      </c>
      <c r="B1843" t="s">
        <v>751</v>
      </c>
      <c r="C1843" t="s">
        <v>5217</v>
      </c>
      <c r="D1843" t="s">
        <v>5216</v>
      </c>
      <c r="E1843" t="s">
        <v>1719</v>
      </c>
    </row>
    <row r="1844" spans="1:5" x14ac:dyDescent="0.2">
      <c r="A1844">
        <v>1844</v>
      </c>
      <c r="B1844" t="s">
        <v>751</v>
      </c>
      <c r="C1844" t="s">
        <v>5218</v>
      </c>
      <c r="D1844" t="s">
        <v>5219</v>
      </c>
      <c r="E1844" t="s">
        <v>1719</v>
      </c>
    </row>
    <row r="1845" spans="1:5" x14ac:dyDescent="0.2">
      <c r="A1845">
        <v>1845</v>
      </c>
      <c r="B1845" t="s">
        <v>751</v>
      </c>
      <c r="C1845" t="s">
        <v>5220</v>
      </c>
      <c r="D1845" t="s">
        <v>5221</v>
      </c>
      <c r="E1845" t="s">
        <v>1719</v>
      </c>
    </row>
    <row r="1846" spans="1:5" x14ac:dyDescent="0.2">
      <c r="A1846">
        <v>1846</v>
      </c>
      <c r="B1846" t="s">
        <v>751</v>
      </c>
      <c r="C1846" t="s">
        <v>5222</v>
      </c>
      <c r="D1846" t="s">
        <v>5223</v>
      </c>
      <c r="E1846" t="s">
        <v>5183</v>
      </c>
    </row>
    <row r="1847" spans="1:5" x14ac:dyDescent="0.2">
      <c r="A1847">
        <v>1847</v>
      </c>
      <c r="B1847" t="s">
        <v>751</v>
      </c>
      <c r="C1847" t="s">
        <v>5224</v>
      </c>
      <c r="D1847" t="s">
        <v>5225</v>
      </c>
      <c r="E1847" t="s">
        <v>1719</v>
      </c>
    </row>
    <row r="1848" spans="1:5" x14ac:dyDescent="0.2">
      <c r="A1848">
        <v>1848</v>
      </c>
      <c r="B1848" t="s">
        <v>751</v>
      </c>
      <c r="C1848" t="s">
        <v>5226</v>
      </c>
      <c r="D1848" t="s">
        <v>5227</v>
      </c>
      <c r="E1848" t="s">
        <v>1719</v>
      </c>
    </row>
    <row r="1849" spans="1:5" x14ac:dyDescent="0.2">
      <c r="A1849">
        <v>1849</v>
      </c>
      <c r="B1849" t="s">
        <v>751</v>
      </c>
      <c r="C1849" t="s">
        <v>5228</v>
      </c>
      <c r="D1849" t="s">
        <v>5229</v>
      </c>
      <c r="E1849" t="s">
        <v>1719</v>
      </c>
    </row>
    <row r="1850" spans="1:5" x14ac:dyDescent="0.2">
      <c r="A1850">
        <v>1850</v>
      </c>
      <c r="B1850" t="s">
        <v>751</v>
      </c>
      <c r="C1850" t="s">
        <v>5230</v>
      </c>
      <c r="D1850" t="s">
        <v>5231</v>
      </c>
      <c r="E1850" t="s">
        <v>1719</v>
      </c>
    </row>
    <row r="1851" spans="1:5" x14ac:dyDescent="0.2">
      <c r="A1851">
        <v>1851</v>
      </c>
      <c r="B1851" t="s">
        <v>751</v>
      </c>
      <c r="C1851" t="s">
        <v>5232</v>
      </c>
      <c r="D1851" t="s">
        <v>5233</v>
      </c>
      <c r="E1851" t="s">
        <v>1719</v>
      </c>
    </row>
    <row r="1852" spans="1:5" x14ac:dyDescent="0.2">
      <c r="A1852">
        <v>1852</v>
      </c>
      <c r="B1852" t="s">
        <v>751</v>
      </c>
      <c r="C1852" t="s">
        <v>5234</v>
      </c>
      <c r="D1852" t="s">
        <v>5235</v>
      </c>
      <c r="E1852" t="s">
        <v>5183</v>
      </c>
    </row>
    <row r="1853" spans="1:5" x14ac:dyDescent="0.2">
      <c r="A1853">
        <v>1853</v>
      </c>
      <c r="B1853" t="s">
        <v>751</v>
      </c>
      <c r="C1853" t="s">
        <v>5236</v>
      </c>
      <c r="D1853" t="s">
        <v>5237</v>
      </c>
      <c r="E1853" t="s">
        <v>1719</v>
      </c>
    </row>
    <row r="1854" spans="1:5" x14ac:dyDescent="0.2">
      <c r="A1854">
        <v>1854</v>
      </c>
      <c r="B1854" t="s">
        <v>751</v>
      </c>
      <c r="C1854" t="s">
        <v>5238</v>
      </c>
      <c r="D1854" t="s">
        <v>5239</v>
      </c>
      <c r="E1854" t="s">
        <v>1719</v>
      </c>
    </row>
    <row r="1855" spans="1:5" x14ac:dyDescent="0.2">
      <c r="A1855">
        <v>1855</v>
      </c>
      <c r="B1855" t="s">
        <v>751</v>
      </c>
      <c r="C1855" t="s">
        <v>5240</v>
      </c>
      <c r="D1855" t="s">
        <v>5241</v>
      </c>
      <c r="E1855" t="s">
        <v>1719</v>
      </c>
    </row>
    <row r="1856" spans="1:5" x14ac:dyDescent="0.2">
      <c r="A1856">
        <v>1856</v>
      </c>
      <c r="B1856" t="s">
        <v>751</v>
      </c>
      <c r="C1856" t="s">
        <v>5242</v>
      </c>
      <c r="D1856" t="s">
        <v>5243</v>
      </c>
      <c r="E1856" t="s">
        <v>5244</v>
      </c>
    </row>
    <row r="1857" spans="1:5" x14ac:dyDescent="0.2">
      <c r="A1857">
        <v>1857</v>
      </c>
      <c r="B1857" t="s">
        <v>5245</v>
      </c>
      <c r="C1857" t="s">
        <v>5246</v>
      </c>
      <c r="D1857" t="s">
        <v>5247</v>
      </c>
      <c r="E1857" t="s">
        <v>1719</v>
      </c>
    </row>
    <row r="1858" spans="1:5" x14ac:dyDescent="0.2">
      <c r="A1858">
        <v>1858</v>
      </c>
      <c r="B1858" t="s">
        <v>5245</v>
      </c>
      <c r="C1858" t="s">
        <v>5248</v>
      </c>
      <c r="D1858" t="s">
        <v>5249</v>
      </c>
      <c r="E1858" t="s">
        <v>1719</v>
      </c>
    </row>
    <row r="1859" spans="1:5" x14ac:dyDescent="0.2">
      <c r="A1859">
        <v>1859</v>
      </c>
      <c r="B1859" t="s">
        <v>5245</v>
      </c>
      <c r="C1859" t="s">
        <v>5250</v>
      </c>
      <c r="D1859" t="s">
        <v>5251</v>
      </c>
      <c r="E1859" t="s">
        <v>1719</v>
      </c>
    </row>
    <row r="1860" spans="1:5" x14ac:dyDescent="0.2">
      <c r="A1860">
        <v>1860</v>
      </c>
      <c r="B1860" t="s">
        <v>5245</v>
      </c>
      <c r="C1860" t="s">
        <v>5252</v>
      </c>
      <c r="D1860" t="s">
        <v>5253</v>
      </c>
      <c r="E1860" t="s">
        <v>1719</v>
      </c>
    </row>
    <row r="1861" spans="1:5" x14ac:dyDescent="0.2">
      <c r="A1861">
        <v>1861</v>
      </c>
      <c r="B1861" t="s">
        <v>5245</v>
      </c>
      <c r="C1861" t="s">
        <v>5254</v>
      </c>
      <c r="D1861" t="s">
        <v>5255</v>
      </c>
      <c r="E1861" t="s">
        <v>1719</v>
      </c>
    </row>
    <row r="1862" spans="1:5" x14ac:dyDescent="0.2">
      <c r="A1862">
        <v>1862</v>
      </c>
      <c r="B1862" t="s">
        <v>5245</v>
      </c>
      <c r="C1862" t="s">
        <v>5256</v>
      </c>
      <c r="D1862" t="s">
        <v>5257</v>
      </c>
      <c r="E1862" t="s">
        <v>1719</v>
      </c>
    </row>
    <row r="1863" spans="1:5" x14ac:dyDescent="0.2">
      <c r="A1863">
        <v>1863</v>
      </c>
      <c r="B1863" t="s">
        <v>5245</v>
      </c>
      <c r="C1863" t="s">
        <v>5258</v>
      </c>
      <c r="D1863" t="s">
        <v>5259</v>
      </c>
      <c r="E1863" t="s">
        <v>1719</v>
      </c>
    </row>
    <row r="1864" spans="1:5" x14ac:dyDescent="0.2">
      <c r="A1864">
        <v>1864</v>
      </c>
      <c r="B1864" t="s">
        <v>5245</v>
      </c>
      <c r="C1864" t="s">
        <v>5260</v>
      </c>
      <c r="D1864" t="s">
        <v>5261</v>
      </c>
      <c r="E1864" t="s">
        <v>1719</v>
      </c>
    </row>
    <row r="1865" spans="1:5" x14ac:dyDescent="0.2">
      <c r="A1865">
        <v>1865</v>
      </c>
      <c r="B1865" t="s">
        <v>5245</v>
      </c>
      <c r="C1865" t="s">
        <v>5262</v>
      </c>
      <c r="D1865" t="s">
        <v>5263</v>
      </c>
      <c r="E1865" t="s">
        <v>1719</v>
      </c>
    </row>
    <row r="1866" spans="1:5" x14ac:dyDescent="0.2">
      <c r="A1866">
        <v>1866</v>
      </c>
      <c r="B1866" t="s">
        <v>5245</v>
      </c>
      <c r="C1866" t="s">
        <v>5264</v>
      </c>
      <c r="D1866" t="s">
        <v>5265</v>
      </c>
      <c r="E1866" t="s">
        <v>1719</v>
      </c>
    </row>
    <row r="1867" spans="1:5" x14ac:dyDescent="0.2">
      <c r="A1867">
        <v>1867</v>
      </c>
      <c r="B1867" t="s">
        <v>5245</v>
      </c>
      <c r="C1867" t="s">
        <v>5266</v>
      </c>
      <c r="D1867" t="s">
        <v>5267</v>
      </c>
      <c r="E1867" t="s">
        <v>1719</v>
      </c>
    </row>
    <row r="1868" spans="1:5" x14ac:dyDescent="0.2">
      <c r="A1868">
        <v>1868</v>
      </c>
      <c r="B1868" t="s">
        <v>5245</v>
      </c>
      <c r="C1868" t="s">
        <v>5268</v>
      </c>
      <c r="D1868" t="s">
        <v>5269</v>
      </c>
      <c r="E1868" t="s">
        <v>1719</v>
      </c>
    </row>
    <row r="1869" spans="1:5" x14ac:dyDescent="0.2">
      <c r="A1869">
        <v>1869</v>
      </c>
      <c r="B1869" t="s">
        <v>5245</v>
      </c>
      <c r="C1869" t="s">
        <v>5270</v>
      </c>
      <c r="D1869" t="s">
        <v>5271</v>
      </c>
      <c r="E1869" t="s">
        <v>1719</v>
      </c>
    </row>
    <row r="1870" spans="1:5" x14ac:dyDescent="0.2">
      <c r="A1870">
        <v>1870</v>
      </c>
      <c r="B1870" t="s">
        <v>5245</v>
      </c>
      <c r="C1870" t="s">
        <v>5272</v>
      </c>
      <c r="D1870" t="s">
        <v>5273</v>
      </c>
      <c r="E1870" t="s">
        <v>1719</v>
      </c>
    </row>
    <row r="1871" spans="1:5" x14ac:dyDescent="0.2">
      <c r="A1871">
        <v>1871</v>
      </c>
      <c r="B1871" t="s">
        <v>5245</v>
      </c>
      <c r="C1871" t="s">
        <v>5274</v>
      </c>
      <c r="D1871" t="s">
        <v>5275</v>
      </c>
      <c r="E1871" t="s">
        <v>1719</v>
      </c>
    </row>
    <row r="1872" spans="1:5" x14ac:dyDescent="0.2">
      <c r="A1872">
        <v>1872</v>
      </c>
      <c r="B1872" t="s">
        <v>5245</v>
      </c>
      <c r="C1872" t="s">
        <v>5276</v>
      </c>
      <c r="D1872" t="s">
        <v>5277</v>
      </c>
      <c r="E1872" t="s">
        <v>1719</v>
      </c>
    </row>
    <row r="1873" spans="1:5" x14ac:dyDescent="0.2">
      <c r="A1873">
        <v>1873</v>
      </c>
      <c r="B1873" t="s">
        <v>5245</v>
      </c>
      <c r="C1873" t="s">
        <v>5278</v>
      </c>
      <c r="D1873" t="s">
        <v>5279</v>
      </c>
      <c r="E1873" t="s">
        <v>1719</v>
      </c>
    </row>
    <row r="1874" spans="1:5" x14ac:dyDescent="0.2">
      <c r="A1874">
        <v>1874</v>
      </c>
      <c r="B1874" t="s">
        <v>5245</v>
      </c>
      <c r="C1874" t="s">
        <v>5280</v>
      </c>
      <c r="D1874" t="s">
        <v>5281</v>
      </c>
      <c r="E1874" t="s">
        <v>1719</v>
      </c>
    </row>
    <row r="1875" spans="1:5" x14ac:dyDescent="0.2">
      <c r="A1875">
        <v>1875</v>
      </c>
      <c r="B1875" t="s">
        <v>5245</v>
      </c>
      <c r="C1875" t="s">
        <v>5282</v>
      </c>
      <c r="D1875" t="s">
        <v>5283</v>
      </c>
      <c r="E1875" t="s">
        <v>1719</v>
      </c>
    </row>
    <row r="1876" spans="1:5" x14ac:dyDescent="0.2">
      <c r="A1876">
        <v>1876</v>
      </c>
      <c r="B1876" t="s">
        <v>5245</v>
      </c>
      <c r="C1876" t="s">
        <v>5284</v>
      </c>
      <c r="D1876" t="s">
        <v>5285</v>
      </c>
      <c r="E1876" t="s">
        <v>1719</v>
      </c>
    </row>
    <row r="1877" spans="1:5" x14ac:dyDescent="0.2">
      <c r="A1877">
        <v>1877</v>
      </c>
      <c r="B1877" t="s">
        <v>5245</v>
      </c>
      <c r="C1877" t="s">
        <v>5286</v>
      </c>
      <c r="D1877" t="s">
        <v>5287</v>
      </c>
      <c r="E1877" t="s">
        <v>1719</v>
      </c>
    </row>
    <row r="1878" spans="1:5" x14ac:dyDescent="0.2">
      <c r="A1878">
        <v>1878</v>
      </c>
      <c r="B1878" t="s">
        <v>5245</v>
      </c>
      <c r="C1878" t="s">
        <v>5288</v>
      </c>
      <c r="D1878" t="s">
        <v>5289</v>
      </c>
      <c r="E1878" t="s">
        <v>1719</v>
      </c>
    </row>
    <row r="1879" spans="1:5" x14ac:dyDescent="0.2">
      <c r="A1879">
        <v>1879</v>
      </c>
      <c r="B1879" t="s">
        <v>5245</v>
      </c>
      <c r="C1879" t="s">
        <v>5290</v>
      </c>
      <c r="D1879" t="s">
        <v>5291</v>
      </c>
      <c r="E1879" t="s">
        <v>1719</v>
      </c>
    </row>
    <row r="1880" spans="1:5" x14ac:dyDescent="0.2">
      <c r="A1880">
        <v>1880</v>
      </c>
      <c r="B1880" t="s">
        <v>5245</v>
      </c>
      <c r="C1880" t="s">
        <v>5292</v>
      </c>
      <c r="D1880" t="s">
        <v>5293</v>
      </c>
      <c r="E1880" t="s">
        <v>1719</v>
      </c>
    </row>
    <row r="1881" spans="1:5" x14ac:dyDescent="0.2">
      <c r="A1881">
        <v>1881</v>
      </c>
      <c r="B1881" t="s">
        <v>5245</v>
      </c>
      <c r="C1881" t="s">
        <v>5294</v>
      </c>
      <c r="D1881" t="s">
        <v>5295</v>
      </c>
      <c r="E1881" t="s">
        <v>1719</v>
      </c>
    </row>
    <row r="1882" spans="1:5" x14ac:dyDescent="0.2">
      <c r="A1882">
        <v>1882</v>
      </c>
      <c r="B1882" t="s">
        <v>5245</v>
      </c>
      <c r="C1882" t="s">
        <v>5296</v>
      </c>
      <c r="D1882" t="s">
        <v>5297</v>
      </c>
      <c r="E1882" t="s">
        <v>1719</v>
      </c>
    </row>
    <row r="1883" spans="1:5" x14ac:dyDescent="0.2">
      <c r="A1883">
        <v>1883</v>
      </c>
      <c r="B1883" t="s">
        <v>5245</v>
      </c>
      <c r="C1883" t="s">
        <v>5298</v>
      </c>
      <c r="D1883" t="s">
        <v>5299</v>
      </c>
      <c r="E1883" t="s">
        <v>1719</v>
      </c>
    </row>
    <row r="1884" spans="1:5" x14ac:dyDescent="0.2">
      <c r="A1884">
        <v>1884</v>
      </c>
      <c r="B1884" t="s">
        <v>5245</v>
      </c>
      <c r="C1884" t="s">
        <v>5300</v>
      </c>
      <c r="D1884" t="s">
        <v>5301</v>
      </c>
      <c r="E1884" t="s">
        <v>1719</v>
      </c>
    </row>
    <row r="1885" spans="1:5" x14ac:dyDescent="0.2">
      <c r="A1885">
        <v>1885</v>
      </c>
      <c r="B1885" t="s">
        <v>5245</v>
      </c>
      <c r="C1885" t="s">
        <v>5302</v>
      </c>
      <c r="D1885" t="s">
        <v>5303</v>
      </c>
      <c r="E1885" t="s">
        <v>1719</v>
      </c>
    </row>
    <row r="1886" spans="1:5" x14ac:dyDescent="0.2">
      <c r="A1886">
        <v>1886</v>
      </c>
      <c r="B1886" t="s">
        <v>5245</v>
      </c>
      <c r="C1886" t="s">
        <v>5304</v>
      </c>
      <c r="D1886" t="s">
        <v>5305</v>
      </c>
      <c r="E1886" t="s">
        <v>1719</v>
      </c>
    </row>
    <row r="1887" spans="1:5" x14ac:dyDescent="0.2">
      <c r="A1887">
        <v>1887</v>
      </c>
      <c r="B1887" t="s">
        <v>755</v>
      </c>
      <c r="C1887" t="s">
        <v>5306</v>
      </c>
      <c r="D1887" t="s">
        <v>5307</v>
      </c>
      <c r="E1887" t="s">
        <v>2365</v>
      </c>
    </row>
    <row r="1888" spans="1:5" x14ac:dyDescent="0.2">
      <c r="A1888">
        <v>1888</v>
      </c>
      <c r="B1888" t="s">
        <v>755</v>
      </c>
      <c r="C1888" t="s">
        <v>5308</v>
      </c>
      <c r="D1888" t="s">
        <v>5309</v>
      </c>
      <c r="E1888" t="s">
        <v>2365</v>
      </c>
    </row>
    <row r="1889" spans="1:5" x14ac:dyDescent="0.2">
      <c r="A1889">
        <v>1889</v>
      </c>
      <c r="B1889" t="s">
        <v>755</v>
      </c>
      <c r="C1889" t="s">
        <v>5310</v>
      </c>
      <c r="D1889" t="s">
        <v>5311</v>
      </c>
      <c r="E1889" t="s">
        <v>2365</v>
      </c>
    </row>
    <row r="1890" spans="1:5" x14ac:dyDescent="0.2">
      <c r="A1890">
        <v>1890</v>
      </c>
      <c r="B1890" t="s">
        <v>755</v>
      </c>
      <c r="C1890" t="s">
        <v>5312</v>
      </c>
      <c r="D1890" t="s">
        <v>5313</v>
      </c>
      <c r="E1890" t="s">
        <v>2365</v>
      </c>
    </row>
    <row r="1891" spans="1:5" x14ac:dyDescent="0.2">
      <c r="A1891">
        <v>1891</v>
      </c>
      <c r="B1891" t="s">
        <v>755</v>
      </c>
      <c r="C1891" t="s">
        <v>5314</v>
      </c>
      <c r="D1891" t="s">
        <v>5315</v>
      </c>
      <c r="E1891" t="s">
        <v>2365</v>
      </c>
    </row>
    <row r="1892" spans="1:5" x14ac:dyDescent="0.2">
      <c r="A1892">
        <v>1892</v>
      </c>
      <c r="B1892" t="s">
        <v>755</v>
      </c>
      <c r="C1892" t="s">
        <v>5316</v>
      </c>
      <c r="D1892" t="s">
        <v>5317</v>
      </c>
      <c r="E1892" t="s">
        <v>2365</v>
      </c>
    </row>
    <row r="1893" spans="1:5" x14ac:dyDescent="0.2">
      <c r="A1893">
        <v>1893</v>
      </c>
      <c r="B1893" t="s">
        <v>755</v>
      </c>
      <c r="C1893" t="s">
        <v>5318</v>
      </c>
      <c r="D1893" t="s">
        <v>5319</v>
      </c>
      <c r="E1893" t="s">
        <v>2365</v>
      </c>
    </row>
    <row r="1894" spans="1:5" x14ac:dyDescent="0.2">
      <c r="A1894">
        <v>1894</v>
      </c>
      <c r="B1894" t="s">
        <v>755</v>
      </c>
      <c r="C1894" t="s">
        <v>5320</v>
      </c>
      <c r="D1894" t="s">
        <v>5321</v>
      </c>
      <c r="E1894" t="s">
        <v>2365</v>
      </c>
    </row>
    <row r="1895" spans="1:5" x14ac:dyDescent="0.2">
      <c r="A1895">
        <v>1895</v>
      </c>
      <c r="B1895" t="s">
        <v>755</v>
      </c>
      <c r="C1895" t="s">
        <v>5322</v>
      </c>
      <c r="D1895" t="s">
        <v>5323</v>
      </c>
      <c r="E1895" t="s">
        <v>2365</v>
      </c>
    </row>
    <row r="1896" spans="1:5" x14ac:dyDescent="0.2">
      <c r="A1896">
        <v>1896</v>
      </c>
      <c r="B1896" t="s">
        <v>755</v>
      </c>
      <c r="C1896" t="s">
        <v>5324</v>
      </c>
      <c r="D1896" t="s">
        <v>5325</v>
      </c>
      <c r="E1896" t="s">
        <v>2365</v>
      </c>
    </row>
    <row r="1897" spans="1:5" x14ac:dyDescent="0.2">
      <c r="A1897">
        <v>1897</v>
      </c>
      <c r="B1897" t="s">
        <v>755</v>
      </c>
      <c r="C1897" t="s">
        <v>5326</v>
      </c>
      <c r="D1897" t="s">
        <v>5327</v>
      </c>
      <c r="E1897" t="s">
        <v>2365</v>
      </c>
    </row>
    <row r="1898" spans="1:5" x14ac:dyDescent="0.2">
      <c r="A1898">
        <v>1898</v>
      </c>
      <c r="B1898" t="s">
        <v>755</v>
      </c>
      <c r="C1898" t="s">
        <v>5328</v>
      </c>
      <c r="D1898" t="s">
        <v>5329</v>
      </c>
      <c r="E1898" t="s">
        <v>2365</v>
      </c>
    </row>
    <row r="1899" spans="1:5" x14ac:dyDescent="0.2">
      <c r="A1899">
        <v>1899</v>
      </c>
      <c r="B1899" t="s">
        <v>755</v>
      </c>
      <c r="C1899" t="s">
        <v>5330</v>
      </c>
      <c r="D1899" t="s">
        <v>5331</v>
      </c>
      <c r="E1899" t="s">
        <v>2365</v>
      </c>
    </row>
    <row r="1900" spans="1:5" x14ac:dyDescent="0.2">
      <c r="A1900">
        <v>1900</v>
      </c>
      <c r="B1900" t="s">
        <v>755</v>
      </c>
      <c r="C1900" t="s">
        <v>5332</v>
      </c>
      <c r="D1900" t="s">
        <v>5333</v>
      </c>
      <c r="E1900" t="s">
        <v>2365</v>
      </c>
    </row>
    <row r="1901" spans="1:5" x14ac:dyDescent="0.2">
      <c r="A1901">
        <v>1901</v>
      </c>
      <c r="B1901" t="s">
        <v>755</v>
      </c>
      <c r="C1901" t="s">
        <v>5334</v>
      </c>
      <c r="D1901" t="s">
        <v>5335</v>
      </c>
      <c r="E1901" t="s">
        <v>2365</v>
      </c>
    </row>
    <row r="1902" spans="1:5" x14ac:dyDescent="0.2">
      <c r="A1902">
        <v>1902</v>
      </c>
      <c r="B1902" t="s">
        <v>755</v>
      </c>
      <c r="C1902" t="s">
        <v>5336</v>
      </c>
      <c r="D1902" t="s">
        <v>5337</v>
      </c>
      <c r="E1902" t="s">
        <v>2365</v>
      </c>
    </row>
    <row r="1903" spans="1:5" x14ac:dyDescent="0.2">
      <c r="A1903">
        <v>1903</v>
      </c>
      <c r="B1903" t="s">
        <v>755</v>
      </c>
      <c r="C1903" t="s">
        <v>5338</v>
      </c>
      <c r="D1903" t="s">
        <v>5339</v>
      </c>
      <c r="E1903" t="s">
        <v>2365</v>
      </c>
    </row>
    <row r="1904" spans="1:5" x14ac:dyDescent="0.2">
      <c r="A1904">
        <v>1904</v>
      </c>
      <c r="B1904" t="s">
        <v>755</v>
      </c>
      <c r="C1904" t="s">
        <v>5340</v>
      </c>
      <c r="D1904" t="s">
        <v>5341</v>
      </c>
      <c r="E1904" t="s">
        <v>2365</v>
      </c>
    </row>
    <row r="1905" spans="1:5" x14ac:dyDescent="0.2">
      <c r="A1905">
        <v>1905</v>
      </c>
      <c r="B1905" t="s">
        <v>757</v>
      </c>
      <c r="C1905" t="s">
        <v>5342</v>
      </c>
      <c r="D1905" t="s">
        <v>5343</v>
      </c>
      <c r="E1905" t="s">
        <v>1788</v>
      </c>
    </row>
    <row r="1906" spans="1:5" x14ac:dyDescent="0.2">
      <c r="A1906">
        <v>1906</v>
      </c>
      <c r="B1906" t="s">
        <v>757</v>
      </c>
      <c r="C1906" t="s">
        <v>5344</v>
      </c>
      <c r="D1906" t="s">
        <v>5345</v>
      </c>
      <c r="E1906" t="s">
        <v>1788</v>
      </c>
    </row>
    <row r="1907" spans="1:5" x14ac:dyDescent="0.2">
      <c r="A1907">
        <v>1907</v>
      </c>
      <c r="B1907" t="s">
        <v>757</v>
      </c>
      <c r="C1907" t="s">
        <v>5346</v>
      </c>
      <c r="D1907" t="s">
        <v>5347</v>
      </c>
      <c r="E1907" t="s">
        <v>1788</v>
      </c>
    </row>
    <row r="1908" spans="1:5" x14ac:dyDescent="0.2">
      <c r="A1908">
        <v>1908</v>
      </c>
      <c r="B1908" t="s">
        <v>757</v>
      </c>
      <c r="C1908" t="s">
        <v>5348</v>
      </c>
      <c r="D1908" t="s">
        <v>5349</v>
      </c>
      <c r="E1908" t="s">
        <v>1788</v>
      </c>
    </row>
    <row r="1909" spans="1:5" x14ac:dyDescent="0.2">
      <c r="A1909">
        <v>1909</v>
      </c>
      <c r="B1909" t="s">
        <v>757</v>
      </c>
      <c r="C1909" t="s">
        <v>5350</v>
      </c>
      <c r="D1909" t="s">
        <v>5351</v>
      </c>
      <c r="E1909" t="s">
        <v>1719</v>
      </c>
    </row>
    <row r="1910" spans="1:5" x14ac:dyDescent="0.2">
      <c r="A1910">
        <v>1910</v>
      </c>
      <c r="B1910" t="s">
        <v>757</v>
      </c>
      <c r="C1910" t="s">
        <v>5352</v>
      </c>
      <c r="D1910" t="s">
        <v>5353</v>
      </c>
      <c r="E1910" t="s">
        <v>1788</v>
      </c>
    </row>
    <row r="1911" spans="1:5" x14ac:dyDescent="0.2">
      <c r="A1911">
        <v>1911</v>
      </c>
      <c r="B1911" t="s">
        <v>757</v>
      </c>
      <c r="C1911" t="s">
        <v>5354</v>
      </c>
      <c r="D1911" t="s">
        <v>5355</v>
      </c>
      <c r="E1911" t="s">
        <v>1788</v>
      </c>
    </row>
    <row r="1912" spans="1:5" x14ac:dyDescent="0.2">
      <c r="A1912">
        <v>1912</v>
      </c>
      <c r="B1912" t="s">
        <v>757</v>
      </c>
      <c r="C1912" t="s">
        <v>5356</v>
      </c>
      <c r="D1912" t="s">
        <v>5357</v>
      </c>
      <c r="E1912" t="s">
        <v>1788</v>
      </c>
    </row>
    <row r="1913" spans="1:5" x14ac:dyDescent="0.2">
      <c r="A1913">
        <v>1913</v>
      </c>
      <c r="B1913" t="s">
        <v>757</v>
      </c>
      <c r="C1913" t="s">
        <v>5342</v>
      </c>
      <c r="D1913" t="s">
        <v>5358</v>
      </c>
      <c r="E1913" t="s">
        <v>1788</v>
      </c>
    </row>
    <row r="1914" spans="1:5" x14ac:dyDescent="0.2">
      <c r="A1914">
        <v>1914</v>
      </c>
      <c r="B1914" t="s">
        <v>757</v>
      </c>
      <c r="C1914" t="s">
        <v>5356</v>
      </c>
      <c r="D1914" t="s">
        <v>5359</v>
      </c>
      <c r="E1914" t="s">
        <v>1788</v>
      </c>
    </row>
    <row r="1915" spans="1:5" x14ac:dyDescent="0.2">
      <c r="A1915">
        <v>1915</v>
      </c>
      <c r="B1915" t="s">
        <v>757</v>
      </c>
      <c r="C1915" t="s">
        <v>5360</v>
      </c>
      <c r="D1915" t="s">
        <v>5361</v>
      </c>
      <c r="E1915" t="s">
        <v>1788</v>
      </c>
    </row>
    <row r="1916" spans="1:5" x14ac:dyDescent="0.2">
      <c r="A1916">
        <v>1916</v>
      </c>
      <c r="B1916" t="s">
        <v>757</v>
      </c>
      <c r="C1916" t="s">
        <v>5362</v>
      </c>
      <c r="D1916" t="s">
        <v>5363</v>
      </c>
      <c r="E1916" t="s">
        <v>1788</v>
      </c>
    </row>
    <row r="1917" spans="1:5" x14ac:dyDescent="0.2">
      <c r="A1917">
        <v>1917</v>
      </c>
      <c r="B1917" t="s">
        <v>757</v>
      </c>
      <c r="C1917" t="s">
        <v>5364</v>
      </c>
      <c r="D1917" t="s">
        <v>5365</v>
      </c>
      <c r="E1917" t="s">
        <v>1788</v>
      </c>
    </row>
    <row r="1918" spans="1:5" x14ac:dyDescent="0.2">
      <c r="A1918">
        <v>1918</v>
      </c>
      <c r="B1918" t="s">
        <v>757</v>
      </c>
      <c r="C1918" t="s">
        <v>5366</v>
      </c>
      <c r="D1918" t="s">
        <v>5367</v>
      </c>
      <c r="E1918" t="s">
        <v>1788</v>
      </c>
    </row>
    <row r="1919" spans="1:5" x14ac:dyDescent="0.2">
      <c r="A1919">
        <v>1919</v>
      </c>
      <c r="B1919" t="s">
        <v>757</v>
      </c>
      <c r="C1919" t="s">
        <v>5344</v>
      </c>
      <c r="D1919" t="s">
        <v>5368</v>
      </c>
      <c r="E1919" t="s">
        <v>1788</v>
      </c>
    </row>
    <row r="1920" spans="1:5" x14ac:dyDescent="0.2">
      <c r="A1920">
        <v>1920</v>
      </c>
      <c r="B1920" t="s">
        <v>757</v>
      </c>
      <c r="C1920" t="s">
        <v>5369</v>
      </c>
      <c r="D1920" t="s">
        <v>5370</v>
      </c>
      <c r="E1920" t="s">
        <v>1719</v>
      </c>
    </row>
    <row r="1921" spans="1:5" x14ac:dyDescent="0.2">
      <c r="A1921">
        <v>1921</v>
      </c>
      <c r="B1921" t="s">
        <v>757</v>
      </c>
      <c r="C1921" t="s">
        <v>5369</v>
      </c>
      <c r="D1921" t="s">
        <v>5371</v>
      </c>
      <c r="E1921" t="s">
        <v>1719</v>
      </c>
    </row>
    <row r="1922" spans="1:5" x14ac:dyDescent="0.2">
      <c r="A1922">
        <v>1922</v>
      </c>
      <c r="B1922" t="s">
        <v>757</v>
      </c>
      <c r="C1922" t="s">
        <v>5372</v>
      </c>
      <c r="D1922" t="s">
        <v>5373</v>
      </c>
      <c r="E1922" t="s">
        <v>1788</v>
      </c>
    </row>
    <row r="1923" spans="1:5" x14ac:dyDescent="0.2">
      <c r="A1923">
        <v>1923</v>
      </c>
      <c r="B1923" t="s">
        <v>757</v>
      </c>
      <c r="C1923" t="s">
        <v>5372</v>
      </c>
      <c r="D1923" t="s">
        <v>5374</v>
      </c>
      <c r="E1923" t="s">
        <v>1788</v>
      </c>
    </row>
    <row r="1924" spans="1:5" x14ac:dyDescent="0.2">
      <c r="A1924">
        <v>1924</v>
      </c>
      <c r="B1924" t="s">
        <v>757</v>
      </c>
      <c r="C1924" t="s">
        <v>5375</v>
      </c>
      <c r="D1924" t="s">
        <v>5376</v>
      </c>
      <c r="E1924" t="s">
        <v>1788</v>
      </c>
    </row>
    <row r="1925" spans="1:5" x14ac:dyDescent="0.2">
      <c r="A1925">
        <v>1925</v>
      </c>
      <c r="B1925" t="s">
        <v>757</v>
      </c>
      <c r="C1925" t="s">
        <v>5354</v>
      </c>
      <c r="D1925" t="s">
        <v>5377</v>
      </c>
      <c r="E1925" t="s">
        <v>1788</v>
      </c>
    </row>
    <row r="1926" spans="1:5" x14ac:dyDescent="0.2">
      <c r="A1926">
        <v>1926</v>
      </c>
      <c r="B1926" t="s">
        <v>757</v>
      </c>
      <c r="C1926" t="s">
        <v>5375</v>
      </c>
      <c r="D1926" t="s">
        <v>5378</v>
      </c>
      <c r="E1926" t="s">
        <v>1788</v>
      </c>
    </row>
    <row r="1927" spans="1:5" x14ac:dyDescent="0.2">
      <c r="A1927">
        <v>1927</v>
      </c>
      <c r="B1927" t="s">
        <v>757</v>
      </c>
      <c r="C1927" t="s">
        <v>5379</v>
      </c>
      <c r="D1927" t="s">
        <v>5380</v>
      </c>
      <c r="E1927" t="s">
        <v>1788</v>
      </c>
    </row>
    <row r="1928" spans="1:5" x14ac:dyDescent="0.2">
      <c r="A1928">
        <v>1928</v>
      </c>
      <c r="B1928" t="s">
        <v>757</v>
      </c>
      <c r="C1928" t="s">
        <v>5379</v>
      </c>
      <c r="D1928" t="s">
        <v>5381</v>
      </c>
      <c r="E1928" t="s">
        <v>1788</v>
      </c>
    </row>
    <row r="1929" spans="1:5" x14ac:dyDescent="0.2">
      <c r="A1929">
        <v>1929</v>
      </c>
      <c r="B1929" t="s">
        <v>757</v>
      </c>
      <c r="C1929" t="s">
        <v>5360</v>
      </c>
      <c r="D1929" t="s">
        <v>5382</v>
      </c>
      <c r="E1929" t="s">
        <v>1788</v>
      </c>
    </row>
    <row r="1930" spans="1:5" x14ac:dyDescent="0.2">
      <c r="A1930">
        <v>1930</v>
      </c>
      <c r="B1930" t="s">
        <v>757</v>
      </c>
      <c r="C1930" t="s">
        <v>5364</v>
      </c>
      <c r="D1930" t="s">
        <v>5383</v>
      </c>
      <c r="E1930" t="s">
        <v>1788</v>
      </c>
    </row>
    <row r="1931" spans="1:5" x14ac:dyDescent="0.2">
      <c r="A1931">
        <v>1931</v>
      </c>
      <c r="B1931" t="s">
        <v>757</v>
      </c>
      <c r="C1931" t="s">
        <v>5362</v>
      </c>
      <c r="D1931" t="s">
        <v>5384</v>
      </c>
      <c r="E1931" t="s">
        <v>1788</v>
      </c>
    </row>
    <row r="1932" spans="1:5" x14ac:dyDescent="0.2">
      <c r="A1932">
        <v>1932</v>
      </c>
      <c r="B1932" t="s">
        <v>757</v>
      </c>
      <c r="C1932" t="s">
        <v>5385</v>
      </c>
      <c r="D1932" t="s">
        <v>5386</v>
      </c>
      <c r="E1932" t="s">
        <v>1719</v>
      </c>
    </row>
    <row r="1933" spans="1:5" x14ac:dyDescent="0.2">
      <c r="A1933">
        <v>1933</v>
      </c>
      <c r="B1933" t="s">
        <v>757</v>
      </c>
      <c r="C1933" t="s">
        <v>5387</v>
      </c>
      <c r="D1933" t="s">
        <v>5388</v>
      </c>
      <c r="E1933" t="s">
        <v>1788</v>
      </c>
    </row>
    <row r="1934" spans="1:5" x14ac:dyDescent="0.2">
      <c r="A1934">
        <v>1934</v>
      </c>
      <c r="B1934" t="s">
        <v>757</v>
      </c>
      <c r="C1934" t="s">
        <v>5385</v>
      </c>
      <c r="D1934" t="s">
        <v>5389</v>
      </c>
      <c r="E1934" t="s">
        <v>1719</v>
      </c>
    </row>
    <row r="1935" spans="1:5" x14ac:dyDescent="0.2">
      <c r="A1935">
        <v>1935</v>
      </c>
      <c r="B1935" t="s">
        <v>757</v>
      </c>
      <c r="C1935" t="s">
        <v>5390</v>
      </c>
      <c r="D1935" t="s">
        <v>5391</v>
      </c>
      <c r="E1935" t="s">
        <v>1788</v>
      </c>
    </row>
    <row r="1936" spans="1:5" x14ac:dyDescent="0.2">
      <c r="A1936">
        <v>1936</v>
      </c>
      <c r="B1936" t="s">
        <v>757</v>
      </c>
      <c r="C1936" t="s">
        <v>5390</v>
      </c>
      <c r="D1936" t="s">
        <v>5392</v>
      </c>
      <c r="E1936" t="s">
        <v>1788</v>
      </c>
    </row>
    <row r="1937" spans="1:5" x14ac:dyDescent="0.2">
      <c r="A1937">
        <v>1937</v>
      </c>
      <c r="B1937" t="s">
        <v>757</v>
      </c>
      <c r="C1937" t="s">
        <v>5393</v>
      </c>
      <c r="D1937" t="s">
        <v>5394</v>
      </c>
      <c r="E1937" t="s">
        <v>1788</v>
      </c>
    </row>
    <row r="1938" spans="1:5" x14ac:dyDescent="0.2">
      <c r="A1938">
        <v>1938</v>
      </c>
      <c r="B1938" t="s">
        <v>757</v>
      </c>
      <c r="C1938" t="s">
        <v>5395</v>
      </c>
      <c r="D1938" t="s">
        <v>5396</v>
      </c>
      <c r="E1938" t="s">
        <v>1788</v>
      </c>
    </row>
    <row r="1939" spans="1:5" x14ac:dyDescent="0.2">
      <c r="A1939">
        <v>1939</v>
      </c>
      <c r="B1939" t="s">
        <v>757</v>
      </c>
      <c r="C1939" t="s">
        <v>5348</v>
      </c>
      <c r="D1939" t="s">
        <v>5397</v>
      </c>
      <c r="E1939" t="s">
        <v>1788</v>
      </c>
    </row>
    <row r="1940" spans="1:5" x14ac:dyDescent="0.2">
      <c r="A1940">
        <v>1940</v>
      </c>
      <c r="B1940" t="s">
        <v>757</v>
      </c>
      <c r="C1940" t="s">
        <v>5398</v>
      </c>
      <c r="D1940" t="s">
        <v>5399</v>
      </c>
      <c r="E1940" t="s">
        <v>1788</v>
      </c>
    </row>
    <row r="1941" spans="1:5" x14ac:dyDescent="0.2">
      <c r="A1941">
        <v>1941</v>
      </c>
      <c r="B1941" t="s">
        <v>757</v>
      </c>
      <c r="C1941" t="s">
        <v>5393</v>
      </c>
      <c r="D1941" t="s">
        <v>5400</v>
      </c>
      <c r="E1941" t="s">
        <v>1788</v>
      </c>
    </row>
    <row r="1942" spans="1:5" x14ac:dyDescent="0.2">
      <c r="A1942">
        <v>1942</v>
      </c>
      <c r="B1942" t="s">
        <v>757</v>
      </c>
      <c r="C1942" t="s">
        <v>5398</v>
      </c>
      <c r="D1942" t="s">
        <v>5401</v>
      </c>
      <c r="E1942" t="s">
        <v>1788</v>
      </c>
    </row>
    <row r="1943" spans="1:5" x14ac:dyDescent="0.2">
      <c r="A1943">
        <v>1943</v>
      </c>
      <c r="B1943" t="s">
        <v>757</v>
      </c>
      <c r="C1943" t="s">
        <v>5402</v>
      </c>
      <c r="D1943" t="s">
        <v>5403</v>
      </c>
      <c r="E1943" t="s">
        <v>1788</v>
      </c>
    </row>
    <row r="1944" spans="1:5" x14ac:dyDescent="0.2">
      <c r="A1944">
        <v>1944</v>
      </c>
      <c r="B1944" t="s">
        <v>757</v>
      </c>
      <c r="C1944" t="s">
        <v>5402</v>
      </c>
      <c r="D1944" t="s">
        <v>5404</v>
      </c>
      <c r="E1944" t="s">
        <v>1788</v>
      </c>
    </row>
    <row r="1945" spans="1:5" x14ac:dyDescent="0.2">
      <c r="A1945">
        <v>1945</v>
      </c>
      <c r="B1945" t="s">
        <v>757</v>
      </c>
      <c r="C1945" t="s">
        <v>5352</v>
      </c>
      <c r="D1945" t="s">
        <v>5405</v>
      </c>
      <c r="E1945" t="s">
        <v>1788</v>
      </c>
    </row>
    <row r="1946" spans="1:5" x14ac:dyDescent="0.2">
      <c r="A1946">
        <v>1946</v>
      </c>
      <c r="B1946" t="s">
        <v>757</v>
      </c>
      <c r="C1946" t="s">
        <v>5406</v>
      </c>
      <c r="D1946" t="s">
        <v>5407</v>
      </c>
      <c r="E1946" t="s">
        <v>1788</v>
      </c>
    </row>
    <row r="1947" spans="1:5" x14ac:dyDescent="0.2">
      <c r="A1947">
        <v>1947</v>
      </c>
      <c r="B1947" t="s">
        <v>757</v>
      </c>
      <c r="C1947" t="s">
        <v>5406</v>
      </c>
      <c r="D1947" t="s">
        <v>5408</v>
      </c>
      <c r="E1947" t="s">
        <v>1788</v>
      </c>
    </row>
    <row r="1948" spans="1:5" x14ac:dyDescent="0.2">
      <c r="A1948">
        <v>1948</v>
      </c>
      <c r="B1948" t="s">
        <v>757</v>
      </c>
      <c r="C1948" t="s">
        <v>5350</v>
      </c>
      <c r="D1948" t="s">
        <v>5409</v>
      </c>
      <c r="E1948" t="s">
        <v>1719</v>
      </c>
    </row>
    <row r="1949" spans="1:5" x14ac:dyDescent="0.2">
      <c r="A1949">
        <v>1949</v>
      </c>
      <c r="B1949" t="s">
        <v>757</v>
      </c>
      <c r="C1949" t="s">
        <v>5410</v>
      </c>
      <c r="D1949" t="s">
        <v>5411</v>
      </c>
      <c r="E1949" t="s">
        <v>1788</v>
      </c>
    </row>
    <row r="1950" spans="1:5" x14ac:dyDescent="0.2">
      <c r="A1950">
        <v>1950</v>
      </c>
      <c r="B1950" t="s">
        <v>757</v>
      </c>
      <c r="C1950" t="s">
        <v>5412</v>
      </c>
      <c r="D1950" t="s">
        <v>5413</v>
      </c>
      <c r="E1950" t="s">
        <v>1788</v>
      </c>
    </row>
    <row r="1951" spans="1:5" x14ac:dyDescent="0.2">
      <c r="A1951">
        <v>1951</v>
      </c>
      <c r="B1951" t="s">
        <v>757</v>
      </c>
      <c r="C1951" t="s">
        <v>5414</v>
      </c>
      <c r="D1951" t="s">
        <v>5415</v>
      </c>
      <c r="E1951" t="s">
        <v>1788</v>
      </c>
    </row>
    <row r="1952" spans="1:5" x14ac:dyDescent="0.2">
      <c r="A1952">
        <v>1952</v>
      </c>
      <c r="B1952" t="s">
        <v>757</v>
      </c>
      <c r="C1952" t="s">
        <v>5414</v>
      </c>
      <c r="D1952" t="s">
        <v>5416</v>
      </c>
      <c r="E1952" t="s">
        <v>1788</v>
      </c>
    </row>
    <row r="1953" spans="1:5" x14ac:dyDescent="0.2">
      <c r="A1953">
        <v>1953</v>
      </c>
      <c r="B1953" t="s">
        <v>757</v>
      </c>
      <c r="C1953" t="s">
        <v>5417</v>
      </c>
      <c r="D1953" t="s">
        <v>5418</v>
      </c>
      <c r="E1953" t="s">
        <v>1788</v>
      </c>
    </row>
    <row r="1954" spans="1:5" x14ac:dyDescent="0.2">
      <c r="A1954">
        <v>1954</v>
      </c>
      <c r="B1954" t="s">
        <v>757</v>
      </c>
      <c r="C1954" t="s">
        <v>5417</v>
      </c>
      <c r="D1954" t="s">
        <v>5419</v>
      </c>
      <c r="E1954" t="s">
        <v>1788</v>
      </c>
    </row>
    <row r="1955" spans="1:5" x14ac:dyDescent="0.2">
      <c r="A1955">
        <v>1955</v>
      </c>
      <c r="B1955" t="s">
        <v>757</v>
      </c>
      <c r="C1955" t="s">
        <v>5420</v>
      </c>
      <c r="D1955" t="s">
        <v>5421</v>
      </c>
      <c r="E1955" t="s">
        <v>1788</v>
      </c>
    </row>
    <row r="1956" spans="1:5" x14ac:dyDescent="0.2">
      <c r="A1956">
        <v>1956</v>
      </c>
      <c r="B1956" t="s">
        <v>757</v>
      </c>
      <c r="C1956" t="s">
        <v>5420</v>
      </c>
      <c r="D1956" t="s">
        <v>5422</v>
      </c>
      <c r="E1956" t="s">
        <v>1788</v>
      </c>
    </row>
    <row r="1957" spans="1:5" x14ac:dyDescent="0.2">
      <c r="A1957">
        <v>1957</v>
      </c>
      <c r="B1957" t="s">
        <v>757</v>
      </c>
      <c r="C1957" t="s">
        <v>5423</v>
      </c>
      <c r="D1957" t="s">
        <v>5424</v>
      </c>
      <c r="E1957" t="s">
        <v>1719</v>
      </c>
    </row>
    <row r="1958" spans="1:5" x14ac:dyDescent="0.2">
      <c r="A1958">
        <v>1958</v>
      </c>
      <c r="B1958" t="s">
        <v>757</v>
      </c>
      <c r="C1958" t="s">
        <v>5423</v>
      </c>
      <c r="D1958" t="s">
        <v>5425</v>
      </c>
      <c r="E1958" t="s">
        <v>1719</v>
      </c>
    </row>
    <row r="1959" spans="1:5" x14ac:dyDescent="0.2">
      <c r="A1959">
        <v>1959</v>
      </c>
      <c r="B1959" t="s">
        <v>757</v>
      </c>
      <c r="C1959" t="s">
        <v>5410</v>
      </c>
      <c r="D1959" t="s">
        <v>5426</v>
      </c>
      <c r="E1959" t="s">
        <v>1788</v>
      </c>
    </row>
    <row r="1960" spans="1:5" x14ac:dyDescent="0.2">
      <c r="A1960">
        <v>1960</v>
      </c>
      <c r="B1960" t="s">
        <v>757</v>
      </c>
      <c r="C1960" t="s">
        <v>5412</v>
      </c>
      <c r="D1960" t="s">
        <v>5427</v>
      </c>
      <c r="E1960" t="s">
        <v>1788</v>
      </c>
    </row>
    <row r="1961" spans="1:5" x14ac:dyDescent="0.2">
      <c r="A1961">
        <v>1961</v>
      </c>
      <c r="B1961" t="s">
        <v>757</v>
      </c>
      <c r="C1961" t="s">
        <v>5346</v>
      </c>
      <c r="D1961" t="s">
        <v>5428</v>
      </c>
      <c r="E1961" t="s">
        <v>1788</v>
      </c>
    </row>
    <row r="1962" spans="1:5" x14ac:dyDescent="0.2">
      <c r="A1962">
        <v>1962</v>
      </c>
      <c r="B1962" t="s">
        <v>757</v>
      </c>
      <c r="C1962" t="s">
        <v>5395</v>
      </c>
      <c r="D1962" t="s">
        <v>5429</v>
      </c>
      <c r="E1962" t="s">
        <v>1788</v>
      </c>
    </row>
    <row r="1963" spans="1:5" x14ac:dyDescent="0.2">
      <c r="A1963">
        <v>1963</v>
      </c>
      <c r="B1963" t="s">
        <v>757</v>
      </c>
      <c r="C1963" t="s">
        <v>5366</v>
      </c>
      <c r="D1963" t="s">
        <v>5430</v>
      </c>
      <c r="E1963" t="s">
        <v>1788</v>
      </c>
    </row>
    <row r="1964" spans="1:5" x14ac:dyDescent="0.2">
      <c r="A1964">
        <v>1964</v>
      </c>
      <c r="B1964" t="s">
        <v>761</v>
      </c>
      <c r="C1964" t="s">
        <v>5431</v>
      </c>
      <c r="D1964" t="s">
        <v>5432</v>
      </c>
      <c r="E1964" t="s">
        <v>1790</v>
      </c>
    </row>
    <row r="1965" spans="1:5" x14ac:dyDescent="0.2">
      <c r="A1965">
        <v>1965</v>
      </c>
      <c r="B1965" t="s">
        <v>761</v>
      </c>
      <c r="C1965" t="s">
        <v>5433</v>
      </c>
      <c r="D1965" t="s">
        <v>5434</v>
      </c>
      <c r="E1965" t="s">
        <v>1790</v>
      </c>
    </row>
    <row r="1966" spans="1:5" x14ac:dyDescent="0.2">
      <c r="A1966">
        <v>1966</v>
      </c>
      <c r="B1966" t="s">
        <v>761</v>
      </c>
      <c r="C1966" t="s">
        <v>5435</v>
      </c>
      <c r="D1966" t="s">
        <v>5436</v>
      </c>
      <c r="E1966" t="s">
        <v>1790</v>
      </c>
    </row>
    <row r="1967" spans="1:5" x14ac:dyDescent="0.2">
      <c r="A1967">
        <v>1967</v>
      </c>
      <c r="B1967" t="s">
        <v>761</v>
      </c>
      <c r="C1967" t="s">
        <v>5437</v>
      </c>
      <c r="D1967" t="s">
        <v>5438</v>
      </c>
      <c r="E1967" t="s">
        <v>1790</v>
      </c>
    </row>
    <row r="1968" spans="1:5" x14ac:dyDescent="0.2">
      <c r="A1968">
        <v>1968</v>
      </c>
      <c r="B1968" t="s">
        <v>761</v>
      </c>
      <c r="C1968" t="s">
        <v>5437</v>
      </c>
      <c r="D1968" t="s">
        <v>5439</v>
      </c>
      <c r="E1968" t="s">
        <v>1790</v>
      </c>
    </row>
    <row r="1969" spans="1:5" x14ac:dyDescent="0.2">
      <c r="A1969">
        <v>1969</v>
      </c>
      <c r="B1969" t="s">
        <v>761</v>
      </c>
      <c r="C1969" t="s">
        <v>5435</v>
      </c>
      <c r="D1969" t="s">
        <v>5440</v>
      </c>
      <c r="E1969" t="s">
        <v>1790</v>
      </c>
    </row>
    <row r="1970" spans="1:5" x14ac:dyDescent="0.2">
      <c r="A1970">
        <v>1970</v>
      </c>
      <c r="B1970" t="s">
        <v>761</v>
      </c>
      <c r="C1970" t="s">
        <v>5433</v>
      </c>
      <c r="D1970" t="s">
        <v>5441</v>
      </c>
      <c r="E1970" t="s">
        <v>1790</v>
      </c>
    </row>
    <row r="1971" spans="1:5" x14ac:dyDescent="0.2">
      <c r="A1971">
        <v>1971</v>
      </c>
      <c r="B1971" t="s">
        <v>761</v>
      </c>
      <c r="C1971" t="s">
        <v>5442</v>
      </c>
      <c r="D1971" t="s">
        <v>5443</v>
      </c>
      <c r="E1971" t="s">
        <v>1790</v>
      </c>
    </row>
    <row r="1972" spans="1:5" x14ac:dyDescent="0.2">
      <c r="A1972">
        <v>1972</v>
      </c>
      <c r="B1972" t="s">
        <v>761</v>
      </c>
      <c r="C1972" t="s">
        <v>5444</v>
      </c>
      <c r="D1972" t="s">
        <v>5445</v>
      </c>
      <c r="E1972" t="s">
        <v>1790</v>
      </c>
    </row>
    <row r="1973" spans="1:5" x14ac:dyDescent="0.2">
      <c r="A1973">
        <v>1973</v>
      </c>
      <c r="B1973" t="s">
        <v>761</v>
      </c>
      <c r="C1973" t="s">
        <v>5444</v>
      </c>
      <c r="D1973" t="s">
        <v>5446</v>
      </c>
      <c r="E1973" t="s">
        <v>1790</v>
      </c>
    </row>
    <row r="1974" spans="1:5" x14ac:dyDescent="0.2">
      <c r="A1974">
        <v>1974</v>
      </c>
      <c r="B1974" t="s">
        <v>761</v>
      </c>
      <c r="C1974" t="s">
        <v>5431</v>
      </c>
      <c r="D1974" t="s">
        <v>5447</v>
      </c>
      <c r="E1974" t="s">
        <v>1790</v>
      </c>
    </row>
    <row r="1975" spans="1:5" x14ac:dyDescent="0.2">
      <c r="A1975">
        <v>1975</v>
      </c>
      <c r="B1975" t="s">
        <v>761</v>
      </c>
      <c r="C1975" t="s">
        <v>5442</v>
      </c>
      <c r="D1975" t="s">
        <v>5448</v>
      </c>
      <c r="E1975" t="s">
        <v>1790</v>
      </c>
    </row>
    <row r="1976" spans="1:5" x14ac:dyDescent="0.2">
      <c r="A1976">
        <v>1976</v>
      </c>
      <c r="B1976" t="s">
        <v>763</v>
      </c>
      <c r="C1976" t="s">
        <v>5449</v>
      </c>
      <c r="D1976" t="s">
        <v>5450</v>
      </c>
      <c r="E1976" t="s">
        <v>2087</v>
      </c>
    </row>
    <row r="1977" spans="1:5" x14ac:dyDescent="0.2">
      <c r="A1977">
        <v>1977</v>
      </c>
      <c r="B1977" t="s">
        <v>763</v>
      </c>
      <c r="C1977" t="s">
        <v>5451</v>
      </c>
      <c r="D1977" t="s">
        <v>5452</v>
      </c>
      <c r="E1977" t="s">
        <v>1719</v>
      </c>
    </row>
    <row r="1978" spans="1:5" x14ac:dyDescent="0.2">
      <c r="A1978">
        <v>1978</v>
      </c>
      <c r="B1978" t="s">
        <v>763</v>
      </c>
      <c r="C1978" t="s">
        <v>5453</v>
      </c>
      <c r="D1978" t="s">
        <v>5454</v>
      </c>
      <c r="E1978" t="s">
        <v>1719</v>
      </c>
    </row>
    <row r="1979" spans="1:5" x14ac:dyDescent="0.2">
      <c r="A1979">
        <v>1979</v>
      </c>
      <c r="B1979" t="s">
        <v>763</v>
      </c>
      <c r="C1979" t="s">
        <v>5455</v>
      </c>
      <c r="D1979" t="s">
        <v>5456</v>
      </c>
      <c r="E1979" t="s">
        <v>1719</v>
      </c>
    </row>
    <row r="1980" spans="1:5" x14ac:dyDescent="0.2">
      <c r="A1980">
        <v>1980</v>
      </c>
      <c r="B1980" t="s">
        <v>763</v>
      </c>
      <c r="C1980" t="s">
        <v>5457</v>
      </c>
      <c r="D1980" t="s">
        <v>5458</v>
      </c>
      <c r="E1980" t="s">
        <v>1719</v>
      </c>
    </row>
    <row r="1981" spans="1:5" x14ac:dyDescent="0.2">
      <c r="A1981">
        <v>1981</v>
      </c>
      <c r="B1981" t="s">
        <v>763</v>
      </c>
      <c r="C1981" t="s">
        <v>5457</v>
      </c>
      <c r="D1981" t="s">
        <v>5459</v>
      </c>
      <c r="E1981" t="s">
        <v>1719</v>
      </c>
    </row>
    <row r="1982" spans="1:5" x14ac:dyDescent="0.2">
      <c r="A1982">
        <v>1982</v>
      </c>
      <c r="B1982" t="s">
        <v>763</v>
      </c>
      <c r="C1982" t="s">
        <v>5460</v>
      </c>
      <c r="D1982" t="s">
        <v>5461</v>
      </c>
      <c r="E1982" t="s">
        <v>1719</v>
      </c>
    </row>
    <row r="1983" spans="1:5" x14ac:dyDescent="0.2">
      <c r="A1983">
        <v>1983</v>
      </c>
      <c r="B1983" t="s">
        <v>763</v>
      </c>
      <c r="C1983" t="s">
        <v>5462</v>
      </c>
      <c r="D1983" t="s">
        <v>5463</v>
      </c>
      <c r="E1983" t="s">
        <v>1719</v>
      </c>
    </row>
    <row r="1984" spans="1:5" x14ac:dyDescent="0.2">
      <c r="A1984">
        <v>1984</v>
      </c>
      <c r="B1984" t="s">
        <v>763</v>
      </c>
      <c r="C1984" t="s">
        <v>5464</v>
      </c>
      <c r="D1984" t="s">
        <v>5465</v>
      </c>
      <c r="E1984" t="s">
        <v>1719</v>
      </c>
    </row>
    <row r="1985" spans="1:5" x14ac:dyDescent="0.2">
      <c r="A1985">
        <v>1985</v>
      </c>
      <c r="B1985" t="s">
        <v>763</v>
      </c>
      <c r="C1985" t="s">
        <v>5466</v>
      </c>
      <c r="D1985" t="s">
        <v>5467</v>
      </c>
      <c r="E1985" t="s">
        <v>1719</v>
      </c>
    </row>
    <row r="1986" spans="1:5" x14ac:dyDescent="0.2">
      <c r="A1986">
        <v>1986</v>
      </c>
      <c r="B1986" t="s">
        <v>763</v>
      </c>
      <c r="C1986" t="s">
        <v>5468</v>
      </c>
      <c r="D1986" t="s">
        <v>5469</v>
      </c>
      <c r="E1986" t="s">
        <v>1719</v>
      </c>
    </row>
    <row r="1987" spans="1:5" x14ac:dyDescent="0.2">
      <c r="A1987">
        <v>1987</v>
      </c>
      <c r="B1987" t="s">
        <v>763</v>
      </c>
      <c r="C1987" t="s">
        <v>5470</v>
      </c>
      <c r="D1987" t="s">
        <v>5471</v>
      </c>
      <c r="E1987" t="s">
        <v>1719</v>
      </c>
    </row>
    <row r="1988" spans="1:5" x14ac:dyDescent="0.2">
      <c r="A1988">
        <v>1988</v>
      </c>
      <c r="B1988" t="s">
        <v>763</v>
      </c>
      <c r="C1988" t="s">
        <v>5472</v>
      </c>
      <c r="D1988" t="s">
        <v>5473</v>
      </c>
      <c r="E1988" t="s">
        <v>2087</v>
      </c>
    </row>
    <row r="1989" spans="1:5" x14ac:dyDescent="0.2">
      <c r="A1989">
        <v>1989</v>
      </c>
      <c r="B1989" t="s">
        <v>763</v>
      </c>
      <c r="C1989" t="s">
        <v>5474</v>
      </c>
      <c r="D1989" t="s">
        <v>5475</v>
      </c>
      <c r="E1989" t="s">
        <v>1719</v>
      </c>
    </row>
    <row r="1990" spans="1:5" x14ac:dyDescent="0.2">
      <c r="A1990">
        <v>1990</v>
      </c>
      <c r="B1990" t="s">
        <v>763</v>
      </c>
      <c r="C1990" t="s">
        <v>5476</v>
      </c>
      <c r="D1990" t="s">
        <v>5477</v>
      </c>
      <c r="E1990" t="s">
        <v>1719</v>
      </c>
    </row>
    <row r="1991" spans="1:5" x14ac:dyDescent="0.2">
      <c r="A1991">
        <v>1991</v>
      </c>
      <c r="B1991" t="s">
        <v>763</v>
      </c>
      <c r="C1991" t="s">
        <v>5478</v>
      </c>
      <c r="D1991" t="s">
        <v>5479</v>
      </c>
      <c r="E1991" t="s">
        <v>1719</v>
      </c>
    </row>
    <row r="1992" spans="1:5" x14ac:dyDescent="0.2">
      <c r="A1992">
        <v>1992</v>
      </c>
      <c r="B1992" t="s">
        <v>763</v>
      </c>
      <c r="C1992" t="s">
        <v>5480</v>
      </c>
      <c r="D1992" t="s">
        <v>5481</v>
      </c>
      <c r="E1992" t="s">
        <v>1719</v>
      </c>
    </row>
    <row r="1993" spans="1:5" x14ac:dyDescent="0.2">
      <c r="A1993">
        <v>1993</v>
      </c>
      <c r="B1993" t="s">
        <v>763</v>
      </c>
      <c r="C1993" t="s">
        <v>5482</v>
      </c>
      <c r="D1993" t="s">
        <v>5483</v>
      </c>
      <c r="E1993" t="s">
        <v>1719</v>
      </c>
    </row>
    <row r="1994" spans="1:5" x14ac:dyDescent="0.2">
      <c r="A1994">
        <v>1994</v>
      </c>
      <c r="B1994" t="s">
        <v>763</v>
      </c>
      <c r="C1994" t="s">
        <v>5484</v>
      </c>
      <c r="D1994" t="s">
        <v>5485</v>
      </c>
      <c r="E1994" t="s">
        <v>1719</v>
      </c>
    </row>
    <row r="1995" spans="1:5" x14ac:dyDescent="0.2">
      <c r="A1995">
        <v>1995</v>
      </c>
      <c r="B1995" t="s">
        <v>763</v>
      </c>
      <c r="C1995" t="s">
        <v>5484</v>
      </c>
      <c r="D1995" t="s">
        <v>5486</v>
      </c>
      <c r="E1995" t="s">
        <v>1719</v>
      </c>
    </row>
    <row r="1996" spans="1:5" x14ac:dyDescent="0.2">
      <c r="A1996">
        <v>1996</v>
      </c>
      <c r="B1996" t="s">
        <v>763</v>
      </c>
      <c r="C1996" t="s">
        <v>5487</v>
      </c>
      <c r="D1996" t="s">
        <v>5488</v>
      </c>
      <c r="E1996" t="s">
        <v>1719</v>
      </c>
    </row>
    <row r="1997" spans="1:5" x14ac:dyDescent="0.2">
      <c r="A1997">
        <v>1997</v>
      </c>
      <c r="B1997" t="s">
        <v>763</v>
      </c>
      <c r="C1997" t="s">
        <v>5489</v>
      </c>
      <c r="D1997" t="s">
        <v>5490</v>
      </c>
      <c r="E1997" t="s">
        <v>1719</v>
      </c>
    </row>
    <row r="1998" spans="1:5" x14ac:dyDescent="0.2">
      <c r="A1998">
        <v>1998</v>
      </c>
      <c r="B1998" t="s">
        <v>763</v>
      </c>
      <c r="C1998" t="s">
        <v>5491</v>
      </c>
      <c r="D1998" t="s">
        <v>5492</v>
      </c>
      <c r="E1998" t="s">
        <v>1719</v>
      </c>
    </row>
    <row r="1999" spans="1:5" x14ac:dyDescent="0.2">
      <c r="A1999">
        <v>1999</v>
      </c>
      <c r="B1999" t="s">
        <v>763</v>
      </c>
      <c r="C1999" t="s">
        <v>5493</v>
      </c>
      <c r="D1999" t="s">
        <v>5494</v>
      </c>
      <c r="E1999" t="s">
        <v>2087</v>
      </c>
    </row>
    <row r="2000" spans="1:5" x14ac:dyDescent="0.2">
      <c r="A2000">
        <v>2000</v>
      </c>
      <c r="B2000" t="s">
        <v>763</v>
      </c>
      <c r="C2000" t="s">
        <v>5495</v>
      </c>
      <c r="D2000" t="s">
        <v>5496</v>
      </c>
      <c r="E2000" t="s">
        <v>1719</v>
      </c>
    </row>
    <row r="2001" spans="1:5" x14ac:dyDescent="0.2">
      <c r="A2001">
        <v>2001</v>
      </c>
      <c r="B2001" t="s">
        <v>763</v>
      </c>
      <c r="C2001" t="s">
        <v>5497</v>
      </c>
      <c r="D2001" t="s">
        <v>5498</v>
      </c>
      <c r="E2001" t="s">
        <v>2087</v>
      </c>
    </row>
    <row r="2002" spans="1:5" x14ac:dyDescent="0.2">
      <c r="A2002">
        <v>2002</v>
      </c>
      <c r="B2002" t="s">
        <v>763</v>
      </c>
      <c r="C2002" t="s">
        <v>5499</v>
      </c>
      <c r="D2002" t="s">
        <v>5500</v>
      </c>
      <c r="E2002" t="s">
        <v>1719</v>
      </c>
    </row>
    <row r="2003" spans="1:5" x14ac:dyDescent="0.2">
      <c r="A2003">
        <v>2003</v>
      </c>
      <c r="B2003" t="s">
        <v>763</v>
      </c>
      <c r="C2003" t="s">
        <v>5501</v>
      </c>
      <c r="D2003" t="s">
        <v>5502</v>
      </c>
      <c r="E2003" t="s">
        <v>1719</v>
      </c>
    </row>
    <row r="2004" spans="1:5" x14ac:dyDescent="0.2">
      <c r="A2004">
        <v>2004</v>
      </c>
      <c r="B2004" t="s">
        <v>763</v>
      </c>
      <c r="C2004" t="s">
        <v>5503</v>
      </c>
      <c r="D2004" t="s">
        <v>5504</v>
      </c>
      <c r="E2004" t="s">
        <v>1719</v>
      </c>
    </row>
    <row r="2005" spans="1:5" x14ac:dyDescent="0.2">
      <c r="A2005">
        <v>2005</v>
      </c>
      <c r="B2005" t="s">
        <v>763</v>
      </c>
      <c r="C2005" t="s">
        <v>5505</v>
      </c>
      <c r="D2005" t="s">
        <v>5506</v>
      </c>
      <c r="E2005" t="s">
        <v>1719</v>
      </c>
    </row>
    <row r="2006" spans="1:5" x14ac:dyDescent="0.2">
      <c r="A2006">
        <v>2006</v>
      </c>
      <c r="B2006" t="s">
        <v>763</v>
      </c>
      <c r="C2006" t="s">
        <v>5507</v>
      </c>
      <c r="D2006" t="s">
        <v>5508</v>
      </c>
      <c r="E2006" t="s">
        <v>1719</v>
      </c>
    </row>
    <row r="2007" spans="1:5" x14ac:dyDescent="0.2">
      <c r="A2007">
        <v>2007</v>
      </c>
      <c r="B2007" t="s">
        <v>763</v>
      </c>
      <c r="C2007" t="s">
        <v>5509</v>
      </c>
      <c r="D2007" t="s">
        <v>5510</v>
      </c>
      <c r="E2007" t="s">
        <v>1719</v>
      </c>
    </row>
    <row r="2008" spans="1:5" x14ac:dyDescent="0.2">
      <c r="A2008">
        <v>2008</v>
      </c>
      <c r="B2008" t="s">
        <v>763</v>
      </c>
      <c r="C2008" t="s">
        <v>5511</v>
      </c>
      <c r="D2008" t="s">
        <v>5512</v>
      </c>
      <c r="E2008" t="s">
        <v>1719</v>
      </c>
    </row>
    <row r="2009" spans="1:5" x14ac:dyDescent="0.2">
      <c r="A2009">
        <v>2009</v>
      </c>
      <c r="B2009" t="s">
        <v>763</v>
      </c>
      <c r="C2009" t="s">
        <v>5513</v>
      </c>
      <c r="D2009" t="s">
        <v>5514</v>
      </c>
      <c r="E2009" t="s">
        <v>1719</v>
      </c>
    </row>
    <row r="2010" spans="1:5" x14ac:dyDescent="0.2">
      <c r="A2010">
        <v>2010</v>
      </c>
      <c r="B2010" t="s">
        <v>763</v>
      </c>
      <c r="C2010" t="s">
        <v>5515</v>
      </c>
      <c r="D2010" t="s">
        <v>5516</v>
      </c>
      <c r="E2010" t="s">
        <v>1719</v>
      </c>
    </row>
    <row r="2011" spans="1:5" x14ac:dyDescent="0.2">
      <c r="A2011">
        <v>2011</v>
      </c>
      <c r="B2011" t="s">
        <v>763</v>
      </c>
      <c r="C2011" t="s">
        <v>5517</v>
      </c>
      <c r="D2011" t="s">
        <v>5518</v>
      </c>
      <c r="E2011" t="s">
        <v>1719</v>
      </c>
    </row>
    <row r="2012" spans="1:5" x14ac:dyDescent="0.2">
      <c r="A2012">
        <v>2012</v>
      </c>
      <c r="B2012" t="s">
        <v>763</v>
      </c>
      <c r="C2012" t="s">
        <v>5519</v>
      </c>
      <c r="D2012" t="s">
        <v>5520</v>
      </c>
      <c r="E2012" t="s">
        <v>1719</v>
      </c>
    </row>
    <row r="2013" spans="1:5" x14ac:dyDescent="0.2">
      <c r="A2013">
        <v>2013</v>
      </c>
      <c r="B2013" t="s">
        <v>763</v>
      </c>
      <c r="C2013" t="s">
        <v>5521</v>
      </c>
      <c r="D2013" t="s">
        <v>5522</v>
      </c>
      <c r="E2013" t="s">
        <v>2087</v>
      </c>
    </row>
    <row r="2014" spans="1:5" x14ac:dyDescent="0.2">
      <c r="A2014">
        <v>2014</v>
      </c>
      <c r="B2014" t="s">
        <v>763</v>
      </c>
      <c r="C2014" t="s">
        <v>5523</v>
      </c>
      <c r="D2014" t="s">
        <v>5524</v>
      </c>
      <c r="E2014" t="s">
        <v>1719</v>
      </c>
    </row>
    <row r="2015" spans="1:5" x14ac:dyDescent="0.2">
      <c r="A2015">
        <v>2015</v>
      </c>
      <c r="B2015" t="s">
        <v>763</v>
      </c>
      <c r="C2015" t="s">
        <v>5525</v>
      </c>
      <c r="D2015" t="s">
        <v>5526</v>
      </c>
      <c r="E2015" t="s">
        <v>1719</v>
      </c>
    </row>
    <row r="2016" spans="1:5" x14ac:dyDescent="0.2">
      <c r="A2016">
        <v>2016</v>
      </c>
      <c r="B2016" t="s">
        <v>763</v>
      </c>
      <c r="C2016" t="s">
        <v>5527</v>
      </c>
      <c r="D2016" t="s">
        <v>5528</v>
      </c>
      <c r="E2016" t="s">
        <v>1719</v>
      </c>
    </row>
    <row r="2017" spans="1:5" x14ac:dyDescent="0.2">
      <c r="A2017">
        <v>2017</v>
      </c>
      <c r="B2017" t="s">
        <v>763</v>
      </c>
      <c r="C2017" t="s">
        <v>5529</v>
      </c>
      <c r="D2017" t="s">
        <v>5530</v>
      </c>
      <c r="E2017" t="s">
        <v>1719</v>
      </c>
    </row>
    <row r="2018" spans="1:5" x14ac:dyDescent="0.2">
      <c r="A2018">
        <v>2018</v>
      </c>
      <c r="B2018" t="s">
        <v>763</v>
      </c>
      <c r="C2018" t="s">
        <v>5531</v>
      </c>
      <c r="D2018" t="s">
        <v>5532</v>
      </c>
      <c r="E2018" t="s">
        <v>1719</v>
      </c>
    </row>
    <row r="2019" spans="1:5" x14ac:dyDescent="0.2">
      <c r="A2019">
        <v>2019</v>
      </c>
      <c r="B2019" t="s">
        <v>763</v>
      </c>
      <c r="C2019" t="s">
        <v>5533</v>
      </c>
      <c r="D2019" t="s">
        <v>5534</v>
      </c>
      <c r="E2019" t="s">
        <v>1719</v>
      </c>
    </row>
    <row r="2020" spans="1:5" x14ac:dyDescent="0.2">
      <c r="A2020">
        <v>2020</v>
      </c>
      <c r="B2020" t="s">
        <v>763</v>
      </c>
      <c r="C2020" t="s">
        <v>5535</v>
      </c>
      <c r="D2020" t="s">
        <v>5536</v>
      </c>
      <c r="E2020" t="s">
        <v>2087</v>
      </c>
    </row>
    <row r="2021" spans="1:5" x14ac:dyDescent="0.2">
      <c r="A2021">
        <v>2021</v>
      </c>
      <c r="B2021" t="s">
        <v>763</v>
      </c>
      <c r="C2021" t="s">
        <v>5537</v>
      </c>
      <c r="D2021" t="s">
        <v>5538</v>
      </c>
      <c r="E2021" t="s">
        <v>1719</v>
      </c>
    </row>
    <row r="2022" spans="1:5" x14ac:dyDescent="0.2">
      <c r="A2022">
        <v>2022</v>
      </c>
      <c r="B2022" t="s">
        <v>763</v>
      </c>
      <c r="C2022" t="s">
        <v>5539</v>
      </c>
      <c r="D2022" t="s">
        <v>5540</v>
      </c>
      <c r="E2022" t="s">
        <v>1719</v>
      </c>
    </row>
    <row r="2023" spans="1:5" x14ac:dyDescent="0.2">
      <c r="A2023">
        <v>2023</v>
      </c>
      <c r="B2023" t="s">
        <v>763</v>
      </c>
      <c r="C2023" t="s">
        <v>5541</v>
      </c>
      <c r="D2023" t="s">
        <v>5542</v>
      </c>
      <c r="E2023" t="s">
        <v>1719</v>
      </c>
    </row>
    <row r="2024" spans="1:5" x14ac:dyDescent="0.2">
      <c r="A2024">
        <v>2024</v>
      </c>
      <c r="B2024" t="s">
        <v>763</v>
      </c>
      <c r="C2024" t="s">
        <v>5543</v>
      </c>
      <c r="D2024" t="s">
        <v>5544</v>
      </c>
      <c r="E2024" t="s">
        <v>1719</v>
      </c>
    </row>
    <row r="2025" spans="1:5" x14ac:dyDescent="0.2">
      <c r="A2025">
        <v>2025</v>
      </c>
      <c r="B2025" t="s">
        <v>763</v>
      </c>
      <c r="C2025" t="s">
        <v>5545</v>
      </c>
      <c r="D2025" t="s">
        <v>5546</v>
      </c>
      <c r="E2025" t="s">
        <v>1719</v>
      </c>
    </row>
    <row r="2026" spans="1:5" x14ac:dyDescent="0.2">
      <c r="A2026">
        <v>2026</v>
      </c>
      <c r="B2026" t="s">
        <v>763</v>
      </c>
      <c r="C2026" t="s">
        <v>5547</v>
      </c>
      <c r="D2026" t="s">
        <v>5548</v>
      </c>
      <c r="E2026" t="s">
        <v>1719</v>
      </c>
    </row>
    <row r="2027" spans="1:5" x14ac:dyDescent="0.2">
      <c r="A2027">
        <v>2027</v>
      </c>
      <c r="B2027" t="s">
        <v>763</v>
      </c>
      <c r="C2027" t="s">
        <v>5549</v>
      </c>
      <c r="D2027" t="s">
        <v>5550</v>
      </c>
      <c r="E2027" t="s">
        <v>1719</v>
      </c>
    </row>
    <row r="2028" spans="1:5" x14ac:dyDescent="0.2">
      <c r="A2028">
        <v>2028</v>
      </c>
      <c r="B2028" t="s">
        <v>763</v>
      </c>
      <c r="C2028" t="s">
        <v>5551</v>
      </c>
      <c r="D2028" t="s">
        <v>5552</v>
      </c>
      <c r="E2028" t="s">
        <v>1719</v>
      </c>
    </row>
    <row r="2029" spans="1:5" x14ac:dyDescent="0.2">
      <c r="A2029">
        <v>2029</v>
      </c>
      <c r="B2029" t="s">
        <v>763</v>
      </c>
      <c r="C2029" t="s">
        <v>5553</v>
      </c>
      <c r="D2029" t="s">
        <v>5554</v>
      </c>
      <c r="E2029" t="s">
        <v>1719</v>
      </c>
    </row>
    <row r="2030" spans="1:5" x14ac:dyDescent="0.2">
      <c r="A2030">
        <v>2030</v>
      </c>
      <c r="B2030" t="s">
        <v>763</v>
      </c>
      <c r="C2030" t="s">
        <v>5555</v>
      </c>
      <c r="D2030" t="s">
        <v>5556</v>
      </c>
      <c r="E2030" t="s">
        <v>2087</v>
      </c>
    </row>
    <row r="2031" spans="1:5" x14ac:dyDescent="0.2">
      <c r="A2031">
        <v>2031</v>
      </c>
      <c r="B2031" t="s">
        <v>763</v>
      </c>
      <c r="C2031" t="s">
        <v>5557</v>
      </c>
      <c r="D2031" t="s">
        <v>5558</v>
      </c>
      <c r="E2031" t="s">
        <v>1719</v>
      </c>
    </row>
    <row r="2032" spans="1:5" x14ac:dyDescent="0.2">
      <c r="A2032">
        <v>2032</v>
      </c>
      <c r="B2032" t="s">
        <v>763</v>
      </c>
      <c r="C2032" t="s">
        <v>5559</v>
      </c>
      <c r="D2032" t="s">
        <v>5560</v>
      </c>
      <c r="E2032" t="s">
        <v>1719</v>
      </c>
    </row>
    <row r="2033" spans="1:5" x14ac:dyDescent="0.2">
      <c r="A2033">
        <v>2033</v>
      </c>
      <c r="B2033" t="s">
        <v>763</v>
      </c>
      <c r="C2033" t="s">
        <v>5561</v>
      </c>
      <c r="D2033" t="s">
        <v>5562</v>
      </c>
      <c r="E2033" t="s">
        <v>2087</v>
      </c>
    </row>
    <row r="2034" spans="1:5" x14ac:dyDescent="0.2">
      <c r="A2034">
        <v>2034</v>
      </c>
      <c r="B2034" t="s">
        <v>763</v>
      </c>
      <c r="C2034" t="s">
        <v>5563</v>
      </c>
      <c r="D2034" t="s">
        <v>5564</v>
      </c>
      <c r="E2034" t="s">
        <v>1719</v>
      </c>
    </row>
    <row r="2035" spans="1:5" x14ac:dyDescent="0.2">
      <c r="A2035">
        <v>2035</v>
      </c>
      <c r="B2035" t="s">
        <v>763</v>
      </c>
      <c r="C2035" t="s">
        <v>5565</v>
      </c>
      <c r="D2035" t="s">
        <v>5566</v>
      </c>
      <c r="E2035" t="s">
        <v>1719</v>
      </c>
    </row>
    <row r="2036" spans="1:5" x14ac:dyDescent="0.2">
      <c r="A2036">
        <v>2036</v>
      </c>
      <c r="B2036" t="s">
        <v>763</v>
      </c>
      <c r="C2036" t="s">
        <v>5567</v>
      </c>
      <c r="D2036" t="s">
        <v>5568</v>
      </c>
      <c r="E2036" t="s">
        <v>2087</v>
      </c>
    </row>
    <row r="2037" spans="1:5" x14ac:dyDescent="0.2">
      <c r="A2037">
        <v>2037</v>
      </c>
      <c r="B2037" t="s">
        <v>763</v>
      </c>
      <c r="C2037" t="s">
        <v>5569</v>
      </c>
      <c r="D2037" t="s">
        <v>5570</v>
      </c>
      <c r="E2037" t="s">
        <v>1719</v>
      </c>
    </row>
    <row r="2038" spans="1:5" x14ac:dyDescent="0.2">
      <c r="A2038">
        <v>2038</v>
      </c>
      <c r="B2038" t="s">
        <v>763</v>
      </c>
      <c r="C2038" t="s">
        <v>5571</v>
      </c>
      <c r="D2038" t="s">
        <v>5572</v>
      </c>
      <c r="E2038" t="s">
        <v>1719</v>
      </c>
    </row>
    <row r="2039" spans="1:5" x14ac:dyDescent="0.2">
      <c r="A2039">
        <v>2039</v>
      </c>
      <c r="B2039" t="s">
        <v>763</v>
      </c>
      <c r="C2039" t="s">
        <v>5573</v>
      </c>
      <c r="D2039" t="s">
        <v>5574</v>
      </c>
      <c r="E2039" t="s">
        <v>1719</v>
      </c>
    </row>
    <row r="2040" spans="1:5" x14ac:dyDescent="0.2">
      <c r="A2040">
        <v>2040</v>
      </c>
      <c r="B2040" t="s">
        <v>763</v>
      </c>
      <c r="C2040" t="s">
        <v>5575</v>
      </c>
      <c r="D2040" t="s">
        <v>5576</v>
      </c>
      <c r="E2040" t="s">
        <v>2087</v>
      </c>
    </row>
    <row r="2041" spans="1:5" x14ac:dyDescent="0.2">
      <c r="A2041">
        <v>2041</v>
      </c>
      <c r="B2041" t="s">
        <v>763</v>
      </c>
      <c r="C2041" t="s">
        <v>5577</v>
      </c>
      <c r="D2041" t="s">
        <v>5578</v>
      </c>
      <c r="E2041" t="s">
        <v>1719</v>
      </c>
    </row>
    <row r="2042" spans="1:5" x14ac:dyDescent="0.2">
      <c r="A2042">
        <v>2042</v>
      </c>
      <c r="B2042" t="s">
        <v>763</v>
      </c>
      <c r="C2042" t="s">
        <v>5579</v>
      </c>
      <c r="D2042" t="s">
        <v>5580</v>
      </c>
      <c r="E2042" t="s">
        <v>1719</v>
      </c>
    </row>
    <row r="2043" spans="1:5" x14ac:dyDescent="0.2">
      <c r="A2043">
        <v>2043</v>
      </c>
      <c r="B2043" t="s">
        <v>763</v>
      </c>
      <c r="C2043" t="s">
        <v>5581</v>
      </c>
      <c r="D2043" t="s">
        <v>5582</v>
      </c>
      <c r="E2043" t="s">
        <v>1719</v>
      </c>
    </row>
    <row r="2044" spans="1:5" x14ac:dyDescent="0.2">
      <c r="A2044">
        <v>2044</v>
      </c>
      <c r="B2044" t="s">
        <v>763</v>
      </c>
      <c r="C2044" t="s">
        <v>5583</v>
      </c>
      <c r="D2044" t="s">
        <v>5584</v>
      </c>
      <c r="E2044" t="s">
        <v>1719</v>
      </c>
    </row>
    <row r="2045" spans="1:5" x14ac:dyDescent="0.2">
      <c r="A2045">
        <v>2045</v>
      </c>
      <c r="B2045" t="s">
        <v>763</v>
      </c>
      <c r="C2045" t="s">
        <v>5585</v>
      </c>
      <c r="D2045" t="s">
        <v>5586</v>
      </c>
      <c r="E2045" t="s">
        <v>1719</v>
      </c>
    </row>
    <row r="2046" spans="1:5" x14ac:dyDescent="0.2">
      <c r="A2046">
        <v>2046</v>
      </c>
      <c r="B2046" t="s">
        <v>763</v>
      </c>
      <c r="C2046" t="s">
        <v>5587</v>
      </c>
      <c r="D2046" t="s">
        <v>5588</v>
      </c>
      <c r="E2046" t="s">
        <v>1719</v>
      </c>
    </row>
    <row r="2047" spans="1:5" x14ac:dyDescent="0.2">
      <c r="A2047">
        <v>2047</v>
      </c>
      <c r="B2047" t="s">
        <v>763</v>
      </c>
      <c r="C2047" t="s">
        <v>5589</v>
      </c>
      <c r="D2047" t="s">
        <v>5590</v>
      </c>
      <c r="E2047" t="s">
        <v>2087</v>
      </c>
    </row>
    <row r="2048" spans="1:5" x14ac:dyDescent="0.2">
      <c r="A2048">
        <v>2048</v>
      </c>
      <c r="B2048" t="s">
        <v>763</v>
      </c>
      <c r="C2048" t="s">
        <v>5591</v>
      </c>
      <c r="D2048" t="s">
        <v>5592</v>
      </c>
      <c r="E2048" t="s">
        <v>1719</v>
      </c>
    </row>
    <row r="2049" spans="1:5" x14ac:dyDescent="0.2">
      <c r="A2049">
        <v>2049</v>
      </c>
      <c r="B2049" t="s">
        <v>763</v>
      </c>
      <c r="C2049" t="s">
        <v>5593</v>
      </c>
      <c r="D2049" t="s">
        <v>5594</v>
      </c>
      <c r="E2049" t="s">
        <v>1719</v>
      </c>
    </row>
    <row r="2050" spans="1:5" x14ac:dyDescent="0.2">
      <c r="A2050">
        <v>2050</v>
      </c>
      <c r="B2050" t="s">
        <v>763</v>
      </c>
      <c r="C2050" t="s">
        <v>5595</v>
      </c>
      <c r="D2050" t="s">
        <v>5596</v>
      </c>
      <c r="E2050" t="s">
        <v>1719</v>
      </c>
    </row>
    <row r="2051" spans="1:5" x14ac:dyDescent="0.2">
      <c r="A2051">
        <v>2051</v>
      </c>
      <c r="B2051" t="s">
        <v>763</v>
      </c>
      <c r="C2051" t="s">
        <v>5597</v>
      </c>
      <c r="D2051" t="s">
        <v>5598</v>
      </c>
      <c r="E2051" t="s">
        <v>1719</v>
      </c>
    </row>
    <row r="2052" spans="1:5" x14ac:dyDescent="0.2">
      <c r="A2052">
        <v>2052</v>
      </c>
      <c r="B2052" t="s">
        <v>763</v>
      </c>
      <c r="C2052" t="s">
        <v>5599</v>
      </c>
      <c r="D2052" t="s">
        <v>5600</v>
      </c>
      <c r="E2052" t="s">
        <v>1719</v>
      </c>
    </row>
    <row r="2053" spans="1:5" x14ac:dyDescent="0.2">
      <c r="A2053">
        <v>2053</v>
      </c>
      <c r="B2053" t="s">
        <v>763</v>
      </c>
      <c r="C2053" t="s">
        <v>5601</v>
      </c>
      <c r="D2053" t="s">
        <v>5602</v>
      </c>
      <c r="E2053" t="s">
        <v>1719</v>
      </c>
    </row>
    <row r="2054" spans="1:5" x14ac:dyDescent="0.2">
      <c r="A2054">
        <v>2054</v>
      </c>
      <c r="B2054" t="s">
        <v>763</v>
      </c>
      <c r="C2054" t="s">
        <v>5603</v>
      </c>
      <c r="D2054" t="s">
        <v>5604</v>
      </c>
      <c r="E2054" t="s">
        <v>1719</v>
      </c>
    </row>
    <row r="2055" spans="1:5" x14ac:dyDescent="0.2">
      <c r="A2055">
        <v>2055</v>
      </c>
      <c r="B2055" t="s">
        <v>763</v>
      </c>
      <c r="C2055" t="s">
        <v>5605</v>
      </c>
      <c r="D2055" t="s">
        <v>5606</v>
      </c>
      <c r="E2055" t="s">
        <v>1719</v>
      </c>
    </row>
    <row r="2056" spans="1:5" x14ac:dyDescent="0.2">
      <c r="A2056">
        <v>2056</v>
      </c>
      <c r="B2056" t="s">
        <v>763</v>
      </c>
      <c r="C2056" t="s">
        <v>5607</v>
      </c>
      <c r="D2056" t="s">
        <v>5608</v>
      </c>
      <c r="E2056" t="s">
        <v>1719</v>
      </c>
    </row>
    <row r="2057" spans="1:5" x14ac:dyDescent="0.2">
      <c r="A2057">
        <v>2057</v>
      </c>
      <c r="B2057" t="s">
        <v>763</v>
      </c>
      <c r="C2057" t="s">
        <v>5609</v>
      </c>
      <c r="D2057" t="s">
        <v>5610</v>
      </c>
      <c r="E2057" t="s">
        <v>1719</v>
      </c>
    </row>
    <row r="2058" spans="1:5" x14ac:dyDescent="0.2">
      <c r="A2058">
        <v>2058</v>
      </c>
      <c r="B2058" t="s">
        <v>763</v>
      </c>
      <c r="C2058" t="s">
        <v>5611</v>
      </c>
      <c r="D2058" t="s">
        <v>5612</v>
      </c>
      <c r="E2058" t="s">
        <v>1719</v>
      </c>
    </row>
    <row r="2059" spans="1:5" x14ac:dyDescent="0.2">
      <c r="A2059">
        <v>2059</v>
      </c>
      <c r="B2059" t="s">
        <v>763</v>
      </c>
      <c r="C2059" t="s">
        <v>5613</v>
      </c>
      <c r="D2059" t="s">
        <v>5614</v>
      </c>
      <c r="E2059" t="s">
        <v>1719</v>
      </c>
    </row>
    <row r="2060" spans="1:5" x14ac:dyDescent="0.2">
      <c r="A2060">
        <v>2060</v>
      </c>
      <c r="B2060" t="s">
        <v>763</v>
      </c>
      <c r="C2060" t="s">
        <v>5615</v>
      </c>
      <c r="D2060" t="s">
        <v>5616</v>
      </c>
      <c r="E2060" t="s">
        <v>1719</v>
      </c>
    </row>
    <row r="2061" spans="1:5" x14ac:dyDescent="0.2">
      <c r="A2061">
        <v>2061</v>
      </c>
      <c r="B2061" t="s">
        <v>763</v>
      </c>
      <c r="C2061" t="s">
        <v>5617</v>
      </c>
      <c r="D2061" t="s">
        <v>5618</v>
      </c>
      <c r="E2061" t="s">
        <v>1719</v>
      </c>
    </row>
    <row r="2062" spans="1:5" x14ac:dyDescent="0.2">
      <c r="A2062">
        <v>2062</v>
      </c>
      <c r="B2062" t="s">
        <v>763</v>
      </c>
      <c r="C2062" t="s">
        <v>5619</v>
      </c>
      <c r="D2062" t="s">
        <v>5620</v>
      </c>
      <c r="E2062" t="s">
        <v>1719</v>
      </c>
    </row>
    <row r="2063" spans="1:5" x14ac:dyDescent="0.2">
      <c r="A2063">
        <v>2063</v>
      </c>
      <c r="B2063" t="s">
        <v>763</v>
      </c>
      <c r="C2063" t="s">
        <v>5621</v>
      </c>
      <c r="D2063" t="s">
        <v>5622</v>
      </c>
      <c r="E2063" t="s">
        <v>2087</v>
      </c>
    </row>
    <row r="2064" spans="1:5" x14ac:dyDescent="0.2">
      <c r="A2064">
        <v>2064</v>
      </c>
      <c r="B2064" t="s">
        <v>763</v>
      </c>
      <c r="C2064" t="s">
        <v>5623</v>
      </c>
      <c r="D2064" t="s">
        <v>5624</v>
      </c>
      <c r="E2064" t="s">
        <v>1719</v>
      </c>
    </row>
    <row r="2065" spans="1:5" x14ac:dyDescent="0.2">
      <c r="A2065">
        <v>2065</v>
      </c>
      <c r="B2065" t="s">
        <v>763</v>
      </c>
      <c r="C2065" t="s">
        <v>5625</v>
      </c>
      <c r="D2065" t="s">
        <v>5626</v>
      </c>
      <c r="E2065" t="s">
        <v>1719</v>
      </c>
    </row>
    <row r="2066" spans="1:5" x14ac:dyDescent="0.2">
      <c r="A2066">
        <v>2066</v>
      </c>
      <c r="B2066" t="s">
        <v>763</v>
      </c>
      <c r="C2066" t="s">
        <v>5627</v>
      </c>
      <c r="D2066" t="s">
        <v>5628</v>
      </c>
      <c r="E2066" t="s">
        <v>1719</v>
      </c>
    </row>
    <row r="2067" spans="1:5" x14ac:dyDescent="0.2">
      <c r="A2067">
        <v>2067</v>
      </c>
      <c r="B2067" t="s">
        <v>763</v>
      </c>
      <c r="C2067" t="s">
        <v>5629</v>
      </c>
      <c r="D2067" t="s">
        <v>5630</v>
      </c>
      <c r="E2067" t="s">
        <v>1719</v>
      </c>
    </row>
    <row r="2068" spans="1:5" x14ac:dyDescent="0.2">
      <c r="A2068">
        <v>2068</v>
      </c>
      <c r="B2068" t="s">
        <v>763</v>
      </c>
      <c r="C2068" t="s">
        <v>5631</v>
      </c>
      <c r="D2068" t="s">
        <v>5632</v>
      </c>
      <c r="E2068" t="s">
        <v>1719</v>
      </c>
    </row>
    <row r="2069" spans="1:5" x14ac:dyDescent="0.2">
      <c r="A2069">
        <v>2069</v>
      </c>
      <c r="B2069" t="s">
        <v>763</v>
      </c>
      <c r="C2069" t="s">
        <v>5633</v>
      </c>
      <c r="D2069" t="s">
        <v>5634</v>
      </c>
      <c r="E2069" t="s">
        <v>2087</v>
      </c>
    </row>
    <row r="2070" spans="1:5" x14ac:dyDescent="0.2">
      <c r="A2070">
        <v>2070</v>
      </c>
      <c r="B2070" t="s">
        <v>763</v>
      </c>
      <c r="C2070" t="s">
        <v>5635</v>
      </c>
      <c r="D2070" t="s">
        <v>5636</v>
      </c>
      <c r="E2070" t="s">
        <v>1719</v>
      </c>
    </row>
    <row r="2071" spans="1:5" x14ac:dyDescent="0.2">
      <c r="A2071">
        <v>2071</v>
      </c>
      <c r="B2071" t="s">
        <v>763</v>
      </c>
      <c r="C2071" t="s">
        <v>5637</v>
      </c>
      <c r="D2071" t="s">
        <v>5638</v>
      </c>
      <c r="E2071" t="s">
        <v>1719</v>
      </c>
    </row>
    <row r="2072" spans="1:5" x14ac:dyDescent="0.2">
      <c r="A2072">
        <v>2072</v>
      </c>
      <c r="B2072" t="s">
        <v>763</v>
      </c>
      <c r="C2072" t="s">
        <v>5639</v>
      </c>
      <c r="D2072" t="s">
        <v>5640</v>
      </c>
      <c r="E2072" t="s">
        <v>1719</v>
      </c>
    </row>
    <row r="2073" spans="1:5" x14ac:dyDescent="0.2">
      <c r="A2073">
        <v>2073</v>
      </c>
      <c r="B2073" t="s">
        <v>763</v>
      </c>
      <c r="C2073" t="s">
        <v>5641</v>
      </c>
      <c r="D2073" t="s">
        <v>5642</v>
      </c>
      <c r="E2073" t="s">
        <v>1719</v>
      </c>
    </row>
    <row r="2074" spans="1:5" x14ac:dyDescent="0.2">
      <c r="A2074">
        <v>2074</v>
      </c>
      <c r="B2074" t="s">
        <v>763</v>
      </c>
      <c r="C2074" t="s">
        <v>5643</v>
      </c>
      <c r="D2074" t="s">
        <v>5644</v>
      </c>
      <c r="E2074" t="s">
        <v>1719</v>
      </c>
    </row>
    <row r="2075" spans="1:5" x14ac:dyDescent="0.2">
      <c r="A2075">
        <v>2075</v>
      </c>
      <c r="B2075" t="s">
        <v>763</v>
      </c>
      <c r="C2075" t="s">
        <v>5645</v>
      </c>
      <c r="D2075" t="s">
        <v>5646</v>
      </c>
      <c r="E2075" t="s">
        <v>1719</v>
      </c>
    </row>
    <row r="2076" spans="1:5" x14ac:dyDescent="0.2">
      <c r="A2076">
        <v>2076</v>
      </c>
      <c r="B2076" t="s">
        <v>763</v>
      </c>
      <c r="C2076" t="s">
        <v>5647</v>
      </c>
      <c r="D2076" t="s">
        <v>5648</v>
      </c>
      <c r="E2076" t="s">
        <v>1719</v>
      </c>
    </row>
    <row r="2077" spans="1:5" x14ac:dyDescent="0.2">
      <c r="A2077">
        <v>2077</v>
      </c>
      <c r="B2077" t="s">
        <v>763</v>
      </c>
      <c r="C2077" t="s">
        <v>5649</v>
      </c>
      <c r="D2077" t="s">
        <v>5650</v>
      </c>
      <c r="E2077" t="s">
        <v>1719</v>
      </c>
    </row>
    <row r="2078" spans="1:5" x14ac:dyDescent="0.2">
      <c r="A2078">
        <v>2078</v>
      </c>
      <c r="B2078" t="s">
        <v>763</v>
      </c>
      <c r="C2078" t="s">
        <v>5651</v>
      </c>
      <c r="D2078" t="s">
        <v>5652</v>
      </c>
      <c r="E2078" t="s">
        <v>1719</v>
      </c>
    </row>
    <row r="2079" spans="1:5" x14ac:dyDescent="0.2">
      <c r="A2079">
        <v>2079</v>
      </c>
      <c r="B2079" t="s">
        <v>763</v>
      </c>
      <c r="C2079" t="s">
        <v>5653</v>
      </c>
      <c r="D2079" t="s">
        <v>5654</v>
      </c>
      <c r="E2079" t="s">
        <v>2087</v>
      </c>
    </row>
    <row r="2080" spans="1:5" x14ac:dyDescent="0.2">
      <c r="A2080">
        <v>2080</v>
      </c>
      <c r="B2080" t="s">
        <v>763</v>
      </c>
      <c r="C2080" t="s">
        <v>5655</v>
      </c>
      <c r="D2080" t="s">
        <v>5656</v>
      </c>
      <c r="E2080" t="s">
        <v>1719</v>
      </c>
    </row>
    <row r="2081" spans="1:5" x14ac:dyDescent="0.2">
      <c r="A2081">
        <v>2081</v>
      </c>
      <c r="B2081" t="s">
        <v>763</v>
      </c>
      <c r="C2081" t="s">
        <v>5657</v>
      </c>
      <c r="D2081" t="s">
        <v>5658</v>
      </c>
      <c r="E2081" t="s">
        <v>1719</v>
      </c>
    </row>
    <row r="2082" spans="1:5" x14ac:dyDescent="0.2">
      <c r="A2082">
        <v>2082</v>
      </c>
      <c r="B2082" t="s">
        <v>763</v>
      </c>
      <c r="C2082" t="s">
        <v>5659</v>
      </c>
      <c r="D2082" t="s">
        <v>5660</v>
      </c>
      <c r="E2082" t="s">
        <v>2087</v>
      </c>
    </row>
    <row r="2083" spans="1:5" x14ac:dyDescent="0.2">
      <c r="A2083">
        <v>2083</v>
      </c>
      <c r="B2083" t="s">
        <v>763</v>
      </c>
      <c r="C2083" t="s">
        <v>5661</v>
      </c>
      <c r="D2083" t="s">
        <v>5662</v>
      </c>
      <c r="E2083" t="s">
        <v>1719</v>
      </c>
    </row>
    <row r="2084" spans="1:5" x14ac:dyDescent="0.2">
      <c r="A2084">
        <v>2084</v>
      </c>
      <c r="B2084" t="s">
        <v>763</v>
      </c>
      <c r="C2084" t="s">
        <v>5663</v>
      </c>
      <c r="D2084" t="s">
        <v>5664</v>
      </c>
      <c r="E2084" t="s">
        <v>1719</v>
      </c>
    </row>
    <row r="2085" spans="1:5" x14ac:dyDescent="0.2">
      <c r="A2085">
        <v>2085</v>
      </c>
      <c r="B2085" t="s">
        <v>763</v>
      </c>
      <c r="C2085" t="s">
        <v>5665</v>
      </c>
      <c r="D2085" t="s">
        <v>5666</v>
      </c>
      <c r="E2085" t="s">
        <v>1719</v>
      </c>
    </row>
    <row r="2086" spans="1:5" x14ac:dyDescent="0.2">
      <c r="A2086">
        <v>2086</v>
      </c>
      <c r="B2086" t="s">
        <v>763</v>
      </c>
      <c r="C2086" t="s">
        <v>5667</v>
      </c>
      <c r="D2086" t="s">
        <v>5668</v>
      </c>
      <c r="E2086" t="s">
        <v>1719</v>
      </c>
    </row>
    <row r="2087" spans="1:5" x14ac:dyDescent="0.2">
      <c r="A2087">
        <v>2087</v>
      </c>
      <c r="B2087" t="s">
        <v>763</v>
      </c>
      <c r="C2087" t="s">
        <v>5669</v>
      </c>
      <c r="D2087" t="s">
        <v>5670</v>
      </c>
      <c r="E2087" t="s">
        <v>1719</v>
      </c>
    </row>
    <row r="2088" spans="1:5" x14ac:dyDescent="0.2">
      <c r="A2088">
        <v>2088</v>
      </c>
      <c r="B2088" t="s">
        <v>763</v>
      </c>
      <c r="C2088" t="s">
        <v>5671</v>
      </c>
      <c r="D2088" t="s">
        <v>5672</v>
      </c>
      <c r="E2088" t="s">
        <v>1719</v>
      </c>
    </row>
    <row r="2089" spans="1:5" x14ac:dyDescent="0.2">
      <c r="A2089">
        <v>2089</v>
      </c>
      <c r="B2089" t="s">
        <v>763</v>
      </c>
      <c r="C2089" t="s">
        <v>5673</v>
      </c>
      <c r="D2089" t="s">
        <v>5674</v>
      </c>
      <c r="E2089" t="s">
        <v>1719</v>
      </c>
    </row>
    <row r="2090" spans="1:5" x14ac:dyDescent="0.2">
      <c r="A2090">
        <v>2090</v>
      </c>
      <c r="B2090" t="s">
        <v>763</v>
      </c>
      <c r="C2090" t="s">
        <v>5675</v>
      </c>
      <c r="D2090" t="s">
        <v>5676</v>
      </c>
      <c r="E2090" t="s">
        <v>2087</v>
      </c>
    </row>
    <row r="2091" spans="1:5" x14ac:dyDescent="0.2">
      <c r="A2091">
        <v>2091</v>
      </c>
      <c r="B2091" t="s">
        <v>763</v>
      </c>
      <c r="C2091" t="s">
        <v>5677</v>
      </c>
      <c r="D2091" t="s">
        <v>5678</v>
      </c>
      <c r="E2091" t="s">
        <v>1719</v>
      </c>
    </row>
    <row r="2092" spans="1:5" x14ac:dyDescent="0.2">
      <c r="A2092">
        <v>2092</v>
      </c>
      <c r="B2092" t="s">
        <v>763</v>
      </c>
      <c r="C2092" t="s">
        <v>5679</v>
      </c>
      <c r="D2092" t="s">
        <v>5680</v>
      </c>
      <c r="E2092" t="s">
        <v>2087</v>
      </c>
    </row>
    <row r="2093" spans="1:5" x14ac:dyDescent="0.2">
      <c r="A2093">
        <v>2093</v>
      </c>
      <c r="B2093" t="s">
        <v>763</v>
      </c>
      <c r="C2093" t="s">
        <v>5679</v>
      </c>
      <c r="D2093" t="s">
        <v>5681</v>
      </c>
      <c r="E2093" t="s">
        <v>2087</v>
      </c>
    </row>
    <row r="2094" spans="1:5" x14ac:dyDescent="0.2">
      <c r="A2094">
        <v>2094</v>
      </c>
      <c r="B2094" t="s">
        <v>763</v>
      </c>
      <c r="C2094" t="s">
        <v>5682</v>
      </c>
      <c r="D2094" t="s">
        <v>5683</v>
      </c>
      <c r="E2094" t="s">
        <v>1719</v>
      </c>
    </row>
    <row r="2095" spans="1:5" x14ac:dyDescent="0.2">
      <c r="A2095">
        <v>2095</v>
      </c>
      <c r="B2095" t="s">
        <v>763</v>
      </c>
      <c r="C2095" t="s">
        <v>5684</v>
      </c>
      <c r="D2095" t="s">
        <v>5685</v>
      </c>
      <c r="E2095" t="s">
        <v>1719</v>
      </c>
    </row>
    <row r="2096" spans="1:5" x14ac:dyDescent="0.2">
      <c r="A2096">
        <v>2096</v>
      </c>
      <c r="B2096" t="s">
        <v>763</v>
      </c>
      <c r="C2096" t="s">
        <v>5686</v>
      </c>
      <c r="D2096" t="s">
        <v>5687</v>
      </c>
      <c r="E2096" t="s">
        <v>1719</v>
      </c>
    </row>
    <row r="2097" spans="1:5" x14ac:dyDescent="0.2">
      <c r="A2097">
        <v>2097</v>
      </c>
      <c r="B2097" t="s">
        <v>763</v>
      </c>
      <c r="C2097" t="s">
        <v>5688</v>
      </c>
      <c r="D2097" t="s">
        <v>5689</v>
      </c>
      <c r="E2097" t="s">
        <v>1719</v>
      </c>
    </row>
    <row r="2098" spans="1:5" x14ac:dyDescent="0.2">
      <c r="A2098">
        <v>2098</v>
      </c>
      <c r="B2098" t="s">
        <v>763</v>
      </c>
      <c r="C2098" t="s">
        <v>5690</v>
      </c>
      <c r="D2098" t="s">
        <v>5691</v>
      </c>
      <c r="E2098" t="s">
        <v>2087</v>
      </c>
    </row>
    <row r="2099" spans="1:5" x14ac:dyDescent="0.2">
      <c r="A2099">
        <v>2099</v>
      </c>
      <c r="B2099" t="s">
        <v>763</v>
      </c>
      <c r="C2099" t="s">
        <v>5692</v>
      </c>
      <c r="D2099" t="s">
        <v>5693</v>
      </c>
      <c r="E2099" t="s">
        <v>2087</v>
      </c>
    </row>
    <row r="2100" spans="1:5" x14ac:dyDescent="0.2">
      <c r="A2100">
        <v>2100</v>
      </c>
      <c r="B2100" t="s">
        <v>763</v>
      </c>
      <c r="C2100" t="s">
        <v>5692</v>
      </c>
      <c r="D2100" t="s">
        <v>5694</v>
      </c>
      <c r="E2100" t="s">
        <v>2087</v>
      </c>
    </row>
    <row r="2101" spans="1:5" x14ac:dyDescent="0.2">
      <c r="A2101">
        <v>2101</v>
      </c>
      <c r="B2101" t="s">
        <v>763</v>
      </c>
      <c r="C2101" t="s">
        <v>5695</v>
      </c>
      <c r="D2101" t="s">
        <v>5696</v>
      </c>
      <c r="E2101" t="s">
        <v>1719</v>
      </c>
    </row>
    <row r="2102" spans="1:5" x14ac:dyDescent="0.2">
      <c r="A2102">
        <v>2102</v>
      </c>
      <c r="B2102" t="s">
        <v>763</v>
      </c>
      <c r="C2102" t="s">
        <v>5697</v>
      </c>
      <c r="D2102" t="s">
        <v>5698</v>
      </c>
      <c r="E2102" t="s">
        <v>2087</v>
      </c>
    </row>
    <row r="2103" spans="1:5" x14ac:dyDescent="0.2">
      <c r="A2103">
        <v>2103</v>
      </c>
      <c r="B2103" t="s">
        <v>763</v>
      </c>
      <c r="C2103" t="s">
        <v>5699</v>
      </c>
      <c r="D2103" t="s">
        <v>5700</v>
      </c>
      <c r="E2103" t="s">
        <v>1719</v>
      </c>
    </row>
    <row r="2104" spans="1:5" x14ac:dyDescent="0.2">
      <c r="A2104">
        <v>2104</v>
      </c>
      <c r="B2104" t="s">
        <v>763</v>
      </c>
      <c r="C2104" t="s">
        <v>5701</v>
      </c>
      <c r="D2104" t="s">
        <v>5702</v>
      </c>
      <c r="E2104" t="s">
        <v>1719</v>
      </c>
    </row>
    <row r="2105" spans="1:5" x14ac:dyDescent="0.2">
      <c r="A2105">
        <v>2105</v>
      </c>
      <c r="B2105" t="s">
        <v>763</v>
      </c>
      <c r="C2105" t="s">
        <v>5703</v>
      </c>
      <c r="D2105" t="s">
        <v>5704</v>
      </c>
      <c r="E2105" t="s">
        <v>1719</v>
      </c>
    </row>
    <row r="2106" spans="1:5" x14ac:dyDescent="0.2">
      <c r="A2106">
        <v>2106</v>
      </c>
      <c r="B2106" t="s">
        <v>763</v>
      </c>
      <c r="C2106" t="s">
        <v>5705</v>
      </c>
      <c r="D2106" t="s">
        <v>5706</v>
      </c>
      <c r="E2106" t="s">
        <v>1719</v>
      </c>
    </row>
    <row r="2107" spans="1:5" x14ac:dyDescent="0.2">
      <c r="A2107">
        <v>2107</v>
      </c>
      <c r="B2107" t="s">
        <v>763</v>
      </c>
      <c r="C2107" t="s">
        <v>5707</v>
      </c>
      <c r="D2107" t="s">
        <v>5708</v>
      </c>
      <c r="E2107" t="s">
        <v>1719</v>
      </c>
    </row>
    <row r="2108" spans="1:5" x14ac:dyDescent="0.2">
      <c r="A2108">
        <v>2108</v>
      </c>
      <c r="B2108" t="s">
        <v>763</v>
      </c>
      <c r="C2108" t="s">
        <v>5709</v>
      </c>
      <c r="D2108" t="s">
        <v>5710</v>
      </c>
      <c r="E2108" t="s">
        <v>1719</v>
      </c>
    </row>
    <row r="2109" spans="1:5" x14ac:dyDescent="0.2">
      <c r="A2109">
        <v>2109</v>
      </c>
      <c r="B2109" t="s">
        <v>763</v>
      </c>
      <c r="C2109" t="s">
        <v>5711</v>
      </c>
      <c r="D2109" t="s">
        <v>5712</v>
      </c>
      <c r="E2109" t="s">
        <v>1719</v>
      </c>
    </row>
    <row r="2110" spans="1:5" x14ac:dyDescent="0.2">
      <c r="A2110">
        <v>2110</v>
      </c>
      <c r="B2110" t="s">
        <v>765</v>
      </c>
      <c r="C2110" t="s">
        <v>5713</v>
      </c>
      <c r="D2110" t="s">
        <v>5714</v>
      </c>
      <c r="E2110" t="s">
        <v>1970</v>
      </c>
    </row>
    <row r="2111" spans="1:5" x14ac:dyDescent="0.2">
      <c r="A2111">
        <v>2111</v>
      </c>
      <c r="B2111" t="s">
        <v>765</v>
      </c>
      <c r="C2111" t="s">
        <v>5715</v>
      </c>
      <c r="D2111" t="s">
        <v>5716</v>
      </c>
      <c r="E2111" t="s">
        <v>1970</v>
      </c>
    </row>
    <row r="2112" spans="1:5" x14ac:dyDescent="0.2">
      <c r="A2112">
        <v>2112</v>
      </c>
      <c r="B2112" t="s">
        <v>765</v>
      </c>
      <c r="C2112" t="s">
        <v>5717</v>
      </c>
      <c r="D2112" t="s">
        <v>5718</v>
      </c>
      <c r="E2112" t="s">
        <v>1970</v>
      </c>
    </row>
    <row r="2113" spans="1:5" x14ac:dyDescent="0.2">
      <c r="A2113">
        <v>2113</v>
      </c>
      <c r="B2113" t="s">
        <v>765</v>
      </c>
      <c r="C2113" t="s">
        <v>5719</v>
      </c>
      <c r="D2113" t="s">
        <v>5720</v>
      </c>
      <c r="E2113" t="s">
        <v>1970</v>
      </c>
    </row>
    <row r="2114" spans="1:5" x14ac:dyDescent="0.2">
      <c r="A2114">
        <v>2114</v>
      </c>
      <c r="B2114" t="s">
        <v>765</v>
      </c>
      <c r="C2114" t="s">
        <v>5721</v>
      </c>
      <c r="D2114" t="s">
        <v>5722</v>
      </c>
      <c r="E2114" t="s">
        <v>1970</v>
      </c>
    </row>
    <row r="2115" spans="1:5" x14ac:dyDescent="0.2">
      <c r="A2115">
        <v>2115</v>
      </c>
      <c r="B2115" t="s">
        <v>765</v>
      </c>
      <c r="C2115" t="s">
        <v>5723</v>
      </c>
      <c r="D2115" t="s">
        <v>2513</v>
      </c>
      <c r="E2115" t="s">
        <v>1970</v>
      </c>
    </row>
    <row r="2116" spans="1:5" x14ac:dyDescent="0.2">
      <c r="A2116">
        <v>2116</v>
      </c>
      <c r="B2116" t="s">
        <v>765</v>
      </c>
      <c r="C2116" t="s">
        <v>5724</v>
      </c>
      <c r="D2116" t="s">
        <v>5725</v>
      </c>
      <c r="E2116" t="s">
        <v>1970</v>
      </c>
    </row>
    <row r="2117" spans="1:5" x14ac:dyDescent="0.2">
      <c r="A2117">
        <v>2117</v>
      </c>
      <c r="B2117" t="s">
        <v>765</v>
      </c>
      <c r="C2117" t="s">
        <v>5726</v>
      </c>
      <c r="D2117" t="s">
        <v>5727</v>
      </c>
      <c r="E2117" t="s">
        <v>1970</v>
      </c>
    </row>
    <row r="2118" spans="1:5" x14ac:dyDescent="0.2">
      <c r="A2118">
        <v>2118</v>
      </c>
      <c r="B2118" t="s">
        <v>765</v>
      </c>
      <c r="C2118" t="s">
        <v>5728</v>
      </c>
      <c r="D2118" t="s">
        <v>5729</v>
      </c>
      <c r="E2118" t="s">
        <v>1970</v>
      </c>
    </row>
    <row r="2119" spans="1:5" x14ac:dyDescent="0.2">
      <c r="A2119">
        <v>2119</v>
      </c>
      <c r="B2119" t="s">
        <v>765</v>
      </c>
      <c r="C2119" t="s">
        <v>5730</v>
      </c>
      <c r="D2119" t="s">
        <v>2516</v>
      </c>
      <c r="E2119" t="s">
        <v>1970</v>
      </c>
    </row>
    <row r="2120" spans="1:5" x14ac:dyDescent="0.2">
      <c r="A2120">
        <v>2120</v>
      </c>
      <c r="B2120" t="s">
        <v>765</v>
      </c>
      <c r="C2120" t="s">
        <v>5731</v>
      </c>
      <c r="D2120" t="s">
        <v>2029</v>
      </c>
      <c r="E2120" t="s">
        <v>1970</v>
      </c>
    </row>
    <row r="2121" spans="1:5" x14ac:dyDescent="0.2">
      <c r="A2121">
        <v>2121</v>
      </c>
      <c r="B2121" t="s">
        <v>765</v>
      </c>
      <c r="C2121" t="s">
        <v>5732</v>
      </c>
      <c r="D2121" t="s">
        <v>2528</v>
      </c>
      <c r="E2121" t="s">
        <v>1970</v>
      </c>
    </row>
    <row r="2122" spans="1:5" x14ac:dyDescent="0.2">
      <c r="A2122">
        <v>2122</v>
      </c>
      <c r="B2122" t="s">
        <v>765</v>
      </c>
      <c r="C2122" t="s">
        <v>5733</v>
      </c>
      <c r="D2122" t="s">
        <v>5734</v>
      </c>
      <c r="E2122" t="s">
        <v>1970</v>
      </c>
    </row>
    <row r="2123" spans="1:5" x14ac:dyDescent="0.2">
      <c r="A2123">
        <v>2123</v>
      </c>
      <c r="B2123" t="s">
        <v>765</v>
      </c>
      <c r="C2123" t="s">
        <v>5735</v>
      </c>
      <c r="D2123" t="s">
        <v>5736</v>
      </c>
      <c r="E2123" t="s">
        <v>1970</v>
      </c>
    </row>
    <row r="2124" spans="1:5" x14ac:dyDescent="0.2">
      <c r="A2124">
        <v>2124</v>
      </c>
      <c r="B2124" t="s">
        <v>770</v>
      </c>
      <c r="C2124" t="s">
        <v>5737</v>
      </c>
      <c r="D2124" t="s">
        <v>5738</v>
      </c>
      <c r="E2124" t="s">
        <v>3158</v>
      </c>
    </row>
    <row r="2125" spans="1:5" x14ac:dyDescent="0.2">
      <c r="A2125">
        <v>2125</v>
      </c>
      <c r="B2125" t="s">
        <v>770</v>
      </c>
      <c r="C2125" t="s">
        <v>5737</v>
      </c>
      <c r="D2125" t="s">
        <v>5739</v>
      </c>
      <c r="E2125" t="s">
        <v>3158</v>
      </c>
    </row>
    <row r="2126" spans="1:5" x14ac:dyDescent="0.2">
      <c r="A2126">
        <v>2126</v>
      </c>
      <c r="B2126" t="s">
        <v>770</v>
      </c>
      <c r="C2126" t="s">
        <v>5740</v>
      </c>
      <c r="D2126" t="s">
        <v>5741</v>
      </c>
      <c r="E2126" t="s">
        <v>3158</v>
      </c>
    </row>
    <row r="2127" spans="1:5" x14ac:dyDescent="0.2">
      <c r="A2127">
        <v>2127</v>
      </c>
      <c r="B2127" t="s">
        <v>770</v>
      </c>
      <c r="C2127" t="s">
        <v>5742</v>
      </c>
      <c r="D2127" t="s">
        <v>5743</v>
      </c>
      <c r="E2127" t="s">
        <v>3158</v>
      </c>
    </row>
    <row r="2128" spans="1:5" x14ac:dyDescent="0.2">
      <c r="A2128">
        <v>2128</v>
      </c>
      <c r="B2128" t="s">
        <v>770</v>
      </c>
      <c r="C2128" t="s">
        <v>5744</v>
      </c>
      <c r="D2128" t="s">
        <v>5745</v>
      </c>
      <c r="E2128" t="s">
        <v>3158</v>
      </c>
    </row>
    <row r="2129" spans="1:5" x14ac:dyDescent="0.2">
      <c r="A2129">
        <v>2129</v>
      </c>
      <c r="B2129" t="s">
        <v>770</v>
      </c>
      <c r="C2129" t="s">
        <v>5746</v>
      </c>
      <c r="D2129" t="s">
        <v>5747</v>
      </c>
      <c r="E2129" t="s">
        <v>3158</v>
      </c>
    </row>
    <row r="2130" spans="1:5" x14ac:dyDescent="0.2">
      <c r="A2130">
        <v>2130</v>
      </c>
      <c r="B2130" t="s">
        <v>770</v>
      </c>
      <c r="C2130" t="s">
        <v>5748</v>
      </c>
      <c r="D2130" t="s">
        <v>5749</v>
      </c>
      <c r="E2130" t="s">
        <v>3158</v>
      </c>
    </row>
    <row r="2131" spans="1:5" x14ac:dyDescent="0.2">
      <c r="A2131">
        <v>2131</v>
      </c>
      <c r="B2131" t="s">
        <v>770</v>
      </c>
      <c r="C2131" t="s">
        <v>5750</v>
      </c>
      <c r="D2131" t="s">
        <v>5751</v>
      </c>
      <c r="E2131" t="s">
        <v>3158</v>
      </c>
    </row>
    <row r="2132" spans="1:5" x14ac:dyDescent="0.2">
      <c r="A2132">
        <v>2132</v>
      </c>
      <c r="B2132" t="s">
        <v>770</v>
      </c>
      <c r="C2132" t="s">
        <v>5752</v>
      </c>
      <c r="D2132" t="s">
        <v>5753</v>
      </c>
      <c r="E2132" t="s">
        <v>3158</v>
      </c>
    </row>
    <row r="2133" spans="1:5" x14ac:dyDescent="0.2">
      <c r="A2133">
        <v>2133</v>
      </c>
      <c r="B2133" t="s">
        <v>770</v>
      </c>
      <c r="C2133" t="s">
        <v>5754</v>
      </c>
      <c r="D2133" t="s">
        <v>5755</v>
      </c>
      <c r="E2133" t="s">
        <v>3158</v>
      </c>
    </row>
    <row r="2134" spans="1:5" x14ac:dyDescent="0.2">
      <c r="A2134">
        <v>2134</v>
      </c>
      <c r="B2134" t="s">
        <v>770</v>
      </c>
      <c r="C2134" t="s">
        <v>5754</v>
      </c>
      <c r="D2134" t="s">
        <v>5756</v>
      </c>
      <c r="E2134" t="s">
        <v>3158</v>
      </c>
    </row>
    <row r="2135" spans="1:5" x14ac:dyDescent="0.2">
      <c r="A2135">
        <v>2135</v>
      </c>
      <c r="B2135" t="s">
        <v>770</v>
      </c>
      <c r="C2135" t="s">
        <v>5757</v>
      </c>
      <c r="D2135" t="s">
        <v>5758</v>
      </c>
      <c r="E2135" t="s">
        <v>3158</v>
      </c>
    </row>
    <row r="2136" spans="1:5" x14ac:dyDescent="0.2">
      <c r="A2136">
        <v>2136</v>
      </c>
      <c r="B2136" t="s">
        <v>770</v>
      </c>
      <c r="C2136" t="s">
        <v>5759</v>
      </c>
      <c r="D2136" t="s">
        <v>5760</v>
      </c>
      <c r="E2136" t="s">
        <v>3158</v>
      </c>
    </row>
    <row r="2137" spans="1:5" x14ac:dyDescent="0.2">
      <c r="A2137">
        <v>2137</v>
      </c>
      <c r="B2137" t="s">
        <v>770</v>
      </c>
      <c r="C2137" t="s">
        <v>5759</v>
      </c>
      <c r="D2137" t="s">
        <v>5761</v>
      </c>
      <c r="E2137" t="s">
        <v>3158</v>
      </c>
    </row>
    <row r="2138" spans="1:5" x14ac:dyDescent="0.2">
      <c r="A2138">
        <v>2138</v>
      </c>
      <c r="B2138" t="s">
        <v>770</v>
      </c>
      <c r="C2138" t="s">
        <v>5762</v>
      </c>
      <c r="D2138" t="s">
        <v>5763</v>
      </c>
      <c r="E2138" t="s">
        <v>3158</v>
      </c>
    </row>
    <row r="2139" spans="1:5" x14ac:dyDescent="0.2">
      <c r="A2139">
        <v>2139</v>
      </c>
      <c r="B2139" t="s">
        <v>770</v>
      </c>
      <c r="C2139" t="s">
        <v>5762</v>
      </c>
      <c r="D2139" t="s">
        <v>5764</v>
      </c>
      <c r="E2139" t="s">
        <v>3158</v>
      </c>
    </row>
    <row r="2140" spans="1:5" x14ac:dyDescent="0.2">
      <c r="A2140">
        <v>2140</v>
      </c>
      <c r="B2140" t="s">
        <v>770</v>
      </c>
      <c r="C2140" t="s">
        <v>5748</v>
      </c>
      <c r="D2140" t="s">
        <v>5765</v>
      </c>
      <c r="E2140" t="s">
        <v>3158</v>
      </c>
    </row>
    <row r="2141" spans="1:5" x14ac:dyDescent="0.2">
      <c r="A2141">
        <v>2141</v>
      </c>
      <c r="B2141" t="s">
        <v>770</v>
      </c>
      <c r="C2141" t="s">
        <v>5750</v>
      </c>
      <c r="D2141" t="s">
        <v>5766</v>
      </c>
      <c r="E2141" t="s">
        <v>3158</v>
      </c>
    </row>
    <row r="2142" spans="1:5" x14ac:dyDescent="0.2">
      <c r="A2142">
        <v>2142</v>
      </c>
      <c r="B2142" t="s">
        <v>770</v>
      </c>
      <c r="C2142" t="s">
        <v>5752</v>
      </c>
      <c r="D2142" t="s">
        <v>5767</v>
      </c>
      <c r="E2142" t="s">
        <v>3158</v>
      </c>
    </row>
    <row r="2143" spans="1:5" x14ac:dyDescent="0.2">
      <c r="A2143">
        <v>2143</v>
      </c>
      <c r="B2143" t="s">
        <v>770</v>
      </c>
      <c r="C2143" t="s">
        <v>5768</v>
      </c>
      <c r="D2143" t="s">
        <v>5769</v>
      </c>
      <c r="E2143" t="s">
        <v>3158</v>
      </c>
    </row>
    <row r="2144" spans="1:5" x14ac:dyDescent="0.2">
      <c r="A2144">
        <v>2144</v>
      </c>
      <c r="B2144" t="s">
        <v>770</v>
      </c>
      <c r="C2144" t="s">
        <v>5768</v>
      </c>
      <c r="D2144" t="s">
        <v>5770</v>
      </c>
      <c r="E2144" t="s">
        <v>3158</v>
      </c>
    </row>
    <row r="2145" spans="1:5" x14ac:dyDescent="0.2">
      <c r="A2145">
        <v>2145</v>
      </c>
      <c r="B2145" t="s">
        <v>770</v>
      </c>
      <c r="C2145" t="s">
        <v>5771</v>
      </c>
      <c r="D2145" t="s">
        <v>5772</v>
      </c>
      <c r="E2145" t="s">
        <v>3158</v>
      </c>
    </row>
    <row r="2146" spans="1:5" x14ac:dyDescent="0.2">
      <c r="A2146">
        <v>2146</v>
      </c>
      <c r="B2146" t="s">
        <v>770</v>
      </c>
      <c r="C2146" t="s">
        <v>5773</v>
      </c>
      <c r="D2146" t="s">
        <v>5774</v>
      </c>
      <c r="E2146" t="s">
        <v>3158</v>
      </c>
    </row>
    <row r="2147" spans="1:5" x14ac:dyDescent="0.2">
      <c r="A2147">
        <v>2147</v>
      </c>
      <c r="B2147" t="s">
        <v>770</v>
      </c>
      <c r="C2147" t="s">
        <v>5773</v>
      </c>
      <c r="D2147" t="s">
        <v>5775</v>
      </c>
      <c r="E2147" t="s">
        <v>3158</v>
      </c>
    </row>
    <row r="2148" spans="1:5" x14ac:dyDescent="0.2">
      <c r="A2148">
        <v>2148</v>
      </c>
      <c r="B2148" t="s">
        <v>770</v>
      </c>
      <c r="C2148" t="s">
        <v>5776</v>
      </c>
      <c r="D2148" t="s">
        <v>5777</v>
      </c>
      <c r="E2148" t="s">
        <v>3158</v>
      </c>
    </row>
    <row r="2149" spans="1:5" x14ac:dyDescent="0.2">
      <c r="A2149">
        <v>2149</v>
      </c>
      <c r="B2149" t="s">
        <v>770</v>
      </c>
      <c r="C2149" t="s">
        <v>5778</v>
      </c>
      <c r="D2149" t="s">
        <v>5779</v>
      </c>
      <c r="E2149" t="s">
        <v>3158</v>
      </c>
    </row>
    <row r="2150" spans="1:5" x14ac:dyDescent="0.2">
      <c r="A2150">
        <v>2150</v>
      </c>
      <c r="B2150" t="s">
        <v>770</v>
      </c>
      <c r="C2150" t="s">
        <v>5780</v>
      </c>
      <c r="D2150" t="s">
        <v>5781</v>
      </c>
      <c r="E2150" t="s">
        <v>3158</v>
      </c>
    </row>
    <row r="2151" spans="1:5" x14ac:dyDescent="0.2">
      <c r="A2151">
        <v>2151</v>
      </c>
      <c r="B2151" t="s">
        <v>770</v>
      </c>
      <c r="C2151" t="s">
        <v>5780</v>
      </c>
      <c r="D2151" t="s">
        <v>5782</v>
      </c>
      <c r="E2151" t="s">
        <v>3158</v>
      </c>
    </row>
    <row r="2152" spans="1:5" x14ac:dyDescent="0.2">
      <c r="A2152">
        <v>2152</v>
      </c>
      <c r="B2152" t="s">
        <v>770</v>
      </c>
      <c r="C2152" t="s">
        <v>5783</v>
      </c>
      <c r="D2152" t="s">
        <v>5784</v>
      </c>
      <c r="E2152" t="s">
        <v>3158</v>
      </c>
    </row>
    <row r="2153" spans="1:5" x14ac:dyDescent="0.2">
      <c r="A2153">
        <v>2153</v>
      </c>
      <c r="B2153" t="s">
        <v>770</v>
      </c>
      <c r="C2153" t="s">
        <v>5785</v>
      </c>
      <c r="D2153" t="s">
        <v>5786</v>
      </c>
      <c r="E2153" t="s">
        <v>3158</v>
      </c>
    </row>
    <row r="2154" spans="1:5" x14ac:dyDescent="0.2">
      <c r="A2154">
        <v>2154</v>
      </c>
      <c r="B2154" t="s">
        <v>770</v>
      </c>
      <c r="C2154" t="s">
        <v>5787</v>
      </c>
      <c r="D2154" t="s">
        <v>5788</v>
      </c>
      <c r="E2154" t="s">
        <v>3158</v>
      </c>
    </row>
    <row r="2155" spans="1:5" x14ac:dyDescent="0.2">
      <c r="A2155">
        <v>2155</v>
      </c>
      <c r="B2155" t="s">
        <v>770</v>
      </c>
      <c r="C2155" t="s">
        <v>5789</v>
      </c>
      <c r="D2155" t="s">
        <v>5790</v>
      </c>
      <c r="E2155" t="s">
        <v>3158</v>
      </c>
    </row>
    <row r="2156" spans="1:5" x14ac:dyDescent="0.2">
      <c r="A2156">
        <v>2156</v>
      </c>
      <c r="B2156" t="s">
        <v>770</v>
      </c>
      <c r="C2156" t="s">
        <v>5789</v>
      </c>
      <c r="D2156" t="s">
        <v>5791</v>
      </c>
      <c r="E2156" t="s">
        <v>3158</v>
      </c>
    </row>
    <row r="2157" spans="1:5" x14ac:dyDescent="0.2">
      <c r="A2157">
        <v>2157</v>
      </c>
      <c r="B2157" t="s">
        <v>770</v>
      </c>
      <c r="C2157" t="s">
        <v>5785</v>
      </c>
      <c r="D2157" t="s">
        <v>5792</v>
      </c>
      <c r="E2157" t="s">
        <v>3158</v>
      </c>
    </row>
    <row r="2158" spans="1:5" x14ac:dyDescent="0.2">
      <c r="A2158">
        <v>2158</v>
      </c>
      <c r="B2158" t="s">
        <v>770</v>
      </c>
      <c r="C2158" t="s">
        <v>5793</v>
      </c>
      <c r="D2158" t="s">
        <v>5794</v>
      </c>
      <c r="E2158" t="s">
        <v>3158</v>
      </c>
    </row>
    <row r="2159" spans="1:5" x14ac:dyDescent="0.2">
      <c r="A2159">
        <v>2159</v>
      </c>
      <c r="B2159" t="s">
        <v>770</v>
      </c>
      <c r="C2159" t="s">
        <v>5795</v>
      </c>
      <c r="D2159" t="s">
        <v>5796</v>
      </c>
      <c r="E2159" t="s">
        <v>3158</v>
      </c>
    </row>
    <row r="2160" spans="1:5" x14ac:dyDescent="0.2">
      <c r="A2160">
        <v>2160</v>
      </c>
      <c r="B2160" t="s">
        <v>770</v>
      </c>
      <c r="C2160" t="s">
        <v>5797</v>
      </c>
      <c r="D2160" t="s">
        <v>5798</v>
      </c>
      <c r="E2160" t="s">
        <v>3158</v>
      </c>
    </row>
    <row r="2161" spans="1:5" x14ac:dyDescent="0.2">
      <c r="A2161">
        <v>2161</v>
      </c>
      <c r="B2161" t="s">
        <v>770</v>
      </c>
      <c r="C2161" t="s">
        <v>5799</v>
      </c>
      <c r="D2161" t="s">
        <v>5800</v>
      </c>
      <c r="E2161" t="s">
        <v>3158</v>
      </c>
    </row>
    <row r="2162" spans="1:5" x14ac:dyDescent="0.2">
      <c r="A2162">
        <v>2162</v>
      </c>
      <c r="B2162" t="s">
        <v>770</v>
      </c>
      <c r="C2162" t="s">
        <v>5801</v>
      </c>
      <c r="D2162" t="s">
        <v>5802</v>
      </c>
      <c r="E2162" t="s">
        <v>3158</v>
      </c>
    </row>
    <row r="2163" spans="1:5" x14ac:dyDescent="0.2">
      <c r="A2163">
        <v>2163</v>
      </c>
      <c r="B2163" t="s">
        <v>770</v>
      </c>
      <c r="C2163" t="s">
        <v>5803</v>
      </c>
      <c r="D2163" t="s">
        <v>5804</v>
      </c>
      <c r="E2163" t="s">
        <v>3158</v>
      </c>
    </row>
    <row r="2164" spans="1:5" x14ac:dyDescent="0.2">
      <c r="A2164">
        <v>2164</v>
      </c>
      <c r="B2164" t="s">
        <v>770</v>
      </c>
      <c r="C2164" t="s">
        <v>5805</v>
      </c>
      <c r="D2164" t="s">
        <v>5806</v>
      </c>
      <c r="E2164" t="s">
        <v>3158</v>
      </c>
    </row>
    <row r="2165" spans="1:5" x14ac:dyDescent="0.2">
      <c r="A2165">
        <v>2165</v>
      </c>
      <c r="B2165" t="s">
        <v>770</v>
      </c>
      <c r="C2165" t="s">
        <v>5807</v>
      </c>
      <c r="D2165" t="s">
        <v>5808</v>
      </c>
      <c r="E2165" t="s">
        <v>3158</v>
      </c>
    </row>
    <row r="2166" spans="1:5" x14ac:dyDescent="0.2">
      <c r="A2166">
        <v>2166</v>
      </c>
      <c r="B2166" t="s">
        <v>770</v>
      </c>
      <c r="C2166" t="s">
        <v>5809</v>
      </c>
      <c r="D2166" t="s">
        <v>5810</v>
      </c>
      <c r="E2166" t="s">
        <v>3158</v>
      </c>
    </row>
    <row r="2167" spans="1:5" x14ac:dyDescent="0.2">
      <c r="A2167">
        <v>2167</v>
      </c>
      <c r="B2167" t="s">
        <v>770</v>
      </c>
      <c r="C2167" t="s">
        <v>5811</v>
      </c>
      <c r="D2167" t="s">
        <v>5812</v>
      </c>
      <c r="E2167" t="s">
        <v>3158</v>
      </c>
    </row>
    <row r="2168" spans="1:5" x14ac:dyDescent="0.2">
      <c r="A2168">
        <v>2168</v>
      </c>
      <c r="B2168" t="s">
        <v>770</v>
      </c>
      <c r="C2168" t="s">
        <v>5813</v>
      </c>
      <c r="D2168" t="s">
        <v>5814</v>
      </c>
      <c r="E2168" t="s">
        <v>3158</v>
      </c>
    </row>
    <row r="2169" spans="1:5" x14ac:dyDescent="0.2">
      <c r="A2169">
        <v>2169</v>
      </c>
      <c r="B2169" t="s">
        <v>770</v>
      </c>
      <c r="C2169" t="s">
        <v>5815</v>
      </c>
      <c r="D2169" t="s">
        <v>5816</v>
      </c>
      <c r="E2169" t="s">
        <v>3158</v>
      </c>
    </row>
    <row r="2170" spans="1:5" x14ac:dyDescent="0.2">
      <c r="A2170">
        <v>2170</v>
      </c>
      <c r="B2170" t="s">
        <v>770</v>
      </c>
      <c r="C2170" t="s">
        <v>5817</v>
      </c>
      <c r="D2170" t="s">
        <v>5818</v>
      </c>
      <c r="E2170" t="s">
        <v>3158</v>
      </c>
    </row>
    <row r="2171" spans="1:5" x14ac:dyDescent="0.2">
      <c r="A2171">
        <v>2171</v>
      </c>
      <c r="B2171" t="s">
        <v>770</v>
      </c>
      <c r="C2171" t="s">
        <v>5819</v>
      </c>
      <c r="D2171" t="s">
        <v>5820</v>
      </c>
      <c r="E2171" t="s">
        <v>3158</v>
      </c>
    </row>
    <row r="2172" spans="1:5" x14ac:dyDescent="0.2">
      <c r="A2172">
        <v>2172</v>
      </c>
      <c r="B2172" t="s">
        <v>770</v>
      </c>
      <c r="C2172" t="s">
        <v>5821</v>
      </c>
      <c r="D2172" t="s">
        <v>5822</v>
      </c>
      <c r="E2172" t="s">
        <v>3158</v>
      </c>
    </row>
    <row r="2173" spans="1:5" x14ac:dyDescent="0.2">
      <c r="A2173">
        <v>2173</v>
      </c>
      <c r="B2173" t="s">
        <v>770</v>
      </c>
      <c r="C2173" t="s">
        <v>5823</v>
      </c>
      <c r="D2173" t="s">
        <v>5824</v>
      </c>
      <c r="E2173" t="s">
        <v>3158</v>
      </c>
    </row>
    <row r="2174" spans="1:5" x14ac:dyDescent="0.2">
      <c r="A2174">
        <v>2174</v>
      </c>
      <c r="B2174" t="s">
        <v>770</v>
      </c>
      <c r="C2174" t="s">
        <v>5819</v>
      </c>
      <c r="D2174" t="s">
        <v>5825</v>
      </c>
      <c r="E2174" t="s">
        <v>3158</v>
      </c>
    </row>
    <row r="2175" spans="1:5" x14ac:dyDescent="0.2">
      <c r="A2175">
        <v>2175</v>
      </c>
      <c r="B2175" t="s">
        <v>770</v>
      </c>
      <c r="C2175" t="s">
        <v>5821</v>
      </c>
      <c r="D2175" t="s">
        <v>5826</v>
      </c>
      <c r="E2175" t="s">
        <v>3158</v>
      </c>
    </row>
    <row r="2176" spans="1:5" x14ac:dyDescent="0.2">
      <c r="A2176">
        <v>2176</v>
      </c>
      <c r="B2176" t="s">
        <v>770</v>
      </c>
      <c r="C2176" t="s">
        <v>5823</v>
      </c>
      <c r="D2176" t="s">
        <v>5827</v>
      </c>
      <c r="E2176" t="s">
        <v>3158</v>
      </c>
    </row>
    <row r="2177" spans="1:5" x14ac:dyDescent="0.2">
      <c r="A2177">
        <v>2177</v>
      </c>
      <c r="B2177" t="s">
        <v>770</v>
      </c>
      <c r="C2177" t="s">
        <v>5744</v>
      </c>
      <c r="D2177" t="s">
        <v>5828</v>
      </c>
      <c r="E2177" t="s">
        <v>3158</v>
      </c>
    </row>
    <row r="2178" spans="1:5" x14ac:dyDescent="0.2">
      <c r="A2178">
        <v>2178</v>
      </c>
      <c r="B2178" t="s">
        <v>770</v>
      </c>
      <c r="C2178" t="s">
        <v>5829</v>
      </c>
      <c r="D2178" t="s">
        <v>5830</v>
      </c>
      <c r="E2178" t="s">
        <v>3158</v>
      </c>
    </row>
    <row r="2179" spans="1:5" x14ac:dyDescent="0.2">
      <c r="A2179">
        <v>2179</v>
      </c>
      <c r="B2179" t="s">
        <v>770</v>
      </c>
      <c r="C2179" t="s">
        <v>5831</v>
      </c>
      <c r="D2179" t="s">
        <v>5832</v>
      </c>
      <c r="E2179" t="s">
        <v>3158</v>
      </c>
    </row>
    <row r="2180" spans="1:5" x14ac:dyDescent="0.2">
      <c r="A2180">
        <v>2180</v>
      </c>
      <c r="B2180" t="s">
        <v>770</v>
      </c>
      <c r="C2180" t="s">
        <v>5831</v>
      </c>
      <c r="D2180" t="s">
        <v>5833</v>
      </c>
      <c r="E2180" t="s">
        <v>3158</v>
      </c>
    </row>
    <row r="2181" spans="1:5" x14ac:dyDescent="0.2">
      <c r="A2181">
        <v>2181</v>
      </c>
      <c r="B2181" t="s">
        <v>770</v>
      </c>
      <c r="C2181" t="s">
        <v>5834</v>
      </c>
      <c r="D2181" t="s">
        <v>5835</v>
      </c>
      <c r="E2181" t="s">
        <v>3158</v>
      </c>
    </row>
    <row r="2182" spans="1:5" x14ac:dyDescent="0.2">
      <c r="A2182">
        <v>2182</v>
      </c>
      <c r="B2182" t="s">
        <v>770</v>
      </c>
      <c r="C2182" t="s">
        <v>5829</v>
      </c>
      <c r="D2182" t="s">
        <v>5836</v>
      </c>
      <c r="E2182" t="s">
        <v>3158</v>
      </c>
    </row>
    <row r="2183" spans="1:5" x14ac:dyDescent="0.2">
      <c r="A2183">
        <v>2183</v>
      </c>
      <c r="B2183" t="s">
        <v>770</v>
      </c>
      <c r="C2183" t="s">
        <v>5837</v>
      </c>
      <c r="D2183" t="s">
        <v>5838</v>
      </c>
      <c r="E2183" t="s">
        <v>3158</v>
      </c>
    </row>
    <row r="2184" spans="1:5" x14ac:dyDescent="0.2">
      <c r="A2184">
        <v>2184</v>
      </c>
      <c r="B2184" t="s">
        <v>770</v>
      </c>
      <c r="C2184" t="s">
        <v>5839</v>
      </c>
      <c r="D2184" t="s">
        <v>5840</v>
      </c>
      <c r="E2184" t="s">
        <v>3158</v>
      </c>
    </row>
    <row r="2185" spans="1:5" x14ac:dyDescent="0.2">
      <c r="A2185">
        <v>2185</v>
      </c>
      <c r="B2185" t="s">
        <v>770</v>
      </c>
      <c r="C2185" t="s">
        <v>5834</v>
      </c>
      <c r="D2185" t="s">
        <v>5841</v>
      </c>
      <c r="E2185" t="s">
        <v>3158</v>
      </c>
    </row>
    <row r="2186" spans="1:5" x14ac:dyDescent="0.2">
      <c r="A2186">
        <v>2186</v>
      </c>
      <c r="B2186" t="s">
        <v>770</v>
      </c>
      <c r="C2186" t="s">
        <v>5842</v>
      </c>
      <c r="D2186" t="s">
        <v>5843</v>
      </c>
      <c r="E2186" t="s">
        <v>3158</v>
      </c>
    </row>
    <row r="2187" spans="1:5" x14ac:dyDescent="0.2">
      <c r="A2187">
        <v>2187</v>
      </c>
      <c r="B2187" t="s">
        <v>770</v>
      </c>
      <c r="C2187" t="s">
        <v>5844</v>
      </c>
      <c r="D2187" t="s">
        <v>5845</v>
      </c>
      <c r="E2187" t="s">
        <v>3158</v>
      </c>
    </row>
    <row r="2188" spans="1:5" x14ac:dyDescent="0.2">
      <c r="A2188">
        <v>2188</v>
      </c>
      <c r="B2188" t="s">
        <v>770</v>
      </c>
      <c r="C2188" t="s">
        <v>5846</v>
      </c>
      <c r="D2188" t="s">
        <v>5847</v>
      </c>
      <c r="E2188" t="s">
        <v>3158</v>
      </c>
    </row>
    <row r="2189" spans="1:5" x14ac:dyDescent="0.2">
      <c r="A2189">
        <v>2189</v>
      </c>
      <c r="B2189" t="s">
        <v>770</v>
      </c>
      <c r="C2189" t="s">
        <v>5846</v>
      </c>
      <c r="D2189" t="s">
        <v>5848</v>
      </c>
      <c r="E2189" t="s">
        <v>3158</v>
      </c>
    </row>
    <row r="2190" spans="1:5" x14ac:dyDescent="0.2">
      <c r="A2190">
        <v>2190</v>
      </c>
      <c r="B2190" t="s">
        <v>770</v>
      </c>
      <c r="C2190" t="s">
        <v>5849</v>
      </c>
      <c r="D2190" t="s">
        <v>5850</v>
      </c>
      <c r="E2190" t="s">
        <v>3158</v>
      </c>
    </row>
    <row r="2191" spans="1:5" x14ac:dyDescent="0.2">
      <c r="A2191">
        <v>2191</v>
      </c>
      <c r="B2191" t="s">
        <v>770</v>
      </c>
      <c r="C2191" t="s">
        <v>5849</v>
      </c>
      <c r="D2191" t="s">
        <v>5851</v>
      </c>
      <c r="E2191" t="s">
        <v>3158</v>
      </c>
    </row>
    <row r="2192" spans="1:5" x14ac:dyDescent="0.2">
      <c r="A2192">
        <v>2192</v>
      </c>
      <c r="B2192" t="s">
        <v>770</v>
      </c>
      <c r="C2192" t="s">
        <v>5807</v>
      </c>
      <c r="D2192" t="s">
        <v>5852</v>
      </c>
      <c r="E2192" t="s">
        <v>3158</v>
      </c>
    </row>
    <row r="2193" spans="1:5" x14ac:dyDescent="0.2">
      <c r="A2193">
        <v>2193</v>
      </c>
      <c r="B2193" t="s">
        <v>770</v>
      </c>
      <c r="C2193" t="s">
        <v>5813</v>
      </c>
      <c r="D2193" t="s">
        <v>5853</v>
      </c>
      <c r="E2193" t="s">
        <v>3158</v>
      </c>
    </row>
    <row r="2194" spans="1:5" x14ac:dyDescent="0.2">
      <c r="A2194">
        <v>2194</v>
      </c>
      <c r="B2194" t="s">
        <v>781</v>
      </c>
      <c r="C2194" t="s">
        <v>5854</v>
      </c>
      <c r="D2194" t="s">
        <v>5855</v>
      </c>
      <c r="E2194" t="s">
        <v>2365</v>
      </c>
    </row>
    <row r="2195" spans="1:5" x14ac:dyDescent="0.2">
      <c r="A2195">
        <v>2195</v>
      </c>
      <c r="B2195" t="s">
        <v>781</v>
      </c>
      <c r="C2195" t="s">
        <v>5856</v>
      </c>
      <c r="D2195" t="s">
        <v>5857</v>
      </c>
      <c r="E2195" t="s">
        <v>2365</v>
      </c>
    </row>
    <row r="2196" spans="1:5" x14ac:dyDescent="0.2">
      <c r="A2196">
        <v>2196</v>
      </c>
      <c r="B2196" t="s">
        <v>781</v>
      </c>
      <c r="C2196" t="s">
        <v>5858</v>
      </c>
      <c r="D2196" t="s">
        <v>5859</v>
      </c>
      <c r="E2196" t="s">
        <v>2365</v>
      </c>
    </row>
    <row r="2197" spans="1:5" x14ac:dyDescent="0.2">
      <c r="A2197">
        <v>2197</v>
      </c>
      <c r="B2197" t="s">
        <v>781</v>
      </c>
      <c r="C2197" t="s">
        <v>5860</v>
      </c>
      <c r="D2197" t="s">
        <v>5861</v>
      </c>
      <c r="E2197" t="s">
        <v>2365</v>
      </c>
    </row>
    <row r="2198" spans="1:5" x14ac:dyDescent="0.2">
      <c r="A2198">
        <v>2198</v>
      </c>
      <c r="B2198" t="s">
        <v>781</v>
      </c>
      <c r="C2198" t="s">
        <v>5862</v>
      </c>
      <c r="D2198" t="s">
        <v>5863</v>
      </c>
      <c r="E2198" t="s">
        <v>2365</v>
      </c>
    </row>
    <row r="2199" spans="1:5" x14ac:dyDescent="0.2">
      <c r="A2199">
        <v>2199</v>
      </c>
      <c r="B2199" t="s">
        <v>781</v>
      </c>
      <c r="C2199" t="s">
        <v>5864</v>
      </c>
      <c r="D2199" t="s">
        <v>5865</v>
      </c>
      <c r="E2199" t="s">
        <v>2365</v>
      </c>
    </row>
    <row r="2200" spans="1:5" x14ac:dyDescent="0.2">
      <c r="A2200">
        <v>2200</v>
      </c>
      <c r="B2200" t="s">
        <v>781</v>
      </c>
      <c r="C2200" t="s">
        <v>5866</v>
      </c>
      <c r="D2200" t="s">
        <v>5867</v>
      </c>
      <c r="E2200" t="s">
        <v>2365</v>
      </c>
    </row>
    <row r="2201" spans="1:5" x14ac:dyDescent="0.2">
      <c r="A2201">
        <v>2201</v>
      </c>
      <c r="B2201" t="s">
        <v>781</v>
      </c>
      <c r="C2201" t="s">
        <v>5868</v>
      </c>
      <c r="D2201" t="s">
        <v>5869</v>
      </c>
      <c r="E2201" t="s">
        <v>2365</v>
      </c>
    </row>
    <row r="2202" spans="1:5" x14ac:dyDescent="0.2">
      <c r="A2202">
        <v>2202</v>
      </c>
      <c r="B2202" t="s">
        <v>781</v>
      </c>
      <c r="C2202" t="s">
        <v>5870</v>
      </c>
      <c r="D2202" t="s">
        <v>5871</v>
      </c>
      <c r="E2202" t="s">
        <v>2365</v>
      </c>
    </row>
    <row r="2203" spans="1:5" x14ac:dyDescent="0.2">
      <c r="A2203">
        <v>2203</v>
      </c>
      <c r="B2203" t="s">
        <v>781</v>
      </c>
      <c r="C2203" t="s">
        <v>5872</v>
      </c>
      <c r="D2203" t="s">
        <v>5873</v>
      </c>
      <c r="E2203" t="s">
        <v>2365</v>
      </c>
    </row>
    <row r="2204" spans="1:5" x14ac:dyDescent="0.2">
      <c r="A2204">
        <v>2204</v>
      </c>
      <c r="B2204" t="s">
        <v>781</v>
      </c>
      <c r="C2204" t="s">
        <v>5874</v>
      </c>
      <c r="D2204" t="s">
        <v>5875</v>
      </c>
      <c r="E2204" t="s">
        <v>2365</v>
      </c>
    </row>
    <row r="2205" spans="1:5" x14ac:dyDescent="0.2">
      <c r="A2205">
        <v>2205</v>
      </c>
      <c r="B2205" t="s">
        <v>781</v>
      </c>
      <c r="C2205" t="s">
        <v>5876</v>
      </c>
      <c r="D2205" t="s">
        <v>5877</v>
      </c>
      <c r="E2205" t="s">
        <v>2365</v>
      </c>
    </row>
    <row r="2206" spans="1:5" x14ac:dyDescent="0.2">
      <c r="A2206">
        <v>2206</v>
      </c>
      <c r="B2206" t="s">
        <v>786</v>
      </c>
      <c r="C2206" t="s">
        <v>5878</v>
      </c>
      <c r="D2206" t="s">
        <v>5879</v>
      </c>
      <c r="E2206" t="s">
        <v>2087</v>
      </c>
    </row>
    <row r="2207" spans="1:5" x14ac:dyDescent="0.2">
      <c r="A2207">
        <v>2207</v>
      </c>
      <c r="B2207" t="s">
        <v>786</v>
      </c>
      <c r="C2207" t="s">
        <v>5880</v>
      </c>
      <c r="D2207" t="s">
        <v>5881</v>
      </c>
      <c r="E2207" t="s">
        <v>2087</v>
      </c>
    </row>
    <row r="2208" spans="1:5" x14ac:dyDescent="0.2">
      <c r="A2208">
        <v>2208</v>
      </c>
      <c r="B2208" t="s">
        <v>786</v>
      </c>
      <c r="C2208" t="s">
        <v>5882</v>
      </c>
      <c r="D2208" t="s">
        <v>5883</v>
      </c>
      <c r="E2208" t="s">
        <v>2087</v>
      </c>
    </row>
    <row r="2209" spans="1:5" x14ac:dyDescent="0.2">
      <c r="A2209">
        <v>2209</v>
      </c>
      <c r="B2209" t="s">
        <v>786</v>
      </c>
      <c r="C2209" t="s">
        <v>5884</v>
      </c>
      <c r="D2209" t="s">
        <v>5885</v>
      </c>
      <c r="E2209" t="s">
        <v>2046</v>
      </c>
    </row>
    <row r="2210" spans="1:5" x14ac:dyDescent="0.2">
      <c r="A2210">
        <v>2210</v>
      </c>
      <c r="B2210" t="s">
        <v>786</v>
      </c>
      <c r="C2210" t="s">
        <v>5882</v>
      </c>
      <c r="D2210" t="s">
        <v>5886</v>
      </c>
      <c r="E2210" t="s">
        <v>2087</v>
      </c>
    </row>
    <row r="2211" spans="1:5" x14ac:dyDescent="0.2">
      <c r="A2211">
        <v>2211</v>
      </c>
      <c r="B2211" t="s">
        <v>786</v>
      </c>
      <c r="C2211" t="s">
        <v>5878</v>
      </c>
      <c r="D2211" t="s">
        <v>5887</v>
      </c>
      <c r="E2211" t="s">
        <v>2087</v>
      </c>
    </row>
    <row r="2212" spans="1:5" x14ac:dyDescent="0.2">
      <c r="A2212">
        <v>2212</v>
      </c>
      <c r="B2212" t="s">
        <v>786</v>
      </c>
      <c r="C2212" t="s">
        <v>5880</v>
      </c>
      <c r="D2212" t="s">
        <v>5888</v>
      </c>
      <c r="E2212" t="s">
        <v>2087</v>
      </c>
    </row>
    <row r="2213" spans="1:5" x14ac:dyDescent="0.2">
      <c r="A2213">
        <v>2213</v>
      </c>
      <c r="B2213" t="s">
        <v>786</v>
      </c>
      <c r="C2213" t="s">
        <v>5889</v>
      </c>
      <c r="D2213" t="s">
        <v>5890</v>
      </c>
      <c r="E2213" t="s">
        <v>2046</v>
      </c>
    </row>
    <row r="2214" spans="1:5" x14ac:dyDescent="0.2">
      <c r="A2214">
        <v>2214</v>
      </c>
      <c r="B2214" t="s">
        <v>786</v>
      </c>
      <c r="C2214" t="s">
        <v>5891</v>
      </c>
      <c r="D2214" t="s">
        <v>5892</v>
      </c>
      <c r="E2214" t="s">
        <v>2087</v>
      </c>
    </row>
    <row r="2215" spans="1:5" x14ac:dyDescent="0.2">
      <c r="A2215">
        <v>2215</v>
      </c>
      <c r="B2215" t="s">
        <v>786</v>
      </c>
      <c r="C2215" t="s">
        <v>5891</v>
      </c>
      <c r="D2215" t="s">
        <v>5893</v>
      </c>
      <c r="E2215" t="s">
        <v>2087</v>
      </c>
    </row>
    <row r="2216" spans="1:5" x14ac:dyDescent="0.2">
      <c r="A2216">
        <v>2216</v>
      </c>
      <c r="B2216" t="s">
        <v>786</v>
      </c>
      <c r="C2216" t="s">
        <v>5894</v>
      </c>
      <c r="D2216" t="s">
        <v>5895</v>
      </c>
      <c r="E2216" t="s">
        <v>2087</v>
      </c>
    </row>
    <row r="2217" spans="1:5" x14ac:dyDescent="0.2">
      <c r="A2217">
        <v>2217</v>
      </c>
      <c r="B2217" t="s">
        <v>786</v>
      </c>
      <c r="C2217" t="s">
        <v>5896</v>
      </c>
      <c r="D2217" t="s">
        <v>5897</v>
      </c>
      <c r="E2217" t="s">
        <v>2087</v>
      </c>
    </row>
    <row r="2218" spans="1:5" x14ac:dyDescent="0.2">
      <c r="A2218">
        <v>2218</v>
      </c>
      <c r="B2218" t="s">
        <v>786</v>
      </c>
      <c r="C2218" t="s">
        <v>5898</v>
      </c>
      <c r="D2218" t="s">
        <v>5899</v>
      </c>
      <c r="E2218" t="s">
        <v>2087</v>
      </c>
    </row>
    <row r="2219" spans="1:5" x14ac:dyDescent="0.2">
      <c r="A2219">
        <v>2219</v>
      </c>
      <c r="B2219" t="s">
        <v>786</v>
      </c>
      <c r="C2219" t="s">
        <v>5900</v>
      </c>
      <c r="D2219" t="s">
        <v>5901</v>
      </c>
      <c r="E2219" t="s">
        <v>2087</v>
      </c>
    </row>
    <row r="2220" spans="1:5" x14ac:dyDescent="0.2">
      <c r="A2220">
        <v>2220</v>
      </c>
      <c r="B2220" t="s">
        <v>786</v>
      </c>
      <c r="C2220" t="s">
        <v>5902</v>
      </c>
      <c r="D2220" t="s">
        <v>5903</v>
      </c>
      <c r="E2220" t="s">
        <v>2087</v>
      </c>
    </row>
    <row r="2221" spans="1:5" x14ac:dyDescent="0.2">
      <c r="A2221">
        <v>2221</v>
      </c>
      <c r="B2221" t="s">
        <v>786</v>
      </c>
      <c r="C2221" t="s">
        <v>5902</v>
      </c>
      <c r="D2221" t="s">
        <v>5904</v>
      </c>
      <c r="E2221" t="s">
        <v>2087</v>
      </c>
    </row>
    <row r="2222" spans="1:5" x14ac:dyDescent="0.2">
      <c r="A2222">
        <v>2222</v>
      </c>
      <c r="B2222" t="s">
        <v>786</v>
      </c>
      <c r="C2222" t="s">
        <v>5905</v>
      </c>
      <c r="D2222" t="s">
        <v>5906</v>
      </c>
      <c r="E2222" t="s">
        <v>2087</v>
      </c>
    </row>
    <row r="2223" spans="1:5" x14ac:dyDescent="0.2">
      <c r="A2223">
        <v>2223</v>
      </c>
      <c r="B2223" t="s">
        <v>786</v>
      </c>
      <c r="C2223" t="s">
        <v>5907</v>
      </c>
      <c r="D2223" t="s">
        <v>5908</v>
      </c>
      <c r="E2223" t="s">
        <v>2087</v>
      </c>
    </row>
    <row r="2224" spans="1:5" x14ac:dyDescent="0.2">
      <c r="A2224">
        <v>2224</v>
      </c>
      <c r="B2224" t="s">
        <v>786</v>
      </c>
      <c r="C2224" t="s">
        <v>5907</v>
      </c>
      <c r="D2224" t="s">
        <v>5909</v>
      </c>
      <c r="E2224" t="s">
        <v>2087</v>
      </c>
    </row>
    <row r="2225" spans="1:5" x14ac:dyDescent="0.2">
      <c r="A2225">
        <v>2225</v>
      </c>
      <c r="B2225" t="s">
        <v>786</v>
      </c>
      <c r="C2225" t="s">
        <v>5896</v>
      </c>
      <c r="D2225" t="s">
        <v>5910</v>
      </c>
      <c r="E2225" t="s">
        <v>2087</v>
      </c>
    </row>
    <row r="2226" spans="1:5" x14ac:dyDescent="0.2">
      <c r="A2226">
        <v>2226</v>
      </c>
      <c r="B2226" t="s">
        <v>786</v>
      </c>
      <c r="C2226" t="s">
        <v>5898</v>
      </c>
      <c r="D2226" t="s">
        <v>5911</v>
      </c>
      <c r="E2226" t="s">
        <v>2087</v>
      </c>
    </row>
    <row r="2227" spans="1:5" x14ac:dyDescent="0.2">
      <c r="A2227">
        <v>2227</v>
      </c>
      <c r="B2227" t="s">
        <v>786</v>
      </c>
      <c r="C2227" t="s">
        <v>5900</v>
      </c>
      <c r="D2227" t="s">
        <v>5912</v>
      </c>
      <c r="E2227" t="s">
        <v>2087</v>
      </c>
    </row>
    <row r="2228" spans="1:5" x14ac:dyDescent="0.2">
      <c r="A2228">
        <v>2228</v>
      </c>
      <c r="B2228" t="s">
        <v>786</v>
      </c>
      <c r="C2228" t="s">
        <v>5913</v>
      </c>
      <c r="D2228" t="s">
        <v>5914</v>
      </c>
      <c r="E2228" t="s">
        <v>2087</v>
      </c>
    </row>
    <row r="2229" spans="1:5" x14ac:dyDescent="0.2">
      <c r="A2229">
        <v>2229</v>
      </c>
      <c r="B2229" t="s">
        <v>786</v>
      </c>
      <c r="C2229" t="s">
        <v>5915</v>
      </c>
      <c r="D2229" t="s">
        <v>5916</v>
      </c>
      <c r="E2229" t="s">
        <v>2087</v>
      </c>
    </row>
    <row r="2230" spans="1:5" x14ac:dyDescent="0.2">
      <c r="A2230">
        <v>2230</v>
      </c>
      <c r="B2230" t="s">
        <v>786</v>
      </c>
      <c r="C2230" t="s">
        <v>5913</v>
      </c>
      <c r="D2230" t="s">
        <v>5917</v>
      </c>
      <c r="E2230" t="s">
        <v>2087</v>
      </c>
    </row>
    <row r="2231" spans="1:5" x14ac:dyDescent="0.2">
      <c r="A2231">
        <v>2231</v>
      </c>
      <c r="B2231" t="s">
        <v>786</v>
      </c>
      <c r="C2231" t="s">
        <v>5915</v>
      </c>
      <c r="D2231" t="s">
        <v>5918</v>
      </c>
      <c r="E2231" t="s">
        <v>2087</v>
      </c>
    </row>
    <row r="2232" spans="1:5" x14ac:dyDescent="0.2">
      <c r="A2232">
        <v>2232</v>
      </c>
      <c r="B2232" t="s">
        <v>786</v>
      </c>
      <c r="C2232" t="s">
        <v>5905</v>
      </c>
      <c r="D2232" t="s">
        <v>5919</v>
      </c>
      <c r="E2232" t="s">
        <v>2087</v>
      </c>
    </row>
    <row r="2233" spans="1:5" x14ac:dyDescent="0.2">
      <c r="A2233">
        <v>2233</v>
      </c>
      <c r="B2233" t="s">
        <v>786</v>
      </c>
      <c r="C2233" t="s">
        <v>5894</v>
      </c>
      <c r="D2233" t="s">
        <v>5920</v>
      </c>
      <c r="E2233" t="s">
        <v>2087</v>
      </c>
    </row>
    <row r="2234" spans="1:5" x14ac:dyDescent="0.2">
      <c r="A2234">
        <v>2234</v>
      </c>
      <c r="B2234" t="s">
        <v>786</v>
      </c>
      <c r="C2234" t="s">
        <v>5921</v>
      </c>
      <c r="D2234" t="s">
        <v>5922</v>
      </c>
      <c r="E2234" t="s">
        <v>2087</v>
      </c>
    </row>
    <row r="2235" spans="1:5" x14ac:dyDescent="0.2">
      <c r="A2235">
        <v>2235</v>
      </c>
      <c r="B2235" t="s">
        <v>786</v>
      </c>
      <c r="C2235" t="s">
        <v>5921</v>
      </c>
      <c r="D2235" t="s">
        <v>5923</v>
      </c>
      <c r="E2235" t="s">
        <v>2087</v>
      </c>
    </row>
    <row r="2236" spans="1:5" x14ac:dyDescent="0.2">
      <c r="A2236">
        <v>2236</v>
      </c>
      <c r="B2236" t="s">
        <v>788</v>
      </c>
      <c r="C2236" t="s">
        <v>5924</v>
      </c>
      <c r="D2236" t="s">
        <v>5925</v>
      </c>
      <c r="E2236" t="s">
        <v>1719</v>
      </c>
    </row>
    <row r="2237" spans="1:5" x14ac:dyDescent="0.2">
      <c r="A2237">
        <v>2237</v>
      </c>
      <c r="B2237" t="s">
        <v>788</v>
      </c>
      <c r="C2237" t="s">
        <v>5926</v>
      </c>
      <c r="D2237" t="s">
        <v>2720</v>
      </c>
      <c r="E2237" t="s">
        <v>1719</v>
      </c>
    </row>
    <row r="2238" spans="1:5" x14ac:dyDescent="0.2">
      <c r="A2238">
        <v>2238</v>
      </c>
      <c r="B2238" t="s">
        <v>788</v>
      </c>
      <c r="C2238" t="s">
        <v>5927</v>
      </c>
      <c r="D2238" t="s">
        <v>5928</v>
      </c>
      <c r="E2238" t="s">
        <v>1719</v>
      </c>
    </row>
    <row r="2239" spans="1:5" x14ac:dyDescent="0.2">
      <c r="A2239">
        <v>2239</v>
      </c>
      <c r="B2239" t="s">
        <v>788</v>
      </c>
      <c r="C2239" t="s">
        <v>5929</v>
      </c>
      <c r="D2239" t="s">
        <v>4191</v>
      </c>
      <c r="E2239" t="s">
        <v>1719</v>
      </c>
    </row>
    <row r="2240" spans="1:5" x14ac:dyDescent="0.2">
      <c r="A2240">
        <v>2240</v>
      </c>
      <c r="B2240" t="s">
        <v>788</v>
      </c>
      <c r="C2240" t="s">
        <v>5930</v>
      </c>
      <c r="D2240" t="s">
        <v>5931</v>
      </c>
      <c r="E2240" t="s">
        <v>1719</v>
      </c>
    </row>
    <row r="2241" spans="1:5" x14ac:dyDescent="0.2">
      <c r="A2241">
        <v>2241</v>
      </c>
      <c r="B2241" t="s">
        <v>788</v>
      </c>
      <c r="C2241" t="s">
        <v>5926</v>
      </c>
      <c r="D2241" t="s">
        <v>5932</v>
      </c>
      <c r="E2241" t="s">
        <v>1719</v>
      </c>
    </row>
    <row r="2242" spans="1:5" x14ac:dyDescent="0.2">
      <c r="A2242">
        <v>2242</v>
      </c>
      <c r="B2242" t="s">
        <v>788</v>
      </c>
      <c r="C2242" t="s">
        <v>5933</v>
      </c>
      <c r="D2242" t="s">
        <v>5934</v>
      </c>
      <c r="E2242" t="s">
        <v>1719</v>
      </c>
    </row>
    <row r="2243" spans="1:5" x14ac:dyDescent="0.2">
      <c r="A2243">
        <v>2243</v>
      </c>
      <c r="B2243" t="s">
        <v>788</v>
      </c>
      <c r="C2243" t="s">
        <v>5929</v>
      </c>
      <c r="D2243" t="s">
        <v>5935</v>
      </c>
      <c r="E2243" t="s">
        <v>1719</v>
      </c>
    </row>
    <row r="2244" spans="1:5" x14ac:dyDescent="0.2">
      <c r="A2244">
        <v>2244</v>
      </c>
      <c r="B2244" t="s">
        <v>788</v>
      </c>
      <c r="C2244" t="s">
        <v>5936</v>
      </c>
      <c r="D2244" t="s">
        <v>5937</v>
      </c>
      <c r="E2244" t="s">
        <v>1719</v>
      </c>
    </row>
    <row r="2245" spans="1:5" x14ac:dyDescent="0.2">
      <c r="A2245">
        <v>2245</v>
      </c>
      <c r="B2245" t="s">
        <v>788</v>
      </c>
      <c r="C2245" t="s">
        <v>5930</v>
      </c>
      <c r="D2245" t="s">
        <v>5938</v>
      </c>
      <c r="E2245" t="s">
        <v>1719</v>
      </c>
    </row>
    <row r="2246" spans="1:5" x14ac:dyDescent="0.2">
      <c r="A2246">
        <v>2246</v>
      </c>
      <c r="B2246" t="s">
        <v>788</v>
      </c>
      <c r="C2246" t="s">
        <v>5939</v>
      </c>
      <c r="D2246" t="s">
        <v>5940</v>
      </c>
      <c r="E2246" t="s">
        <v>1719</v>
      </c>
    </row>
    <row r="2247" spans="1:5" x14ac:dyDescent="0.2">
      <c r="A2247">
        <v>2247</v>
      </c>
      <c r="B2247" t="s">
        <v>788</v>
      </c>
      <c r="C2247" t="s">
        <v>5927</v>
      </c>
      <c r="D2247" t="s">
        <v>5941</v>
      </c>
      <c r="E2247" t="s">
        <v>1719</v>
      </c>
    </row>
    <row r="2248" spans="1:5" x14ac:dyDescent="0.2">
      <c r="A2248">
        <v>2248</v>
      </c>
      <c r="B2248" t="s">
        <v>788</v>
      </c>
      <c r="C2248" t="s">
        <v>5924</v>
      </c>
      <c r="D2248" t="s">
        <v>5942</v>
      </c>
      <c r="E2248" t="s">
        <v>1719</v>
      </c>
    </row>
    <row r="2249" spans="1:5" x14ac:dyDescent="0.2">
      <c r="A2249">
        <v>2249</v>
      </c>
      <c r="B2249" t="s">
        <v>788</v>
      </c>
      <c r="C2249" t="s">
        <v>5933</v>
      </c>
      <c r="D2249" t="s">
        <v>4197</v>
      </c>
      <c r="E2249" t="s">
        <v>1719</v>
      </c>
    </row>
    <row r="2250" spans="1:5" x14ac:dyDescent="0.2">
      <c r="A2250">
        <v>2250</v>
      </c>
      <c r="B2250" t="s">
        <v>793</v>
      </c>
      <c r="C2250" t="s">
        <v>5943</v>
      </c>
      <c r="D2250" t="s">
        <v>5944</v>
      </c>
      <c r="E2250" t="s">
        <v>5945</v>
      </c>
    </row>
    <row r="2251" spans="1:5" x14ac:dyDescent="0.2">
      <c r="A2251">
        <v>2251</v>
      </c>
      <c r="B2251" t="s">
        <v>793</v>
      </c>
      <c r="C2251" t="s">
        <v>5946</v>
      </c>
      <c r="D2251" t="s">
        <v>5947</v>
      </c>
      <c r="E2251" t="s">
        <v>5945</v>
      </c>
    </row>
    <row r="2252" spans="1:5" x14ac:dyDescent="0.2">
      <c r="A2252">
        <v>2252</v>
      </c>
      <c r="B2252" t="s">
        <v>793</v>
      </c>
      <c r="C2252" t="s">
        <v>5948</v>
      </c>
      <c r="D2252" t="s">
        <v>5949</v>
      </c>
      <c r="E2252" t="s">
        <v>5945</v>
      </c>
    </row>
    <row r="2253" spans="1:5" x14ac:dyDescent="0.2">
      <c r="A2253">
        <v>2253</v>
      </c>
      <c r="B2253" t="s">
        <v>1108</v>
      </c>
      <c r="C2253" t="s">
        <v>5950</v>
      </c>
      <c r="D2253" t="s">
        <v>5951</v>
      </c>
      <c r="E2253" t="s">
        <v>1719</v>
      </c>
    </row>
    <row r="2254" spans="1:5" x14ac:dyDescent="0.2">
      <c r="A2254">
        <v>2254</v>
      </c>
      <c r="B2254" t="s">
        <v>1108</v>
      </c>
      <c r="C2254" t="s">
        <v>5952</v>
      </c>
      <c r="D2254" t="s">
        <v>5953</v>
      </c>
      <c r="E2254" t="s">
        <v>1719</v>
      </c>
    </row>
    <row r="2255" spans="1:5" x14ac:dyDescent="0.2">
      <c r="A2255">
        <v>2255</v>
      </c>
      <c r="B2255" t="s">
        <v>1108</v>
      </c>
      <c r="C2255" t="s">
        <v>5954</v>
      </c>
      <c r="D2255" t="s">
        <v>5955</v>
      </c>
      <c r="E2255" t="s">
        <v>1719</v>
      </c>
    </row>
    <row r="2256" spans="1:5" x14ac:dyDescent="0.2">
      <c r="A2256">
        <v>2256</v>
      </c>
      <c r="B2256" t="s">
        <v>1108</v>
      </c>
      <c r="C2256" t="s">
        <v>5956</v>
      </c>
      <c r="D2256" t="s">
        <v>5957</v>
      </c>
      <c r="E2256" t="s">
        <v>1719</v>
      </c>
    </row>
    <row r="2257" spans="1:5" x14ac:dyDescent="0.2">
      <c r="A2257">
        <v>2257</v>
      </c>
      <c r="B2257" t="s">
        <v>1108</v>
      </c>
      <c r="C2257" t="s">
        <v>5958</v>
      </c>
      <c r="D2257" t="s">
        <v>5959</v>
      </c>
      <c r="E2257" t="s">
        <v>1719</v>
      </c>
    </row>
    <row r="2258" spans="1:5" x14ac:dyDescent="0.2">
      <c r="A2258">
        <v>2258</v>
      </c>
      <c r="B2258" t="s">
        <v>1108</v>
      </c>
      <c r="C2258" t="s">
        <v>5960</v>
      </c>
      <c r="D2258" t="s">
        <v>5961</v>
      </c>
      <c r="E2258" t="s">
        <v>1719</v>
      </c>
    </row>
    <row r="2259" spans="1:5" x14ac:dyDescent="0.2">
      <c r="A2259">
        <v>2259</v>
      </c>
      <c r="B2259" t="s">
        <v>1108</v>
      </c>
      <c r="C2259" t="s">
        <v>5962</v>
      </c>
      <c r="D2259" t="s">
        <v>5963</v>
      </c>
      <c r="E2259" t="s">
        <v>5964</v>
      </c>
    </row>
    <row r="2260" spans="1:5" x14ac:dyDescent="0.2">
      <c r="A2260">
        <v>2260</v>
      </c>
      <c r="B2260" t="s">
        <v>1108</v>
      </c>
      <c r="C2260" t="s">
        <v>5965</v>
      </c>
      <c r="D2260" t="s">
        <v>5966</v>
      </c>
      <c r="E2260" t="s">
        <v>1719</v>
      </c>
    </row>
    <row r="2261" spans="1:5" x14ac:dyDescent="0.2">
      <c r="A2261">
        <v>2261</v>
      </c>
      <c r="B2261" t="s">
        <v>1108</v>
      </c>
      <c r="C2261" t="s">
        <v>5967</v>
      </c>
      <c r="D2261" t="s">
        <v>5968</v>
      </c>
      <c r="E2261" t="s">
        <v>1719</v>
      </c>
    </row>
    <row r="2262" spans="1:5" x14ac:dyDescent="0.2">
      <c r="A2262">
        <v>2262</v>
      </c>
      <c r="B2262" t="s">
        <v>1108</v>
      </c>
      <c r="C2262" t="s">
        <v>5969</v>
      </c>
      <c r="D2262" t="s">
        <v>5970</v>
      </c>
      <c r="E2262" t="s">
        <v>4996</v>
      </c>
    </row>
    <row r="2263" spans="1:5" x14ac:dyDescent="0.2">
      <c r="A2263">
        <v>2263</v>
      </c>
      <c r="B2263" t="s">
        <v>1108</v>
      </c>
      <c r="C2263" t="s">
        <v>5971</v>
      </c>
      <c r="D2263" t="s">
        <v>5972</v>
      </c>
      <c r="E2263" t="s">
        <v>1719</v>
      </c>
    </row>
    <row r="2264" spans="1:5" x14ac:dyDescent="0.2">
      <c r="A2264">
        <v>2264</v>
      </c>
      <c r="B2264" t="s">
        <v>1109</v>
      </c>
      <c r="C2264" t="s">
        <v>5973</v>
      </c>
      <c r="D2264" t="s">
        <v>5974</v>
      </c>
      <c r="E2264" t="s">
        <v>5975</v>
      </c>
    </row>
    <row r="2265" spans="1:5" x14ac:dyDescent="0.2">
      <c r="A2265">
        <v>2265</v>
      </c>
      <c r="B2265" t="s">
        <v>1109</v>
      </c>
      <c r="C2265" t="s">
        <v>5976</v>
      </c>
      <c r="D2265" t="s">
        <v>5977</v>
      </c>
      <c r="E2265" t="s">
        <v>1719</v>
      </c>
    </row>
    <row r="2266" spans="1:5" x14ac:dyDescent="0.2">
      <c r="A2266">
        <v>2266</v>
      </c>
      <c r="B2266" t="s">
        <v>1109</v>
      </c>
      <c r="C2266" t="s">
        <v>5978</v>
      </c>
      <c r="D2266" t="s">
        <v>5979</v>
      </c>
      <c r="E2266" t="s">
        <v>1719</v>
      </c>
    </row>
    <row r="2267" spans="1:5" x14ac:dyDescent="0.2">
      <c r="A2267">
        <v>2267</v>
      </c>
      <c r="B2267" t="s">
        <v>1109</v>
      </c>
      <c r="C2267" t="s">
        <v>5980</v>
      </c>
      <c r="D2267" t="s">
        <v>5981</v>
      </c>
      <c r="E2267" t="s">
        <v>5975</v>
      </c>
    </row>
    <row r="2268" spans="1:5" x14ac:dyDescent="0.2">
      <c r="A2268">
        <v>2268</v>
      </c>
      <c r="B2268" t="s">
        <v>1109</v>
      </c>
      <c r="C2268" t="s">
        <v>5982</v>
      </c>
      <c r="D2268" t="s">
        <v>5983</v>
      </c>
      <c r="E2268" t="s">
        <v>5975</v>
      </c>
    </row>
    <row r="2269" spans="1:5" x14ac:dyDescent="0.2">
      <c r="A2269">
        <v>2269</v>
      </c>
      <c r="B2269" t="s">
        <v>1109</v>
      </c>
      <c r="C2269" t="s">
        <v>5984</v>
      </c>
      <c r="D2269" t="s">
        <v>5985</v>
      </c>
      <c r="E2269" t="s">
        <v>1719</v>
      </c>
    </row>
    <row r="2270" spans="1:5" x14ac:dyDescent="0.2">
      <c r="A2270">
        <v>2270</v>
      </c>
      <c r="B2270" t="s">
        <v>1109</v>
      </c>
      <c r="C2270" t="s">
        <v>5986</v>
      </c>
      <c r="D2270" t="s">
        <v>5987</v>
      </c>
      <c r="E2270" t="s">
        <v>5975</v>
      </c>
    </row>
    <row r="2271" spans="1:5" x14ac:dyDescent="0.2">
      <c r="A2271">
        <v>2271</v>
      </c>
      <c r="B2271" t="s">
        <v>1109</v>
      </c>
      <c r="C2271" t="s">
        <v>5988</v>
      </c>
      <c r="D2271" t="s">
        <v>5989</v>
      </c>
      <c r="E2271" t="s">
        <v>1719</v>
      </c>
    </row>
    <row r="2272" spans="1:5" x14ac:dyDescent="0.2">
      <c r="A2272">
        <v>2272</v>
      </c>
      <c r="B2272" t="s">
        <v>1109</v>
      </c>
      <c r="C2272" t="s">
        <v>5990</v>
      </c>
      <c r="D2272" t="s">
        <v>5991</v>
      </c>
      <c r="E2272" t="s">
        <v>1719</v>
      </c>
    </row>
    <row r="2273" spans="1:5" x14ac:dyDescent="0.2">
      <c r="A2273">
        <v>2273</v>
      </c>
      <c r="B2273" t="s">
        <v>1109</v>
      </c>
      <c r="C2273" t="s">
        <v>5992</v>
      </c>
      <c r="D2273" t="s">
        <v>5993</v>
      </c>
      <c r="E2273" t="s">
        <v>1719</v>
      </c>
    </row>
    <row r="2274" spans="1:5" x14ac:dyDescent="0.2">
      <c r="A2274">
        <v>2274</v>
      </c>
      <c r="B2274" t="s">
        <v>1109</v>
      </c>
      <c r="C2274" t="s">
        <v>5994</v>
      </c>
      <c r="D2274" t="s">
        <v>5995</v>
      </c>
      <c r="E2274" t="s">
        <v>5975</v>
      </c>
    </row>
    <row r="2275" spans="1:5" x14ac:dyDescent="0.2">
      <c r="A2275">
        <v>2275</v>
      </c>
      <c r="B2275" t="s">
        <v>1109</v>
      </c>
      <c r="C2275" t="s">
        <v>5996</v>
      </c>
      <c r="D2275" t="s">
        <v>5997</v>
      </c>
      <c r="E2275" t="s">
        <v>1719</v>
      </c>
    </row>
    <row r="2276" spans="1:5" x14ac:dyDescent="0.2">
      <c r="A2276">
        <v>2276</v>
      </c>
      <c r="B2276" t="s">
        <v>1109</v>
      </c>
      <c r="C2276" t="s">
        <v>5998</v>
      </c>
      <c r="D2276" t="s">
        <v>5999</v>
      </c>
      <c r="E2276" t="s">
        <v>1719</v>
      </c>
    </row>
    <row r="2277" spans="1:5" x14ac:dyDescent="0.2">
      <c r="A2277">
        <v>2277</v>
      </c>
      <c r="B2277" t="s">
        <v>1109</v>
      </c>
      <c r="C2277" t="s">
        <v>6000</v>
      </c>
      <c r="D2277" t="s">
        <v>6001</v>
      </c>
      <c r="E2277" t="s">
        <v>1719</v>
      </c>
    </row>
    <row r="2278" spans="1:5" x14ac:dyDescent="0.2">
      <c r="A2278">
        <v>2278</v>
      </c>
      <c r="B2278" t="s">
        <v>1109</v>
      </c>
      <c r="C2278" t="s">
        <v>6002</v>
      </c>
      <c r="D2278" t="s">
        <v>6003</v>
      </c>
      <c r="E2278" t="s">
        <v>6004</v>
      </c>
    </row>
    <row r="2279" spans="1:5" x14ac:dyDescent="0.2">
      <c r="A2279">
        <v>2279</v>
      </c>
      <c r="B2279" t="s">
        <v>1109</v>
      </c>
      <c r="C2279" t="s">
        <v>6005</v>
      </c>
      <c r="D2279" t="s">
        <v>6006</v>
      </c>
      <c r="E2279" t="s">
        <v>5975</v>
      </c>
    </row>
    <row r="2280" spans="1:5" x14ac:dyDescent="0.2">
      <c r="A2280">
        <v>2280</v>
      </c>
      <c r="B2280" t="s">
        <v>802</v>
      </c>
      <c r="C2280" t="s">
        <v>6007</v>
      </c>
      <c r="D2280" t="s">
        <v>6008</v>
      </c>
      <c r="E2280" t="s">
        <v>2365</v>
      </c>
    </row>
    <row r="2281" spans="1:5" x14ac:dyDescent="0.2">
      <c r="A2281">
        <v>2281</v>
      </c>
      <c r="B2281" t="s">
        <v>802</v>
      </c>
      <c r="C2281" t="s">
        <v>6009</v>
      </c>
      <c r="D2281" t="s">
        <v>6010</v>
      </c>
      <c r="E2281" t="s">
        <v>2365</v>
      </c>
    </row>
    <row r="2282" spans="1:5" x14ac:dyDescent="0.2">
      <c r="A2282">
        <v>2282</v>
      </c>
      <c r="B2282" t="s">
        <v>802</v>
      </c>
      <c r="C2282" t="s">
        <v>6011</v>
      </c>
      <c r="D2282" t="s">
        <v>6012</v>
      </c>
      <c r="E2282" t="s">
        <v>2365</v>
      </c>
    </row>
    <row r="2283" spans="1:5" x14ac:dyDescent="0.2">
      <c r="A2283">
        <v>2283</v>
      </c>
      <c r="B2283" t="s">
        <v>802</v>
      </c>
      <c r="C2283" t="s">
        <v>6013</v>
      </c>
      <c r="D2283" t="s">
        <v>6014</v>
      </c>
      <c r="E2283" t="s">
        <v>2365</v>
      </c>
    </row>
    <row r="2284" spans="1:5" x14ac:dyDescent="0.2">
      <c r="A2284">
        <v>2284</v>
      </c>
      <c r="B2284" t="s">
        <v>802</v>
      </c>
      <c r="C2284" t="s">
        <v>6015</v>
      </c>
      <c r="D2284" t="s">
        <v>6016</v>
      </c>
      <c r="E2284" t="s">
        <v>2365</v>
      </c>
    </row>
    <row r="2285" spans="1:5" x14ac:dyDescent="0.2">
      <c r="A2285">
        <v>2285</v>
      </c>
      <c r="B2285" t="s">
        <v>802</v>
      </c>
      <c r="C2285" t="s">
        <v>6017</v>
      </c>
      <c r="D2285" t="s">
        <v>6018</v>
      </c>
      <c r="E2285" t="s">
        <v>2365</v>
      </c>
    </row>
    <row r="2286" spans="1:5" x14ac:dyDescent="0.2">
      <c r="A2286">
        <v>2286</v>
      </c>
      <c r="B2286" t="s">
        <v>804</v>
      </c>
      <c r="C2286" t="s">
        <v>6019</v>
      </c>
      <c r="D2286" t="s">
        <v>6020</v>
      </c>
      <c r="E2286" t="s">
        <v>2087</v>
      </c>
    </row>
    <row r="2287" spans="1:5" x14ac:dyDescent="0.2">
      <c r="A2287">
        <v>2287</v>
      </c>
      <c r="B2287" t="s">
        <v>804</v>
      </c>
      <c r="C2287" t="s">
        <v>6019</v>
      </c>
      <c r="D2287" t="s">
        <v>6021</v>
      </c>
      <c r="E2287" t="s">
        <v>2087</v>
      </c>
    </row>
    <row r="2288" spans="1:5" x14ac:dyDescent="0.2">
      <c r="A2288">
        <v>2288</v>
      </c>
      <c r="B2288" t="s">
        <v>804</v>
      </c>
      <c r="C2288" t="s">
        <v>6022</v>
      </c>
      <c r="D2288" t="s">
        <v>6023</v>
      </c>
      <c r="E2288" t="s">
        <v>2046</v>
      </c>
    </row>
    <row r="2289" spans="1:5" x14ac:dyDescent="0.2">
      <c r="A2289">
        <v>2289</v>
      </c>
      <c r="B2289" t="s">
        <v>804</v>
      </c>
      <c r="C2289" t="s">
        <v>6024</v>
      </c>
      <c r="D2289" t="s">
        <v>6025</v>
      </c>
      <c r="E2289" t="s">
        <v>2087</v>
      </c>
    </row>
    <row r="2290" spans="1:5" x14ac:dyDescent="0.2">
      <c r="A2290">
        <v>2290</v>
      </c>
      <c r="B2290" t="s">
        <v>804</v>
      </c>
      <c r="C2290" t="s">
        <v>6024</v>
      </c>
      <c r="D2290" t="s">
        <v>6026</v>
      </c>
      <c r="E2290" t="s">
        <v>2087</v>
      </c>
    </row>
    <row r="2291" spans="1:5" x14ac:dyDescent="0.2">
      <c r="A2291">
        <v>2291</v>
      </c>
      <c r="B2291" t="s">
        <v>804</v>
      </c>
      <c r="C2291" t="s">
        <v>6027</v>
      </c>
      <c r="D2291" t="s">
        <v>6028</v>
      </c>
      <c r="E2291" t="s">
        <v>2087</v>
      </c>
    </row>
    <row r="2292" spans="1:5" x14ac:dyDescent="0.2">
      <c r="A2292">
        <v>2292</v>
      </c>
      <c r="B2292" t="s">
        <v>804</v>
      </c>
      <c r="C2292" t="s">
        <v>6022</v>
      </c>
      <c r="D2292" t="s">
        <v>6029</v>
      </c>
      <c r="E2292" t="s">
        <v>2046</v>
      </c>
    </row>
    <row r="2293" spans="1:5" x14ac:dyDescent="0.2">
      <c r="A2293">
        <v>2293</v>
      </c>
      <c r="B2293" t="s">
        <v>804</v>
      </c>
      <c r="C2293" t="s">
        <v>6030</v>
      </c>
      <c r="D2293" t="s">
        <v>6031</v>
      </c>
      <c r="E2293" t="s">
        <v>2087</v>
      </c>
    </row>
    <row r="2294" spans="1:5" x14ac:dyDescent="0.2">
      <c r="A2294">
        <v>2294</v>
      </c>
      <c r="B2294" t="s">
        <v>804</v>
      </c>
      <c r="C2294" t="s">
        <v>6027</v>
      </c>
      <c r="D2294" t="s">
        <v>6032</v>
      </c>
      <c r="E2294" t="s">
        <v>2087</v>
      </c>
    </row>
    <row r="2295" spans="1:5" x14ac:dyDescent="0.2">
      <c r="A2295">
        <v>2295</v>
      </c>
      <c r="B2295" t="s">
        <v>804</v>
      </c>
      <c r="C2295" t="s">
        <v>6033</v>
      </c>
      <c r="D2295" t="s">
        <v>6034</v>
      </c>
      <c r="E2295" t="s">
        <v>2087</v>
      </c>
    </row>
    <row r="2296" spans="1:5" x14ac:dyDescent="0.2">
      <c r="A2296">
        <v>2296</v>
      </c>
      <c r="B2296" t="s">
        <v>804</v>
      </c>
      <c r="C2296" t="s">
        <v>6033</v>
      </c>
      <c r="D2296" t="s">
        <v>6035</v>
      </c>
      <c r="E2296" t="s">
        <v>2087</v>
      </c>
    </row>
    <row r="2297" spans="1:5" x14ac:dyDescent="0.2">
      <c r="A2297">
        <v>2297</v>
      </c>
      <c r="B2297" t="s">
        <v>804</v>
      </c>
      <c r="C2297" t="s">
        <v>6036</v>
      </c>
      <c r="D2297" t="s">
        <v>6037</v>
      </c>
      <c r="E2297" t="s">
        <v>2087</v>
      </c>
    </row>
    <row r="2298" spans="1:5" x14ac:dyDescent="0.2">
      <c r="A2298">
        <v>2298</v>
      </c>
      <c r="B2298" t="s">
        <v>804</v>
      </c>
      <c r="C2298" t="s">
        <v>6036</v>
      </c>
      <c r="D2298" t="s">
        <v>6038</v>
      </c>
      <c r="E2298" t="s">
        <v>2087</v>
      </c>
    </row>
    <row r="2299" spans="1:5" x14ac:dyDescent="0.2">
      <c r="A2299">
        <v>2299</v>
      </c>
      <c r="B2299" t="s">
        <v>804</v>
      </c>
      <c r="C2299" t="s">
        <v>6039</v>
      </c>
      <c r="D2299" t="s">
        <v>6040</v>
      </c>
      <c r="E2299" t="s">
        <v>2087</v>
      </c>
    </row>
    <row r="2300" spans="1:5" x14ac:dyDescent="0.2">
      <c r="A2300">
        <v>2300</v>
      </c>
      <c r="B2300" t="s">
        <v>804</v>
      </c>
      <c r="C2300" t="s">
        <v>6039</v>
      </c>
      <c r="D2300" t="s">
        <v>6041</v>
      </c>
      <c r="E2300" t="s">
        <v>2087</v>
      </c>
    </row>
    <row r="2301" spans="1:5" x14ac:dyDescent="0.2">
      <c r="A2301">
        <v>2301</v>
      </c>
      <c r="B2301" t="s">
        <v>804</v>
      </c>
      <c r="C2301" t="s">
        <v>6030</v>
      </c>
      <c r="D2301" t="s">
        <v>6042</v>
      </c>
      <c r="E2301" t="s">
        <v>2087</v>
      </c>
    </row>
    <row r="2302" spans="1:5" x14ac:dyDescent="0.2">
      <c r="A2302">
        <v>2302</v>
      </c>
      <c r="B2302" t="s">
        <v>1110</v>
      </c>
      <c r="C2302" t="s">
        <v>6043</v>
      </c>
      <c r="D2302" t="s">
        <v>6044</v>
      </c>
      <c r="E2302" t="s">
        <v>1719</v>
      </c>
    </row>
    <row r="2303" spans="1:5" x14ac:dyDescent="0.2">
      <c r="A2303">
        <v>2303</v>
      </c>
      <c r="B2303" t="s">
        <v>1110</v>
      </c>
      <c r="C2303" t="s">
        <v>6043</v>
      </c>
      <c r="D2303" t="s">
        <v>6045</v>
      </c>
      <c r="E2303" t="s">
        <v>1719</v>
      </c>
    </row>
    <row r="2304" spans="1:5" x14ac:dyDescent="0.2">
      <c r="A2304">
        <v>2304</v>
      </c>
      <c r="B2304" t="s">
        <v>1110</v>
      </c>
      <c r="C2304" t="s">
        <v>6046</v>
      </c>
      <c r="D2304" t="s">
        <v>6047</v>
      </c>
      <c r="E2304" t="s">
        <v>1719</v>
      </c>
    </row>
    <row r="2305" spans="1:5" x14ac:dyDescent="0.2">
      <c r="A2305">
        <v>2305</v>
      </c>
      <c r="B2305" t="s">
        <v>1110</v>
      </c>
      <c r="C2305" t="s">
        <v>6048</v>
      </c>
      <c r="D2305" t="s">
        <v>6049</v>
      </c>
      <c r="E2305" t="s">
        <v>1719</v>
      </c>
    </row>
    <row r="2306" spans="1:5" x14ac:dyDescent="0.2">
      <c r="A2306">
        <v>2306</v>
      </c>
      <c r="B2306" t="s">
        <v>1110</v>
      </c>
      <c r="C2306" t="s">
        <v>6048</v>
      </c>
      <c r="D2306" t="s">
        <v>6050</v>
      </c>
      <c r="E2306" t="s">
        <v>1719</v>
      </c>
    </row>
    <row r="2307" spans="1:5" x14ac:dyDescent="0.2">
      <c r="A2307">
        <v>2307</v>
      </c>
      <c r="B2307" t="s">
        <v>1110</v>
      </c>
      <c r="C2307" t="s">
        <v>6051</v>
      </c>
      <c r="D2307" t="s">
        <v>6052</v>
      </c>
      <c r="E2307" t="s">
        <v>1719</v>
      </c>
    </row>
    <row r="2308" spans="1:5" x14ac:dyDescent="0.2">
      <c r="A2308">
        <v>2308</v>
      </c>
      <c r="B2308" t="s">
        <v>1110</v>
      </c>
      <c r="C2308" t="s">
        <v>6051</v>
      </c>
      <c r="D2308" t="s">
        <v>6053</v>
      </c>
      <c r="E2308" t="s">
        <v>1719</v>
      </c>
    </row>
    <row r="2309" spans="1:5" x14ac:dyDescent="0.2">
      <c r="A2309">
        <v>2309</v>
      </c>
      <c r="B2309" t="s">
        <v>1110</v>
      </c>
      <c r="C2309" t="s">
        <v>6054</v>
      </c>
      <c r="D2309" t="s">
        <v>6055</v>
      </c>
      <c r="E2309" t="s">
        <v>1719</v>
      </c>
    </row>
    <row r="2310" spans="1:5" x14ac:dyDescent="0.2">
      <c r="A2310">
        <v>2310</v>
      </c>
      <c r="B2310" t="s">
        <v>1110</v>
      </c>
      <c r="C2310" t="s">
        <v>6056</v>
      </c>
      <c r="D2310" t="s">
        <v>6057</v>
      </c>
      <c r="E2310" t="s">
        <v>1719</v>
      </c>
    </row>
    <row r="2311" spans="1:5" x14ac:dyDescent="0.2">
      <c r="A2311">
        <v>2311</v>
      </c>
      <c r="B2311" t="s">
        <v>1110</v>
      </c>
      <c r="C2311" t="s">
        <v>6058</v>
      </c>
      <c r="D2311" t="s">
        <v>6059</v>
      </c>
      <c r="E2311" t="s">
        <v>1719</v>
      </c>
    </row>
    <row r="2312" spans="1:5" x14ac:dyDescent="0.2">
      <c r="A2312">
        <v>2312</v>
      </c>
      <c r="B2312" t="s">
        <v>1110</v>
      </c>
      <c r="C2312" t="s">
        <v>6060</v>
      </c>
      <c r="D2312" t="s">
        <v>6061</v>
      </c>
      <c r="E2312" t="s">
        <v>1719</v>
      </c>
    </row>
    <row r="2313" spans="1:5" x14ac:dyDescent="0.2">
      <c r="A2313">
        <v>2313</v>
      </c>
      <c r="B2313" t="s">
        <v>1110</v>
      </c>
      <c r="C2313" t="s">
        <v>6060</v>
      </c>
      <c r="D2313" t="s">
        <v>6062</v>
      </c>
      <c r="E2313" t="s">
        <v>1719</v>
      </c>
    </row>
    <row r="2314" spans="1:5" x14ac:dyDescent="0.2">
      <c r="A2314">
        <v>2314</v>
      </c>
      <c r="B2314" t="s">
        <v>1110</v>
      </c>
      <c r="C2314" t="s">
        <v>6063</v>
      </c>
      <c r="D2314" t="s">
        <v>6064</v>
      </c>
      <c r="E2314" t="s">
        <v>1719</v>
      </c>
    </row>
    <row r="2315" spans="1:5" x14ac:dyDescent="0.2">
      <c r="A2315">
        <v>2315</v>
      </c>
      <c r="B2315" t="s">
        <v>1110</v>
      </c>
      <c r="C2315" t="s">
        <v>6063</v>
      </c>
      <c r="D2315" t="s">
        <v>6065</v>
      </c>
      <c r="E2315" t="s">
        <v>1719</v>
      </c>
    </row>
    <row r="2316" spans="1:5" x14ac:dyDescent="0.2">
      <c r="A2316">
        <v>2316</v>
      </c>
      <c r="B2316" t="s">
        <v>1110</v>
      </c>
      <c r="C2316" t="s">
        <v>6066</v>
      </c>
      <c r="D2316" t="s">
        <v>6067</v>
      </c>
      <c r="E2316" t="s">
        <v>1719</v>
      </c>
    </row>
    <row r="2317" spans="1:5" x14ac:dyDescent="0.2">
      <c r="A2317">
        <v>2317</v>
      </c>
      <c r="B2317" t="s">
        <v>1110</v>
      </c>
      <c r="C2317" t="s">
        <v>6066</v>
      </c>
      <c r="D2317" t="s">
        <v>6068</v>
      </c>
      <c r="E2317" t="s">
        <v>1719</v>
      </c>
    </row>
    <row r="2318" spans="1:5" x14ac:dyDescent="0.2">
      <c r="A2318">
        <v>2318</v>
      </c>
      <c r="B2318" t="s">
        <v>1110</v>
      </c>
      <c r="C2318" t="s">
        <v>6069</v>
      </c>
      <c r="D2318" t="s">
        <v>6070</v>
      </c>
      <c r="E2318" t="s">
        <v>1719</v>
      </c>
    </row>
    <row r="2319" spans="1:5" x14ac:dyDescent="0.2">
      <c r="A2319">
        <v>2319</v>
      </c>
      <c r="B2319" t="s">
        <v>1110</v>
      </c>
      <c r="C2319" t="s">
        <v>6069</v>
      </c>
      <c r="D2319" t="s">
        <v>6071</v>
      </c>
      <c r="E2319" t="s">
        <v>1719</v>
      </c>
    </row>
    <row r="2320" spans="1:5" x14ac:dyDescent="0.2">
      <c r="A2320">
        <v>2320</v>
      </c>
      <c r="B2320" t="s">
        <v>1110</v>
      </c>
      <c r="C2320" t="s">
        <v>6072</v>
      </c>
      <c r="D2320" t="s">
        <v>6073</v>
      </c>
      <c r="E2320" t="s">
        <v>1719</v>
      </c>
    </row>
    <row r="2321" spans="1:5" x14ac:dyDescent="0.2">
      <c r="A2321">
        <v>2321</v>
      </c>
      <c r="B2321" t="s">
        <v>1110</v>
      </c>
      <c r="C2321" t="s">
        <v>6074</v>
      </c>
      <c r="D2321" t="s">
        <v>6075</v>
      </c>
      <c r="E2321" t="s">
        <v>1719</v>
      </c>
    </row>
    <row r="2322" spans="1:5" x14ac:dyDescent="0.2">
      <c r="A2322">
        <v>2322</v>
      </c>
      <c r="B2322" t="s">
        <v>1110</v>
      </c>
      <c r="C2322" t="s">
        <v>6076</v>
      </c>
      <c r="D2322" t="s">
        <v>6077</v>
      </c>
      <c r="E2322" t="s">
        <v>1719</v>
      </c>
    </row>
    <row r="2323" spans="1:5" x14ac:dyDescent="0.2">
      <c r="A2323">
        <v>2323</v>
      </c>
      <c r="B2323" t="s">
        <v>1110</v>
      </c>
      <c r="C2323" t="s">
        <v>6078</v>
      </c>
      <c r="D2323" t="s">
        <v>6079</v>
      </c>
      <c r="E2323" t="s">
        <v>1719</v>
      </c>
    </row>
    <row r="2324" spans="1:5" x14ac:dyDescent="0.2">
      <c r="A2324">
        <v>2324</v>
      </c>
      <c r="B2324" t="s">
        <v>1110</v>
      </c>
      <c r="C2324" t="s">
        <v>6080</v>
      </c>
      <c r="D2324" t="s">
        <v>6079</v>
      </c>
      <c r="E2324" t="s">
        <v>3158</v>
      </c>
    </row>
    <row r="2325" spans="1:5" x14ac:dyDescent="0.2">
      <c r="A2325">
        <v>2325</v>
      </c>
      <c r="B2325" t="s">
        <v>1110</v>
      </c>
      <c r="C2325" t="s">
        <v>6074</v>
      </c>
      <c r="D2325" t="s">
        <v>6081</v>
      </c>
      <c r="E2325" t="s">
        <v>1719</v>
      </c>
    </row>
    <row r="2326" spans="1:5" x14ac:dyDescent="0.2">
      <c r="A2326">
        <v>2326</v>
      </c>
      <c r="B2326" t="s">
        <v>1110</v>
      </c>
      <c r="C2326" t="s">
        <v>6082</v>
      </c>
      <c r="D2326" t="s">
        <v>6083</v>
      </c>
      <c r="E2326" t="s">
        <v>4819</v>
      </c>
    </row>
    <row r="2327" spans="1:5" x14ac:dyDescent="0.2">
      <c r="A2327">
        <v>2327</v>
      </c>
      <c r="B2327" t="s">
        <v>1110</v>
      </c>
      <c r="C2327" t="s">
        <v>6084</v>
      </c>
      <c r="D2327" t="s">
        <v>6085</v>
      </c>
      <c r="E2327" t="s">
        <v>1719</v>
      </c>
    </row>
    <row r="2328" spans="1:5" x14ac:dyDescent="0.2">
      <c r="A2328">
        <v>2328</v>
      </c>
      <c r="B2328" t="s">
        <v>1110</v>
      </c>
      <c r="C2328" t="s">
        <v>6084</v>
      </c>
      <c r="D2328" t="s">
        <v>6086</v>
      </c>
      <c r="E2328" t="s">
        <v>1719</v>
      </c>
    </row>
    <row r="2329" spans="1:5" x14ac:dyDescent="0.2">
      <c r="A2329">
        <v>2329</v>
      </c>
      <c r="B2329" t="s">
        <v>1110</v>
      </c>
      <c r="C2329" t="s">
        <v>6076</v>
      </c>
      <c r="D2329" t="s">
        <v>6087</v>
      </c>
      <c r="E2329" t="s">
        <v>1719</v>
      </c>
    </row>
    <row r="2330" spans="1:5" x14ac:dyDescent="0.2">
      <c r="A2330">
        <v>2330</v>
      </c>
      <c r="B2330" t="s">
        <v>808</v>
      </c>
      <c r="C2330" t="s">
        <v>6088</v>
      </c>
      <c r="D2330" t="s">
        <v>6089</v>
      </c>
      <c r="E2330" t="s">
        <v>2164</v>
      </c>
    </row>
    <row r="2331" spans="1:5" x14ac:dyDescent="0.2">
      <c r="A2331">
        <v>2331</v>
      </c>
      <c r="B2331" t="s">
        <v>808</v>
      </c>
      <c r="C2331" t="s">
        <v>6090</v>
      </c>
      <c r="D2331" t="s">
        <v>6091</v>
      </c>
      <c r="E2331" t="s">
        <v>2164</v>
      </c>
    </row>
    <row r="2332" spans="1:5" x14ac:dyDescent="0.2">
      <c r="A2332">
        <v>2332</v>
      </c>
      <c r="B2332" t="s">
        <v>808</v>
      </c>
      <c r="C2332" t="s">
        <v>6092</v>
      </c>
      <c r="D2332" t="s">
        <v>6093</v>
      </c>
      <c r="E2332" t="s">
        <v>2164</v>
      </c>
    </row>
    <row r="2333" spans="1:5" x14ac:dyDescent="0.2">
      <c r="A2333">
        <v>2333</v>
      </c>
      <c r="B2333" t="s">
        <v>808</v>
      </c>
      <c r="C2333" t="s">
        <v>6094</v>
      </c>
      <c r="D2333" t="s">
        <v>6095</v>
      </c>
      <c r="E2333" t="s">
        <v>2164</v>
      </c>
    </row>
    <row r="2334" spans="1:5" x14ac:dyDescent="0.2">
      <c r="A2334">
        <v>2334</v>
      </c>
      <c r="B2334" t="s">
        <v>808</v>
      </c>
      <c r="C2334" t="s">
        <v>6096</v>
      </c>
      <c r="D2334" t="s">
        <v>6097</v>
      </c>
      <c r="E2334" t="s">
        <v>2164</v>
      </c>
    </row>
    <row r="2335" spans="1:5" x14ac:dyDescent="0.2">
      <c r="A2335">
        <v>2335</v>
      </c>
      <c r="B2335" t="s">
        <v>808</v>
      </c>
      <c r="C2335" t="s">
        <v>6098</v>
      </c>
      <c r="D2335" t="s">
        <v>6099</v>
      </c>
      <c r="E2335" t="s">
        <v>2164</v>
      </c>
    </row>
    <row r="2336" spans="1:5" x14ac:dyDescent="0.2">
      <c r="A2336">
        <v>2336</v>
      </c>
      <c r="B2336" t="s">
        <v>808</v>
      </c>
      <c r="C2336" t="s">
        <v>6100</v>
      </c>
      <c r="D2336" t="s">
        <v>6101</v>
      </c>
      <c r="E2336" t="s">
        <v>2164</v>
      </c>
    </row>
    <row r="2337" spans="1:5" x14ac:dyDescent="0.2">
      <c r="A2337">
        <v>2337</v>
      </c>
      <c r="B2337" t="s">
        <v>808</v>
      </c>
      <c r="C2337" t="s">
        <v>6102</v>
      </c>
      <c r="D2337" t="s">
        <v>6103</v>
      </c>
      <c r="E2337" t="s">
        <v>2164</v>
      </c>
    </row>
    <row r="2338" spans="1:5" x14ac:dyDescent="0.2">
      <c r="A2338">
        <v>2338</v>
      </c>
      <c r="B2338" t="s">
        <v>808</v>
      </c>
      <c r="C2338" t="s">
        <v>6104</v>
      </c>
      <c r="D2338" t="s">
        <v>6105</v>
      </c>
      <c r="E2338" t="s">
        <v>2164</v>
      </c>
    </row>
    <row r="2339" spans="1:5" x14ac:dyDescent="0.2">
      <c r="A2339">
        <v>2339</v>
      </c>
      <c r="B2339" t="s">
        <v>808</v>
      </c>
      <c r="C2339" t="s">
        <v>6106</v>
      </c>
      <c r="D2339" t="s">
        <v>6107</v>
      </c>
      <c r="E2339" t="s">
        <v>2164</v>
      </c>
    </row>
    <row r="2340" spans="1:5" x14ac:dyDescent="0.2">
      <c r="A2340">
        <v>2340</v>
      </c>
      <c r="B2340" t="s">
        <v>808</v>
      </c>
      <c r="C2340" t="s">
        <v>6108</v>
      </c>
      <c r="D2340" t="s">
        <v>6109</v>
      </c>
      <c r="E2340" t="s">
        <v>2164</v>
      </c>
    </row>
    <row r="2341" spans="1:5" x14ac:dyDescent="0.2">
      <c r="A2341">
        <v>2341</v>
      </c>
      <c r="B2341" t="s">
        <v>808</v>
      </c>
      <c r="C2341" t="s">
        <v>6110</v>
      </c>
      <c r="D2341" t="s">
        <v>6111</v>
      </c>
      <c r="E2341" t="s">
        <v>2164</v>
      </c>
    </row>
    <row r="2342" spans="1:5" x14ac:dyDescent="0.2">
      <c r="A2342">
        <v>2342</v>
      </c>
      <c r="B2342" t="s">
        <v>808</v>
      </c>
      <c r="C2342" t="s">
        <v>6112</v>
      </c>
      <c r="D2342" t="s">
        <v>6113</v>
      </c>
      <c r="E2342" t="s">
        <v>2164</v>
      </c>
    </row>
    <row r="2343" spans="1:5" x14ac:dyDescent="0.2">
      <c r="A2343">
        <v>2343</v>
      </c>
      <c r="B2343" t="s">
        <v>808</v>
      </c>
      <c r="C2343" t="s">
        <v>6114</v>
      </c>
      <c r="D2343" t="s">
        <v>6115</v>
      </c>
      <c r="E2343" t="s">
        <v>2164</v>
      </c>
    </row>
    <row r="2344" spans="1:5" x14ac:dyDescent="0.2">
      <c r="A2344">
        <v>2344</v>
      </c>
      <c r="B2344" t="s">
        <v>808</v>
      </c>
      <c r="C2344" t="s">
        <v>6116</v>
      </c>
      <c r="D2344" t="s">
        <v>6117</v>
      </c>
      <c r="E2344" t="s">
        <v>2164</v>
      </c>
    </row>
    <row r="2345" spans="1:5" x14ac:dyDescent="0.2">
      <c r="A2345">
        <v>2345</v>
      </c>
      <c r="B2345" t="s">
        <v>808</v>
      </c>
      <c r="C2345" t="s">
        <v>6118</v>
      </c>
      <c r="D2345" t="s">
        <v>6119</v>
      </c>
      <c r="E2345" t="s">
        <v>2164</v>
      </c>
    </row>
    <row r="2346" spans="1:5" x14ac:dyDescent="0.2">
      <c r="A2346">
        <v>2346</v>
      </c>
      <c r="B2346" t="s">
        <v>808</v>
      </c>
      <c r="C2346" t="s">
        <v>6120</v>
      </c>
      <c r="D2346" t="s">
        <v>6121</v>
      </c>
      <c r="E2346" t="s">
        <v>2164</v>
      </c>
    </row>
    <row r="2347" spans="1:5" x14ac:dyDescent="0.2">
      <c r="A2347">
        <v>2347</v>
      </c>
      <c r="B2347" t="s">
        <v>808</v>
      </c>
      <c r="C2347" t="s">
        <v>6122</v>
      </c>
      <c r="D2347" t="s">
        <v>6123</v>
      </c>
      <c r="E2347" t="s">
        <v>2164</v>
      </c>
    </row>
    <row r="2348" spans="1:5" x14ac:dyDescent="0.2">
      <c r="A2348">
        <v>2348</v>
      </c>
      <c r="B2348" t="s">
        <v>808</v>
      </c>
      <c r="C2348" t="s">
        <v>6124</v>
      </c>
      <c r="D2348" t="s">
        <v>6125</v>
      </c>
      <c r="E2348" t="s">
        <v>2164</v>
      </c>
    </row>
    <row r="2349" spans="1:5" x14ac:dyDescent="0.2">
      <c r="A2349">
        <v>2349</v>
      </c>
      <c r="B2349" t="s">
        <v>808</v>
      </c>
      <c r="C2349" t="s">
        <v>6126</v>
      </c>
      <c r="D2349" t="s">
        <v>6127</v>
      </c>
      <c r="E2349" t="s">
        <v>2164</v>
      </c>
    </row>
    <row r="2350" spans="1:5" x14ac:dyDescent="0.2">
      <c r="A2350">
        <v>2350</v>
      </c>
      <c r="B2350" t="s">
        <v>808</v>
      </c>
      <c r="C2350" t="s">
        <v>6128</v>
      </c>
      <c r="D2350" t="s">
        <v>6129</v>
      </c>
      <c r="E2350" t="s">
        <v>2164</v>
      </c>
    </row>
    <row r="2351" spans="1:5" x14ac:dyDescent="0.2">
      <c r="A2351">
        <v>2351</v>
      </c>
      <c r="B2351" t="s">
        <v>808</v>
      </c>
      <c r="C2351" t="s">
        <v>6130</v>
      </c>
      <c r="D2351" t="s">
        <v>6131</v>
      </c>
      <c r="E2351" t="s">
        <v>2164</v>
      </c>
    </row>
    <row r="2352" spans="1:5" x14ac:dyDescent="0.2">
      <c r="A2352">
        <v>2352</v>
      </c>
      <c r="B2352" t="s">
        <v>808</v>
      </c>
      <c r="C2352" t="s">
        <v>6132</v>
      </c>
      <c r="D2352" t="s">
        <v>6133</v>
      </c>
      <c r="E2352" t="s">
        <v>2164</v>
      </c>
    </row>
    <row r="2353" spans="1:5" x14ac:dyDescent="0.2">
      <c r="A2353">
        <v>2353</v>
      </c>
      <c r="B2353" t="s">
        <v>808</v>
      </c>
      <c r="C2353" t="s">
        <v>6134</v>
      </c>
      <c r="D2353" t="s">
        <v>6135</v>
      </c>
      <c r="E2353" t="s">
        <v>2046</v>
      </c>
    </row>
    <row r="2354" spans="1:5" x14ac:dyDescent="0.2">
      <c r="A2354">
        <v>2354</v>
      </c>
      <c r="B2354" t="s">
        <v>808</v>
      </c>
      <c r="C2354" t="s">
        <v>6136</v>
      </c>
      <c r="D2354" t="s">
        <v>6137</v>
      </c>
      <c r="E2354" t="s">
        <v>2164</v>
      </c>
    </row>
    <row r="2355" spans="1:5" x14ac:dyDescent="0.2">
      <c r="A2355">
        <v>2355</v>
      </c>
      <c r="B2355" t="s">
        <v>808</v>
      </c>
      <c r="C2355" t="s">
        <v>6138</v>
      </c>
      <c r="D2355" t="s">
        <v>6139</v>
      </c>
      <c r="E2355" t="s">
        <v>2164</v>
      </c>
    </row>
    <row r="2356" spans="1:5" x14ac:dyDescent="0.2">
      <c r="A2356">
        <v>2356</v>
      </c>
      <c r="B2356" t="s">
        <v>808</v>
      </c>
      <c r="C2356" t="s">
        <v>6140</v>
      </c>
      <c r="D2356" t="s">
        <v>6141</v>
      </c>
      <c r="E2356" t="s">
        <v>2164</v>
      </c>
    </row>
    <row r="2357" spans="1:5" x14ac:dyDescent="0.2">
      <c r="A2357">
        <v>2357</v>
      </c>
      <c r="B2357" t="s">
        <v>808</v>
      </c>
      <c r="C2357" t="s">
        <v>6142</v>
      </c>
      <c r="D2357" t="s">
        <v>6143</v>
      </c>
      <c r="E2357" t="s">
        <v>2164</v>
      </c>
    </row>
    <row r="2358" spans="1:5" x14ac:dyDescent="0.2">
      <c r="A2358">
        <v>2358</v>
      </c>
      <c r="B2358" t="s">
        <v>808</v>
      </c>
      <c r="C2358" t="s">
        <v>6144</v>
      </c>
      <c r="D2358" t="s">
        <v>6145</v>
      </c>
      <c r="E2358" t="s">
        <v>2164</v>
      </c>
    </row>
    <row r="2359" spans="1:5" x14ac:dyDescent="0.2">
      <c r="A2359">
        <v>2359</v>
      </c>
      <c r="B2359" t="s">
        <v>808</v>
      </c>
      <c r="C2359" t="s">
        <v>6146</v>
      </c>
      <c r="D2359" t="s">
        <v>6147</v>
      </c>
      <c r="E2359" t="s">
        <v>2164</v>
      </c>
    </row>
    <row r="2360" spans="1:5" x14ac:dyDescent="0.2">
      <c r="A2360">
        <v>2360</v>
      </c>
      <c r="B2360" t="s">
        <v>808</v>
      </c>
      <c r="C2360" t="s">
        <v>6148</v>
      </c>
      <c r="D2360" t="s">
        <v>6149</v>
      </c>
      <c r="E2360" t="s">
        <v>2164</v>
      </c>
    </row>
    <row r="2361" spans="1:5" x14ac:dyDescent="0.2">
      <c r="A2361">
        <v>2361</v>
      </c>
      <c r="B2361" t="s">
        <v>808</v>
      </c>
      <c r="C2361" t="s">
        <v>6150</v>
      </c>
      <c r="D2361" t="s">
        <v>6151</v>
      </c>
      <c r="E2361" t="s">
        <v>2164</v>
      </c>
    </row>
    <row r="2362" spans="1:5" x14ac:dyDescent="0.2">
      <c r="A2362">
        <v>2362</v>
      </c>
      <c r="B2362" t="s">
        <v>808</v>
      </c>
      <c r="C2362" t="s">
        <v>6152</v>
      </c>
      <c r="D2362" t="s">
        <v>6153</v>
      </c>
      <c r="E2362" t="s">
        <v>2164</v>
      </c>
    </row>
    <row r="2363" spans="1:5" x14ac:dyDescent="0.2">
      <c r="A2363">
        <v>2363</v>
      </c>
      <c r="B2363" t="s">
        <v>808</v>
      </c>
      <c r="C2363" t="s">
        <v>6154</v>
      </c>
      <c r="D2363" t="s">
        <v>6155</v>
      </c>
      <c r="E2363" t="s">
        <v>2164</v>
      </c>
    </row>
    <row r="2364" spans="1:5" x14ac:dyDescent="0.2">
      <c r="A2364">
        <v>2364</v>
      </c>
      <c r="B2364" t="s">
        <v>808</v>
      </c>
      <c r="C2364" t="s">
        <v>6156</v>
      </c>
      <c r="D2364" t="s">
        <v>6157</v>
      </c>
      <c r="E2364" t="s">
        <v>2164</v>
      </c>
    </row>
    <row r="2365" spans="1:5" x14ac:dyDescent="0.2">
      <c r="A2365">
        <v>2365</v>
      </c>
      <c r="B2365" t="s">
        <v>808</v>
      </c>
      <c r="C2365" t="s">
        <v>6158</v>
      </c>
      <c r="D2365" t="s">
        <v>6159</v>
      </c>
      <c r="E2365" t="s">
        <v>2164</v>
      </c>
    </row>
    <row r="2366" spans="1:5" x14ac:dyDescent="0.2">
      <c r="A2366">
        <v>2366</v>
      </c>
      <c r="B2366" t="s">
        <v>808</v>
      </c>
      <c r="C2366" t="s">
        <v>6160</v>
      </c>
      <c r="D2366" t="s">
        <v>6161</v>
      </c>
      <c r="E2366" t="s">
        <v>2164</v>
      </c>
    </row>
    <row r="2367" spans="1:5" x14ac:dyDescent="0.2">
      <c r="A2367">
        <v>2367</v>
      </c>
      <c r="B2367" t="s">
        <v>808</v>
      </c>
      <c r="C2367" t="s">
        <v>6162</v>
      </c>
      <c r="D2367" t="s">
        <v>6163</v>
      </c>
      <c r="E2367" t="s">
        <v>2164</v>
      </c>
    </row>
    <row r="2368" spans="1:5" x14ac:dyDescent="0.2">
      <c r="A2368">
        <v>2368</v>
      </c>
      <c r="B2368" t="s">
        <v>808</v>
      </c>
      <c r="C2368" t="s">
        <v>6164</v>
      </c>
      <c r="D2368" t="s">
        <v>6165</v>
      </c>
      <c r="E2368" t="s">
        <v>2164</v>
      </c>
    </row>
    <row r="2369" spans="1:5" x14ac:dyDescent="0.2">
      <c r="A2369">
        <v>2369</v>
      </c>
      <c r="B2369" t="s">
        <v>808</v>
      </c>
      <c r="C2369" t="s">
        <v>6166</v>
      </c>
      <c r="D2369" t="s">
        <v>6167</v>
      </c>
      <c r="E2369" t="s">
        <v>2046</v>
      </c>
    </row>
    <row r="2370" spans="1:5" x14ac:dyDescent="0.2">
      <c r="A2370">
        <v>2370</v>
      </c>
      <c r="B2370" t="s">
        <v>808</v>
      </c>
      <c r="C2370" t="s">
        <v>6168</v>
      </c>
      <c r="D2370" t="s">
        <v>6169</v>
      </c>
      <c r="E2370" t="s">
        <v>2164</v>
      </c>
    </row>
    <row r="2371" spans="1:5" x14ac:dyDescent="0.2">
      <c r="A2371">
        <v>2371</v>
      </c>
      <c r="B2371" t="s">
        <v>808</v>
      </c>
      <c r="C2371" t="s">
        <v>6170</v>
      </c>
      <c r="D2371" t="s">
        <v>6171</v>
      </c>
      <c r="E2371" t="s">
        <v>2046</v>
      </c>
    </row>
    <row r="2372" spans="1:5" x14ac:dyDescent="0.2">
      <c r="A2372">
        <v>2372</v>
      </c>
      <c r="B2372" t="s">
        <v>808</v>
      </c>
      <c r="C2372" t="s">
        <v>6172</v>
      </c>
      <c r="D2372" t="s">
        <v>6173</v>
      </c>
      <c r="E2372" t="s">
        <v>2164</v>
      </c>
    </row>
    <row r="2373" spans="1:5" x14ac:dyDescent="0.2">
      <c r="A2373">
        <v>2373</v>
      </c>
      <c r="B2373" t="s">
        <v>808</v>
      </c>
      <c r="C2373" t="s">
        <v>6174</v>
      </c>
      <c r="D2373" t="s">
        <v>6175</v>
      </c>
      <c r="E2373" t="s">
        <v>2046</v>
      </c>
    </row>
    <row r="2374" spans="1:5" x14ac:dyDescent="0.2">
      <c r="A2374">
        <v>2374</v>
      </c>
      <c r="B2374" t="s">
        <v>808</v>
      </c>
      <c r="C2374" t="s">
        <v>6176</v>
      </c>
      <c r="D2374" t="s">
        <v>6177</v>
      </c>
      <c r="E2374" t="s">
        <v>2164</v>
      </c>
    </row>
    <row r="2375" spans="1:5" x14ac:dyDescent="0.2">
      <c r="A2375">
        <v>2375</v>
      </c>
      <c r="B2375" t="s">
        <v>808</v>
      </c>
      <c r="C2375" t="s">
        <v>6178</v>
      </c>
      <c r="D2375" t="s">
        <v>6179</v>
      </c>
      <c r="E2375" t="s">
        <v>2164</v>
      </c>
    </row>
    <row r="2376" spans="1:5" x14ac:dyDescent="0.2">
      <c r="A2376">
        <v>2376</v>
      </c>
      <c r="B2376" t="s">
        <v>808</v>
      </c>
      <c r="C2376" t="s">
        <v>6180</v>
      </c>
      <c r="D2376" t="s">
        <v>6181</v>
      </c>
      <c r="E2376" t="s">
        <v>2164</v>
      </c>
    </row>
    <row r="2377" spans="1:5" x14ac:dyDescent="0.2">
      <c r="A2377">
        <v>2377</v>
      </c>
      <c r="B2377" t="s">
        <v>808</v>
      </c>
      <c r="C2377" t="s">
        <v>6182</v>
      </c>
      <c r="D2377" t="s">
        <v>6183</v>
      </c>
      <c r="E2377" t="s">
        <v>2164</v>
      </c>
    </row>
    <row r="2378" spans="1:5" x14ac:dyDescent="0.2">
      <c r="A2378">
        <v>2378</v>
      </c>
      <c r="B2378" t="s">
        <v>808</v>
      </c>
      <c r="C2378" t="s">
        <v>6184</v>
      </c>
      <c r="D2378" t="s">
        <v>6185</v>
      </c>
      <c r="E2378" t="s">
        <v>2164</v>
      </c>
    </row>
    <row r="2379" spans="1:5" x14ac:dyDescent="0.2">
      <c r="A2379">
        <v>2379</v>
      </c>
      <c r="B2379" t="s">
        <v>808</v>
      </c>
      <c r="C2379" t="s">
        <v>6186</v>
      </c>
      <c r="D2379" t="s">
        <v>6187</v>
      </c>
      <c r="E2379" t="s">
        <v>2164</v>
      </c>
    </row>
    <row r="2380" spans="1:5" x14ac:dyDescent="0.2">
      <c r="A2380">
        <v>2380</v>
      </c>
      <c r="B2380" t="s">
        <v>808</v>
      </c>
      <c r="C2380" t="s">
        <v>6188</v>
      </c>
      <c r="D2380" t="s">
        <v>6189</v>
      </c>
      <c r="E2380" t="s">
        <v>2164</v>
      </c>
    </row>
    <row r="2381" spans="1:5" x14ac:dyDescent="0.2">
      <c r="A2381">
        <v>2381</v>
      </c>
      <c r="B2381" t="s">
        <v>808</v>
      </c>
      <c r="C2381" t="s">
        <v>6190</v>
      </c>
      <c r="D2381" t="s">
        <v>6191</v>
      </c>
      <c r="E2381" t="s">
        <v>2164</v>
      </c>
    </row>
    <row r="2382" spans="1:5" x14ac:dyDescent="0.2">
      <c r="A2382">
        <v>2382</v>
      </c>
      <c r="B2382" t="s">
        <v>808</v>
      </c>
      <c r="C2382" t="s">
        <v>6192</v>
      </c>
      <c r="D2382" t="s">
        <v>6193</v>
      </c>
      <c r="E2382" t="s">
        <v>2164</v>
      </c>
    </row>
    <row r="2383" spans="1:5" x14ac:dyDescent="0.2">
      <c r="A2383">
        <v>2383</v>
      </c>
      <c r="B2383" t="s">
        <v>808</v>
      </c>
      <c r="C2383" t="s">
        <v>6194</v>
      </c>
      <c r="D2383" t="s">
        <v>6195</v>
      </c>
      <c r="E2383" t="s">
        <v>2046</v>
      </c>
    </row>
    <row r="2384" spans="1:5" x14ac:dyDescent="0.2">
      <c r="A2384">
        <v>2384</v>
      </c>
      <c r="B2384" t="s">
        <v>808</v>
      </c>
      <c r="C2384" t="s">
        <v>6196</v>
      </c>
      <c r="D2384" t="s">
        <v>6197</v>
      </c>
      <c r="E2384" t="s">
        <v>2164</v>
      </c>
    </row>
    <row r="2385" spans="1:5" x14ac:dyDescent="0.2">
      <c r="A2385">
        <v>2385</v>
      </c>
      <c r="B2385" t="s">
        <v>808</v>
      </c>
      <c r="C2385" t="s">
        <v>6198</v>
      </c>
      <c r="D2385" t="s">
        <v>6199</v>
      </c>
      <c r="E2385" t="s">
        <v>2164</v>
      </c>
    </row>
    <row r="2386" spans="1:5" x14ac:dyDescent="0.2">
      <c r="A2386">
        <v>2386</v>
      </c>
      <c r="B2386" t="s">
        <v>808</v>
      </c>
      <c r="C2386" t="s">
        <v>6200</v>
      </c>
      <c r="D2386" t="s">
        <v>6201</v>
      </c>
      <c r="E2386" t="s">
        <v>2164</v>
      </c>
    </row>
    <row r="2387" spans="1:5" x14ac:dyDescent="0.2">
      <c r="A2387">
        <v>2387</v>
      </c>
      <c r="B2387" t="s">
        <v>808</v>
      </c>
      <c r="C2387" t="s">
        <v>6202</v>
      </c>
      <c r="D2387" t="s">
        <v>6203</v>
      </c>
      <c r="E2387" t="s">
        <v>2164</v>
      </c>
    </row>
    <row r="2388" spans="1:5" x14ac:dyDescent="0.2">
      <c r="A2388">
        <v>2388</v>
      </c>
      <c r="B2388" t="s">
        <v>808</v>
      </c>
      <c r="C2388" t="s">
        <v>6204</v>
      </c>
      <c r="D2388" t="s">
        <v>6205</v>
      </c>
      <c r="E2388" t="s">
        <v>2164</v>
      </c>
    </row>
    <row r="2389" spans="1:5" x14ac:dyDescent="0.2">
      <c r="A2389">
        <v>2389</v>
      </c>
      <c r="B2389" t="s">
        <v>808</v>
      </c>
      <c r="C2389" t="s">
        <v>6206</v>
      </c>
      <c r="D2389" t="s">
        <v>6207</v>
      </c>
      <c r="E2389" t="s">
        <v>2164</v>
      </c>
    </row>
    <row r="2390" spans="1:5" x14ac:dyDescent="0.2">
      <c r="A2390">
        <v>2390</v>
      </c>
      <c r="B2390" t="s">
        <v>808</v>
      </c>
      <c r="C2390" t="s">
        <v>6208</v>
      </c>
      <c r="D2390" t="s">
        <v>6209</v>
      </c>
      <c r="E2390" t="s">
        <v>2164</v>
      </c>
    </row>
    <row r="2391" spans="1:5" x14ac:dyDescent="0.2">
      <c r="A2391">
        <v>2391</v>
      </c>
      <c r="B2391" t="s">
        <v>808</v>
      </c>
      <c r="C2391" t="s">
        <v>6210</v>
      </c>
      <c r="D2391" t="s">
        <v>6211</v>
      </c>
      <c r="E2391" t="s">
        <v>2164</v>
      </c>
    </row>
    <row r="2392" spans="1:5" x14ac:dyDescent="0.2">
      <c r="A2392">
        <v>2392</v>
      </c>
      <c r="B2392" t="s">
        <v>808</v>
      </c>
      <c r="C2392" t="s">
        <v>6212</v>
      </c>
      <c r="D2392" t="s">
        <v>6213</v>
      </c>
      <c r="E2392" t="s">
        <v>2164</v>
      </c>
    </row>
    <row r="2393" spans="1:5" x14ac:dyDescent="0.2">
      <c r="A2393">
        <v>2393</v>
      </c>
      <c r="B2393" t="s">
        <v>808</v>
      </c>
      <c r="C2393" t="s">
        <v>6214</v>
      </c>
      <c r="D2393" t="s">
        <v>6215</v>
      </c>
      <c r="E2393" t="s">
        <v>2164</v>
      </c>
    </row>
    <row r="2394" spans="1:5" x14ac:dyDescent="0.2">
      <c r="A2394">
        <v>2394</v>
      </c>
      <c r="B2394" t="s">
        <v>808</v>
      </c>
      <c r="C2394" t="s">
        <v>6216</v>
      </c>
      <c r="D2394" t="s">
        <v>6217</v>
      </c>
      <c r="E2394" t="s">
        <v>2164</v>
      </c>
    </row>
    <row r="2395" spans="1:5" x14ac:dyDescent="0.2">
      <c r="A2395">
        <v>2395</v>
      </c>
      <c r="B2395" t="s">
        <v>808</v>
      </c>
      <c r="C2395" t="s">
        <v>6218</v>
      </c>
      <c r="D2395" t="s">
        <v>6219</v>
      </c>
      <c r="E2395" t="s">
        <v>2164</v>
      </c>
    </row>
    <row r="2396" spans="1:5" x14ac:dyDescent="0.2">
      <c r="A2396">
        <v>2396</v>
      </c>
      <c r="B2396" t="s">
        <v>808</v>
      </c>
      <c r="C2396" t="s">
        <v>6220</v>
      </c>
      <c r="D2396" t="s">
        <v>6221</v>
      </c>
      <c r="E2396" t="s">
        <v>2164</v>
      </c>
    </row>
    <row r="2397" spans="1:5" x14ac:dyDescent="0.2">
      <c r="A2397">
        <v>2397</v>
      </c>
      <c r="B2397" t="s">
        <v>808</v>
      </c>
      <c r="C2397" t="s">
        <v>6222</v>
      </c>
      <c r="D2397" t="s">
        <v>6223</v>
      </c>
      <c r="E2397" t="s">
        <v>2164</v>
      </c>
    </row>
    <row r="2398" spans="1:5" x14ac:dyDescent="0.2">
      <c r="A2398">
        <v>2398</v>
      </c>
      <c r="B2398" t="s">
        <v>808</v>
      </c>
      <c r="C2398" t="s">
        <v>6224</v>
      </c>
      <c r="D2398" t="s">
        <v>6225</v>
      </c>
      <c r="E2398" t="s">
        <v>2164</v>
      </c>
    </row>
    <row r="2399" spans="1:5" x14ac:dyDescent="0.2">
      <c r="A2399">
        <v>2399</v>
      </c>
      <c r="B2399" t="s">
        <v>808</v>
      </c>
      <c r="C2399" t="s">
        <v>6226</v>
      </c>
      <c r="D2399" t="s">
        <v>6227</v>
      </c>
      <c r="E2399" t="s">
        <v>2164</v>
      </c>
    </row>
    <row r="2400" spans="1:5" x14ac:dyDescent="0.2">
      <c r="A2400">
        <v>2400</v>
      </c>
      <c r="B2400" t="s">
        <v>808</v>
      </c>
      <c r="C2400" t="s">
        <v>6228</v>
      </c>
      <c r="D2400" t="s">
        <v>6229</v>
      </c>
      <c r="E2400" t="s">
        <v>2164</v>
      </c>
    </row>
    <row r="2401" spans="1:5" x14ac:dyDescent="0.2">
      <c r="A2401">
        <v>2401</v>
      </c>
      <c r="B2401" t="s">
        <v>808</v>
      </c>
      <c r="C2401" t="s">
        <v>6230</v>
      </c>
      <c r="D2401" t="s">
        <v>6231</v>
      </c>
      <c r="E2401" t="s">
        <v>2164</v>
      </c>
    </row>
    <row r="2402" spans="1:5" x14ac:dyDescent="0.2">
      <c r="A2402">
        <v>2402</v>
      </c>
      <c r="B2402" t="s">
        <v>808</v>
      </c>
      <c r="C2402" t="s">
        <v>6232</v>
      </c>
      <c r="D2402" t="s">
        <v>6233</v>
      </c>
      <c r="E2402" t="s">
        <v>2164</v>
      </c>
    </row>
    <row r="2403" spans="1:5" x14ac:dyDescent="0.2">
      <c r="A2403">
        <v>2403</v>
      </c>
      <c r="B2403" t="s">
        <v>808</v>
      </c>
      <c r="C2403" t="s">
        <v>6234</v>
      </c>
      <c r="D2403" t="s">
        <v>6235</v>
      </c>
      <c r="E2403" t="s">
        <v>2164</v>
      </c>
    </row>
    <row r="2404" spans="1:5" x14ac:dyDescent="0.2">
      <c r="A2404">
        <v>2404</v>
      </c>
      <c r="B2404" t="s">
        <v>808</v>
      </c>
      <c r="C2404" t="s">
        <v>6236</v>
      </c>
      <c r="D2404" t="s">
        <v>6237</v>
      </c>
      <c r="E2404" t="s">
        <v>2164</v>
      </c>
    </row>
    <row r="2405" spans="1:5" x14ac:dyDescent="0.2">
      <c r="A2405">
        <v>2405</v>
      </c>
      <c r="B2405" t="s">
        <v>808</v>
      </c>
      <c r="C2405" t="s">
        <v>6238</v>
      </c>
      <c r="D2405" t="s">
        <v>6239</v>
      </c>
      <c r="E2405" t="s">
        <v>2164</v>
      </c>
    </row>
    <row r="2406" spans="1:5" x14ac:dyDescent="0.2">
      <c r="A2406">
        <v>2406</v>
      </c>
      <c r="B2406" t="s">
        <v>808</v>
      </c>
      <c r="C2406" t="s">
        <v>6240</v>
      </c>
      <c r="D2406" t="s">
        <v>6241</v>
      </c>
      <c r="E2406" t="s">
        <v>2164</v>
      </c>
    </row>
    <row r="2407" spans="1:5" x14ac:dyDescent="0.2">
      <c r="A2407">
        <v>2407</v>
      </c>
      <c r="B2407" t="s">
        <v>808</v>
      </c>
      <c r="C2407" t="s">
        <v>6242</v>
      </c>
      <c r="D2407" t="s">
        <v>6243</v>
      </c>
      <c r="E2407" t="s">
        <v>2164</v>
      </c>
    </row>
    <row r="2408" spans="1:5" x14ac:dyDescent="0.2">
      <c r="A2408">
        <v>2408</v>
      </c>
      <c r="B2408" t="s">
        <v>808</v>
      </c>
      <c r="C2408" t="s">
        <v>6244</v>
      </c>
      <c r="D2408" t="s">
        <v>6245</v>
      </c>
      <c r="E2408" t="s">
        <v>2164</v>
      </c>
    </row>
    <row r="2409" spans="1:5" x14ac:dyDescent="0.2">
      <c r="A2409">
        <v>2409</v>
      </c>
      <c r="B2409" t="s">
        <v>808</v>
      </c>
      <c r="C2409" t="s">
        <v>6246</v>
      </c>
      <c r="D2409" t="s">
        <v>6247</v>
      </c>
      <c r="E2409" t="s">
        <v>2164</v>
      </c>
    </row>
    <row r="2410" spans="1:5" x14ac:dyDescent="0.2">
      <c r="A2410">
        <v>2410</v>
      </c>
      <c r="B2410" t="s">
        <v>808</v>
      </c>
      <c r="C2410" t="s">
        <v>6248</v>
      </c>
      <c r="D2410" t="s">
        <v>6249</v>
      </c>
      <c r="E2410" t="s">
        <v>2164</v>
      </c>
    </row>
    <row r="2411" spans="1:5" x14ac:dyDescent="0.2">
      <c r="A2411">
        <v>2411</v>
      </c>
      <c r="B2411" t="s">
        <v>808</v>
      </c>
      <c r="C2411" t="s">
        <v>6250</v>
      </c>
      <c r="D2411" t="s">
        <v>6251</v>
      </c>
      <c r="E2411" t="s">
        <v>2164</v>
      </c>
    </row>
    <row r="2412" spans="1:5" x14ac:dyDescent="0.2">
      <c r="A2412">
        <v>2412</v>
      </c>
      <c r="B2412" t="s">
        <v>808</v>
      </c>
      <c r="C2412" t="s">
        <v>6252</v>
      </c>
      <c r="D2412" t="s">
        <v>6253</v>
      </c>
      <c r="E2412" t="s">
        <v>2164</v>
      </c>
    </row>
    <row r="2413" spans="1:5" x14ac:dyDescent="0.2">
      <c r="A2413">
        <v>2413</v>
      </c>
      <c r="B2413" t="s">
        <v>808</v>
      </c>
      <c r="C2413" t="s">
        <v>6254</v>
      </c>
      <c r="D2413" t="s">
        <v>6255</v>
      </c>
      <c r="E2413" t="s">
        <v>2046</v>
      </c>
    </row>
    <row r="2414" spans="1:5" x14ac:dyDescent="0.2">
      <c r="A2414">
        <v>2414</v>
      </c>
      <c r="B2414" t="s">
        <v>808</v>
      </c>
      <c r="C2414" t="s">
        <v>6256</v>
      </c>
      <c r="D2414" t="s">
        <v>6257</v>
      </c>
      <c r="E2414" t="s">
        <v>2164</v>
      </c>
    </row>
    <row r="2415" spans="1:5" x14ac:dyDescent="0.2">
      <c r="A2415">
        <v>2415</v>
      </c>
      <c r="B2415" t="s">
        <v>808</v>
      </c>
      <c r="C2415" t="s">
        <v>6258</v>
      </c>
      <c r="D2415" t="s">
        <v>6259</v>
      </c>
      <c r="E2415" t="s">
        <v>2046</v>
      </c>
    </row>
    <row r="2416" spans="1:5" x14ac:dyDescent="0.2">
      <c r="A2416">
        <v>2416</v>
      </c>
      <c r="B2416" t="s">
        <v>808</v>
      </c>
      <c r="C2416" t="s">
        <v>6260</v>
      </c>
      <c r="D2416" t="s">
        <v>6261</v>
      </c>
      <c r="E2416" t="s">
        <v>2164</v>
      </c>
    </row>
    <row r="2417" spans="1:5" x14ac:dyDescent="0.2">
      <c r="A2417">
        <v>2417</v>
      </c>
      <c r="B2417" t="s">
        <v>808</v>
      </c>
      <c r="C2417" t="s">
        <v>6262</v>
      </c>
      <c r="D2417" t="s">
        <v>6263</v>
      </c>
      <c r="E2417" t="s">
        <v>2164</v>
      </c>
    </row>
    <row r="2418" spans="1:5" x14ac:dyDescent="0.2">
      <c r="A2418">
        <v>2418</v>
      </c>
      <c r="B2418" t="s">
        <v>808</v>
      </c>
      <c r="C2418" t="s">
        <v>6264</v>
      </c>
      <c r="D2418" t="s">
        <v>6265</v>
      </c>
      <c r="E2418" t="s">
        <v>2164</v>
      </c>
    </row>
    <row r="2419" spans="1:5" x14ac:dyDescent="0.2">
      <c r="A2419">
        <v>2419</v>
      </c>
      <c r="B2419" t="s">
        <v>808</v>
      </c>
      <c r="C2419" t="s">
        <v>6266</v>
      </c>
      <c r="D2419" t="s">
        <v>6267</v>
      </c>
      <c r="E2419" t="s">
        <v>2164</v>
      </c>
    </row>
    <row r="2420" spans="1:5" x14ac:dyDescent="0.2">
      <c r="A2420">
        <v>2420</v>
      </c>
      <c r="B2420" t="s">
        <v>808</v>
      </c>
      <c r="C2420" t="s">
        <v>6268</v>
      </c>
      <c r="D2420" t="s">
        <v>6269</v>
      </c>
      <c r="E2420" t="s">
        <v>2164</v>
      </c>
    </row>
    <row r="2421" spans="1:5" x14ac:dyDescent="0.2">
      <c r="A2421">
        <v>2421</v>
      </c>
      <c r="B2421" t="s">
        <v>808</v>
      </c>
      <c r="C2421" t="s">
        <v>6270</v>
      </c>
      <c r="D2421" t="s">
        <v>6271</v>
      </c>
      <c r="E2421" t="s">
        <v>2164</v>
      </c>
    </row>
    <row r="2422" spans="1:5" x14ac:dyDescent="0.2">
      <c r="A2422">
        <v>2422</v>
      </c>
      <c r="B2422" t="s">
        <v>808</v>
      </c>
      <c r="C2422" t="s">
        <v>6272</v>
      </c>
      <c r="D2422" t="s">
        <v>6273</v>
      </c>
      <c r="E2422" t="s">
        <v>2164</v>
      </c>
    </row>
    <row r="2423" spans="1:5" x14ac:dyDescent="0.2">
      <c r="A2423">
        <v>2423</v>
      </c>
      <c r="B2423" t="s">
        <v>808</v>
      </c>
      <c r="C2423" t="s">
        <v>6274</v>
      </c>
      <c r="D2423" t="s">
        <v>6275</v>
      </c>
      <c r="E2423" t="s">
        <v>2164</v>
      </c>
    </row>
    <row r="2424" spans="1:5" x14ac:dyDescent="0.2">
      <c r="A2424">
        <v>2424</v>
      </c>
      <c r="B2424" t="s">
        <v>808</v>
      </c>
      <c r="C2424" t="s">
        <v>6276</v>
      </c>
      <c r="D2424" t="s">
        <v>6277</v>
      </c>
      <c r="E2424" t="s">
        <v>2164</v>
      </c>
    </row>
    <row r="2425" spans="1:5" x14ac:dyDescent="0.2">
      <c r="A2425">
        <v>2425</v>
      </c>
      <c r="B2425" t="s">
        <v>808</v>
      </c>
      <c r="C2425" t="s">
        <v>6278</v>
      </c>
      <c r="D2425" t="s">
        <v>6279</v>
      </c>
      <c r="E2425" t="s">
        <v>2164</v>
      </c>
    </row>
    <row r="2426" spans="1:5" x14ac:dyDescent="0.2">
      <c r="A2426">
        <v>2426</v>
      </c>
      <c r="B2426" t="s">
        <v>808</v>
      </c>
      <c r="C2426" t="s">
        <v>6280</v>
      </c>
      <c r="D2426" t="s">
        <v>6281</v>
      </c>
      <c r="E2426" t="s">
        <v>2164</v>
      </c>
    </row>
    <row r="2427" spans="1:5" x14ac:dyDescent="0.2">
      <c r="A2427">
        <v>2427</v>
      </c>
      <c r="B2427" t="s">
        <v>808</v>
      </c>
      <c r="C2427" t="s">
        <v>6282</v>
      </c>
      <c r="D2427" t="s">
        <v>6283</v>
      </c>
      <c r="E2427" t="s">
        <v>2164</v>
      </c>
    </row>
    <row r="2428" spans="1:5" x14ac:dyDescent="0.2">
      <c r="A2428">
        <v>2428</v>
      </c>
      <c r="B2428" t="s">
        <v>808</v>
      </c>
      <c r="C2428" t="s">
        <v>6284</v>
      </c>
      <c r="D2428" t="s">
        <v>6285</v>
      </c>
      <c r="E2428" t="s">
        <v>2164</v>
      </c>
    </row>
    <row r="2429" spans="1:5" x14ac:dyDescent="0.2">
      <c r="A2429">
        <v>2429</v>
      </c>
      <c r="B2429" t="s">
        <v>808</v>
      </c>
      <c r="C2429" t="s">
        <v>6286</v>
      </c>
      <c r="D2429" t="s">
        <v>6287</v>
      </c>
      <c r="E2429" t="s">
        <v>2164</v>
      </c>
    </row>
    <row r="2430" spans="1:5" x14ac:dyDescent="0.2">
      <c r="A2430">
        <v>2430</v>
      </c>
      <c r="B2430" t="s">
        <v>808</v>
      </c>
      <c r="C2430" t="s">
        <v>6288</v>
      </c>
      <c r="D2430" t="s">
        <v>6289</v>
      </c>
      <c r="E2430" t="s">
        <v>2164</v>
      </c>
    </row>
    <row r="2431" spans="1:5" x14ac:dyDescent="0.2">
      <c r="A2431">
        <v>2431</v>
      </c>
      <c r="B2431" t="s">
        <v>808</v>
      </c>
      <c r="C2431" t="s">
        <v>6290</v>
      </c>
      <c r="D2431" t="s">
        <v>6291</v>
      </c>
      <c r="E2431" t="s">
        <v>2164</v>
      </c>
    </row>
    <row r="2432" spans="1:5" x14ac:dyDescent="0.2">
      <c r="A2432">
        <v>2432</v>
      </c>
      <c r="B2432" t="s">
        <v>808</v>
      </c>
      <c r="C2432" t="s">
        <v>6292</v>
      </c>
      <c r="D2432" t="s">
        <v>6293</v>
      </c>
      <c r="E2432" t="s">
        <v>2164</v>
      </c>
    </row>
    <row r="2433" spans="1:5" x14ac:dyDescent="0.2">
      <c r="A2433">
        <v>2433</v>
      </c>
      <c r="B2433" t="s">
        <v>808</v>
      </c>
      <c r="C2433" t="s">
        <v>6294</v>
      </c>
      <c r="D2433" t="s">
        <v>6295</v>
      </c>
      <c r="E2433" t="s">
        <v>2164</v>
      </c>
    </row>
    <row r="2434" spans="1:5" x14ac:dyDescent="0.2">
      <c r="A2434">
        <v>2434</v>
      </c>
      <c r="B2434" t="s">
        <v>808</v>
      </c>
      <c r="C2434" t="s">
        <v>6296</v>
      </c>
      <c r="D2434" t="s">
        <v>6297</v>
      </c>
      <c r="E2434" t="s">
        <v>2046</v>
      </c>
    </row>
    <row r="2435" spans="1:5" x14ac:dyDescent="0.2">
      <c r="A2435">
        <v>2435</v>
      </c>
      <c r="B2435" t="s">
        <v>808</v>
      </c>
      <c r="C2435" t="s">
        <v>6298</v>
      </c>
      <c r="D2435" t="s">
        <v>6299</v>
      </c>
      <c r="E2435" t="s">
        <v>2164</v>
      </c>
    </row>
    <row r="2436" spans="1:5" x14ac:dyDescent="0.2">
      <c r="A2436">
        <v>2436</v>
      </c>
      <c r="B2436" t="s">
        <v>808</v>
      </c>
      <c r="C2436" t="s">
        <v>6300</v>
      </c>
      <c r="D2436" t="s">
        <v>6301</v>
      </c>
      <c r="E2436" t="s">
        <v>2164</v>
      </c>
    </row>
    <row r="2437" spans="1:5" x14ac:dyDescent="0.2">
      <c r="A2437">
        <v>2437</v>
      </c>
      <c r="B2437" t="s">
        <v>808</v>
      </c>
      <c r="C2437" t="s">
        <v>6302</v>
      </c>
      <c r="D2437" t="s">
        <v>6303</v>
      </c>
      <c r="E2437" t="s">
        <v>2164</v>
      </c>
    </row>
    <row r="2438" spans="1:5" x14ac:dyDescent="0.2">
      <c r="A2438">
        <v>2438</v>
      </c>
      <c r="B2438" t="s">
        <v>808</v>
      </c>
      <c r="C2438" t="s">
        <v>6304</v>
      </c>
      <c r="D2438" t="s">
        <v>6305</v>
      </c>
      <c r="E2438" t="s">
        <v>2046</v>
      </c>
    </row>
    <row r="2439" spans="1:5" x14ac:dyDescent="0.2">
      <c r="A2439">
        <v>2439</v>
      </c>
      <c r="B2439" t="s">
        <v>808</v>
      </c>
      <c r="C2439" t="s">
        <v>6306</v>
      </c>
      <c r="D2439" t="s">
        <v>6307</v>
      </c>
      <c r="E2439" t="s">
        <v>2164</v>
      </c>
    </row>
    <row r="2440" spans="1:5" x14ac:dyDescent="0.2">
      <c r="A2440">
        <v>2440</v>
      </c>
      <c r="B2440" t="s">
        <v>808</v>
      </c>
      <c r="C2440" t="s">
        <v>6308</v>
      </c>
      <c r="D2440" t="s">
        <v>6309</v>
      </c>
      <c r="E2440" t="s">
        <v>2164</v>
      </c>
    </row>
    <row r="2441" spans="1:5" x14ac:dyDescent="0.2">
      <c r="A2441">
        <v>2441</v>
      </c>
      <c r="B2441" t="s">
        <v>808</v>
      </c>
      <c r="C2441" t="s">
        <v>6310</v>
      </c>
      <c r="D2441" t="s">
        <v>6311</v>
      </c>
      <c r="E2441" t="s">
        <v>2164</v>
      </c>
    </row>
    <row r="2442" spans="1:5" x14ac:dyDescent="0.2">
      <c r="A2442">
        <v>2442</v>
      </c>
      <c r="B2442" t="s">
        <v>808</v>
      </c>
      <c r="C2442" t="s">
        <v>6312</v>
      </c>
      <c r="D2442" t="s">
        <v>6313</v>
      </c>
      <c r="E2442" t="s">
        <v>2164</v>
      </c>
    </row>
    <row r="2443" spans="1:5" x14ac:dyDescent="0.2">
      <c r="A2443">
        <v>2443</v>
      </c>
      <c r="B2443" t="s">
        <v>808</v>
      </c>
      <c r="C2443" t="s">
        <v>6314</v>
      </c>
      <c r="D2443" t="s">
        <v>6315</v>
      </c>
      <c r="E2443" t="s">
        <v>2164</v>
      </c>
    </row>
    <row r="2444" spans="1:5" x14ac:dyDescent="0.2">
      <c r="A2444">
        <v>2444</v>
      </c>
      <c r="B2444" t="s">
        <v>808</v>
      </c>
      <c r="C2444" t="s">
        <v>6316</v>
      </c>
      <c r="D2444" t="s">
        <v>6317</v>
      </c>
      <c r="E2444" t="s">
        <v>2164</v>
      </c>
    </row>
    <row r="2445" spans="1:5" x14ac:dyDescent="0.2">
      <c r="A2445">
        <v>2445</v>
      </c>
      <c r="B2445" t="s">
        <v>808</v>
      </c>
      <c r="C2445" t="s">
        <v>6318</v>
      </c>
      <c r="D2445" t="s">
        <v>6319</v>
      </c>
      <c r="E2445" t="s">
        <v>2164</v>
      </c>
    </row>
    <row r="2446" spans="1:5" x14ac:dyDescent="0.2">
      <c r="A2446">
        <v>2446</v>
      </c>
      <c r="B2446" t="s">
        <v>808</v>
      </c>
      <c r="C2446" t="s">
        <v>6320</v>
      </c>
      <c r="D2446" t="s">
        <v>6321</v>
      </c>
      <c r="E2446" t="s">
        <v>2164</v>
      </c>
    </row>
    <row r="2447" spans="1:5" x14ac:dyDescent="0.2">
      <c r="A2447">
        <v>2447</v>
      </c>
      <c r="B2447" t="s">
        <v>808</v>
      </c>
      <c r="C2447" t="s">
        <v>6322</v>
      </c>
      <c r="D2447" t="s">
        <v>6323</v>
      </c>
      <c r="E2447" t="s">
        <v>2164</v>
      </c>
    </row>
    <row r="2448" spans="1:5" x14ac:dyDescent="0.2">
      <c r="A2448">
        <v>2448</v>
      </c>
      <c r="B2448" t="s">
        <v>808</v>
      </c>
      <c r="C2448" t="s">
        <v>6324</v>
      </c>
      <c r="D2448" t="s">
        <v>6325</v>
      </c>
      <c r="E2448" t="s">
        <v>2164</v>
      </c>
    </row>
    <row r="2449" spans="1:5" x14ac:dyDescent="0.2">
      <c r="A2449">
        <v>2449</v>
      </c>
      <c r="B2449" t="s">
        <v>810</v>
      </c>
      <c r="C2449" t="s">
        <v>6326</v>
      </c>
      <c r="D2449" t="s">
        <v>6327</v>
      </c>
      <c r="E2449" t="s">
        <v>2365</v>
      </c>
    </row>
    <row r="2450" spans="1:5" x14ac:dyDescent="0.2">
      <c r="A2450">
        <v>2450</v>
      </c>
      <c r="B2450" t="s">
        <v>810</v>
      </c>
      <c r="C2450" t="s">
        <v>6328</v>
      </c>
      <c r="D2450" t="s">
        <v>6329</v>
      </c>
      <c r="E2450" t="s">
        <v>2365</v>
      </c>
    </row>
    <row r="2451" spans="1:5" x14ac:dyDescent="0.2">
      <c r="A2451">
        <v>2451</v>
      </c>
      <c r="B2451" t="s">
        <v>810</v>
      </c>
      <c r="C2451" t="s">
        <v>6330</v>
      </c>
      <c r="D2451" t="s">
        <v>6331</v>
      </c>
      <c r="E2451" t="s">
        <v>2365</v>
      </c>
    </row>
    <row r="2452" spans="1:5" x14ac:dyDescent="0.2">
      <c r="A2452">
        <v>2452</v>
      </c>
      <c r="B2452" t="s">
        <v>810</v>
      </c>
      <c r="C2452" t="s">
        <v>6332</v>
      </c>
      <c r="D2452" t="s">
        <v>6333</v>
      </c>
      <c r="E2452" t="s">
        <v>2365</v>
      </c>
    </row>
    <row r="2453" spans="1:5" x14ac:dyDescent="0.2">
      <c r="A2453">
        <v>2453</v>
      </c>
      <c r="B2453" t="s">
        <v>810</v>
      </c>
      <c r="C2453" t="s">
        <v>6334</v>
      </c>
      <c r="D2453" t="s">
        <v>6335</v>
      </c>
      <c r="E2453" t="s">
        <v>2365</v>
      </c>
    </row>
    <row r="2454" spans="1:5" x14ac:dyDescent="0.2">
      <c r="A2454">
        <v>2454</v>
      </c>
      <c r="B2454" t="s">
        <v>810</v>
      </c>
      <c r="C2454" t="s">
        <v>6336</v>
      </c>
      <c r="D2454" t="s">
        <v>6337</v>
      </c>
      <c r="E2454" t="s">
        <v>2365</v>
      </c>
    </row>
    <row r="2455" spans="1:5" x14ac:dyDescent="0.2">
      <c r="A2455">
        <v>2455</v>
      </c>
      <c r="B2455" t="s">
        <v>810</v>
      </c>
      <c r="C2455" t="s">
        <v>6338</v>
      </c>
      <c r="D2455" t="s">
        <v>6339</v>
      </c>
      <c r="E2455" t="s">
        <v>2365</v>
      </c>
    </row>
    <row r="2456" spans="1:5" x14ac:dyDescent="0.2">
      <c r="A2456">
        <v>2456</v>
      </c>
      <c r="B2456" t="s">
        <v>810</v>
      </c>
      <c r="C2456" t="s">
        <v>6340</v>
      </c>
      <c r="D2456" t="s">
        <v>6341</v>
      </c>
      <c r="E2456" t="s">
        <v>2365</v>
      </c>
    </row>
    <row r="2457" spans="1:5" x14ac:dyDescent="0.2">
      <c r="A2457">
        <v>2457</v>
      </c>
      <c r="B2457" t="s">
        <v>812</v>
      </c>
      <c r="C2457" t="s">
        <v>6342</v>
      </c>
      <c r="D2457" t="s">
        <v>6343</v>
      </c>
      <c r="E2457" t="s">
        <v>1790</v>
      </c>
    </row>
    <row r="2458" spans="1:5" x14ac:dyDescent="0.2">
      <c r="A2458">
        <v>2458</v>
      </c>
      <c r="B2458" t="s">
        <v>812</v>
      </c>
      <c r="C2458" t="s">
        <v>6344</v>
      </c>
      <c r="D2458" t="s">
        <v>6345</v>
      </c>
      <c r="E2458" t="s">
        <v>1790</v>
      </c>
    </row>
    <row r="2459" spans="1:5" x14ac:dyDescent="0.2">
      <c r="A2459">
        <v>2459</v>
      </c>
      <c r="B2459" t="s">
        <v>812</v>
      </c>
      <c r="C2459" t="s">
        <v>6346</v>
      </c>
      <c r="D2459" t="s">
        <v>6347</v>
      </c>
      <c r="E2459" t="s">
        <v>1790</v>
      </c>
    </row>
    <row r="2460" spans="1:5" x14ac:dyDescent="0.2">
      <c r="A2460">
        <v>2460</v>
      </c>
      <c r="B2460" t="s">
        <v>812</v>
      </c>
      <c r="C2460" t="s">
        <v>6348</v>
      </c>
      <c r="D2460" t="s">
        <v>6349</v>
      </c>
      <c r="E2460" t="s">
        <v>1790</v>
      </c>
    </row>
    <row r="2461" spans="1:5" x14ac:dyDescent="0.2">
      <c r="A2461">
        <v>2461</v>
      </c>
      <c r="B2461" t="s">
        <v>812</v>
      </c>
      <c r="C2461" t="s">
        <v>6350</v>
      </c>
      <c r="D2461" t="s">
        <v>6351</v>
      </c>
      <c r="E2461" t="s">
        <v>1790</v>
      </c>
    </row>
    <row r="2462" spans="1:5" x14ac:dyDescent="0.2">
      <c r="A2462">
        <v>2462</v>
      </c>
      <c r="B2462" t="s">
        <v>812</v>
      </c>
      <c r="C2462" t="s">
        <v>6352</v>
      </c>
      <c r="D2462" t="s">
        <v>6353</v>
      </c>
      <c r="E2462" t="s">
        <v>1790</v>
      </c>
    </row>
    <row r="2463" spans="1:5" x14ac:dyDescent="0.2">
      <c r="A2463">
        <v>2463</v>
      </c>
      <c r="B2463" t="s">
        <v>812</v>
      </c>
      <c r="C2463" t="s">
        <v>6354</v>
      </c>
      <c r="D2463" t="s">
        <v>6355</v>
      </c>
      <c r="E2463" t="s">
        <v>1790</v>
      </c>
    </row>
    <row r="2464" spans="1:5" x14ac:dyDescent="0.2">
      <c r="A2464">
        <v>2464</v>
      </c>
      <c r="B2464" t="s">
        <v>812</v>
      </c>
      <c r="C2464" t="s">
        <v>6356</v>
      </c>
      <c r="D2464" t="s">
        <v>6357</v>
      </c>
      <c r="E2464" t="s">
        <v>1790</v>
      </c>
    </row>
    <row r="2465" spans="1:5" x14ac:dyDescent="0.2">
      <c r="A2465">
        <v>2465</v>
      </c>
      <c r="B2465" t="s">
        <v>812</v>
      </c>
      <c r="C2465" t="s">
        <v>6358</v>
      </c>
      <c r="D2465" t="s">
        <v>6359</v>
      </c>
      <c r="E2465" t="s">
        <v>1790</v>
      </c>
    </row>
    <row r="2466" spans="1:5" x14ac:dyDescent="0.2">
      <c r="A2466">
        <v>2466</v>
      </c>
      <c r="B2466" t="s">
        <v>812</v>
      </c>
      <c r="C2466" t="s">
        <v>6360</v>
      </c>
      <c r="D2466" t="s">
        <v>6361</v>
      </c>
      <c r="E2466" t="s">
        <v>1790</v>
      </c>
    </row>
    <row r="2467" spans="1:5" x14ac:dyDescent="0.2">
      <c r="A2467">
        <v>2467</v>
      </c>
      <c r="B2467" t="s">
        <v>814</v>
      </c>
      <c r="C2467" t="s">
        <v>6362</v>
      </c>
      <c r="D2467" t="s">
        <v>6363</v>
      </c>
      <c r="E2467" t="s">
        <v>1788</v>
      </c>
    </row>
    <row r="2468" spans="1:5" x14ac:dyDescent="0.2">
      <c r="A2468">
        <v>2468</v>
      </c>
      <c r="B2468" t="s">
        <v>814</v>
      </c>
      <c r="C2468" t="s">
        <v>6364</v>
      </c>
      <c r="D2468" t="s">
        <v>6365</v>
      </c>
      <c r="E2468" t="s">
        <v>1788</v>
      </c>
    </row>
    <row r="2469" spans="1:5" x14ac:dyDescent="0.2">
      <c r="A2469">
        <v>2469</v>
      </c>
      <c r="B2469" t="s">
        <v>814</v>
      </c>
      <c r="C2469" t="s">
        <v>6366</v>
      </c>
      <c r="D2469" t="s">
        <v>6367</v>
      </c>
      <c r="E2469" t="s">
        <v>1788</v>
      </c>
    </row>
    <row r="2470" spans="1:5" x14ac:dyDescent="0.2">
      <c r="A2470">
        <v>2470</v>
      </c>
      <c r="B2470" t="s">
        <v>814</v>
      </c>
      <c r="C2470" t="s">
        <v>6368</v>
      </c>
      <c r="D2470" t="s">
        <v>6369</v>
      </c>
      <c r="E2470" t="s">
        <v>1788</v>
      </c>
    </row>
    <row r="2471" spans="1:5" x14ac:dyDescent="0.2">
      <c r="A2471">
        <v>2471</v>
      </c>
      <c r="B2471" t="s">
        <v>814</v>
      </c>
      <c r="C2471" t="s">
        <v>6370</v>
      </c>
      <c r="D2471" t="s">
        <v>6371</v>
      </c>
      <c r="E2471" t="s">
        <v>1788</v>
      </c>
    </row>
    <row r="2472" spans="1:5" x14ac:dyDescent="0.2">
      <c r="A2472">
        <v>2472</v>
      </c>
      <c r="B2472" t="s">
        <v>814</v>
      </c>
      <c r="C2472" t="s">
        <v>6372</v>
      </c>
      <c r="D2472" t="s">
        <v>6373</v>
      </c>
      <c r="E2472" t="s">
        <v>1788</v>
      </c>
    </row>
    <row r="2473" spans="1:5" x14ac:dyDescent="0.2">
      <c r="A2473">
        <v>2473</v>
      </c>
      <c r="B2473" t="s">
        <v>814</v>
      </c>
      <c r="C2473" t="s">
        <v>6374</v>
      </c>
      <c r="D2473" t="s">
        <v>6375</v>
      </c>
      <c r="E2473" t="s">
        <v>1788</v>
      </c>
    </row>
    <row r="2474" spans="1:5" x14ac:dyDescent="0.2">
      <c r="A2474">
        <v>2474</v>
      </c>
      <c r="B2474" t="s">
        <v>814</v>
      </c>
      <c r="C2474" t="s">
        <v>6376</v>
      </c>
      <c r="D2474" t="s">
        <v>6377</v>
      </c>
      <c r="E2474" t="s">
        <v>1788</v>
      </c>
    </row>
    <row r="2475" spans="1:5" x14ac:dyDescent="0.2">
      <c r="A2475">
        <v>2475</v>
      </c>
      <c r="B2475" t="s">
        <v>814</v>
      </c>
      <c r="C2475" t="s">
        <v>6378</v>
      </c>
      <c r="D2475" t="s">
        <v>6379</v>
      </c>
      <c r="E2475" t="s">
        <v>1788</v>
      </c>
    </row>
    <row r="2476" spans="1:5" x14ac:dyDescent="0.2">
      <c r="A2476">
        <v>2476</v>
      </c>
      <c r="B2476" t="s">
        <v>814</v>
      </c>
      <c r="C2476" t="s">
        <v>6380</v>
      </c>
      <c r="D2476" t="s">
        <v>6381</v>
      </c>
      <c r="E2476" t="s">
        <v>1788</v>
      </c>
    </row>
    <row r="2477" spans="1:5" x14ac:dyDescent="0.2">
      <c r="A2477">
        <v>2477</v>
      </c>
      <c r="B2477" t="s">
        <v>814</v>
      </c>
      <c r="C2477" t="s">
        <v>6382</v>
      </c>
      <c r="D2477" t="s">
        <v>6383</v>
      </c>
      <c r="E2477" t="s">
        <v>1788</v>
      </c>
    </row>
    <row r="2478" spans="1:5" x14ac:dyDescent="0.2">
      <c r="A2478">
        <v>2478</v>
      </c>
      <c r="B2478" t="s">
        <v>814</v>
      </c>
      <c r="C2478" t="s">
        <v>6384</v>
      </c>
      <c r="D2478" t="s">
        <v>6385</v>
      </c>
      <c r="E2478" t="s">
        <v>1788</v>
      </c>
    </row>
    <row r="2479" spans="1:5" x14ac:dyDescent="0.2">
      <c r="A2479">
        <v>2479</v>
      </c>
      <c r="B2479" t="s">
        <v>814</v>
      </c>
      <c r="C2479" t="s">
        <v>6386</v>
      </c>
      <c r="D2479" t="s">
        <v>6387</v>
      </c>
      <c r="E2479" t="s">
        <v>1788</v>
      </c>
    </row>
    <row r="2480" spans="1:5" x14ac:dyDescent="0.2">
      <c r="A2480">
        <v>2480</v>
      </c>
      <c r="B2480" t="s">
        <v>814</v>
      </c>
      <c r="C2480" t="s">
        <v>6388</v>
      </c>
      <c r="D2480" t="s">
        <v>6389</v>
      </c>
      <c r="E2480" t="s">
        <v>1788</v>
      </c>
    </row>
    <row r="2481" spans="1:5" x14ac:dyDescent="0.2">
      <c r="A2481">
        <v>2481</v>
      </c>
      <c r="B2481" t="s">
        <v>814</v>
      </c>
      <c r="C2481" t="s">
        <v>6390</v>
      </c>
      <c r="D2481" t="s">
        <v>6391</v>
      </c>
      <c r="E2481" t="s">
        <v>1788</v>
      </c>
    </row>
    <row r="2482" spans="1:5" x14ac:dyDescent="0.2">
      <c r="A2482">
        <v>2482</v>
      </c>
      <c r="B2482" t="s">
        <v>6392</v>
      </c>
      <c r="C2482" t="s">
        <v>6393</v>
      </c>
      <c r="D2482" t="s">
        <v>6394</v>
      </c>
      <c r="E2482" t="s">
        <v>6395</v>
      </c>
    </row>
    <row r="2483" spans="1:5" x14ac:dyDescent="0.2">
      <c r="A2483">
        <v>2483</v>
      </c>
      <c r="B2483" t="s">
        <v>6392</v>
      </c>
      <c r="C2483" t="s">
        <v>6396</v>
      </c>
      <c r="D2483" t="s">
        <v>6397</v>
      </c>
      <c r="E2483" t="s">
        <v>6395</v>
      </c>
    </row>
    <row r="2484" spans="1:5" x14ac:dyDescent="0.2">
      <c r="A2484">
        <v>2484</v>
      </c>
      <c r="B2484" t="s">
        <v>6392</v>
      </c>
      <c r="C2484" t="s">
        <v>6398</v>
      </c>
      <c r="D2484" t="s">
        <v>6399</v>
      </c>
      <c r="E2484" t="s">
        <v>6395</v>
      </c>
    </row>
    <row r="2485" spans="1:5" x14ac:dyDescent="0.2">
      <c r="A2485">
        <v>2485</v>
      </c>
      <c r="B2485" t="s">
        <v>6392</v>
      </c>
      <c r="C2485" t="s">
        <v>6400</v>
      </c>
      <c r="D2485" t="s">
        <v>6401</v>
      </c>
      <c r="E2485" t="s">
        <v>6395</v>
      </c>
    </row>
    <row r="2486" spans="1:5" x14ac:dyDescent="0.2">
      <c r="A2486">
        <v>2486</v>
      </c>
      <c r="B2486" t="s">
        <v>6392</v>
      </c>
      <c r="C2486" t="s">
        <v>6402</v>
      </c>
      <c r="D2486" t="s">
        <v>6403</v>
      </c>
      <c r="E2486" t="s">
        <v>6395</v>
      </c>
    </row>
    <row r="2487" spans="1:5" x14ac:dyDescent="0.2">
      <c r="A2487">
        <v>2487</v>
      </c>
      <c r="B2487" t="s">
        <v>6392</v>
      </c>
      <c r="C2487" t="s">
        <v>6404</v>
      </c>
      <c r="D2487" t="s">
        <v>6405</v>
      </c>
      <c r="E2487" t="s">
        <v>6395</v>
      </c>
    </row>
    <row r="2488" spans="1:5" x14ac:dyDescent="0.2">
      <c r="A2488">
        <v>2488</v>
      </c>
      <c r="B2488" t="s">
        <v>6392</v>
      </c>
      <c r="C2488" t="s">
        <v>6406</v>
      </c>
      <c r="D2488" t="s">
        <v>6407</v>
      </c>
      <c r="E2488" t="s">
        <v>6395</v>
      </c>
    </row>
    <row r="2489" spans="1:5" x14ac:dyDescent="0.2">
      <c r="A2489">
        <v>2489</v>
      </c>
      <c r="B2489" t="s">
        <v>6392</v>
      </c>
      <c r="C2489" t="s">
        <v>6408</v>
      </c>
      <c r="D2489" t="s">
        <v>6409</v>
      </c>
      <c r="E2489" t="s">
        <v>6395</v>
      </c>
    </row>
    <row r="2490" spans="1:5" x14ac:dyDescent="0.2">
      <c r="A2490">
        <v>2490</v>
      </c>
      <c r="B2490" t="s">
        <v>6392</v>
      </c>
      <c r="C2490" t="s">
        <v>6410</v>
      </c>
      <c r="D2490" t="s">
        <v>6411</v>
      </c>
      <c r="E2490" t="s">
        <v>6395</v>
      </c>
    </row>
    <row r="2491" spans="1:5" x14ac:dyDescent="0.2">
      <c r="A2491">
        <v>2491</v>
      </c>
      <c r="B2491" t="s">
        <v>6392</v>
      </c>
      <c r="C2491" t="s">
        <v>6412</v>
      </c>
      <c r="D2491" t="s">
        <v>6413</v>
      </c>
      <c r="E2491" t="s">
        <v>6395</v>
      </c>
    </row>
    <row r="2492" spans="1:5" x14ac:dyDescent="0.2">
      <c r="A2492">
        <v>2492</v>
      </c>
      <c r="B2492" t="s">
        <v>6392</v>
      </c>
      <c r="C2492" t="s">
        <v>6414</v>
      </c>
      <c r="D2492" t="s">
        <v>6415</v>
      </c>
      <c r="E2492" t="s">
        <v>6395</v>
      </c>
    </row>
    <row r="2493" spans="1:5" x14ac:dyDescent="0.2">
      <c r="A2493">
        <v>2493</v>
      </c>
      <c r="B2493" t="s">
        <v>6392</v>
      </c>
      <c r="C2493" t="s">
        <v>6416</v>
      </c>
      <c r="D2493" t="s">
        <v>6417</v>
      </c>
      <c r="E2493" t="s">
        <v>6395</v>
      </c>
    </row>
    <row r="2494" spans="1:5" x14ac:dyDescent="0.2">
      <c r="A2494">
        <v>2494</v>
      </c>
      <c r="B2494" t="s">
        <v>6392</v>
      </c>
      <c r="C2494" t="s">
        <v>6418</v>
      </c>
      <c r="D2494" t="s">
        <v>6419</v>
      </c>
      <c r="E2494" t="s">
        <v>6395</v>
      </c>
    </row>
    <row r="2495" spans="1:5" x14ac:dyDescent="0.2">
      <c r="A2495">
        <v>2495</v>
      </c>
      <c r="B2495" t="s">
        <v>6392</v>
      </c>
      <c r="C2495" t="s">
        <v>6420</v>
      </c>
      <c r="D2495" t="s">
        <v>6421</v>
      </c>
      <c r="E2495" t="s">
        <v>6395</v>
      </c>
    </row>
    <row r="2496" spans="1:5" x14ac:dyDescent="0.2">
      <c r="A2496">
        <v>2496</v>
      </c>
      <c r="B2496" t="s">
        <v>6392</v>
      </c>
      <c r="C2496" t="s">
        <v>6422</v>
      </c>
      <c r="D2496" t="s">
        <v>6423</v>
      </c>
      <c r="E2496" t="s">
        <v>6395</v>
      </c>
    </row>
    <row r="2497" spans="1:5" x14ac:dyDescent="0.2">
      <c r="A2497">
        <v>2497</v>
      </c>
      <c r="B2497" t="s">
        <v>6392</v>
      </c>
      <c r="C2497" t="s">
        <v>6424</v>
      </c>
      <c r="D2497" t="s">
        <v>6425</v>
      </c>
      <c r="E2497" t="s">
        <v>6395</v>
      </c>
    </row>
    <row r="2498" spans="1:5" x14ac:dyDescent="0.2">
      <c r="A2498">
        <v>2498</v>
      </c>
      <c r="B2498" t="s">
        <v>6392</v>
      </c>
      <c r="C2498" t="s">
        <v>6426</v>
      </c>
      <c r="D2498" t="s">
        <v>6427</v>
      </c>
      <c r="E2498" t="s">
        <v>6395</v>
      </c>
    </row>
    <row r="2499" spans="1:5" x14ac:dyDescent="0.2">
      <c r="A2499">
        <v>2499</v>
      </c>
      <c r="B2499" t="s">
        <v>6392</v>
      </c>
      <c r="C2499" t="s">
        <v>6428</v>
      </c>
      <c r="D2499" t="s">
        <v>6429</v>
      </c>
      <c r="E2499" t="s">
        <v>6395</v>
      </c>
    </row>
    <row r="2500" spans="1:5" x14ac:dyDescent="0.2">
      <c r="A2500">
        <v>2500</v>
      </c>
      <c r="B2500" t="s">
        <v>6392</v>
      </c>
      <c r="C2500" t="s">
        <v>6430</v>
      </c>
      <c r="D2500" t="s">
        <v>6431</v>
      </c>
      <c r="E2500" t="s">
        <v>6395</v>
      </c>
    </row>
    <row r="2501" spans="1:5" x14ac:dyDescent="0.2">
      <c r="A2501">
        <v>2501</v>
      </c>
      <c r="B2501" t="s">
        <v>6392</v>
      </c>
      <c r="C2501" t="s">
        <v>6432</v>
      </c>
      <c r="D2501" t="s">
        <v>6433</v>
      </c>
      <c r="E2501" t="s">
        <v>6395</v>
      </c>
    </row>
    <row r="2502" spans="1:5" x14ac:dyDescent="0.2">
      <c r="A2502">
        <v>2502</v>
      </c>
      <c r="B2502" t="s">
        <v>6392</v>
      </c>
      <c r="C2502" t="s">
        <v>6434</v>
      </c>
      <c r="D2502" t="s">
        <v>6435</v>
      </c>
      <c r="E2502" t="s">
        <v>6395</v>
      </c>
    </row>
    <row r="2503" spans="1:5" x14ac:dyDescent="0.2">
      <c r="A2503">
        <v>2503</v>
      </c>
      <c r="B2503" t="s">
        <v>6392</v>
      </c>
      <c r="C2503" t="s">
        <v>6436</v>
      </c>
      <c r="D2503" t="s">
        <v>6437</v>
      </c>
      <c r="E2503" t="s">
        <v>6395</v>
      </c>
    </row>
    <row r="2504" spans="1:5" x14ac:dyDescent="0.2">
      <c r="A2504">
        <v>2504</v>
      </c>
      <c r="B2504" t="s">
        <v>818</v>
      </c>
      <c r="C2504" t="s">
        <v>6438</v>
      </c>
      <c r="D2504" t="s">
        <v>6439</v>
      </c>
      <c r="E2504" t="s">
        <v>3162</v>
      </c>
    </row>
    <row r="2505" spans="1:5" x14ac:dyDescent="0.2">
      <c r="A2505">
        <v>2505</v>
      </c>
      <c r="B2505" t="s">
        <v>818</v>
      </c>
      <c r="C2505" t="s">
        <v>6440</v>
      </c>
      <c r="D2505" t="s">
        <v>6441</v>
      </c>
      <c r="E2505" t="s">
        <v>3162</v>
      </c>
    </row>
    <row r="2506" spans="1:5" x14ac:dyDescent="0.2">
      <c r="A2506">
        <v>2506</v>
      </c>
      <c r="B2506" t="s">
        <v>818</v>
      </c>
      <c r="C2506" t="s">
        <v>6442</v>
      </c>
      <c r="D2506" t="s">
        <v>6443</v>
      </c>
      <c r="E2506" t="s">
        <v>3162</v>
      </c>
    </row>
    <row r="2507" spans="1:5" x14ac:dyDescent="0.2">
      <c r="A2507">
        <v>2507</v>
      </c>
      <c r="B2507" t="s">
        <v>818</v>
      </c>
      <c r="C2507" t="s">
        <v>6444</v>
      </c>
      <c r="D2507" t="s">
        <v>6445</v>
      </c>
      <c r="E2507" t="s">
        <v>3162</v>
      </c>
    </row>
    <row r="2508" spans="1:5" x14ac:dyDescent="0.2">
      <c r="A2508">
        <v>2508</v>
      </c>
      <c r="B2508" t="s">
        <v>818</v>
      </c>
      <c r="C2508" t="s">
        <v>6446</v>
      </c>
      <c r="D2508" t="s">
        <v>6447</v>
      </c>
      <c r="E2508" t="s">
        <v>3162</v>
      </c>
    </row>
    <row r="2509" spans="1:5" x14ac:dyDescent="0.2">
      <c r="A2509">
        <v>2509</v>
      </c>
      <c r="B2509" t="s">
        <v>818</v>
      </c>
      <c r="C2509" t="s">
        <v>6448</v>
      </c>
      <c r="D2509" t="s">
        <v>6449</v>
      </c>
      <c r="E2509" t="s">
        <v>3162</v>
      </c>
    </row>
    <row r="2510" spans="1:5" x14ac:dyDescent="0.2">
      <c r="A2510">
        <v>2510</v>
      </c>
      <c r="B2510" t="s">
        <v>818</v>
      </c>
      <c r="C2510" t="s">
        <v>6450</v>
      </c>
      <c r="D2510" t="s">
        <v>6451</v>
      </c>
      <c r="E2510" t="s">
        <v>3162</v>
      </c>
    </row>
    <row r="2511" spans="1:5" x14ac:dyDescent="0.2">
      <c r="A2511">
        <v>2511</v>
      </c>
      <c r="B2511" t="s">
        <v>818</v>
      </c>
      <c r="C2511" t="s">
        <v>6452</v>
      </c>
      <c r="D2511" t="s">
        <v>6453</v>
      </c>
      <c r="E2511" t="s">
        <v>3162</v>
      </c>
    </row>
    <row r="2512" spans="1:5" x14ac:dyDescent="0.2">
      <c r="A2512">
        <v>2512</v>
      </c>
      <c r="B2512" t="s">
        <v>818</v>
      </c>
      <c r="C2512" t="s">
        <v>6454</v>
      </c>
      <c r="D2512" t="s">
        <v>6455</v>
      </c>
      <c r="E2512" t="s">
        <v>3162</v>
      </c>
    </row>
    <row r="2513" spans="1:5" x14ac:dyDescent="0.2">
      <c r="A2513">
        <v>2513</v>
      </c>
      <c r="B2513" t="s">
        <v>818</v>
      </c>
      <c r="C2513" t="s">
        <v>6456</v>
      </c>
      <c r="D2513" t="s">
        <v>6457</v>
      </c>
      <c r="E2513" t="s">
        <v>3162</v>
      </c>
    </row>
    <row r="2514" spans="1:5" x14ac:dyDescent="0.2">
      <c r="A2514">
        <v>2514</v>
      </c>
      <c r="B2514" t="s">
        <v>818</v>
      </c>
      <c r="C2514" t="s">
        <v>6458</v>
      </c>
      <c r="D2514" t="s">
        <v>6459</v>
      </c>
      <c r="E2514" t="s">
        <v>3162</v>
      </c>
    </row>
    <row r="2515" spans="1:5" x14ac:dyDescent="0.2">
      <c r="A2515">
        <v>2515</v>
      </c>
      <c r="B2515" t="s">
        <v>820</v>
      </c>
      <c r="C2515" t="s">
        <v>6460</v>
      </c>
      <c r="D2515" t="s">
        <v>6461</v>
      </c>
      <c r="E2515" t="s">
        <v>1788</v>
      </c>
    </row>
    <row r="2516" spans="1:5" x14ac:dyDescent="0.2">
      <c r="A2516">
        <v>2516</v>
      </c>
      <c r="B2516" t="s">
        <v>820</v>
      </c>
      <c r="C2516" t="s">
        <v>6462</v>
      </c>
      <c r="D2516" t="s">
        <v>6463</v>
      </c>
      <c r="E2516" t="s">
        <v>1788</v>
      </c>
    </row>
    <row r="2517" spans="1:5" x14ac:dyDescent="0.2">
      <c r="A2517">
        <v>2517</v>
      </c>
      <c r="B2517" t="s">
        <v>820</v>
      </c>
      <c r="C2517" t="s">
        <v>6464</v>
      </c>
      <c r="D2517" t="s">
        <v>6465</v>
      </c>
      <c r="E2517" t="s">
        <v>1788</v>
      </c>
    </row>
    <row r="2518" spans="1:5" x14ac:dyDescent="0.2">
      <c r="A2518">
        <v>2518</v>
      </c>
      <c r="B2518" t="s">
        <v>820</v>
      </c>
      <c r="C2518" t="s">
        <v>6466</v>
      </c>
      <c r="D2518" t="s">
        <v>6467</v>
      </c>
      <c r="E2518" t="s">
        <v>1788</v>
      </c>
    </row>
    <row r="2519" spans="1:5" x14ac:dyDescent="0.2">
      <c r="A2519">
        <v>2519</v>
      </c>
      <c r="B2519" t="s">
        <v>820</v>
      </c>
      <c r="C2519" t="s">
        <v>6468</v>
      </c>
      <c r="D2519" t="s">
        <v>6469</v>
      </c>
      <c r="E2519" t="s">
        <v>1788</v>
      </c>
    </row>
    <row r="2520" spans="1:5" x14ac:dyDescent="0.2">
      <c r="A2520">
        <v>2520</v>
      </c>
      <c r="B2520" t="s">
        <v>820</v>
      </c>
      <c r="C2520" t="s">
        <v>6470</v>
      </c>
      <c r="D2520" t="s">
        <v>6471</v>
      </c>
      <c r="E2520" t="s">
        <v>1788</v>
      </c>
    </row>
    <row r="2521" spans="1:5" x14ac:dyDescent="0.2">
      <c r="A2521">
        <v>2521</v>
      </c>
      <c r="B2521" t="s">
        <v>820</v>
      </c>
      <c r="C2521" t="s">
        <v>6472</v>
      </c>
      <c r="D2521" t="s">
        <v>6473</v>
      </c>
      <c r="E2521" t="s">
        <v>1788</v>
      </c>
    </row>
    <row r="2522" spans="1:5" x14ac:dyDescent="0.2">
      <c r="A2522">
        <v>2522</v>
      </c>
      <c r="B2522" t="s">
        <v>820</v>
      </c>
      <c r="C2522" t="s">
        <v>6474</v>
      </c>
      <c r="D2522" t="s">
        <v>6475</v>
      </c>
      <c r="E2522" t="s">
        <v>1788</v>
      </c>
    </row>
    <row r="2523" spans="1:5" x14ac:dyDescent="0.2">
      <c r="A2523">
        <v>2523</v>
      </c>
      <c r="B2523" t="s">
        <v>820</v>
      </c>
      <c r="C2523" t="s">
        <v>6476</v>
      </c>
      <c r="D2523" t="s">
        <v>6477</v>
      </c>
      <c r="E2523" t="s">
        <v>1788</v>
      </c>
    </row>
    <row r="2524" spans="1:5" x14ac:dyDescent="0.2">
      <c r="A2524">
        <v>2524</v>
      </c>
      <c r="B2524" t="s">
        <v>820</v>
      </c>
      <c r="C2524" t="s">
        <v>6478</v>
      </c>
      <c r="D2524" t="s">
        <v>6479</v>
      </c>
      <c r="E2524" t="s">
        <v>1788</v>
      </c>
    </row>
    <row r="2525" spans="1:5" x14ac:dyDescent="0.2">
      <c r="A2525">
        <v>2525</v>
      </c>
      <c r="B2525" t="s">
        <v>822</v>
      </c>
      <c r="C2525" t="s">
        <v>6480</v>
      </c>
      <c r="D2525" t="s">
        <v>1642</v>
      </c>
      <c r="E2525" t="s">
        <v>1790</v>
      </c>
    </row>
    <row r="2526" spans="1:5" x14ac:dyDescent="0.2">
      <c r="A2526">
        <v>2526</v>
      </c>
      <c r="B2526" t="s">
        <v>822</v>
      </c>
      <c r="C2526" t="s">
        <v>6480</v>
      </c>
      <c r="D2526" t="s">
        <v>6481</v>
      </c>
      <c r="E2526" t="s">
        <v>1790</v>
      </c>
    </row>
    <row r="2527" spans="1:5" x14ac:dyDescent="0.2">
      <c r="A2527">
        <v>2527</v>
      </c>
      <c r="B2527" t="s">
        <v>822</v>
      </c>
      <c r="C2527" t="s">
        <v>6480</v>
      </c>
      <c r="D2527" t="s">
        <v>6482</v>
      </c>
      <c r="E2527" t="s">
        <v>1790</v>
      </c>
    </row>
    <row r="2528" spans="1:5" x14ac:dyDescent="0.2">
      <c r="A2528">
        <v>2528</v>
      </c>
      <c r="B2528" t="s">
        <v>1112</v>
      </c>
      <c r="C2528" t="s">
        <v>6483</v>
      </c>
      <c r="D2528" t="s">
        <v>6484</v>
      </c>
      <c r="E2528" t="s">
        <v>2164</v>
      </c>
    </row>
    <row r="2529" spans="1:5" x14ac:dyDescent="0.2">
      <c r="A2529">
        <v>2529</v>
      </c>
      <c r="B2529" t="s">
        <v>1112</v>
      </c>
      <c r="C2529" t="s">
        <v>6485</v>
      </c>
      <c r="D2529" t="s">
        <v>6486</v>
      </c>
      <c r="E2529" t="s">
        <v>2164</v>
      </c>
    </row>
    <row r="2530" spans="1:5" x14ac:dyDescent="0.2">
      <c r="A2530">
        <v>2530</v>
      </c>
      <c r="B2530" t="s">
        <v>1112</v>
      </c>
      <c r="C2530" t="s">
        <v>6487</v>
      </c>
      <c r="D2530" t="s">
        <v>6488</v>
      </c>
      <c r="E2530" t="s">
        <v>2164</v>
      </c>
    </row>
    <row r="2531" spans="1:5" x14ac:dyDescent="0.2">
      <c r="A2531">
        <v>2531</v>
      </c>
      <c r="B2531" t="s">
        <v>1112</v>
      </c>
      <c r="C2531" t="s">
        <v>6489</v>
      </c>
      <c r="D2531" t="s">
        <v>6490</v>
      </c>
      <c r="E2531" t="s">
        <v>2164</v>
      </c>
    </row>
    <row r="2532" spans="1:5" x14ac:dyDescent="0.2">
      <c r="A2532">
        <v>2532</v>
      </c>
      <c r="B2532" t="s">
        <v>1112</v>
      </c>
      <c r="C2532" t="s">
        <v>6491</v>
      </c>
      <c r="D2532" t="s">
        <v>6492</v>
      </c>
      <c r="E2532" t="s">
        <v>2164</v>
      </c>
    </row>
    <row r="2533" spans="1:5" x14ac:dyDescent="0.2">
      <c r="A2533">
        <v>2533</v>
      </c>
      <c r="B2533" t="s">
        <v>1112</v>
      </c>
      <c r="C2533" t="s">
        <v>6493</v>
      </c>
      <c r="D2533" t="s">
        <v>6494</v>
      </c>
      <c r="E2533" t="s">
        <v>2164</v>
      </c>
    </row>
    <row r="2534" spans="1:5" x14ac:dyDescent="0.2">
      <c r="A2534">
        <v>2534</v>
      </c>
      <c r="B2534" t="s">
        <v>1112</v>
      </c>
      <c r="C2534" t="s">
        <v>6495</v>
      </c>
      <c r="D2534" t="s">
        <v>6496</v>
      </c>
      <c r="E2534" t="s">
        <v>2164</v>
      </c>
    </row>
    <row r="2535" spans="1:5" x14ac:dyDescent="0.2">
      <c r="A2535">
        <v>2535</v>
      </c>
      <c r="B2535" t="s">
        <v>1112</v>
      </c>
      <c r="C2535" t="s">
        <v>6497</v>
      </c>
      <c r="D2535" t="s">
        <v>6498</v>
      </c>
      <c r="E2535" t="s">
        <v>2164</v>
      </c>
    </row>
    <row r="2536" spans="1:5" x14ac:dyDescent="0.2">
      <c r="A2536">
        <v>2536</v>
      </c>
      <c r="B2536" t="s">
        <v>1112</v>
      </c>
      <c r="C2536" t="s">
        <v>6499</v>
      </c>
      <c r="D2536" t="s">
        <v>6500</v>
      </c>
      <c r="E2536" t="s">
        <v>2164</v>
      </c>
    </row>
    <row r="2537" spans="1:5" x14ac:dyDescent="0.2">
      <c r="A2537">
        <v>2537</v>
      </c>
      <c r="B2537" t="s">
        <v>1112</v>
      </c>
      <c r="C2537" t="s">
        <v>6501</v>
      </c>
      <c r="D2537" t="s">
        <v>6502</v>
      </c>
      <c r="E2537" t="s">
        <v>2164</v>
      </c>
    </row>
    <row r="2538" spans="1:5" x14ac:dyDescent="0.2">
      <c r="A2538">
        <v>2538</v>
      </c>
      <c r="B2538" t="s">
        <v>1112</v>
      </c>
      <c r="C2538" t="s">
        <v>6503</v>
      </c>
      <c r="D2538" t="s">
        <v>6504</v>
      </c>
      <c r="E2538" t="s">
        <v>2164</v>
      </c>
    </row>
    <row r="2539" spans="1:5" x14ac:dyDescent="0.2">
      <c r="A2539">
        <v>2539</v>
      </c>
      <c r="B2539" t="s">
        <v>1112</v>
      </c>
      <c r="C2539" t="s">
        <v>6505</v>
      </c>
      <c r="D2539" t="s">
        <v>6506</v>
      </c>
      <c r="E2539" t="s">
        <v>2164</v>
      </c>
    </row>
    <row r="2540" spans="1:5" x14ac:dyDescent="0.2">
      <c r="A2540">
        <v>2540</v>
      </c>
      <c r="B2540" t="s">
        <v>1112</v>
      </c>
      <c r="C2540" t="s">
        <v>6507</v>
      </c>
      <c r="D2540" t="s">
        <v>6508</v>
      </c>
      <c r="E2540" t="s">
        <v>2164</v>
      </c>
    </row>
    <row r="2541" spans="1:5" x14ac:dyDescent="0.2">
      <c r="A2541">
        <v>2541</v>
      </c>
      <c r="B2541" t="s">
        <v>1112</v>
      </c>
      <c r="C2541" t="s">
        <v>6509</v>
      </c>
      <c r="D2541" t="s">
        <v>6510</v>
      </c>
      <c r="E2541" t="s">
        <v>2164</v>
      </c>
    </row>
    <row r="2542" spans="1:5" x14ac:dyDescent="0.2">
      <c r="A2542">
        <v>2542</v>
      </c>
      <c r="B2542" t="s">
        <v>1112</v>
      </c>
      <c r="C2542" t="s">
        <v>6511</v>
      </c>
      <c r="D2542" t="s">
        <v>6512</v>
      </c>
      <c r="E2542" t="s">
        <v>2164</v>
      </c>
    </row>
    <row r="2543" spans="1:5" x14ac:dyDescent="0.2">
      <c r="A2543">
        <v>2543</v>
      </c>
      <c r="B2543" t="s">
        <v>1112</v>
      </c>
      <c r="C2543" t="s">
        <v>6513</v>
      </c>
      <c r="D2543" t="s">
        <v>6514</v>
      </c>
      <c r="E2543" t="s">
        <v>2164</v>
      </c>
    </row>
    <row r="2544" spans="1:5" x14ac:dyDescent="0.2">
      <c r="A2544">
        <v>2544</v>
      </c>
      <c r="B2544" t="s">
        <v>1112</v>
      </c>
      <c r="C2544" t="s">
        <v>6515</v>
      </c>
      <c r="D2544" t="s">
        <v>6516</v>
      </c>
      <c r="E2544" t="s">
        <v>2164</v>
      </c>
    </row>
    <row r="2545" spans="1:5" x14ac:dyDescent="0.2">
      <c r="A2545">
        <v>2545</v>
      </c>
      <c r="B2545" t="s">
        <v>1112</v>
      </c>
      <c r="C2545" t="s">
        <v>6517</v>
      </c>
      <c r="D2545" t="s">
        <v>6518</v>
      </c>
      <c r="E2545" t="s">
        <v>2164</v>
      </c>
    </row>
    <row r="2546" spans="1:5" x14ac:dyDescent="0.2">
      <c r="A2546">
        <v>2546</v>
      </c>
      <c r="B2546" t="s">
        <v>1112</v>
      </c>
      <c r="C2546" t="s">
        <v>6519</v>
      </c>
      <c r="D2546" t="s">
        <v>6520</v>
      </c>
      <c r="E2546" t="s">
        <v>2164</v>
      </c>
    </row>
    <row r="2547" spans="1:5" x14ac:dyDescent="0.2">
      <c r="A2547">
        <v>2547</v>
      </c>
      <c r="B2547" t="s">
        <v>1112</v>
      </c>
      <c r="C2547" t="s">
        <v>6521</v>
      </c>
      <c r="D2547" t="s">
        <v>6522</v>
      </c>
      <c r="E2547" t="s">
        <v>2164</v>
      </c>
    </row>
    <row r="2548" spans="1:5" x14ac:dyDescent="0.2">
      <c r="A2548">
        <v>2548</v>
      </c>
      <c r="B2548" t="s">
        <v>1112</v>
      </c>
      <c r="C2548" t="s">
        <v>6523</v>
      </c>
      <c r="D2548" t="s">
        <v>6524</v>
      </c>
      <c r="E2548" t="s">
        <v>2164</v>
      </c>
    </row>
    <row r="2549" spans="1:5" x14ac:dyDescent="0.2">
      <c r="A2549">
        <v>2549</v>
      </c>
      <c r="B2549" t="s">
        <v>1112</v>
      </c>
      <c r="C2549" t="s">
        <v>6525</v>
      </c>
      <c r="D2549" t="s">
        <v>6526</v>
      </c>
      <c r="E2549" t="s">
        <v>2164</v>
      </c>
    </row>
    <row r="2550" spans="1:5" x14ac:dyDescent="0.2">
      <c r="A2550">
        <v>2550</v>
      </c>
      <c r="B2550" t="s">
        <v>1112</v>
      </c>
      <c r="C2550" t="s">
        <v>6527</v>
      </c>
      <c r="D2550" t="s">
        <v>6528</v>
      </c>
      <c r="E2550" t="s">
        <v>2164</v>
      </c>
    </row>
    <row r="2551" spans="1:5" x14ac:dyDescent="0.2">
      <c r="A2551">
        <v>2551</v>
      </c>
      <c r="B2551" t="s">
        <v>1112</v>
      </c>
      <c r="C2551" t="s">
        <v>6529</v>
      </c>
      <c r="D2551" t="s">
        <v>6530</v>
      </c>
      <c r="E2551" t="s">
        <v>2164</v>
      </c>
    </row>
    <row r="2552" spans="1:5" x14ac:dyDescent="0.2">
      <c r="A2552">
        <v>2552</v>
      </c>
      <c r="B2552" t="s">
        <v>1112</v>
      </c>
      <c r="C2552" t="s">
        <v>6531</v>
      </c>
      <c r="D2552" t="s">
        <v>6532</v>
      </c>
      <c r="E2552" t="s">
        <v>2164</v>
      </c>
    </row>
    <row r="2553" spans="1:5" x14ac:dyDescent="0.2">
      <c r="A2553">
        <v>2553</v>
      </c>
      <c r="B2553" t="s">
        <v>1112</v>
      </c>
      <c r="C2553" t="s">
        <v>6533</v>
      </c>
      <c r="D2553" t="s">
        <v>6534</v>
      </c>
      <c r="E2553" t="s">
        <v>2164</v>
      </c>
    </row>
    <row r="2554" spans="1:5" x14ac:dyDescent="0.2">
      <c r="A2554">
        <v>2554</v>
      </c>
      <c r="B2554" t="s">
        <v>1112</v>
      </c>
      <c r="C2554" t="s">
        <v>6535</v>
      </c>
      <c r="D2554" t="s">
        <v>6536</v>
      </c>
      <c r="E2554" t="s">
        <v>2164</v>
      </c>
    </row>
    <row r="2555" spans="1:5" x14ac:dyDescent="0.2">
      <c r="A2555">
        <v>2555</v>
      </c>
      <c r="B2555" t="s">
        <v>1112</v>
      </c>
      <c r="C2555" t="s">
        <v>6537</v>
      </c>
      <c r="D2555" t="s">
        <v>6538</v>
      </c>
      <c r="E2555" t="s">
        <v>2164</v>
      </c>
    </row>
    <row r="2556" spans="1:5" x14ac:dyDescent="0.2">
      <c r="A2556">
        <v>2556</v>
      </c>
      <c r="B2556" t="s">
        <v>1112</v>
      </c>
      <c r="C2556" t="s">
        <v>6539</v>
      </c>
      <c r="D2556" t="s">
        <v>6540</v>
      </c>
      <c r="E2556" t="s">
        <v>2164</v>
      </c>
    </row>
    <row r="2557" spans="1:5" x14ac:dyDescent="0.2">
      <c r="A2557">
        <v>2557</v>
      </c>
      <c r="B2557" t="s">
        <v>1112</v>
      </c>
      <c r="C2557" t="s">
        <v>6541</v>
      </c>
      <c r="D2557" t="s">
        <v>6542</v>
      </c>
      <c r="E2557" t="s">
        <v>2164</v>
      </c>
    </row>
    <row r="2558" spans="1:5" x14ac:dyDescent="0.2">
      <c r="A2558">
        <v>2558</v>
      </c>
      <c r="B2558" t="s">
        <v>1112</v>
      </c>
      <c r="C2558" t="s">
        <v>6543</v>
      </c>
      <c r="D2558" t="s">
        <v>6544</v>
      </c>
      <c r="E2558" t="s">
        <v>2164</v>
      </c>
    </row>
    <row r="2559" spans="1:5" x14ac:dyDescent="0.2">
      <c r="A2559">
        <v>2559</v>
      </c>
      <c r="B2559" t="s">
        <v>1112</v>
      </c>
      <c r="C2559" t="s">
        <v>6545</v>
      </c>
      <c r="D2559" t="s">
        <v>6546</v>
      </c>
      <c r="E2559" t="s">
        <v>2164</v>
      </c>
    </row>
    <row r="2560" spans="1:5" x14ac:dyDescent="0.2">
      <c r="A2560">
        <v>2560</v>
      </c>
      <c r="B2560" t="s">
        <v>1112</v>
      </c>
      <c r="C2560" t="s">
        <v>6547</v>
      </c>
      <c r="D2560" t="s">
        <v>6548</v>
      </c>
      <c r="E2560" t="s">
        <v>2164</v>
      </c>
    </row>
    <row r="2561" spans="1:5" x14ac:dyDescent="0.2">
      <c r="A2561">
        <v>2561</v>
      </c>
      <c r="B2561" t="s">
        <v>1112</v>
      </c>
      <c r="C2561" t="s">
        <v>6549</v>
      </c>
      <c r="D2561" t="s">
        <v>6550</v>
      </c>
      <c r="E2561" t="s">
        <v>2164</v>
      </c>
    </row>
    <row r="2562" spans="1:5" x14ac:dyDescent="0.2">
      <c r="A2562">
        <v>2562</v>
      </c>
      <c r="B2562" t="s">
        <v>1112</v>
      </c>
      <c r="C2562" t="s">
        <v>6551</v>
      </c>
      <c r="D2562" t="s">
        <v>6552</v>
      </c>
      <c r="E2562" t="s">
        <v>2164</v>
      </c>
    </row>
    <row r="2563" spans="1:5" x14ac:dyDescent="0.2">
      <c r="A2563">
        <v>2563</v>
      </c>
      <c r="B2563" t="s">
        <v>1112</v>
      </c>
      <c r="C2563" t="s">
        <v>6553</v>
      </c>
      <c r="D2563" t="s">
        <v>6554</v>
      </c>
      <c r="E2563" t="s">
        <v>2164</v>
      </c>
    </row>
    <row r="2564" spans="1:5" x14ac:dyDescent="0.2">
      <c r="A2564">
        <v>2564</v>
      </c>
      <c r="B2564" t="s">
        <v>1112</v>
      </c>
      <c r="C2564" t="s">
        <v>6555</v>
      </c>
      <c r="D2564" t="s">
        <v>6556</v>
      </c>
      <c r="E2564" t="s">
        <v>2164</v>
      </c>
    </row>
    <row r="2565" spans="1:5" x14ac:dyDescent="0.2">
      <c r="A2565">
        <v>2565</v>
      </c>
      <c r="B2565" t="s">
        <v>1112</v>
      </c>
      <c r="C2565" t="s">
        <v>6557</v>
      </c>
      <c r="D2565" t="s">
        <v>6558</v>
      </c>
      <c r="E2565" t="s">
        <v>2164</v>
      </c>
    </row>
    <row r="2566" spans="1:5" x14ac:dyDescent="0.2">
      <c r="A2566">
        <v>2566</v>
      </c>
      <c r="B2566" t="s">
        <v>1112</v>
      </c>
      <c r="C2566" t="s">
        <v>6559</v>
      </c>
      <c r="D2566" t="s">
        <v>6560</v>
      </c>
      <c r="E2566" t="s">
        <v>2164</v>
      </c>
    </row>
    <row r="2567" spans="1:5" x14ac:dyDescent="0.2">
      <c r="A2567">
        <v>2567</v>
      </c>
      <c r="B2567" t="s">
        <v>1112</v>
      </c>
      <c r="C2567" t="s">
        <v>6561</v>
      </c>
      <c r="D2567" t="s">
        <v>6562</v>
      </c>
      <c r="E2567" t="s">
        <v>2164</v>
      </c>
    </row>
    <row r="2568" spans="1:5" x14ac:dyDescent="0.2">
      <c r="A2568">
        <v>2568</v>
      </c>
      <c r="B2568" t="s">
        <v>1112</v>
      </c>
      <c r="C2568" t="s">
        <v>6563</v>
      </c>
      <c r="D2568" t="s">
        <v>6564</v>
      </c>
      <c r="E2568" t="s">
        <v>2164</v>
      </c>
    </row>
    <row r="2569" spans="1:5" x14ac:dyDescent="0.2">
      <c r="A2569">
        <v>2569</v>
      </c>
      <c r="B2569" t="s">
        <v>1112</v>
      </c>
      <c r="C2569" t="s">
        <v>6565</v>
      </c>
      <c r="D2569" t="s">
        <v>6566</v>
      </c>
      <c r="E2569" t="s">
        <v>2164</v>
      </c>
    </row>
    <row r="2570" spans="1:5" x14ac:dyDescent="0.2">
      <c r="A2570">
        <v>2570</v>
      </c>
      <c r="B2570" t="s">
        <v>1112</v>
      </c>
      <c r="C2570" t="s">
        <v>6567</v>
      </c>
      <c r="D2570" t="s">
        <v>6568</v>
      </c>
      <c r="E2570" t="s">
        <v>2164</v>
      </c>
    </row>
    <row r="2571" spans="1:5" x14ac:dyDescent="0.2">
      <c r="A2571">
        <v>2571</v>
      </c>
      <c r="B2571" t="s">
        <v>1112</v>
      </c>
      <c r="C2571" t="s">
        <v>6569</v>
      </c>
      <c r="D2571" t="s">
        <v>6570</v>
      </c>
      <c r="E2571" t="s">
        <v>2164</v>
      </c>
    </row>
    <row r="2572" spans="1:5" x14ac:dyDescent="0.2">
      <c r="A2572">
        <v>2572</v>
      </c>
      <c r="B2572" t="s">
        <v>1112</v>
      </c>
      <c r="C2572" t="s">
        <v>6571</v>
      </c>
      <c r="D2572" t="s">
        <v>6572</v>
      </c>
      <c r="E2572" t="s">
        <v>2164</v>
      </c>
    </row>
    <row r="2573" spans="1:5" x14ac:dyDescent="0.2">
      <c r="A2573">
        <v>2573</v>
      </c>
      <c r="B2573" t="s">
        <v>1112</v>
      </c>
      <c r="C2573" t="s">
        <v>6573</v>
      </c>
      <c r="D2573" t="s">
        <v>6574</v>
      </c>
      <c r="E2573" t="s">
        <v>2164</v>
      </c>
    </row>
    <row r="2574" spans="1:5" x14ac:dyDescent="0.2">
      <c r="A2574">
        <v>2574</v>
      </c>
      <c r="B2574" t="s">
        <v>1112</v>
      </c>
      <c r="C2574" t="s">
        <v>6575</v>
      </c>
      <c r="D2574" t="s">
        <v>6576</v>
      </c>
      <c r="E2574" t="s">
        <v>2164</v>
      </c>
    </row>
    <row r="2575" spans="1:5" x14ac:dyDescent="0.2">
      <c r="A2575">
        <v>2575</v>
      </c>
      <c r="B2575" t="s">
        <v>1112</v>
      </c>
      <c r="C2575" t="s">
        <v>6577</v>
      </c>
      <c r="D2575" t="s">
        <v>6578</v>
      </c>
      <c r="E2575" t="s">
        <v>2164</v>
      </c>
    </row>
    <row r="2576" spans="1:5" x14ac:dyDescent="0.2">
      <c r="A2576">
        <v>2576</v>
      </c>
      <c r="B2576" t="s">
        <v>1112</v>
      </c>
      <c r="C2576" t="s">
        <v>6579</v>
      </c>
      <c r="D2576" t="s">
        <v>6580</v>
      </c>
      <c r="E2576" t="s">
        <v>2164</v>
      </c>
    </row>
    <row r="2577" spans="1:5" x14ac:dyDescent="0.2">
      <c r="A2577">
        <v>2577</v>
      </c>
      <c r="B2577" t="s">
        <v>1112</v>
      </c>
      <c r="C2577" t="s">
        <v>6581</v>
      </c>
      <c r="D2577" t="s">
        <v>6582</v>
      </c>
      <c r="E2577" t="s">
        <v>2164</v>
      </c>
    </row>
    <row r="2578" spans="1:5" x14ac:dyDescent="0.2">
      <c r="A2578">
        <v>2578</v>
      </c>
      <c r="B2578" t="s">
        <v>1112</v>
      </c>
      <c r="C2578" t="s">
        <v>6583</v>
      </c>
      <c r="D2578" t="s">
        <v>6584</v>
      </c>
      <c r="E2578" t="s">
        <v>2164</v>
      </c>
    </row>
    <row r="2579" spans="1:5" x14ac:dyDescent="0.2">
      <c r="A2579">
        <v>2579</v>
      </c>
      <c r="B2579" t="s">
        <v>1112</v>
      </c>
      <c r="C2579" t="s">
        <v>6585</v>
      </c>
      <c r="D2579" t="s">
        <v>6586</v>
      </c>
      <c r="E2579" t="s">
        <v>2164</v>
      </c>
    </row>
    <row r="2580" spans="1:5" x14ac:dyDescent="0.2">
      <c r="A2580">
        <v>2580</v>
      </c>
      <c r="B2580" t="s">
        <v>1112</v>
      </c>
      <c r="C2580" t="s">
        <v>6587</v>
      </c>
      <c r="D2580" t="s">
        <v>6588</v>
      </c>
      <c r="E2580" t="s">
        <v>2164</v>
      </c>
    </row>
    <row r="2581" spans="1:5" x14ac:dyDescent="0.2">
      <c r="A2581">
        <v>2581</v>
      </c>
      <c r="B2581" t="s">
        <v>1112</v>
      </c>
      <c r="C2581" t="s">
        <v>6589</v>
      </c>
      <c r="D2581" t="s">
        <v>6590</v>
      </c>
      <c r="E2581" t="s">
        <v>2164</v>
      </c>
    </row>
    <row r="2582" spans="1:5" x14ac:dyDescent="0.2">
      <c r="A2582">
        <v>2582</v>
      </c>
      <c r="B2582" t="s">
        <v>1112</v>
      </c>
      <c r="C2582" t="s">
        <v>6591</v>
      </c>
      <c r="D2582" t="s">
        <v>6592</v>
      </c>
      <c r="E2582" t="s">
        <v>2164</v>
      </c>
    </row>
    <row r="2583" spans="1:5" x14ac:dyDescent="0.2">
      <c r="A2583">
        <v>2583</v>
      </c>
      <c r="B2583" t="s">
        <v>1112</v>
      </c>
      <c r="C2583" t="s">
        <v>6593</v>
      </c>
      <c r="D2583" t="s">
        <v>6594</v>
      </c>
      <c r="E2583" t="s">
        <v>2164</v>
      </c>
    </row>
    <row r="2584" spans="1:5" x14ac:dyDescent="0.2">
      <c r="A2584">
        <v>2584</v>
      </c>
      <c r="B2584" t="s">
        <v>1112</v>
      </c>
      <c r="C2584" t="s">
        <v>6595</v>
      </c>
      <c r="D2584" t="s">
        <v>6596</v>
      </c>
      <c r="E2584" t="s">
        <v>2164</v>
      </c>
    </row>
    <row r="2585" spans="1:5" x14ac:dyDescent="0.2">
      <c r="A2585">
        <v>2585</v>
      </c>
      <c r="B2585" t="s">
        <v>1112</v>
      </c>
      <c r="C2585" t="s">
        <v>6597</v>
      </c>
      <c r="D2585" t="s">
        <v>6598</v>
      </c>
      <c r="E2585" t="s">
        <v>2164</v>
      </c>
    </row>
    <row r="2586" spans="1:5" x14ac:dyDescent="0.2">
      <c r="A2586">
        <v>2586</v>
      </c>
      <c r="B2586" t="s">
        <v>1112</v>
      </c>
      <c r="C2586" t="s">
        <v>6599</v>
      </c>
      <c r="D2586" t="s">
        <v>6600</v>
      </c>
      <c r="E2586" t="s">
        <v>2164</v>
      </c>
    </row>
    <row r="2587" spans="1:5" x14ac:dyDescent="0.2">
      <c r="A2587">
        <v>2587</v>
      </c>
      <c r="B2587" t="s">
        <v>1112</v>
      </c>
      <c r="C2587" t="s">
        <v>6601</v>
      </c>
      <c r="D2587" t="s">
        <v>6602</v>
      </c>
      <c r="E2587" t="s">
        <v>2164</v>
      </c>
    </row>
    <row r="2588" spans="1:5" x14ac:dyDescent="0.2">
      <c r="A2588">
        <v>2588</v>
      </c>
      <c r="B2588" t="s">
        <v>1112</v>
      </c>
      <c r="C2588" t="s">
        <v>6603</v>
      </c>
      <c r="D2588" t="s">
        <v>6604</v>
      </c>
      <c r="E2588" t="s">
        <v>2164</v>
      </c>
    </row>
    <row r="2589" spans="1:5" x14ac:dyDescent="0.2">
      <c r="A2589">
        <v>2589</v>
      </c>
      <c r="B2589" t="s">
        <v>1112</v>
      </c>
      <c r="C2589" t="s">
        <v>6605</v>
      </c>
      <c r="D2589" t="s">
        <v>6606</v>
      </c>
      <c r="E2589" t="s">
        <v>2164</v>
      </c>
    </row>
    <row r="2590" spans="1:5" x14ac:dyDescent="0.2">
      <c r="A2590">
        <v>2590</v>
      </c>
      <c r="B2590" t="s">
        <v>1112</v>
      </c>
      <c r="C2590" t="s">
        <v>6607</v>
      </c>
      <c r="D2590" t="s">
        <v>6608</v>
      </c>
      <c r="E2590" t="s">
        <v>2164</v>
      </c>
    </row>
    <row r="2591" spans="1:5" x14ac:dyDescent="0.2">
      <c r="A2591">
        <v>2591</v>
      </c>
      <c r="B2591" t="s">
        <v>1112</v>
      </c>
      <c r="C2591" t="s">
        <v>6609</v>
      </c>
      <c r="D2591" t="s">
        <v>6610</v>
      </c>
      <c r="E2591" t="s">
        <v>2164</v>
      </c>
    </row>
    <row r="2592" spans="1:5" x14ac:dyDescent="0.2">
      <c r="A2592">
        <v>2592</v>
      </c>
      <c r="B2592" t="s">
        <v>1112</v>
      </c>
      <c r="C2592" t="s">
        <v>6611</v>
      </c>
      <c r="D2592" t="s">
        <v>6612</v>
      </c>
      <c r="E2592" t="s">
        <v>2164</v>
      </c>
    </row>
    <row r="2593" spans="1:5" x14ac:dyDescent="0.2">
      <c r="A2593">
        <v>2593</v>
      </c>
      <c r="B2593" t="s">
        <v>1112</v>
      </c>
      <c r="C2593" t="s">
        <v>6613</v>
      </c>
      <c r="D2593" t="s">
        <v>6614</v>
      </c>
      <c r="E2593" t="s">
        <v>2164</v>
      </c>
    </row>
    <row r="2594" spans="1:5" x14ac:dyDescent="0.2">
      <c r="A2594">
        <v>2594</v>
      </c>
      <c r="B2594" t="s">
        <v>1112</v>
      </c>
      <c r="C2594" t="s">
        <v>6615</v>
      </c>
      <c r="D2594" t="s">
        <v>6616</v>
      </c>
      <c r="E2594" t="s">
        <v>2164</v>
      </c>
    </row>
    <row r="2595" spans="1:5" x14ac:dyDescent="0.2">
      <c r="A2595">
        <v>2595</v>
      </c>
      <c r="B2595" t="s">
        <v>1112</v>
      </c>
      <c r="C2595" t="s">
        <v>6617</v>
      </c>
      <c r="D2595" t="s">
        <v>6618</v>
      </c>
      <c r="E2595" t="s">
        <v>2164</v>
      </c>
    </row>
    <row r="2596" spans="1:5" x14ac:dyDescent="0.2">
      <c r="A2596">
        <v>2596</v>
      </c>
      <c r="B2596" t="s">
        <v>1112</v>
      </c>
      <c r="C2596" t="s">
        <v>6619</v>
      </c>
      <c r="D2596" t="s">
        <v>6620</v>
      </c>
      <c r="E2596" t="s">
        <v>2164</v>
      </c>
    </row>
    <row r="2597" spans="1:5" x14ac:dyDescent="0.2">
      <c r="A2597">
        <v>2597</v>
      </c>
      <c r="B2597" t="s">
        <v>1112</v>
      </c>
      <c r="C2597" t="s">
        <v>6621</v>
      </c>
      <c r="D2597" t="s">
        <v>6622</v>
      </c>
      <c r="E2597" t="s">
        <v>2164</v>
      </c>
    </row>
    <row r="2598" spans="1:5" x14ac:dyDescent="0.2">
      <c r="A2598">
        <v>2598</v>
      </c>
      <c r="B2598" t="s">
        <v>1112</v>
      </c>
      <c r="C2598" t="s">
        <v>6623</v>
      </c>
      <c r="D2598" t="s">
        <v>6624</v>
      </c>
      <c r="E2598" t="s">
        <v>2164</v>
      </c>
    </row>
    <row r="2599" spans="1:5" x14ac:dyDescent="0.2">
      <c r="A2599">
        <v>2599</v>
      </c>
      <c r="B2599" t="s">
        <v>1112</v>
      </c>
      <c r="C2599" t="s">
        <v>6625</v>
      </c>
      <c r="D2599" t="s">
        <v>6626</v>
      </c>
      <c r="E2599" t="s">
        <v>2164</v>
      </c>
    </row>
    <row r="2600" spans="1:5" x14ac:dyDescent="0.2">
      <c r="A2600">
        <v>2600</v>
      </c>
      <c r="B2600" t="s">
        <v>1112</v>
      </c>
      <c r="C2600" t="s">
        <v>6627</v>
      </c>
      <c r="D2600" t="s">
        <v>6628</v>
      </c>
      <c r="E2600" t="s">
        <v>2164</v>
      </c>
    </row>
    <row r="2601" spans="1:5" x14ac:dyDescent="0.2">
      <c r="A2601">
        <v>2601</v>
      </c>
      <c r="B2601" t="s">
        <v>1112</v>
      </c>
      <c r="C2601" t="s">
        <v>6629</v>
      </c>
      <c r="D2601" t="s">
        <v>6630</v>
      </c>
      <c r="E2601" t="s">
        <v>2164</v>
      </c>
    </row>
    <row r="2602" spans="1:5" x14ac:dyDescent="0.2">
      <c r="A2602">
        <v>2602</v>
      </c>
      <c r="B2602" t="s">
        <v>1112</v>
      </c>
      <c r="C2602" t="s">
        <v>6631</v>
      </c>
      <c r="D2602" t="s">
        <v>6632</v>
      </c>
      <c r="E2602" t="s">
        <v>2164</v>
      </c>
    </row>
    <row r="2603" spans="1:5" x14ac:dyDescent="0.2">
      <c r="A2603">
        <v>2603</v>
      </c>
      <c r="B2603" t="s">
        <v>1112</v>
      </c>
      <c r="C2603" t="s">
        <v>6633</v>
      </c>
      <c r="D2603" t="s">
        <v>6634</v>
      </c>
      <c r="E2603" t="s">
        <v>2164</v>
      </c>
    </row>
    <row r="2604" spans="1:5" x14ac:dyDescent="0.2">
      <c r="A2604">
        <v>2604</v>
      </c>
      <c r="B2604" t="s">
        <v>1112</v>
      </c>
      <c r="C2604" t="s">
        <v>6635</v>
      </c>
      <c r="D2604" t="s">
        <v>6636</v>
      </c>
      <c r="E2604" t="s">
        <v>2164</v>
      </c>
    </row>
    <row r="2605" spans="1:5" x14ac:dyDescent="0.2">
      <c r="A2605">
        <v>2605</v>
      </c>
      <c r="B2605" t="s">
        <v>1112</v>
      </c>
      <c r="C2605" t="s">
        <v>6637</v>
      </c>
      <c r="D2605" t="s">
        <v>6638</v>
      </c>
      <c r="E2605" t="s">
        <v>2164</v>
      </c>
    </row>
    <row r="2606" spans="1:5" x14ac:dyDescent="0.2">
      <c r="A2606">
        <v>2606</v>
      </c>
      <c r="B2606" t="s">
        <v>1112</v>
      </c>
      <c r="C2606" t="s">
        <v>6639</v>
      </c>
      <c r="D2606" t="s">
        <v>6640</v>
      </c>
      <c r="E2606" t="s">
        <v>2164</v>
      </c>
    </row>
    <row r="2607" spans="1:5" x14ac:dyDescent="0.2">
      <c r="A2607">
        <v>2607</v>
      </c>
      <c r="B2607" t="s">
        <v>1112</v>
      </c>
      <c r="C2607" t="s">
        <v>6641</v>
      </c>
      <c r="D2607" t="s">
        <v>6642</v>
      </c>
      <c r="E2607" t="s">
        <v>2164</v>
      </c>
    </row>
    <row r="2608" spans="1:5" x14ac:dyDescent="0.2">
      <c r="A2608">
        <v>2608</v>
      </c>
      <c r="B2608" t="s">
        <v>1112</v>
      </c>
      <c r="C2608" t="s">
        <v>6643</v>
      </c>
      <c r="D2608" t="s">
        <v>6644</v>
      </c>
      <c r="E2608" t="s">
        <v>2164</v>
      </c>
    </row>
    <row r="2609" spans="1:5" x14ac:dyDescent="0.2">
      <c r="A2609">
        <v>2609</v>
      </c>
      <c r="B2609" t="s">
        <v>1112</v>
      </c>
      <c r="C2609" t="s">
        <v>6645</v>
      </c>
      <c r="D2609" t="s">
        <v>6646</v>
      </c>
      <c r="E2609" t="s">
        <v>2164</v>
      </c>
    </row>
    <row r="2610" spans="1:5" x14ac:dyDescent="0.2">
      <c r="A2610">
        <v>2610</v>
      </c>
      <c r="B2610" t="s">
        <v>1112</v>
      </c>
      <c r="C2610" t="s">
        <v>6647</v>
      </c>
      <c r="D2610" t="s">
        <v>6648</v>
      </c>
      <c r="E2610" t="s">
        <v>2164</v>
      </c>
    </row>
    <row r="2611" spans="1:5" x14ac:dyDescent="0.2">
      <c r="A2611">
        <v>2611</v>
      </c>
      <c r="B2611" t="s">
        <v>1112</v>
      </c>
      <c r="C2611" t="s">
        <v>6649</v>
      </c>
      <c r="D2611" t="s">
        <v>6650</v>
      </c>
      <c r="E2611" t="s">
        <v>2164</v>
      </c>
    </row>
    <row r="2612" spans="1:5" x14ac:dyDescent="0.2">
      <c r="A2612">
        <v>2612</v>
      </c>
      <c r="B2612" t="s">
        <v>828</v>
      </c>
      <c r="C2612" t="s">
        <v>6651</v>
      </c>
      <c r="D2612" t="s">
        <v>6652</v>
      </c>
      <c r="E2612" t="s">
        <v>1719</v>
      </c>
    </row>
    <row r="2613" spans="1:5" x14ac:dyDescent="0.2">
      <c r="A2613">
        <v>2613</v>
      </c>
      <c r="B2613" t="s">
        <v>828</v>
      </c>
      <c r="C2613" t="s">
        <v>6653</v>
      </c>
      <c r="D2613" t="s">
        <v>6654</v>
      </c>
      <c r="E2613" t="s">
        <v>1719</v>
      </c>
    </row>
    <row r="2614" spans="1:5" x14ac:dyDescent="0.2">
      <c r="A2614">
        <v>2614</v>
      </c>
      <c r="B2614" t="s">
        <v>828</v>
      </c>
      <c r="C2614" t="s">
        <v>6655</v>
      </c>
      <c r="D2614" t="s">
        <v>6656</v>
      </c>
      <c r="E2614" t="s">
        <v>1719</v>
      </c>
    </row>
    <row r="2615" spans="1:5" x14ac:dyDescent="0.2">
      <c r="A2615">
        <v>2615</v>
      </c>
      <c r="B2615" t="s">
        <v>828</v>
      </c>
      <c r="C2615" t="s">
        <v>6657</v>
      </c>
      <c r="D2615" t="s">
        <v>6658</v>
      </c>
      <c r="E2615" t="s">
        <v>1719</v>
      </c>
    </row>
    <row r="2616" spans="1:5" x14ac:dyDescent="0.2">
      <c r="A2616">
        <v>2616</v>
      </c>
      <c r="B2616" t="s">
        <v>828</v>
      </c>
      <c r="C2616" t="s">
        <v>6659</v>
      </c>
      <c r="D2616" t="s">
        <v>6660</v>
      </c>
      <c r="E2616" t="s">
        <v>1719</v>
      </c>
    </row>
    <row r="2617" spans="1:5" x14ac:dyDescent="0.2">
      <c r="A2617">
        <v>2617</v>
      </c>
      <c r="B2617" t="s">
        <v>828</v>
      </c>
      <c r="C2617" t="s">
        <v>6661</v>
      </c>
      <c r="D2617" t="s">
        <v>6662</v>
      </c>
      <c r="E2617" t="s">
        <v>1719</v>
      </c>
    </row>
    <row r="2618" spans="1:5" x14ac:dyDescent="0.2">
      <c r="A2618">
        <v>2618</v>
      </c>
      <c r="B2618" t="s">
        <v>830</v>
      </c>
      <c r="C2618" t="s">
        <v>6663</v>
      </c>
      <c r="D2618" t="s">
        <v>6664</v>
      </c>
      <c r="E2618" t="s">
        <v>1790</v>
      </c>
    </row>
    <row r="2619" spans="1:5" x14ac:dyDescent="0.2">
      <c r="A2619">
        <v>2619</v>
      </c>
      <c r="B2619" t="s">
        <v>830</v>
      </c>
      <c r="C2619" t="s">
        <v>6665</v>
      </c>
      <c r="D2619" t="s">
        <v>6666</v>
      </c>
      <c r="E2619" t="s">
        <v>1790</v>
      </c>
    </row>
    <row r="2620" spans="1:5" x14ac:dyDescent="0.2">
      <c r="A2620">
        <v>2620</v>
      </c>
      <c r="B2620" t="s">
        <v>830</v>
      </c>
      <c r="C2620" t="s">
        <v>6667</v>
      </c>
      <c r="D2620" t="s">
        <v>6668</v>
      </c>
      <c r="E2620" t="s">
        <v>2087</v>
      </c>
    </row>
    <row r="2621" spans="1:5" x14ac:dyDescent="0.2">
      <c r="A2621">
        <v>2621</v>
      </c>
      <c r="B2621" t="s">
        <v>830</v>
      </c>
      <c r="C2621" t="s">
        <v>6669</v>
      </c>
      <c r="D2621" t="s">
        <v>6670</v>
      </c>
      <c r="E2621" t="s">
        <v>1790</v>
      </c>
    </row>
    <row r="2622" spans="1:5" x14ac:dyDescent="0.2">
      <c r="A2622">
        <v>2622</v>
      </c>
      <c r="B2622" t="s">
        <v>830</v>
      </c>
      <c r="C2622" t="s">
        <v>6671</v>
      </c>
      <c r="D2622" t="s">
        <v>6672</v>
      </c>
      <c r="E2622" t="s">
        <v>1790</v>
      </c>
    </row>
    <row r="2623" spans="1:5" x14ac:dyDescent="0.2">
      <c r="A2623">
        <v>2623</v>
      </c>
      <c r="B2623" t="s">
        <v>830</v>
      </c>
      <c r="C2623" t="s">
        <v>6673</v>
      </c>
      <c r="D2623" t="s">
        <v>6674</v>
      </c>
      <c r="E2623" t="s">
        <v>1790</v>
      </c>
    </row>
    <row r="2624" spans="1:5" x14ac:dyDescent="0.2">
      <c r="A2624">
        <v>2624</v>
      </c>
      <c r="B2624" t="s">
        <v>830</v>
      </c>
      <c r="C2624" t="s">
        <v>6675</v>
      </c>
      <c r="D2624" t="s">
        <v>6676</v>
      </c>
      <c r="E2624" t="s">
        <v>1790</v>
      </c>
    </row>
    <row r="2625" spans="1:5" x14ac:dyDescent="0.2">
      <c r="A2625">
        <v>2625</v>
      </c>
      <c r="B2625" t="s">
        <v>830</v>
      </c>
      <c r="C2625" t="s">
        <v>6677</v>
      </c>
      <c r="D2625" t="s">
        <v>6678</v>
      </c>
      <c r="E2625" t="s">
        <v>1790</v>
      </c>
    </row>
    <row r="2626" spans="1:5" x14ac:dyDescent="0.2">
      <c r="A2626">
        <v>2626</v>
      </c>
      <c r="B2626" t="s">
        <v>830</v>
      </c>
      <c r="C2626" t="s">
        <v>6679</v>
      </c>
      <c r="D2626" t="s">
        <v>6680</v>
      </c>
      <c r="E2626" t="s">
        <v>1790</v>
      </c>
    </row>
    <row r="2627" spans="1:5" x14ac:dyDescent="0.2">
      <c r="A2627">
        <v>2627</v>
      </c>
      <c r="B2627" t="s">
        <v>830</v>
      </c>
      <c r="C2627" t="s">
        <v>6681</v>
      </c>
      <c r="D2627" t="s">
        <v>6682</v>
      </c>
      <c r="E2627" t="s">
        <v>1790</v>
      </c>
    </row>
    <row r="2628" spans="1:5" x14ac:dyDescent="0.2">
      <c r="A2628">
        <v>2628</v>
      </c>
      <c r="B2628" t="s">
        <v>830</v>
      </c>
      <c r="C2628" t="s">
        <v>6683</v>
      </c>
      <c r="D2628" t="s">
        <v>6684</v>
      </c>
      <c r="E2628" t="s">
        <v>1790</v>
      </c>
    </row>
    <row r="2629" spans="1:5" x14ac:dyDescent="0.2">
      <c r="A2629">
        <v>2629</v>
      </c>
      <c r="B2629" t="s">
        <v>830</v>
      </c>
      <c r="C2629" t="s">
        <v>6685</v>
      </c>
      <c r="D2629" t="s">
        <v>6686</v>
      </c>
      <c r="E2629" t="s">
        <v>1790</v>
      </c>
    </row>
    <row r="2630" spans="1:5" x14ac:dyDescent="0.2">
      <c r="A2630">
        <v>2630</v>
      </c>
      <c r="B2630" t="s">
        <v>830</v>
      </c>
      <c r="C2630" t="s">
        <v>6687</v>
      </c>
      <c r="D2630" t="s">
        <v>6688</v>
      </c>
      <c r="E2630" t="s">
        <v>1790</v>
      </c>
    </row>
    <row r="2631" spans="1:5" x14ac:dyDescent="0.2">
      <c r="A2631">
        <v>2631</v>
      </c>
      <c r="B2631" t="s">
        <v>830</v>
      </c>
      <c r="C2631" t="s">
        <v>6689</v>
      </c>
      <c r="D2631" t="s">
        <v>6690</v>
      </c>
      <c r="E2631" t="s">
        <v>1790</v>
      </c>
    </row>
    <row r="2632" spans="1:5" x14ac:dyDescent="0.2">
      <c r="A2632">
        <v>2632</v>
      </c>
      <c r="B2632" t="s">
        <v>830</v>
      </c>
      <c r="C2632" t="s">
        <v>6691</v>
      </c>
      <c r="D2632" t="s">
        <v>6692</v>
      </c>
      <c r="E2632" t="s">
        <v>1790</v>
      </c>
    </row>
    <row r="2633" spans="1:5" x14ac:dyDescent="0.2">
      <c r="A2633">
        <v>2633</v>
      </c>
      <c r="B2633" t="s">
        <v>830</v>
      </c>
      <c r="C2633" t="s">
        <v>6693</v>
      </c>
      <c r="D2633" t="s">
        <v>6694</v>
      </c>
      <c r="E2633" t="s">
        <v>1790</v>
      </c>
    </row>
    <row r="2634" spans="1:5" x14ac:dyDescent="0.2">
      <c r="A2634">
        <v>2634</v>
      </c>
      <c r="B2634" t="s">
        <v>830</v>
      </c>
      <c r="C2634" t="s">
        <v>6695</v>
      </c>
      <c r="D2634" t="s">
        <v>6696</v>
      </c>
      <c r="E2634" t="s">
        <v>1790</v>
      </c>
    </row>
    <row r="2635" spans="1:5" x14ac:dyDescent="0.2">
      <c r="A2635">
        <v>2635</v>
      </c>
      <c r="B2635" t="s">
        <v>830</v>
      </c>
      <c r="C2635" t="s">
        <v>6697</v>
      </c>
      <c r="D2635" t="s">
        <v>6698</v>
      </c>
      <c r="E2635" t="s">
        <v>1790</v>
      </c>
    </row>
    <row r="2636" spans="1:5" x14ac:dyDescent="0.2">
      <c r="A2636">
        <v>2636</v>
      </c>
      <c r="B2636" t="s">
        <v>830</v>
      </c>
      <c r="C2636" t="s">
        <v>6699</v>
      </c>
      <c r="D2636" t="s">
        <v>6700</v>
      </c>
      <c r="E2636" t="s">
        <v>1790</v>
      </c>
    </row>
    <row r="2637" spans="1:5" x14ac:dyDescent="0.2">
      <c r="A2637">
        <v>2637</v>
      </c>
      <c r="B2637" t="s">
        <v>830</v>
      </c>
      <c r="C2637" t="s">
        <v>6701</v>
      </c>
      <c r="D2637" t="s">
        <v>6702</v>
      </c>
      <c r="E2637" t="s">
        <v>1790</v>
      </c>
    </row>
    <row r="2638" spans="1:5" x14ac:dyDescent="0.2">
      <c r="A2638">
        <v>2638</v>
      </c>
      <c r="B2638" t="s">
        <v>830</v>
      </c>
      <c r="C2638" t="s">
        <v>6703</v>
      </c>
      <c r="D2638" t="s">
        <v>6704</v>
      </c>
      <c r="E2638" t="s">
        <v>1790</v>
      </c>
    </row>
    <row r="2639" spans="1:5" x14ac:dyDescent="0.2">
      <c r="A2639">
        <v>2639</v>
      </c>
      <c r="B2639" t="s">
        <v>830</v>
      </c>
      <c r="C2639" t="s">
        <v>6705</v>
      </c>
      <c r="D2639" t="s">
        <v>6706</v>
      </c>
      <c r="E2639" t="s">
        <v>2087</v>
      </c>
    </row>
    <row r="2640" spans="1:5" x14ac:dyDescent="0.2">
      <c r="A2640">
        <v>2640</v>
      </c>
      <c r="B2640" t="s">
        <v>830</v>
      </c>
      <c r="C2640" t="s">
        <v>6707</v>
      </c>
      <c r="D2640" t="s">
        <v>6708</v>
      </c>
      <c r="E2640" t="s">
        <v>1790</v>
      </c>
    </row>
    <row r="2641" spans="1:5" x14ac:dyDescent="0.2">
      <c r="A2641">
        <v>2641</v>
      </c>
      <c r="B2641" t="s">
        <v>830</v>
      </c>
      <c r="C2641" t="s">
        <v>6709</v>
      </c>
      <c r="D2641" t="s">
        <v>6710</v>
      </c>
      <c r="E2641" t="s">
        <v>1790</v>
      </c>
    </row>
    <row r="2642" spans="1:5" x14ac:dyDescent="0.2">
      <c r="A2642">
        <v>2642</v>
      </c>
      <c r="B2642" t="s">
        <v>830</v>
      </c>
      <c r="C2642" t="s">
        <v>6711</v>
      </c>
      <c r="D2642" t="s">
        <v>6712</v>
      </c>
      <c r="E2642" t="s">
        <v>1790</v>
      </c>
    </row>
    <row r="2643" spans="1:5" x14ac:dyDescent="0.2">
      <c r="A2643">
        <v>2643</v>
      </c>
      <c r="B2643" t="s">
        <v>830</v>
      </c>
      <c r="C2643" t="s">
        <v>6713</v>
      </c>
      <c r="D2643" t="s">
        <v>6714</v>
      </c>
      <c r="E2643" t="s">
        <v>1790</v>
      </c>
    </row>
    <row r="2644" spans="1:5" x14ac:dyDescent="0.2">
      <c r="A2644">
        <v>2644</v>
      </c>
      <c r="B2644" t="s">
        <v>830</v>
      </c>
      <c r="C2644" t="s">
        <v>6715</v>
      </c>
      <c r="D2644" t="s">
        <v>6716</v>
      </c>
      <c r="E2644" t="s">
        <v>1790</v>
      </c>
    </row>
    <row r="2645" spans="1:5" x14ac:dyDescent="0.2">
      <c r="A2645">
        <v>2645</v>
      </c>
      <c r="B2645" t="s">
        <v>830</v>
      </c>
      <c r="C2645" t="s">
        <v>6717</v>
      </c>
      <c r="D2645" t="s">
        <v>6718</v>
      </c>
      <c r="E2645" t="s">
        <v>1790</v>
      </c>
    </row>
    <row r="2646" spans="1:5" x14ac:dyDescent="0.2">
      <c r="A2646">
        <v>2646</v>
      </c>
      <c r="B2646" t="s">
        <v>830</v>
      </c>
      <c r="C2646" t="s">
        <v>6719</v>
      </c>
      <c r="D2646" t="s">
        <v>6720</v>
      </c>
      <c r="E2646" t="s">
        <v>2087</v>
      </c>
    </row>
    <row r="2647" spans="1:5" x14ac:dyDescent="0.2">
      <c r="A2647">
        <v>2647</v>
      </c>
      <c r="B2647" t="s">
        <v>830</v>
      </c>
      <c r="C2647" t="s">
        <v>6721</v>
      </c>
      <c r="D2647" t="s">
        <v>6722</v>
      </c>
      <c r="E2647" t="s">
        <v>1790</v>
      </c>
    </row>
    <row r="2648" spans="1:5" x14ac:dyDescent="0.2">
      <c r="A2648">
        <v>2648</v>
      </c>
      <c r="B2648" t="s">
        <v>830</v>
      </c>
      <c r="C2648" t="s">
        <v>6723</v>
      </c>
      <c r="D2648" t="s">
        <v>6724</v>
      </c>
      <c r="E2648" t="s">
        <v>1790</v>
      </c>
    </row>
    <row r="2649" spans="1:5" x14ac:dyDescent="0.2">
      <c r="A2649">
        <v>2649</v>
      </c>
      <c r="B2649" t="s">
        <v>830</v>
      </c>
      <c r="C2649" t="s">
        <v>6705</v>
      </c>
      <c r="D2649" t="s">
        <v>6725</v>
      </c>
      <c r="E2649" t="s">
        <v>2087</v>
      </c>
    </row>
    <row r="2650" spans="1:5" x14ac:dyDescent="0.2">
      <c r="A2650">
        <v>2650</v>
      </c>
      <c r="B2650" t="s">
        <v>830</v>
      </c>
      <c r="C2650" t="s">
        <v>6719</v>
      </c>
      <c r="D2650" t="s">
        <v>6726</v>
      </c>
      <c r="E2650" t="s">
        <v>2087</v>
      </c>
    </row>
    <row r="2651" spans="1:5" x14ac:dyDescent="0.2">
      <c r="A2651">
        <v>2651</v>
      </c>
      <c r="B2651" t="s">
        <v>830</v>
      </c>
      <c r="C2651" t="s">
        <v>6667</v>
      </c>
      <c r="D2651" t="s">
        <v>6727</v>
      </c>
      <c r="E2651" t="s">
        <v>2087</v>
      </c>
    </row>
    <row r="2652" spans="1:5" x14ac:dyDescent="0.2">
      <c r="A2652">
        <v>2652</v>
      </c>
      <c r="B2652" t="s">
        <v>832</v>
      </c>
      <c r="C2652" t="s">
        <v>6728</v>
      </c>
      <c r="D2652" t="s">
        <v>6729</v>
      </c>
      <c r="E2652" t="s">
        <v>2113</v>
      </c>
    </row>
    <row r="2653" spans="1:5" x14ac:dyDescent="0.2">
      <c r="A2653">
        <v>2653</v>
      </c>
      <c r="B2653" t="s">
        <v>832</v>
      </c>
      <c r="C2653" t="s">
        <v>6730</v>
      </c>
      <c r="D2653" t="s">
        <v>6731</v>
      </c>
      <c r="E2653" t="s">
        <v>2113</v>
      </c>
    </row>
    <row r="2654" spans="1:5" x14ac:dyDescent="0.2">
      <c r="A2654">
        <v>2654</v>
      </c>
      <c r="B2654" t="s">
        <v>832</v>
      </c>
      <c r="C2654" t="s">
        <v>6732</v>
      </c>
      <c r="D2654" t="s">
        <v>6733</v>
      </c>
      <c r="E2654" t="s">
        <v>2113</v>
      </c>
    </row>
    <row r="2655" spans="1:5" x14ac:dyDescent="0.2">
      <c r="A2655">
        <v>2655</v>
      </c>
      <c r="B2655" t="s">
        <v>832</v>
      </c>
      <c r="C2655" t="s">
        <v>6734</v>
      </c>
      <c r="D2655" t="s">
        <v>6735</v>
      </c>
      <c r="E2655" t="s">
        <v>2113</v>
      </c>
    </row>
    <row r="2656" spans="1:5" x14ac:dyDescent="0.2">
      <c r="A2656">
        <v>2656</v>
      </c>
      <c r="B2656" t="s">
        <v>832</v>
      </c>
      <c r="C2656" t="s">
        <v>6736</v>
      </c>
      <c r="D2656" t="s">
        <v>6737</v>
      </c>
      <c r="E2656" t="s">
        <v>2113</v>
      </c>
    </row>
    <row r="2657" spans="1:5" x14ac:dyDescent="0.2">
      <c r="A2657">
        <v>2657</v>
      </c>
      <c r="B2657" t="s">
        <v>832</v>
      </c>
      <c r="C2657" t="s">
        <v>6738</v>
      </c>
      <c r="D2657" t="s">
        <v>6739</v>
      </c>
      <c r="E2657" t="s">
        <v>2113</v>
      </c>
    </row>
    <row r="2658" spans="1:5" x14ac:dyDescent="0.2">
      <c r="A2658">
        <v>2658</v>
      </c>
      <c r="B2658" t="s">
        <v>832</v>
      </c>
      <c r="C2658" t="s">
        <v>6740</v>
      </c>
      <c r="D2658" t="s">
        <v>6741</v>
      </c>
      <c r="E2658" t="s">
        <v>2113</v>
      </c>
    </row>
    <row r="2659" spans="1:5" x14ac:dyDescent="0.2">
      <c r="A2659">
        <v>2659</v>
      </c>
      <c r="B2659" t="s">
        <v>832</v>
      </c>
      <c r="C2659" t="s">
        <v>6742</v>
      </c>
      <c r="D2659" t="s">
        <v>6743</v>
      </c>
      <c r="E2659" t="s">
        <v>2113</v>
      </c>
    </row>
    <row r="2660" spans="1:5" x14ac:dyDescent="0.2">
      <c r="A2660">
        <v>2660</v>
      </c>
      <c r="B2660" t="s">
        <v>832</v>
      </c>
      <c r="C2660" t="s">
        <v>6744</v>
      </c>
      <c r="D2660" t="s">
        <v>6745</v>
      </c>
      <c r="E2660" t="s">
        <v>2113</v>
      </c>
    </row>
    <row r="2661" spans="1:5" x14ac:dyDescent="0.2">
      <c r="A2661">
        <v>2661</v>
      </c>
      <c r="B2661" t="s">
        <v>832</v>
      </c>
      <c r="C2661" t="s">
        <v>6746</v>
      </c>
      <c r="D2661" t="s">
        <v>6747</v>
      </c>
      <c r="E2661" t="s">
        <v>2113</v>
      </c>
    </row>
    <row r="2662" spans="1:5" x14ac:dyDescent="0.2">
      <c r="A2662">
        <v>2662</v>
      </c>
      <c r="B2662" t="s">
        <v>832</v>
      </c>
      <c r="C2662" t="s">
        <v>6748</v>
      </c>
      <c r="D2662" t="s">
        <v>6749</v>
      </c>
      <c r="E2662" t="s">
        <v>2113</v>
      </c>
    </row>
    <row r="2663" spans="1:5" x14ac:dyDescent="0.2">
      <c r="A2663">
        <v>2663</v>
      </c>
      <c r="B2663" t="s">
        <v>832</v>
      </c>
      <c r="C2663" t="s">
        <v>6750</v>
      </c>
      <c r="D2663" t="s">
        <v>6751</v>
      </c>
      <c r="E2663" t="s">
        <v>2113</v>
      </c>
    </row>
    <row r="2664" spans="1:5" x14ac:dyDescent="0.2">
      <c r="A2664">
        <v>2664</v>
      </c>
      <c r="B2664" t="s">
        <v>832</v>
      </c>
      <c r="C2664" t="s">
        <v>6752</v>
      </c>
      <c r="D2664" t="s">
        <v>6753</v>
      </c>
      <c r="E2664" t="s">
        <v>2113</v>
      </c>
    </row>
    <row r="2665" spans="1:5" x14ac:dyDescent="0.2">
      <c r="A2665">
        <v>2665</v>
      </c>
      <c r="B2665" t="s">
        <v>832</v>
      </c>
      <c r="C2665" t="s">
        <v>6754</v>
      </c>
      <c r="D2665" t="s">
        <v>6755</v>
      </c>
      <c r="E2665" t="s">
        <v>6756</v>
      </c>
    </row>
    <row r="2666" spans="1:5" x14ac:dyDescent="0.2">
      <c r="A2666">
        <v>2666</v>
      </c>
      <c r="B2666" t="s">
        <v>832</v>
      </c>
      <c r="C2666" t="s">
        <v>6757</v>
      </c>
      <c r="D2666" t="s">
        <v>6758</v>
      </c>
      <c r="E2666" t="s">
        <v>6756</v>
      </c>
    </row>
    <row r="2667" spans="1:5" x14ac:dyDescent="0.2">
      <c r="A2667">
        <v>2667</v>
      </c>
      <c r="B2667" t="s">
        <v>832</v>
      </c>
      <c r="C2667" t="s">
        <v>6759</v>
      </c>
      <c r="D2667" t="s">
        <v>6760</v>
      </c>
      <c r="E2667" t="s">
        <v>6756</v>
      </c>
    </row>
    <row r="2668" spans="1:5" x14ac:dyDescent="0.2">
      <c r="A2668">
        <v>2668</v>
      </c>
      <c r="B2668" t="s">
        <v>834</v>
      </c>
      <c r="C2668" t="s">
        <v>6761</v>
      </c>
      <c r="D2668" t="s">
        <v>6762</v>
      </c>
      <c r="E2668" t="s">
        <v>6763</v>
      </c>
    </row>
    <row r="2669" spans="1:5" x14ac:dyDescent="0.2">
      <c r="A2669">
        <v>2669</v>
      </c>
      <c r="B2669" t="s">
        <v>834</v>
      </c>
      <c r="C2669" t="s">
        <v>6764</v>
      </c>
      <c r="D2669" t="s">
        <v>6765</v>
      </c>
      <c r="E2669" t="s">
        <v>6763</v>
      </c>
    </row>
    <row r="2670" spans="1:5" x14ac:dyDescent="0.2">
      <c r="A2670">
        <v>2670</v>
      </c>
      <c r="B2670" t="s">
        <v>834</v>
      </c>
      <c r="C2670" t="s">
        <v>6766</v>
      </c>
      <c r="D2670" t="s">
        <v>6767</v>
      </c>
      <c r="E2670" t="s">
        <v>6763</v>
      </c>
    </row>
    <row r="2671" spans="1:5" x14ac:dyDescent="0.2">
      <c r="A2671">
        <v>2671</v>
      </c>
      <c r="B2671" t="s">
        <v>834</v>
      </c>
      <c r="C2671" t="s">
        <v>6766</v>
      </c>
      <c r="D2671" t="s">
        <v>6768</v>
      </c>
      <c r="E2671" t="s">
        <v>6763</v>
      </c>
    </row>
    <row r="2672" spans="1:5" x14ac:dyDescent="0.2">
      <c r="A2672">
        <v>2672</v>
      </c>
      <c r="B2672" t="s">
        <v>834</v>
      </c>
      <c r="C2672" t="s">
        <v>6764</v>
      </c>
      <c r="D2672" t="s">
        <v>6769</v>
      </c>
      <c r="E2672" t="s">
        <v>6763</v>
      </c>
    </row>
    <row r="2673" spans="1:5" x14ac:dyDescent="0.2">
      <c r="A2673">
        <v>2673</v>
      </c>
      <c r="B2673" t="s">
        <v>834</v>
      </c>
      <c r="C2673" t="s">
        <v>6770</v>
      </c>
      <c r="D2673" t="s">
        <v>6771</v>
      </c>
      <c r="E2673" t="s">
        <v>6763</v>
      </c>
    </row>
    <row r="2674" spans="1:5" x14ac:dyDescent="0.2">
      <c r="A2674">
        <v>2674</v>
      </c>
      <c r="B2674" t="s">
        <v>834</v>
      </c>
      <c r="C2674" t="s">
        <v>6772</v>
      </c>
      <c r="D2674" t="s">
        <v>2720</v>
      </c>
      <c r="E2674" t="s">
        <v>1719</v>
      </c>
    </row>
    <row r="2675" spans="1:5" x14ac:dyDescent="0.2">
      <c r="A2675">
        <v>2675</v>
      </c>
      <c r="B2675" t="s">
        <v>834</v>
      </c>
      <c r="C2675" t="s">
        <v>6773</v>
      </c>
      <c r="D2675" t="s">
        <v>6774</v>
      </c>
      <c r="E2675" t="s">
        <v>6763</v>
      </c>
    </row>
    <row r="2676" spans="1:5" x14ac:dyDescent="0.2">
      <c r="A2676">
        <v>2676</v>
      </c>
      <c r="B2676" t="s">
        <v>834</v>
      </c>
      <c r="C2676" t="s">
        <v>6775</v>
      </c>
      <c r="D2676" t="s">
        <v>6776</v>
      </c>
      <c r="E2676" t="s">
        <v>1719</v>
      </c>
    </row>
    <row r="2677" spans="1:5" x14ac:dyDescent="0.2">
      <c r="A2677">
        <v>2677</v>
      </c>
      <c r="B2677" t="s">
        <v>834</v>
      </c>
      <c r="C2677" t="s">
        <v>6777</v>
      </c>
      <c r="D2677" t="s">
        <v>6778</v>
      </c>
      <c r="E2677" t="s">
        <v>6763</v>
      </c>
    </row>
    <row r="2678" spans="1:5" x14ac:dyDescent="0.2">
      <c r="A2678">
        <v>2678</v>
      </c>
      <c r="B2678" t="s">
        <v>834</v>
      </c>
      <c r="C2678" t="s">
        <v>6779</v>
      </c>
      <c r="D2678" t="s">
        <v>6780</v>
      </c>
      <c r="E2678" t="s">
        <v>6763</v>
      </c>
    </row>
    <row r="2679" spans="1:5" x14ac:dyDescent="0.2">
      <c r="A2679">
        <v>2679</v>
      </c>
      <c r="B2679" t="s">
        <v>834</v>
      </c>
      <c r="C2679" t="s">
        <v>6781</v>
      </c>
      <c r="D2679" t="s">
        <v>6782</v>
      </c>
      <c r="E2679" t="s">
        <v>6763</v>
      </c>
    </row>
    <row r="2680" spans="1:5" x14ac:dyDescent="0.2">
      <c r="A2680">
        <v>2680</v>
      </c>
      <c r="B2680" t="s">
        <v>834</v>
      </c>
      <c r="C2680" t="s">
        <v>6783</v>
      </c>
      <c r="D2680" t="s">
        <v>6784</v>
      </c>
      <c r="E2680" t="s">
        <v>6763</v>
      </c>
    </row>
    <row r="2681" spans="1:5" x14ac:dyDescent="0.2">
      <c r="A2681">
        <v>2681</v>
      </c>
      <c r="B2681" t="s">
        <v>834</v>
      </c>
      <c r="C2681" t="s">
        <v>6785</v>
      </c>
      <c r="D2681" t="s">
        <v>6786</v>
      </c>
      <c r="E2681" t="s">
        <v>6763</v>
      </c>
    </row>
    <row r="2682" spans="1:5" x14ac:dyDescent="0.2">
      <c r="A2682">
        <v>2682</v>
      </c>
      <c r="B2682" t="s">
        <v>834</v>
      </c>
      <c r="C2682" t="s">
        <v>6787</v>
      </c>
      <c r="D2682" t="s">
        <v>6788</v>
      </c>
      <c r="E2682" t="s">
        <v>6763</v>
      </c>
    </row>
    <row r="2683" spans="1:5" x14ac:dyDescent="0.2">
      <c r="A2683">
        <v>2683</v>
      </c>
      <c r="B2683" t="s">
        <v>834</v>
      </c>
      <c r="C2683" t="s">
        <v>6783</v>
      </c>
      <c r="D2683" t="s">
        <v>6789</v>
      </c>
      <c r="E2683" t="s">
        <v>6763</v>
      </c>
    </row>
    <row r="2684" spans="1:5" x14ac:dyDescent="0.2">
      <c r="A2684">
        <v>2684</v>
      </c>
      <c r="B2684" t="s">
        <v>834</v>
      </c>
      <c r="C2684" t="s">
        <v>6790</v>
      </c>
      <c r="D2684" t="s">
        <v>6791</v>
      </c>
      <c r="E2684" t="s">
        <v>6763</v>
      </c>
    </row>
    <row r="2685" spans="1:5" x14ac:dyDescent="0.2">
      <c r="A2685">
        <v>2685</v>
      </c>
      <c r="B2685" t="s">
        <v>834</v>
      </c>
      <c r="C2685" t="s">
        <v>6792</v>
      </c>
      <c r="D2685" t="s">
        <v>6793</v>
      </c>
      <c r="E2685" t="s">
        <v>6763</v>
      </c>
    </row>
    <row r="2686" spans="1:5" x14ac:dyDescent="0.2">
      <c r="A2686">
        <v>2686</v>
      </c>
      <c r="B2686" t="s">
        <v>834</v>
      </c>
      <c r="C2686" t="s">
        <v>6794</v>
      </c>
      <c r="D2686" t="s">
        <v>6795</v>
      </c>
      <c r="E2686" t="s">
        <v>6763</v>
      </c>
    </row>
    <row r="2687" spans="1:5" x14ac:dyDescent="0.2">
      <c r="A2687">
        <v>2687</v>
      </c>
      <c r="B2687" t="s">
        <v>834</v>
      </c>
      <c r="C2687" t="s">
        <v>6787</v>
      </c>
      <c r="D2687" t="s">
        <v>6796</v>
      </c>
      <c r="E2687" t="s">
        <v>6763</v>
      </c>
    </row>
    <row r="2688" spans="1:5" x14ac:dyDescent="0.2">
      <c r="A2688">
        <v>2688</v>
      </c>
      <c r="B2688" t="s">
        <v>834</v>
      </c>
      <c r="C2688" t="s">
        <v>6785</v>
      </c>
      <c r="D2688" t="s">
        <v>6797</v>
      </c>
      <c r="E2688" t="s">
        <v>6763</v>
      </c>
    </row>
    <row r="2689" spans="1:5" x14ac:dyDescent="0.2">
      <c r="A2689">
        <v>2689</v>
      </c>
      <c r="B2689" t="s">
        <v>834</v>
      </c>
      <c r="C2689" t="s">
        <v>6798</v>
      </c>
      <c r="D2689" t="s">
        <v>6799</v>
      </c>
      <c r="E2689" t="s">
        <v>6763</v>
      </c>
    </row>
    <row r="2690" spans="1:5" x14ac:dyDescent="0.2">
      <c r="A2690">
        <v>2690</v>
      </c>
      <c r="B2690" t="s">
        <v>834</v>
      </c>
      <c r="C2690" t="s">
        <v>6800</v>
      </c>
      <c r="D2690" t="s">
        <v>6801</v>
      </c>
      <c r="E2690" t="s">
        <v>6763</v>
      </c>
    </row>
    <row r="2691" spans="1:5" x14ac:dyDescent="0.2">
      <c r="A2691">
        <v>2691</v>
      </c>
      <c r="B2691" t="s">
        <v>834</v>
      </c>
      <c r="C2691" t="s">
        <v>6794</v>
      </c>
      <c r="D2691" t="s">
        <v>6802</v>
      </c>
      <c r="E2691" t="s">
        <v>6763</v>
      </c>
    </row>
    <row r="2692" spans="1:5" x14ac:dyDescent="0.2">
      <c r="A2692">
        <v>2692</v>
      </c>
      <c r="B2692" t="s">
        <v>834</v>
      </c>
      <c r="C2692" t="s">
        <v>6777</v>
      </c>
      <c r="D2692" t="s">
        <v>6803</v>
      </c>
      <c r="E2692" t="s">
        <v>6763</v>
      </c>
    </row>
    <row r="2693" spans="1:5" x14ac:dyDescent="0.2">
      <c r="A2693">
        <v>2693</v>
      </c>
      <c r="B2693" t="s">
        <v>834</v>
      </c>
      <c r="C2693" t="s">
        <v>6804</v>
      </c>
      <c r="D2693" t="s">
        <v>6805</v>
      </c>
      <c r="E2693" t="s">
        <v>3458</v>
      </c>
    </row>
    <row r="2694" spans="1:5" x14ac:dyDescent="0.2">
      <c r="A2694">
        <v>2694</v>
      </c>
      <c r="B2694" t="s">
        <v>834</v>
      </c>
      <c r="C2694" t="s">
        <v>6798</v>
      </c>
      <c r="D2694" t="s">
        <v>6806</v>
      </c>
      <c r="E2694" t="s">
        <v>6763</v>
      </c>
    </row>
    <row r="2695" spans="1:5" x14ac:dyDescent="0.2">
      <c r="A2695">
        <v>2695</v>
      </c>
      <c r="B2695" t="s">
        <v>834</v>
      </c>
      <c r="C2695" t="s">
        <v>6770</v>
      </c>
      <c r="D2695" t="s">
        <v>6807</v>
      </c>
      <c r="E2695" t="s">
        <v>6763</v>
      </c>
    </row>
    <row r="2696" spans="1:5" x14ac:dyDescent="0.2">
      <c r="A2696">
        <v>2696</v>
      </c>
      <c r="B2696" t="s">
        <v>834</v>
      </c>
      <c r="C2696" t="s">
        <v>6808</v>
      </c>
      <c r="D2696" t="s">
        <v>6809</v>
      </c>
      <c r="E2696" t="s">
        <v>6763</v>
      </c>
    </row>
    <row r="2697" spans="1:5" x14ac:dyDescent="0.2">
      <c r="A2697">
        <v>2697</v>
      </c>
      <c r="B2697" t="s">
        <v>834</v>
      </c>
      <c r="C2697" t="s">
        <v>6804</v>
      </c>
      <c r="D2697" t="s">
        <v>6810</v>
      </c>
      <c r="E2697" t="s">
        <v>3458</v>
      </c>
    </row>
    <row r="2698" spans="1:5" x14ac:dyDescent="0.2">
      <c r="A2698">
        <v>2698</v>
      </c>
      <c r="B2698" t="s">
        <v>834</v>
      </c>
      <c r="C2698" t="s">
        <v>6811</v>
      </c>
      <c r="D2698" t="s">
        <v>6812</v>
      </c>
      <c r="E2698" t="s">
        <v>1719</v>
      </c>
    </row>
    <row r="2699" spans="1:5" x14ac:dyDescent="0.2">
      <c r="A2699">
        <v>2699</v>
      </c>
      <c r="B2699" t="s">
        <v>834</v>
      </c>
      <c r="C2699" t="s">
        <v>6813</v>
      </c>
      <c r="D2699" t="s">
        <v>6814</v>
      </c>
      <c r="E2699" t="s">
        <v>1719</v>
      </c>
    </row>
    <row r="2700" spans="1:5" x14ac:dyDescent="0.2">
      <c r="A2700">
        <v>2700</v>
      </c>
      <c r="B2700" t="s">
        <v>834</v>
      </c>
      <c r="C2700" t="s">
        <v>6772</v>
      </c>
      <c r="D2700" t="s">
        <v>6815</v>
      </c>
      <c r="E2700" t="s">
        <v>1719</v>
      </c>
    </row>
    <row r="2701" spans="1:5" x14ac:dyDescent="0.2">
      <c r="A2701">
        <v>2701</v>
      </c>
      <c r="B2701" t="s">
        <v>834</v>
      </c>
      <c r="C2701" t="s">
        <v>6816</v>
      </c>
      <c r="D2701" t="s">
        <v>6817</v>
      </c>
      <c r="E2701" t="s">
        <v>1719</v>
      </c>
    </row>
    <row r="2702" spans="1:5" x14ac:dyDescent="0.2">
      <c r="A2702">
        <v>2702</v>
      </c>
      <c r="B2702" t="s">
        <v>834</v>
      </c>
      <c r="C2702" t="s">
        <v>6818</v>
      </c>
      <c r="D2702" t="s">
        <v>6819</v>
      </c>
      <c r="E2702" t="s">
        <v>1719</v>
      </c>
    </row>
    <row r="2703" spans="1:5" x14ac:dyDescent="0.2">
      <c r="A2703">
        <v>2703</v>
      </c>
      <c r="B2703" t="s">
        <v>834</v>
      </c>
      <c r="C2703" t="s">
        <v>6820</v>
      </c>
      <c r="D2703" t="s">
        <v>6821</v>
      </c>
      <c r="E2703" t="s">
        <v>6763</v>
      </c>
    </row>
    <row r="2704" spans="1:5" x14ac:dyDescent="0.2">
      <c r="A2704">
        <v>2704</v>
      </c>
      <c r="B2704" t="s">
        <v>834</v>
      </c>
      <c r="C2704" t="s">
        <v>6822</v>
      </c>
      <c r="D2704" t="s">
        <v>6823</v>
      </c>
      <c r="E2704" t="s">
        <v>6763</v>
      </c>
    </row>
    <row r="2705" spans="1:5" x14ac:dyDescent="0.2">
      <c r="A2705">
        <v>2705</v>
      </c>
      <c r="B2705" t="s">
        <v>834</v>
      </c>
      <c r="C2705" t="s">
        <v>6824</v>
      </c>
      <c r="D2705" t="s">
        <v>6825</v>
      </c>
      <c r="E2705" t="s">
        <v>6763</v>
      </c>
    </row>
    <row r="2706" spans="1:5" x14ac:dyDescent="0.2">
      <c r="A2706">
        <v>2706</v>
      </c>
      <c r="B2706" t="s">
        <v>834</v>
      </c>
      <c r="C2706" t="s">
        <v>6820</v>
      </c>
      <c r="D2706" t="s">
        <v>6826</v>
      </c>
      <c r="E2706" t="s">
        <v>6763</v>
      </c>
    </row>
    <row r="2707" spans="1:5" x14ac:dyDescent="0.2">
      <c r="A2707">
        <v>2707</v>
      </c>
      <c r="B2707" t="s">
        <v>834</v>
      </c>
      <c r="C2707" t="s">
        <v>6773</v>
      </c>
      <c r="D2707" t="s">
        <v>6827</v>
      </c>
      <c r="E2707" t="s">
        <v>6763</v>
      </c>
    </row>
    <row r="2708" spans="1:5" x14ac:dyDescent="0.2">
      <c r="A2708">
        <v>2708</v>
      </c>
      <c r="B2708" t="s">
        <v>834</v>
      </c>
      <c r="C2708" t="s">
        <v>6779</v>
      </c>
      <c r="D2708" t="s">
        <v>6828</v>
      </c>
      <c r="E2708" t="s">
        <v>6763</v>
      </c>
    </row>
    <row r="2709" spans="1:5" x14ac:dyDescent="0.2">
      <c r="A2709">
        <v>2709</v>
      </c>
      <c r="B2709" t="s">
        <v>834</v>
      </c>
      <c r="C2709" t="s">
        <v>6822</v>
      </c>
      <c r="D2709" t="s">
        <v>6829</v>
      </c>
      <c r="E2709" t="s">
        <v>6763</v>
      </c>
    </row>
    <row r="2710" spans="1:5" x14ac:dyDescent="0.2">
      <c r="A2710">
        <v>2710</v>
      </c>
      <c r="B2710" t="s">
        <v>834</v>
      </c>
      <c r="C2710" t="s">
        <v>6830</v>
      </c>
      <c r="D2710" t="s">
        <v>3067</v>
      </c>
      <c r="E2710" t="s">
        <v>1719</v>
      </c>
    </row>
    <row r="2711" spans="1:5" x14ac:dyDescent="0.2">
      <c r="A2711">
        <v>2711</v>
      </c>
      <c r="B2711" t="s">
        <v>834</v>
      </c>
      <c r="C2711" t="s">
        <v>6818</v>
      </c>
      <c r="D2711" t="s">
        <v>6831</v>
      </c>
      <c r="E2711" t="s">
        <v>1719</v>
      </c>
    </row>
    <row r="2712" spans="1:5" x14ac:dyDescent="0.2">
      <c r="A2712">
        <v>2712</v>
      </c>
      <c r="B2712" t="s">
        <v>834</v>
      </c>
      <c r="C2712" t="s">
        <v>6808</v>
      </c>
      <c r="D2712" t="s">
        <v>6832</v>
      </c>
      <c r="E2712" t="s">
        <v>6763</v>
      </c>
    </row>
    <row r="2713" spans="1:5" x14ac:dyDescent="0.2">
      <c r="A2713">
        <v>2713</v>
      </c>
      <c r="B2713" t="s">
        <v>834</v>
      </c>
      <c r="C2713" t="s">
        <v>6761</v>
      </c>
      <c r="D2713" t="s">
        <v>6833</v>
      </c>
      <c r="E2713" t="s">
        <v>6763</v>
      </c>
    </row>
    <row r="2714" spans="1:5" x14ac:dyDescent="0.2">
      <c r="A2714">
        <v>2714</v>
      </c>
      <c r="B2714" t="s">
        <v>834</v>
      </c>
      <c r="C2714" t="s">
        <v>6824</v>
      </c>
      <c r="D2714" t="s">
        <v>6834</v>
      </c>
      <c r="E2714" t="s">
        <v>6763</v>
      </c>
    </row>
    <row r="2715" spans="1:5" x14ac:dyDescent="0.2">
      <c r="A2715">
        <v>2715</v>
      </c>
      <c r="B2715" t="s">
        <v>834</v>
      </c>
      <c r="C2715" t="s">
        <v>6775</v>
      </c>
      <c r="D2715" t="s">
        <v>3071</v>
      </c>
      <c r="E2715" t="s">
        <v>1719</v>
      </c>
    </row>
    <row r="2716" spans="1:5" x14ac:dyDescent="0.2">
      <c r="A2716">
        <v>2716</v>
      </c>
      <c r="B2716" t="s">
        <v>834</v>
      </c>
      <c r="C2716" t="s">
        <v>6816</v>
      </c>
      <c r="D2716" t="s">
        <v>6835</v>
      </c>
      <c r="E2716" t="s">
        <v>1719</v>
      </c>
    </row>
    <row r="2717" spans="1:5" x14ac:dyDescent="0.2">
      <c r="A2717">
        <v>2717</v>
      </c>
      <c r="B2717" t="s">
        <v>834</v>
      </c>
      <c r="C2717" t="s">
        <v>6800</v>
      </c>
      <c r="D2717" t="s">
        <v>6836</v>
      </c>
      <c r="E2717" t="s">
        <v>6763</v>
      </c>
    </row>
    <row r="2718" spans="1:5" x14ac:dyDescent="0.2">
      <c r="A2718">
        <v>2718</v>
      </c>
      <c r="B2718" t="s">
        <v>834</v>
      </c>
      <c r="C2718" t="s">
        <v>6792</v>
      </c>
      <c r="D2718" t="s">
        <v>6837</v>
      </c>
      <c r="E2718" t="s">
        <v>6763</v>
      </c>
    </row>
    <row r="2719" spans="1:5" x14ac:dyDescent="0.2">
      <c r="A2719">
        <v>2719</v>
      </c>
      <c r="B2719" t="s">
        <v>834</v>
      </c>
      <c r="C2719" t="s">
        <v>6790</v>
      </c>
      <c r="D2719" t="s">
        <v>6838</v>
      </c>
      <c r="E2719" t="s">
        <v>6763</v>
      </c>
    </row>
    <row r="2720" spans="1:5" x14ac:dyDescent="0.2">
      <c r="A2720">
        <v>2720</v>
      </c>
      <c r="B2720" t="s">
        <v>834</v>
      </c>
      <c r="C2720" t="s">
        <v>6813</v>
      </c>
      <c r="D2720" t="s">
        <v>6839</v>
      </c>
      <c r="E2720" t="s">
        <v>1719</v>
      </c>
    </row>
    <row r="2721" spans="1:5" x14ac:dyDescent="0.2">
      <c r="A2721">
        <v>2721</v>
      </c>
      <c r="B2721" t="s">
        <v>834</v>
      </c>
      <c r="C2721" t="s">
        <v>6811</v>
      </c>
      <c r="D2721" t="s">
        <v>6840</v>
      </c>
      <c r="E2721" t="s">
        <v>1719</v>
      </c>
    </row>
    <row r="2722" spans="1:5" x14ac:dyDescent="0.2">
      <c r="A2722">
        <v>2722</v>
      </c>
      <c r="B2722" t="s">
        <v>834</v>
      </c>
      <c r="C2722" t="s">
        <v>6830</v>
      </c>
      <c r="D2722" t="s">
        <v>6841</v>
      </c>
      <c r="E2722" t="s">
        <v>1719</v>
      </c>
    </row>
    <row r="2723" spans="1:5" x14ac:dyDescent="0.2">
      <c r="A2723">
        <v>2723</v>
      </c>
      <c r="B2723" t="s">
        <v>834</v>
      </c>
      <c r="C2723" t="s">
        <v>6781</v>
      </c>
      <c r="D2723" t="s">
        <v>6842</v>
      </c>
      <c r="E2723" t="s">
        <v>6763</v>
      </c>
    </row>
    <row r="2724" spans="1:5" x14ac:dyDescent="0.2">
      <c r="A2724">
        <v>2724</v>
      </c>
      <c r="B2724" t="s">
        <v>836</v>
      </c>
      <c r="C2724" t="s">
        <v>6843</v>
      </c>
      <c r="D2724" t="s">
        <v>6844</v>
      </c>
      <c r="E2724" t="s">
        <v>1790</v>
      </c>
    </row>
    <row r="2725" spans="1:5" x14ac:dyDescent="0.2">
      <c r="A2725">
        <v>2725</v>
      </c>
      <c r="B2725" t="s">
        <v>836</v>
      </c>
      <c r="C2725" t="s">
        <v>6845</v>
      </c>
      <c r="D2725" t="s">
        <v>6846</v>
      </c>
      <c r="E2725" t="s">
        <v>2087</v>
      </c>
    </row>
    <row r="2726" spans="1:5" x14ac:dyDescent="0.2">
      <c r="A2726">
        <v>2726</v>
      </c>
      <c r="B2726" t="s">
        <v>836</v>
      </c>
      <c r="C2726" t="s">
        <v>6847</v>
      </c>
      <c r="D2726" t="s">
        <v>6848</v>
      </c>
      <c r="E2726" t="s">
        <v>2087</v>
      </c>
    </row>
    <row r="2727" spans="1:5" x14ac:dyDescent="0.2">
      <c r="A2727">
        <v>2727</v>
      </c>
      <c r="B2727" t="s">
        <v>836</v>
      </c>
      <c r="C2727" t="s">
        <v>6849</v>
      </c>
      <c r="D2727" t="s">
        <v>6850</v>
      </c>
      <c r="E2727" t="s">
        <v>2087</v>
      </c>
    </row>
    <row r="2728" spans="1:5" x14ac:dyDescent="0.2">
      <c r="A2728">
        <v>2728</v>
      </c>
      <c r="B2728" t="s">
        <v>836</v>
      </c>
      <c r="C2728" t="s">
        <v>6851</v>
      </c>
      <c r="D2728" t="s">
        <v>6852</v>
      </c>
      <c r="E2728" t="s">
        <v>2087</v>
      </c>
    </row>
    <row r="2729" spans="1:5" x14ac:dyDescent="0.2">
      <c r="A2729">
        <v>2729</v>
      </c>
      <c r="B2729" t="s">
        <v>836</v>
      </c>
      <c r="C2729" t="s">
        <v>6853</v>
      </c>
      <c r="D2729" t="s">
        <v>6854</v>
      </c>
      <c r="E2729" t="s">
        <v>2087</v>
      </c>
    </row>
    <row r="2730" spans="1:5" x14ac:dyDescent="0.2">
      <c r="A2730">
        <v>2730</v>
      </c>
      <c r="B2730" t="s">
        <v>836</v>
      </c>
      <c r="C2730" t="s">
        <v>6855</v>
      </c>
      <c r="D2730" t="s">
        <v>6856</v>
      </c>
      <c r="E2730" t="s">
        <v>2087</v>
      </c>
    </row>
    <row r="2731" spans="1:5" x14ac:dyDescent="0.2">
      <c r="A2731">
        <v>2731</v>
      </c>
      <c r="B2731" t="s">
        <v>836</v>
      </c>
      <c r="C2731" t="s">
        <v>6857</v>
      </c>
      <c r="D2731" t="s">
        <v>6858</v>
      </c>
      <c r="E2731" t="s">
        <v>2087</v>
      </c>
    </row>
    <row r="2732" spans="1:5" x14ac:dyDescent="0.2">
      <c r="A2732">
        <v>2732</v>
      </c>
      <c r="B2732" t="s">
        <v>836</v>
      </c>
      <c r="C2732" t="s">
        <v>6859</v>
      </c>
      <c r="D2732" t="s">
        <v>6860</v>
      </c>
      <c r="E2732" t="s">
        <v>2087</v>
      </c>
    </row>
    <row r="2733" spans="1:5" x14ac:dyDescent="0.2">
      <c r="A2733">
        <v>2733</v>
      </c>
      <c r="B2733" t="s">
        <v>838</v>
      </c>
      <c r="C2733" t="s">
        <v>6861</v>
      </c>
      <c r="D2733" t="s">
        <v>6862</v>
      </c>
      <c r="E2733" t="s">
        <v>6863</v>
      </c>
    </row>
    <row r="2734" spans="1:5" x14ac:dyDescent="0.2">
      <c r="A2734">
        <v>2734</v>
      </c>
      <c r="B2734" t="s">
        <v>838</v>
      </c>
      <c r="C2734" t="s">
        <v>6864</v>
      </c>
      <c r="D2734" t="s">
        <v>6865</v>
      </c>
      <c r="E2734" t="s">
        <v>6863</v>
      </c>
    </row>
    <row r="2735" spans="1:5" x14ac:dyDescent="0.2">
      <c r="A2735">
        <v>2735</v>
      </c>
      <c r="B2735" t="s">
        <v>838</v>
      </c>
      <c r="C2735" t="s">
        <v>6866</v>
      </c>
      <c r="D2735" t="s">
        <v>6867</v>
      </c>
      <c r="E2735" t="s">
        <v>6863</v>
      </c>
    </row>
    <row r="2736" spans="1:5" x14ac:dyDescent="0.2">
      <c r="A2736">
        <v>2736</v>
      </c>
      <c r="B2736" t="s">
        <v>838</v>
      </c>
      <c r="C2736" t="s">
        <v>6868</v>
      </c>
      <c r="D2736" t="s">
        <v>6869</v>
      </c>
      <c r="E2736" t="s">
        <v>6863</v>
      </c>
    </row>
    <row r="2737" spans="1:5" x14ac:dyDescent="0.2">
      <c r="A2737">
        <v>2737</v>
      </c>
      <c r="B2737" t="s">
        <v>838</v>
      </c>
      <c r="C2737" t="s">
        <v>6870</v>
      </c>
      <c r="D2737" t="s">
        <v>6871</v>
      </c>
      <c r="E2737" t="s">
        <v>6863</v>
      </c>
    </row>
    <row r="2738" spans="1:5" x14ac:dyDescent="0.2">
      <c r="A2738">
        <v>2738</v>
      </c>
      <c r="B2738" t="s">
        <v>838</v>
      </c>
      <c r="C2738" t="s">
        <v>6872</v>
      </c>
      <c r="D2738" t="s">
        <v>6873</v>
      </c>
      <c r="E2738" t="s">
        <v>6863</v>
      </c>
    </row>
    <row r="2739" spans="1:5" x14ac:dyDescent="0.2">
      <c r="A2739">
        <v>2739</v>
      </c>
      <c r="B2739" t="s">
        <v>838</v>
      </c>
      <c r="C2739" t="s">
        <v>6874</v>
      </c>
      <c r="D2739" t="s">
        <v>6875</v>
      </c>
      <c r="E2739" t="s">
        <v>6863</v>
      </c>
    </row>
    <row r="2740" spans="1:5" x14ac:dyDescent="0.2">
      <c r="A2740">
        <v>2740</v>
      </c>
      <c r="B2740" t="s">
        <v>838</v>
      </c>
      <c r="C2740" t="s">
        <v>6876</v>
      </c>
      <c r="D2740" t="s">
        <v>6877</v>
      </c>
      <c r="E2740" t="s">
        <v>6863</v>
      </c>
    </row>
    <row r="2741" spans="1:5" x14ac:dyDescent="0.2">
      <c r="A2741">
        <v>2741</v>
      </c>
      <c r="B2741" t="s">
        <v>838</v>
      </c>
      <c r="C2741" t="s">
        <v>6878</v>
      </c>
      <c r="D2741" t="s">
        <v>6879</v>
      </c>
      <c r="E2741" t="s">
        <v>6863</v>
      </c>
    </row>
    <row r="2742" spans="1:5" x14ac:dyDescent="0.2">
      <c r="A2742">
        <v>2742</v>
      </c>
      <c r="B2742" t="s">
        <v>838</v>
      </c>
      <c r="C2742" t="s">
        <v>6880</v>
      </c>
      <c r="D2742" t="s">
        <v>6881</v>
      </c>
      <c r="E2742" t="s">
        <v>6863</v>
      </c>
    </row>
    <row r="2743" spans="1:5" x14ac:dyDescent="0.2">
      <c r="A2743">
        <v>2743</v>
      </c>
      <c r="B2743" t="s">
        <v>838</v>
      </c>
      <c r="C2743" t="s">
        <v>6882</v>
      </c>
      <c r="D2743" t="s">
        <v>6883</v>
      </c>
      <c r="E2743" t="s">
        <v>6863</v>
      </c>
    </row>
    <row r="2744" spans="1:5" x14ac:dyDescent="0.2">
      <c r="A2744">
        <v>2744</v>
      </c>
      <c r="B2744" t="s">
        <v>838</v>
      </c>
      <c r="C2744" t="s">
        <v>6884</v>
      </c>
      <c r="D2744" t="s">
        <v>6885</v>
      </c>
      <c r="E2744" t="s">
        <v>6863</v>
      </c>
    </row>
    <row r="2745" spans="1:5" x14ac:dyDescent="0.2">
      <c r="A2745">
        <v>2745</v>
      </c>
      <c r="B2745" t="s">
        <v>838</v>
      </c>
      <c r="C2745" t="s">
        <v>6886</v>
      </c>
      <c r="D2745" t="s">
        <v>6887</v>
      </c>
      <c r="E2745" t="s">
        <v>6863</v>
      </c>
    </row>
    <row r="2746" spans="1:5" x14ac:dyDescent="0.2">
      <c r="A2746">
        <v>2746</v>
      </c>
      <c r="B2746" t="s">
        <v>838</v>
      </c>
      <c r="C2746" t="s">
        <v>6888</v>
      </c>
      <c r="D2746" t="s">
        <v>6889</v>
      </c>
      <c r="E2746" t="s">
        <v>6863</v>
      </c>
    </row>
    <row r="2747" spans="1:5" x14ac:dyDescent="0.2">
      <c r="A2747">
        <v>2747</v>
      </c>
      <c r="B2747" t="s">
        <v>838</v>
      </c>
      <c r="C2747" t="s">
        <v>6890</v>
      </c>
      <c r="D2747" t="s">
        <v>6891</v>
      </c>
      <c r="E2747" t="s">
        <v>6863</v>
      </c>
    </row>
    <row r="2748" spans="1:5" x14ac:dyDescent="0.2">
      <c r="A2748">
        <v>2748</v>
      </c>
      <c r="B2748" t="s">
        <v>838</v>
      </c>
      <c r="C2748" t="s">
        <v>6892</v>
      </c>
      <c r="D2748" t="s">
        <v>6893</v>
      </c>
      <c r="E2748" t="s">
        <v>6863</v>
      </c>
    </row>
    <row r="2749" spans="1:5" x14ac:dyDescent="0.2">
      <c r="A2749">
        <v>2749</v>
      </c>
      <c r="B2749" t="s">
        <v>838</v>
      </c>
      <c r="C2749" t="s">
        <v>6894</v>
      </c>
      <c r="D2749" t="s">
        <v>6895</v>
      </c>
      <c r="E2749" t="s">
        <v>6863</v>
      </c>
    </row>
    <row r="2750" spans="1:5" x14ac:dyDescent="0.2">
      <c r="A2750">
        <v>2750</v>
      </c>
      <c r="B2750" t="s">
        <v>838</v>
      </c>
      <c r="C2750" t="s">
        <v>6896</v>
      </c>
      <c r="D2750" t="s">
        <v>6897</v>
      </c>
      <c r="E2750" t="s">
        <v>6863</v>
      </c>
    </row>
    <row r="2751" spans="1:5" x14ac:dyDescent="0.2">
      <c r="A2751">
        <v>2751</v>
      </c>
      <c r="B2751" t="s">
        <v>838</v>
      </c>
      <c r="C2751" t="s">
        <v>6898</v>
      </c>
      <c r="D2751" t="s">
        <v>6899</v>
      </c>
      <c r="E2751" t="s">
        <v>6863</v>
      </c>
    </row>
    <row r="2752" spans="1:5" x14ac:dyDescent="0.2">
      <c r="A2752">
        <v>2752</v>
      </c>
      <c r="B2752" t="s">
        <v>838</v>
      </c>
      <c r="C2752" t="s">
        <v>6900</v>
      </c>
      <c r="D2752" t="s">
        <v>6901</v>
      </c>
      <c r="E2752" t="s">
        <v>6863</v>
      </c>
    </row>
    <row r="2753" spans="1:5" x14ac:dyDescent="0.2">
      <c r="A2753">
        <v>2753</v>
      </c>
      <c r="B2753" t="s">
        <v>838</v>
      </c>
      <c r="C2753" t="s">
        <v>6902</v>
      </c>
      <c r="D2753" t="s">
        <v>6903</v>
      </c>
      <c r="E2753" t="s">
        <v>6863</v>
      </c>
    </row>
    <row r="2754" spans="1:5" x14ac:dyDescent="0.2">
      <c r="A2754">
        <v>2754</v>
      </c>
      <c r="B2754" t="s">
        <v>838</v>
      </c>
      <c r="C2754" t="s">
        <v>6904</v>
      </c>
      <c r="D2754" t="s">
        <v>6905</v>
      </c>
      <c r="E2754" t="s">
        <v>6863</v>
      </c>
    </row>
    <row r="2755" spans="1:5" x14ac:dyDescent="0.2">
      <c r="A2755">
        <v>2755</v>
      </c>
      <c r="B2755" t="s">
        <v>838</v>
      </c>
      <c r="C2755" t="s">
        <v>6906</v>
      </c>
      <c r="D2755" t="s">
        <v>6907</v>
      </c>
      <c r="E2755" t="s">
        <v>6863</v>
      </c>
    </row>
    <row r="2756" spans="1:5" x14ac:dyDescent="0.2">
      <c r="A2756">
        <v>2756</v>
      </c>
      <c r="B2756" t="s">
        <v>838</v>
      </c>
      <c r="C2756" t="s">
        <v>6908</v>
      </c>
      <c r="D2756" t="s">
        <v>6909</v>
      </c>
      <c r="E2756" t="s">
        <v>6863</v>
      </c>
    </row>
    <row r="2757" spans="1:5" x14ac:dyDescent="0.2">
      <c r="A2757">
        <v>2757</v>
      </c>
      <c r="B2757" t="s">
        <v>838</v>
      </c>
      <c r="C2757" t="s">
        <v>6910</v>
      </c>
      <c r="D2757" t="s">
        <v>6911</v>
      </c>
      <c r="E2757" t="s">
        <v>6863</v>
      </c>
    </row>
    <row r="2758" spans="1:5" x14ac:dyDescent="0.2">
      <c r="A2758">
        <v>2758</v>
      </c>
      <c r="B2758" t="s">
        <v>838</v>
      </c>
      <c r="C2758" t="s">
        <v>6912</v>
      </c>
      <c r="D2758" t="s">
        <v>6913</v>
      </c>
      <c r="E2758" t="s">
        <v>6863</v>
      </c>
    </row>
    <row r="2759" spans="1:5" x14ac:dyDescent="0.2">
      <c r="A2759">
        <v>2759</v>
      </c>
      <c r="B2759" t="s">
        <v>838</v>
      </c>
      <c r="C2759" t="s">
        <v>6914</v>
      </c>
      <c r="D2759" t="s">
        <v>6915</v>
      </c>
      <c r="E2759" t="s">
        <v>6863</v>
      </c>
    </row>
    <row r="2760" spans="1:5" x14ac:dyDescent="0.2">
      <c r="A2760">
        <v>2760</v>
      </c>
      <c r="B2760" t="s">
        <v>838</v>
      </c>
      <c r="C2760" t="s">
        <v>6916</v>
      </c>
      <c r="D2760" t="s">
        <v>6917</v>
      </c>
      <c r="E2760" t="s">
        <v>6863</v>
      </c>
    </row>
    <row r="2761" spans="1:5" x14ac:dyDescent="0.2">
      <c r="A2761">
        <v>2761</v>
      </c>
      <c r="B2761" t="s">
        <v>838</v>
      </c>
      <c r="C2761" t="s">
        <v>6918</v>
      </c>
      <c r="D2761" t="s">
        <v>6919</v>
      </c>
      <c r="E2761" t="s">
        <v>6863</v>
      </c>
    </row>
    <row r="2762" spans="1:5" x14ac:dyDescent="0.2">
      <c r="A2762">
        <v>2762</v>
      </c>
      <c r="B2762" t="s">
        <v>838</v>
      </c>
      <c r="C2762" t="s">
        <v>6920</v>
      </c>
      <c r="D2762" t="s">
        <v>6921</v>
      </c>
      <c r="E2762" t="s">
        <v>6863</v>
      </c>
    </row>
    <row r="2763" spans="1:5" x14ac:dyDescent="0.2">
      <c r="A2763">
        <v>2763</v>
      </c>
      <c r="B2763" t="s">
        <v>838</v>
      </c>
      <c r="C2763" t="s">
        <v>6922</v>
      </c>
      <c r="D2763" t="s">
        <v>6923</v>
      </c>
      <c r="E2763" t="s">
        <v>6863</v>
      </c>
    </row>
    <row r="2764" spans="1:5" x14ac:dyDescent="0.2">
      <c r="A2764">
        <v>2764</v>
      </c>
      <c r="B2764" t="s">
        <v>838</v>
      </c>
      <c r="C2764" t="s">
        <v>6924</v>
      </c>
      <c r="D2764" t="s">
        <v>6925</v>
      </c>
      <c r="E2764" t="s">
        <v>6863</v>
      </c>
    </row>
    <row r="2765" spans="1:5" x14ac:dyDescent="0.2">
      <c r="A2765">
        <v>2765</v>
      </c>
      <c r="B2765" t="s">
        <v>838</v>
      </c>
      <c r="C2765" t="s">
        <v>6926</v>
      </c>
      <c r="D2765" t="s">
        <v>6927</v>
      </c>
      <c r="E2765" t="s">
        <v>6863</v>
      </c>
    </row>
    <row r="2766" spans="1:5" x14ac:dyDescent="0.2">
      <c r="A2766">
        <v>2766</v>
      </c>
      <c r="B2766" t="s">
        <v>838</v>
      </c>
      <c r="C2766" t="s">
        <v>6928</v>
      </c>
      <c r="D2766" t="s">
        <v>6929</v>
      </c>
      <c r="E2766" t="s">
        <v>6863</v>
      </c>
    </row>
    <row r="2767" spans="1:5" x14ac:dyDescent="0.2">
      <c r="A2767">
        <v>2767</v>
      </c>
      <c r="B2767" t="s">
        <v>838</v>
      </c>
      <c r="C2767" t="s">
        <v>6930</v>
      </c>
      <c r="D2767" t="s">
        <v>6931</v>
      </c>
      <c r="E2767" t="s">
        <v>6863</v>
      </c>
    </row>
    <row r="2768" spans="1:5" x14ac:dyDescent="0.2">
      <c r="A2768">
        <v>2768</v>
      </c>
      <c r="B2768" t="s">
        <v>838</v>
      </c>
      <c r="C2768" t="s">
        <v>6932</v>
      </c>
      <c r="D2768" t="s">
        <v>6933</v>
      </c>
      <c r="E2768" t="s">
        <v>6863</v>
      </c>
    </row>
    <row r="2769" spans="1:5" x14ac:dyDescent="0.2">
      <c r="A2769">
        <v>2769</v>
      </c>
      <c r="B2769" t="s">
        <v>838</v>
      </c>
      <c r="C2769" t="s">
        <v>6934</v>
      </c>
      <c r="D2769" t="s">
        <v>6935</v>
      </c>
      <c r="E2769" t="s">
        <v>6863</v>
      </c>
    </row>
    <row r="2770" spans="1:5" x14ac:dyDescent="0.2">
      <c r="A2770">
        <v>2770</v>
      </c>
      <c r="B2770" t="s">
        <v>838</v>
      </c>
      <c r="C2770" t="s">
        <v>6936</v>
      </c>
      <c r="D2770" t="s">
        <v>6937</v>
      </c>
      <c r="E2770" t="s">
        <v>6863</v>
      </c>
    </row>
    <row r="2771" spans="1:5" x14ac:dyDescent="0.2">
      <c r="A2771">
        <v>2771</v>
      </c>
      <c r="B2771" t="s">
        <v>838</v>
      </c>
      <c r="C2771" t="s">
        <v>6938</v>
      </c>
      <c r="D2771" t="s">
        <v>6939</v>
      </c>
      <c r="E2771" t="s">
        <v>6863</v>
      </c>
    </row>
    <row r="2772" spans="1:5" x14ac:dyDescent="0.2">
      <c r="A2772">
        <v>2772</v>
      </c>
      <c r="B2772" t="s">
        <v>838</v>
      </c>
      <c r="C2772" t="s">
        <v>6940</v>
      </c>
      <c r="D2772" t="s">
        <v>6941</v>
      </c>
      <c r="E2772" t="s">
        <v>6863</v>
      </c>
    </row>
    <row r="2773" spans="1:5" x14ac:dyDescent="0.2">
      <c r="A2773">
        <v>2773</v>
      </c>
      <c r="B2773" t="s">
        <v>838</v>
      </c>
      <c r="C2773" t="s">
        <v>6942</v>
      </c>
      <c r="D2773" t="s">
        <v>6943</v>
      </c>
      <c r="E2773" t="s">
        <v>6863</v>
      </c>
    </row>
    <row r="2774" spans="1:5" x14ac:dyDescent="0.2">
      <c r="A2774">
        <v>2774</v>
      </c>
      <c r="B2774" t="s">
        <v>838</v>
      </c>
      <c r="C2774" t="s">
        <v>6944</v>
      </c>
      <c r="D2774" t="s">
        <v>6945</v>
      </c>
      <c r="E2774" t="s">
        <v>6863</v>
      </c>
    </row>
    <row r="2775" spans="1:5" x14ac:dyDescent="0.2">
      <c r="A2775">
        <v>2775</v>
      </c>
      <c r="B2775" t="s">
        <v>838</v>
      </c>
      <c r="C2775" t="s">
        <v>6946</v>
      </c>
      <c r="D2775" t="s">
        <v>6947</v>
      </c>
      <c r="E2775" t="s">
        <v>6863</v>
      </c>
    </row>
    <row r="2776" spans="1:5" x14ac:dyDescent="0.2">
      <c r="A2776">
        <v>2776</v>
      </c>
      <c r="B2776" t="s">
        <v>838</v>
      </c>
      <c r="C2776" t="s">
        <v>6948</v>
      </c>
      <c r="D2776" t="s">
        <v>6949</v>
      </c>
      <c r="E2776" t="s">
        <v>6863</v>
      </c>
    </row>
    <row r="2777" spans="1:5" x14ac:dyDescent="0.2">
      <c r="A2777">
        <v>2777</v>
      </c>
      <c r="B2777" t="s">
        <v>838</v>
      </c>
      <c r="C2777" t="s">
        <v>6948</v>
      </c>
      <c r="D2777" t="s">
        <v>6950</v>
      </c>
      <c r="E2777" t="s">
        <v>6863</v>
      </c>
    </row>
    <row r="2778" spans="1:5" x14ac:dyDescent="0.2">
      <c r="A2778">
        <v>2778</v>
      </c>
      <c r="B2778" t="s">
        <v>838</v>
      </c>
      <c r="C2778" t="s">
        <v>6951</v>
      </c>
      <c r="D2778" t="s">
        <v>6952</v>
      </c>
      <c r="E2778" t="s">
        <v>6863</v>
      </c>
    </row>
    <row r="2779" spans="1:5" x14ac:dyDescent="0.2">
      <c r="A2779">
        <v>2779</v>
      </c>
      <c r="B2779" t="s">
        <v>838</v>
      </c>
      <c r="C2779" t="s">
        <v>6953</v>
      </c>
      <c r="D2779" t="s">
        <v>6954</v>
      </c>
      <c r="E2779" t="s">
        <v>6863</v>
      </c>
    </row>
    <row r="2780" spans="1:5" x14ac:dyDescent="0.2">
      <c r="A2780">
        <v>2780</v>
      </c>
      <c r="B2780" t="s">
        <v>838</v>
      </c>
      <c r="C2780" t="s">
        <v>6955</v>
      </c>
      <c r="D2780" t="s">
        <v>2518</v>
      </c>
      <c r="E2780" t="s">
        <v>6863</v>
      </c>
    </row>
    <row r="2781" spans="1:5" x14ac:dyDescent="0.2">
      <c r="A2781">
        <v>2781</v>
      </c>
      <c r="B2781" t="s">
        <v>838</v>
      </c>
      <c r="C2781" t="s">
        <v>6956</v>
      </c>
      <c r="D2781" t="s">
        <v>6957</v>
      </c>
      <c r="E2781" t="s">
        <v>6863</v>
      </c>
    </row>
    <row r="2782" spans="1:5" x14ac:dyDescent="0.2">
      <c r="A2782">
        <v>2782</v>
      </c>
      <c r="B2782" t="s">
        <v>838</v>
      </c>
      <c r="C2782" t="s">
        <v>6958</v>
      </c>
      <c r="D2782" t="s">
        <v>6959</v>
      </c>
      <c r="E2782" t="s">
        <v>6863</v>
      </c>
    </row>
    <row r="2783" spans="1:5" x14ac:dyDescent="0.2">
      <c r="A2783">
        <v>2783</v>
      </c>
      <c r="B2783" t="s">
        <v>838</v>
      </c>
      <c r="C2783" t="s">
        <v>6960</v>
      </c>
      <c r="D2783" t="s">
        <v>6961</v>
      </c>
      <c r="E2783" t="s">
        <v>6863</v>
      </c>
    </row>
    <row r="2784" spans="1:5" x14ac:dyDescent="0.2">
      <c r="A2784">
        <v>2784</v>
      </c>
      <c r="B2784" t="s">
        <v>838</v>
      </c>
      <c r="C2784" t="s">
        <v>6962</v>
      </c>
      <c r="D2784" t="s">
        <v>6963</v>
      </c>
      <c r="E2784" t="s">
        <v>6863</v>
      </c>
    </row>
    <row r="2785" spans="1:5" x14ac:dyDescent="0.2">
      <c r="A2785">
        <v>2785</v>
      </c>
      <c r="B2785" t="s">
        <v>838</v>
      </c>
      <c r="C2785" t="s">
        <v>6958</v>
      </c>
      <c r="D2785" t="s">
        <v>6964</v>
      </c>
      <c r="E2785" t="s">
        <v>6863</v>
      </c>
    </row>
    <row r="2786" spans="1:5" x14ac:dyDescent="0.2">
      <c r="A2786">
        <v>2786</v>
      </c>
      <c r="B2786" t="s">
        <v>838</v>
      </c>
      <c r="C2786" t="s">
        <v>6962</v>
      </c>
      <c r="D2786" t="s">
        <v>6965</v>
      </c>
      <c r="E2786" t="s">
        <v>6863</v>
      </c>
    </row>
    <row r="2787" spans="1:5" x14ac:dyDescent="0.2">
      <c r="A2787">
        <v>2787</v>
      </c>
      <c r="B2787" t="s">
        <v>838</v>
      </c>
      <c r="C2787" t="s">
        <v>6956</v>
      </c>
      <c r="D2787" t="s">
        <v>6966</v>
      </c>
      <c r="E2787" t="s">
        <v>6863</v>
      </c>
    </row>
    <row r="2788" spans="1:5" x14ac:dyDescent="0.2">
      <c r="A2788">
        <v>2788</v>
      </c>
      <c r="B2788" t="s">
        <v>838</v>
      </c>
      <c r="C2788" t="s">
        <v>6955</v>
      </c>
      <c r="D2788" t="s">
        <v>6967</v>
      </c>
      <c r="E2788" t="s">
        <v>6863</v>
      </c>
    </row>
    <row r="2789" spans="1:5" x14ac:dyDescent="0.2">
      <c r="A2789">
        <v>2789</v>
      </c>
      <c r="B2789" t="s">
        <v>838</v>
      </c>
      <c r="C2789" t="s">
        <v>6968</v>
      </c>
      <c r="D2789" t="s">
        <v>6969</v>
      </c>
      <c r="E2789" t="s">
        <v>6863</v>
      </c>
    </row>
    <row r="2790" spans="1:5" x14ac:dyDescent="0.2">
      <c r="A2790">
        <v>2790</v>
      </c>
      <c r="B2790" t="s">
        <v>838</v>
      </c>
      <c r="C2790" t="s">
        <v>6960</v>
      </c>
      <c r="D2790" t="s">
        <v>6970</v>
      </c>
      <c r="E2790" t="s">
        <v>6863</v>
      </c>
    </row>
    <row r="2791" spans="1:5" x14ac:dyDescent="0.2">
      <c r="A2791">
        <v>2791</v>
      </c>
      <c r="B2791" t="s">
        <v>838</v>
      </c>
      <c r="C2791" t="s">
        <v>6971</v>
      </c>
      <c r="D2791" t="s">
        <v>6972</v>
      </c>
      <c r="E2791" t="s">
        <v>6863</v>
      </c>
    </row>
    <row r="2792" spans="1:5" x14ac:dyDescent="0.2">
      <c r="A2792">
        <v>2792</v>
      </c>
      <c r="B2792" t="s">
        <v>838</v>
      </c>
      <c r="C2792" t="s">
        <v>6973</v>
      </c>
      <c r="D2792" t="s">
        <v>6974</v>
      </c>
      <c r="E2792" t="s">
        <v>6863</v>
      </c>
    </row>
    <row r="2793" spans="1:5" x14ac:dyDescent="0.2">
      <c r="A2793">
        <v>2793</v>
      </c>
      <c r="B2793" t="s">
        <v>838</v>
      </c>
      <c r="C2793" t="s">
        <v>6975</v>
      </c>
      <c r="D2793" t="s">
        <v>6976</v>
      </c>
      <c r="E2793" t="s">
        <v>6863</v>
      </c>
    </row>
    <row r="2794" spans="1:5" x14ac:dyDescent="0.2">
      <c r="A2794">
        <v>2794</v>
      </c>
      <c r="B2794" t="s">
        <v>838</v>
      </c>
      <c r="C2794" t="s">
        <v>6977</v>
      </c>
      <c r="D2794" t="s">
        <v>6978</v>
      </c>
      <c r="E2794" t="s">
        <v>6863</v>
      </c>
    </row>
    <row r="2795" spans="1:5" x14ac:dyDescent="0.2">
      <c r="A2795">
        <v>2795</v>
      </c>
      <c r="B2795" t="s">
        <v>838</v>
      </c>
      <c r="C2795" t="s">
        <v>6979</v>
      </c>
      <c r="D2795" t="s">
        <v>6980</v>
      </c>
      <c r="E2795" t="s">
        <v>6863</v>
      </c>
    </row>
    <row r="2796" spans="1:5" x14ac:dyDescent="0.2">
      <c r="A2796">
        <v>2796</v>
      </c>
      <c r="B2796" t="s">
        <v>838</v>
      </c>
      <c r="C2796" t="s">
        <v>6981</v>
      </c>
      <c r="D2796" t="s">
        <v>6982</v>
      </c>
      <c r="E2796" t="s">
        <v>6863</v>
      </c>
    </row>
    <row r="2797" spans="1:5" x14ac:dyDescent="0.2">
      <c r="A2797">
        <v>2797</v>
      </c>
      <c r="B2797" t="s">
        <v>838</v>
      </c>
      <c r="C2797" t="s">
        <v>6983</v>
      </c>
      <c r="D2797" t="s">
        <v>6984</v>
      </c>
      <c r="E2797" t="s">
        <v>6863</v>
      </c>
    </row>
    <row r="2798" spans="1:5" x14ac:dyDescent="0.2">
      <c r="A2798">
        <v>2798</v>
      </c>
      <c r="B2798" t="s">
        <v>838</v>
      </c>
      <c r="C2798" t="s">
        <v>6985</v>
      </c>
      <c r="D2798" t="s">
        <v>6986</v>
      </c>
      <c r="E2798" t="s">
        <v>6863</v>
      </c>
    </row>
    <row r="2799" spans="1:5" x14ac:dyDescent="0.2">
      <c r="A2799">
        <v>2799</v>
      </c>
      <c r="B2799" t="s">
        <v>838</v>
      </c>
      <c r="C2799" t="s">
        <v>6987</v>
      </c>
      <c r="D2799" t="s">
        <v>6988</v>
      </c>
      <c r="E2799" t="s">
        <v>6863</v>
      </c>
    </row>
    <row r="2800" spans="1:5" x14ac:dyDescent="0.2">
      <c r="A2800">
        <v>2800</v>
      </c>
      <c r="B2800" t="s">
        <v>838</v>
      </c>
      <c r="C2800" t="s">
        <v>6989</v>
      </c>
      <c r="D2800" t="s">
        <v>6990</v>
      </c>
      <c r="E2800" t="s">
        <v>6863</v>
      </c>
    </row>
    <row r="2801" spans="1:5" x14ac:dyDescent="0.2">
      <c r="A2801">
        <v>2801</v>
      </c>
      <c r="B2801" t="s">
        <v>838</v>
      </c>
      <c r="C2801" t="s">
        <v>6991</v>
      </c>
      <c r="D2801" t="s">
        <v>6992</v>
      </c>
      <c r="E2801" t="s">
        <v>6863</v>
      </c>
    </row>
    <row r="2802" spans="1:5" x14ac:dyDescent="0.2">
      <c r="A2802">
        <v>2802</v>
      </c>
      <c r="B2802" t="s">
        <v>838</v>
      </c>
      <c r="C2802" t="s">
        <v>6993</v>
      </c>
      <c r="D2802" t="s">
        <v>6994</v>
      </c>
      <c r="E2802" t="s">
        <v>6863</v>
      </c>
    </row>
    <row r="2803" spans="1:5" x14ac:dyDescent="0.2">
      <c r="A2803">
        <v>2803</v>
      </c>
      <c r="B2803" t="s">
        <v>838</v>
      </c>
      <c r="C2803" t="s">
        <v>6995</v>
      </c>
      <c r="D2803" t="s">
        <v>6996</v>
      </c>
      <c r="E2803" t="s">
        <v>6863</v>
      </c>
    </row>
    <row r="2804" spans="1:5" x14ac:dyDescent="0.2">
      <c r="A2804">
        <v>2804</v>
      </c>
      <c r="B2804" t="s">
        <v>838</v>
      </c>
      <c r="C2804" t="s">
        <v>6995</v>
      </c>
      <c r="D2804" t="s">
        <v>6997</v>
      </c>
      <c r="E2804" t="s">
        <v>6863</v>
      </c>
    </row>
    <row r="2805" spans="1:5" x14ac:dyDescent="0.2">
      <c r="A2805">
        <v>2805</v>
      </c>
      <c r="B2805" t="s">
        <v>838</v>
      </c>
      <c r="C2805" t="s">
        <v>6998</v>
      </c>
      <c r="D2805" t="s">
        <v>6999</v>
      </c>
      <c r="E2805" t="s">
        <v>6863</v>
      </c>
    </row>
    <row r="2806" spans="1:5" x14ac:dyDescent="0.2">
      <c r="A2806">
        <v>2806</v>
      </c>
      <c r="B2806" t="s">
        <v>838</v>
      </c>
      <c r="C2806" t="s">
        <v>7000</v>
      </c>
      <c r="D2806" t="s">
        <v>7001</v>
      </c>
      <c r="E2806" t="s">
        <v>6863</v>
      </c>
    </row>
    <row r="2807" spans="1:5" x14ac:dyDescent="0.2">
      <c r="A2807">
        <v>2807</v>
      </c>
      <c r="B2807" t="s">
        <v>838</v>
      </c>
      <c r="C2807" t="s">
        <v>7002</v>
      </c>
      <c r="D2807" t="s">
        <v>7003</v>
      </c>
      <c r="E2807" t="s">
        <v>6863</v>
      </c>
    </row>
    <row r="2808" spans="1:5" x14ac:dyDescent="0.2">
      <c r="A2808">
        <v>2808</v>
      </c>
      <c r="B2808" t="s">
        <v>840</v>
      </c>
      <c r="C2808" t="s">
        <v>7004</v>
      </c>
      <c r="D2808" t="s">
        <v>7005</v>
      </c>
      <c r="E2808" t="s">
        <v>2164</v>
      </c>
    </row>
    <row r="2809" spans="1:5" x14ac:dyDescent="0.2">
      <c r="A2809">
        <v>2809</v>
      </c>
      <c r="B2809" t="s">
        <v>840</v>
      </c>
      <c r="C2809" t="s">
        <v>7006</v>
      </c>
      <c r="D2809" t="s">
        <v>7007</v>
      </c>
      <c r="E2809" t="s">
        <v>2164</v>
      </c>
    </row>
    <row r="2810" spans="1:5" x14ac:dyDescent="0.2">
      <c r="A2810">
        <v>2810</v>
      </c>
      <c r="B2810" t="s">
        <v>840</v>
      </c>
      <c r="C2810" t="s">
        <v>7008</v>
      </c>
      <c r="D2810" t="s">
        <v>7009</v>
      </c>
      <c r="E2810" t="s">
        <v>2164</v>
      </c>
    </row>
    <row r="2811" spans="1:5" x14ac:dyDescent="0.2">
      <c r="A2811">
        <v>2811</v>
      </c>
      <c r="B2811" t="s">
        <v>840</v>
      </c>
      <c r="C2811" t="s">
        <v>7010</v>
      </c>
      <c r="D2811" t="s">
        <v>7011</v>
      </c>
      <c r="E2811" t="s">
        <v>2164</v>
      </c>
    </row>
    <row r="2812" spans="1:5" x14ac:dyDescent="0.2">
      <c r="A2812">
        <v>2812</v>
      </c>
      <c r="B2812" t="s">
        <v>840</v>
      </c>
      <c r="C2812" t="s">
        <v>7012</v>
      </c>
      <c r="D2812" t="s">
        <v>7013</v>
      </c>
      <c r="E2812" t="s">
        <v>2164</v>
      </c>
    </row>
    <row r="2813" spans="1:5" x14ac:dyDescent="0.2">
      <c r="A2813">
        <v>2813</v>
      </c>
      <c r="B2813" t="s">
        <v>840</v>
      </c>
      <c r="C2813" t="s">
        <v>7014</v>
      </c>
      <c r="D2813" t="s">
        <v>7015</v>
      </c>
      <c r="E2813" t="s">
        <v>2164</v>
      </c>
    </row>
    <row r="2814" spans="1:5" x14ac:dyDescent="0.2">
      <c r="A2814">
        <v>2814</v>
      </c>
      <c r="B2814" t="s">
        <v>840</v>
      </c>
      <c r="C2814" t="s">
        <v>7016</v>
      </c>
      <c r="D2814" t="s">
        <v>7017</v>
      </c>
      <c r="E2814" t="s">
        <v>2164</v>
      </c>
    </row>
    <row r="2815" spans="1:5" x14ac:dyDescent="0.2">
      <c r="A2815">
        <v>2815</v>
      </c>
      <c r="B2815" t="s">
        <v>840</v>
      </c>
      <c r="C2815" t="s">
        <v>7018</v>
      </c>
      <c r="D2815" t="s">
        <v>7019</v>
      </c>
      <c r="E2815" t="s">
        <v>2164</v>
      </c>
    </row>
    <row r="2816" spans="1:5" x14ac:dyDescent="0.2">
      <c r="A2816">
        <v>2816</v>
      </c>
      <c r="B2816" t="s">
        <v>840</v>
      </c>
      <c r="C2816" t="s">
        <v>7020</v>
      </c>
      <c r="D2816" t="s">
        <v>7021</v>
      </c>
      <c r="E2816" t="s">
        <v>2164</v>
      </c>
    </row>
    <row r="2817" spans="1:5" x14ac:dyDescent="0.2">
      <c r="A2817">
        <v>2817</v>
      </c>
      <c r="B2817" t="s">
        <v>840</v>
      </c>
      <c r="C2817" t="s">
        <v>7022</v>
      </c>
      <c r="D2817" t="s">
        <v>7023</v>
      </c>
      <c r="E2817" t="s">
        <v>2164</v>
      </c>
    </row>
    <row r="2818" spans="1:5" x14ac:dyDescent="0.2">
      <c r="A2818">
        <v>2818</v>
      </c>
      <c r="B2818" t="s">
        <v>840</v>
      </c>
      <c r="C2818" t="s">
        <v>7024</v>
      </c>
      <c r="D2818" t="s">
        <v>7025</v>
      </c>
      <c r="E2818" t="s">
        <v>2164</v>
      </c>
    </row>
    <row r="2819" spans="1:5" x14ac:dyDescent="0.2">
      <c r="A2819">
        <v>2819</v>
      </c>
      <c r="B2819" t="s">
        <v>840</v>
      </c>
      <c r="C2819" t="s">
        <v>7026</v>
      </c>
      <c r="D2819" t="s">
        <v>7027</v>
      </c>
      <c r="E2819" t="s">
        <v>2164</v>
      </c>
    </row>
    <row r="2820" spans="1:5" x14ac:dyDescent="0.2">
      <c r="A2820">
        <v>2820</v>
      </c>
      <c r="B2820" t="s">
        <v>840</v>
      </c>
      <c r="C2820" t="s">
        <v>7028</v>
      </c>
      <c r="D2820" t="s">
        <v>7029</v>
      </c>
      <c r="E2820" t="s">
        <v>2164</v>
      </c>
    </row>
    <row r="2821" spans="1:5" x14ac:dyDescent="0.2">
      <c r="A2821">
        <v>2821</v>
      </c>
      <c r="B2821" t="s">
        <v>840</v>
      </c>
      <c r="C2821" t="s">
        <v>7030</v>
      </c>
      <c r="D2821" t="s">
        <v>7031</v>
      </c>
      <c r="E2821" t="s">
        <v>2164</v>
      </c>
    </row>
    <row r="2822" spans="1:5" x14ac:dyDescent="0.2">
      <c r="A2822">
        <v>2822</v>
      </c>
      <c r="B2822" t="s">
        <v>840</v>
      </c>
      <c r="C2822" t="s">
        <v>7032</v>
      </c>
      <c r="D2822" t="s">
        <v>7033</v>
      </c>
      <c r="E2822" t="s">
        <v>2164</v>
      </c>
    </row>
    <row r="2823" spans="1:5" x14ac:dyDescent="0.2">
      <c r="A2823">
        <v>2823</v>
      </c>
      <c r="B2823" t="s">
        <v>840</v>
      </c>
      <c r="C2823" t="s">
        <v>7034</v>
      </c>
      <c r="D2823" t="s">
        <v>7035</v>
      </c>
      <c r="E2823" t="s">
        <v>2164</v>
      </c>
    </row>
    <row r="2824" spans="1:5" x14ac:dyDescent="0.2">
      <c r="A2824">
        <v>2824</v>
      </c>
      <c r="B2824" t="s">
        <v>840</v>
      </c>
      <c r="C2824" t="s">
        <v>7036</v>
      </c>
      <c r="D2824" t="s">
        <v>7037</v>
      </c>
      <c r="E2824" t="s">
        <v>2164</v>
      </c>
    </row>
    <row r="2825" spans="1:5" x14ac:dyDescent="0.2">
      <c r="A2825">
        <v>2825</v>
      </c>
      <c r="B2825" t="s">
        <v>840</v>
      </c>
      <c r="C2825" t="s">
        <v>7038</v>
      </c>
      <c r="D2825" t="s">
        <v>7039</v>
      </c>
      <c r="E2825" t="s">
        <v>2164</v>
      </c>
    </row>
    <row r="2826" spans="1:5" x14ac:dyDescent="0.2">
      <c r="A2826">
        <v>2826</v>
      </c>
      <c r="B2826" t="s">
        <v>840</v>
      </c>
      <c r="C2826" t="s">
        <v>7040</v>
      </c>
      <c r="D2826" t="s">
        <v>7041</v>
      </c>
      <c r="E2826" t="s">
        <v>2164</v>
      </c>
    </row>
    <row r="2827" spans="1:5" x14ac:dyDescent="0.2">
      <c r="A2827">
        <v>2827</v>
      </c>
      <c r="B2827" t="s">
        <v>840</v>
      </c>
      <c r="C2827" t="s">
        <v>7042</v>
      </c>
      <c r="D2827" t="s">
        <v>7043</v>
      </c>
      <c r="E2827" t="s">
        <v>7044</v>
      </c>
    </row>
    <row r="2828" spans="1:5" x14ac:dyDescent="0.2">
      <c r="A2828">
        <v>2828</v>
      </c>
      <c r="B2828" t="s">
        <v>840</v>
      </c>
      <c r="C2828" t="s">
        <v>7045</v>
      </c>
      <c r="D2828" t="s">
        <v>7046</v>
      </c>
      <c r="E2828" t="s">
        <v>7044</v>
      </c>
    </row>
    <row r="2829" spans="1:5" x14ac:dyDescent="0.2">
      <c r="A2829">
        <v>2829</v>
      </c>
      <c r="B2829" t="s">
        <v>840</v>
      </c>
      <c r="C2829" t="s">
        <v>7047</v>
      </c>
      <c r="D2829" t="s">
        <v>7048</v>
      </c>
      <c r="E2829" t="s">
        <v>2164</v>
      </c>
    </row>
    <row r="2830" spans="1:5" x14ac:dyDescent="0.2">
      <c r="A2830">
        <v>2830</v>
      </c>
      <c r="B2830" t="s">
        <v>840</v>
      </c>
      <c r="C2830" t="s">
        <v>7049</v>
      </c>
      <c r="D2830" t="s">
        <v>7050</v>
      </c>
      <c r="E2830" t="s">
        <v>2164</v>
      </c>
    </row>
    <row r="2831" spans="1:5" x14ac:dyDescent="0.2">
      <c r="A2831">
        <v>2831</v>
      </c>
      <c r="B2831" t="s">
        <v>840</v>
      </c>
      <c r="C2831" t="s">
        <v>7051</v>
      </c>
      <c r="D2831" t="s">
        <v>7052</v>
      </c>
      <c r="E2831" t="s">
        <v>2164</v>
      </c>
    </row>
    <row r="2832" spans="1:5" x14ac:dyDescent="0.2">
      <c r="A2832">
        <v>2832</v>
      </c>
      <c r="B2832" t="s">
        <v>840</v>
      </c>
      <c r="C2832" t="s">
        <v>7053</v>
      </c>
      <c r="D2832" t="s">
        <v>7054</v>
      </c>
      <c r="E2832" t="s">
        <v>2164</v>
      </c>
    </row>
    <row r="2833" spans="1:5" x14ac:dyDescent="0.2">
      <c r="A2833">
        <v>2833</v>
      </c>
      <c r="B2833" t="s">
        <v>840</v>
      </c>
      <c r="C2833" t="s">
        <v>7055</v>
      </c>
      <c r="D2833" t="s">
        <v>7056</v>
      </c>
      <c r="E2833" t="s">
        <v>2164</v>
      </c>
    </row>
    <row r="2834" spans="1:5" x14ac:dyDescent="0.2">
      <c r="A2834">
        <v>2834</v>
      </c>
      <c r="B2834" t="s">
        <v>844</v>
      </c>
      <c r="C2834" t="s">
        <v>7057</v>
      </c>
      <c r="D2834" t="s">
        <v>1873</v>
      </c>
      <c r="E2834" t="s">
        <v>2087</v>
      </c>
    </row>
    <row r="2835" spans="1:5" x14ac:dyDescent="0.2">
      <c r="A2835">
        <v>2835</v>
      </c>
      <c r="B2835" t="s">
        <v>844</v>
      </c>
      <c r="C2835" t="s">
        <v>7058</v>
      </c>
      <c r="D2835" t="s">
        <v>7059</v>
      </c>
      <c r="E2835" t="s">
        <v>2087</v>
      </c>
    </row>
    <row r="2836" spans="1:5" x14ac:dyDescent="0.2">
      <c r="A2836">
        <v>2836</v>
      </c>
      <c r="B2836" t="s">
        <v>844</v>
      </c>
      <c r="C2836" t="s">
        <v>7060</v>
      </c>
      <c r="D2836" t="s">
        <v>7061</v>
      </c>
      <c r="E2836" t="s">
        <v>2087</v>
      </c>
    </row>
    <row r="2837" spans="1:5" x14ac:dyDescent="0.2">
      <c r="A2837">
        <v>2837</v>
      </c>
      <c r="B2837" t="s">
        <v>844</v>
      </c>
      <c r="C2837" t="s">
        <v>7062</v>
      </c>
      <c r="D2837" t="s">
        <v>7063</v>
      </c>
      <c r="E2837" t="s">
        <v>2087</v>
      </c>
    </row>
    <row r="2838" spans="1:5" x14ac:dyDescent="0.2">
      <c r="A2838">
        <v>2838</v>
      </c>
      <c r="B2838" t="s">
        <v>844</v>
      </c>
      <c r="C2838" t="s">
        <v>7064</v>
      </c>
      <c r="D2838" t="s">
        <v>7065</v>
      </c>
      <c r="E2838" t="s">
        <v>2087</v>
      </c>
    </row>
    <row r="2839" spans="1:5" x14ac:dyDescent="0.2">
      <c r="A2839">
        <v>2839</v>
      </c>
      <c r="B2839" t="s">
        <v>844</v>
      </c>
      <c r="C2839" t="s">
        <v>7066</v>
      </c>
      <c r="D2839" t="s">
        <v>7067</v>
      </c>
      <c r="E2839" t="s">
        <v>2087</v>
      </c>
    </row>
    <row r="2840" spans="1:5" x14ac:dyDescent="0.2">
      <c r="A2840">
        <v>2840</v>
      </c>
      <c r="B2840" t="s">
        <v>844</v>
      </c>
      <c r="C2840" t="s">
        <v>7068</v>
      </c>
      <c r="D2840" t="s">
        <v>7069</v>
      </c>
      <c r="E2840" t="s">
        <v>2087</v>
      </c>
    </row>
    <row r="2841" spans="1:5" x14ac:dyDescent="0.2">
      <c r="A2841">
        <v>2841</v>
      </c>
      <c r="B2841" t="s">
        <v>844</v>
      </c>
      <c r="C2841" t="s">
        <v>7070</v>
      </c>
      <c r="D2841" t="s">
        <v>7071</v>
      </c>
      <c r="E2841" t="s">
        <v>2087</v>
      </c>
    </row>
    <row r="2842" spans="1:5" x14ac:dyDescent="0.2">
      <c r="A2842">
        <v>2842</v>
      </c>
      <c r="B2842" t="s">
        <v>844</v>
      </c>
      <c r="C2842" t="s">
        <v>7072</v>
      </c>
      <c r="D2842" t="s">
        <v>7073</v>
      </c>
      <c r="E2842" t="s">
        <v>2087</v>
      </c>
    </row>
    <row r="2843" spans="1:5" x14ac:dyDescent="0.2">
      <c r="A2843">
        <v>2843</v>
      </c>
      <c r="B2843" t="s">
        <v>844</v>
      </c>
      <c r="C2843" t="s">
        <v>7074</v>
      </c>
      <c r="D2843" t="s">
        <v>7075</v>
      </c>
      <c r="E2843" t="s">
        <v>1790</v>
      </c>
    </row>
    <row r="2844" spans="1:5" x14ac:dyDescent="0.2">
      <c r="A2844">
        <v>2844</v>
      </c>
      <c r="B2844" t="s">
        <v>844</v>
      </c>
      <c r="C2844" t="s">
        <v>7076</v>
      </c>
      <c r="D2844" t="s">
        <v>7077</v>
      </c>
      <c r="E2844" t="s">
        <v>2087</v>
      </c>
    </row>
    <row r="2845" spans="1:5" x14ac:dyDescent="0.2">
      <c r="A2845">
        <v>2845</v>
      </c>
      <c r="B2845" t="s">
        <v>844</v>
      </c>
      <c r="C2845" t="s">
        <v>7078</v>
      </c>
      <c r="D2845" t="s">
        <v>7079</v>
      </c>
      <c r="E2845" t="s">
        <v>2087</v>
      </c>
    </row>
    <row r="2846" spans="1:5" x14ac:dyDescent="0.2">
      <c r="A2846">
        <v>2846</v>
      </c>
      <c r="B2846" t="s">
        <v>844</v>
      </c>
      <c r="C2846" t="s">
        <v>7080</v>
      </c>
      <c r="D2846" t="s">
        <v>7081</v>
      </c>
      <c r="E2846" t="s">
        <v>2087</v>
      </c>
    </row>
    <row r="2847" spans="1:5" x14ac:dyDescent="0.2">
      <c r="A2847">
        <v>2847</v>
      </c>
      <c r="B2847" t="s">
        <v>846</v>
      </c>
      <c r="C2847" t="s">
        <v>7082</v>
      </c>
      <c r="D2847" t="s">
        <v>7083</v>
      </c>
      <c r="E2847" t="s">
        <v>2021</v>
      </c>
    </row>
    <row r="2848" spans="1:5" x14ac:dyDescent="0.2">
      <c r="A2848">
        <v>2848</v>
      </c>
      <c r="B2848" t="s">
        <v>846</v>
      </c>
      <c r="C2848" t="s">
        <v>7084</v>
      </c>
      <c r="D2848" t="s">
        <v>7085</v>
      </c>
      <c r="E2848" t="s">
        <v>2046</v>
      </c>
    </row>
    <row r="2849" spans="1:5" x14ac:dyDescent="0.2">
      <c r="A2849">
        <v>2849</v>
      </c>
      <c r="B2849" t="s">
        <v>846</v>
      </c>
      <c r="C2849" t="s">
        <v>7086</v>
      </c>
      <c r="D2849" t="s">
        <v>7087</v>
      </c>
      <c r="E2849" t="s">
        <v>1790</v>
      </c>
    </row>
    <row r="2850" spans="1:5" x14ac:dyDescent="0.2">
      <c r="A2850">
        <v>2850</v>
      </c>
      <c r="B2850" t="s">
        <v>846</v>
      </c>
      <c r="C2850" t="s">
        <v>7088</v>
      </c>
      <c r="D2850" t="s">
        <v>7089</v>
      </c>
      <c r="E2850" t="s">
        <v>2021</v>
      </c>
    </row>
    <row r="2851" spans="1:5" x14ac:dyDescent="0.2">
      <c r="A2851">
        <v>2851</v>
      </c>
      <c r="B2851" t="s">
        <v>846</v>
      </c>
      <c r="C2851" t="s">
        <v>7090</v>
      </c>
      <c r="D2851" t="s">
        <v>7091</v>
      </c>
      <c r="E2851" t="s">
        <v>2046</v>
      </c>
    </row>
    <row r="2852" spans="1:5" x14ac:dyDescent="0.2">
      <c r="A2852">
        <v>2852</v>
      </c>
      <c r="B2852" t="s">
        <v>846</v>
      </c>
      <c r="C2852" t="s">
        <v>7092</v>
      </c>
      <c r="D2852" t="s">
        <v>7093</v>
      </c>
      <c r="E2852" t="s">
        <v>1790</v>
      </c>
    </row>
    <row r="2853" spans="1:5" x14ac:dyDescent="0.2">
      <c r="A2853">
        <v>2853</v>
      </c>
      <c r="B2853" t="s">
        <v>846</v>
      </c>
      <c r="C2853" t="s">
        <v>7094</v>
      </c>
      <c r="D2853" t="s">
        <v>7095</v>
      </c>
      <c r="E2853" t="s">
        <v>1790</v>
      </c>
    </row>
    <row r="2854" spans="1:5" x14ac:dyDescent="0.2">
      <c r="A2854">
        <v>2854</v>
      </c>
      <c r="B2854" t="s">
        <v>846</v>
      </c>
      <c r="C2854" t="s">
        <v>7096</v>
      </c>
      <c r="D2854" t="s">
        <v>7097</v>
      </c>
      <c r="E2854" t="s">
        <v>1790</v>
      </c>
    </row>
    <row r="2855" spans="1:5" x14ac:dyDescent="0.2">
      <c r="A2855">
        <v>2855</v>
      </c>
      <c r="B2855" t="s">
        <v>846</v>
      </c>
      <c r="C2855" t="s">
        <v>7098</v>
      </c>
      <c r="D2855" t="s">
        <v>7099</v>
      </c>
      <c r="E2855" t="s">
        <v>1790</v>
      </c>
    </row>
    <row r="2856" spans="1:5" x14ac:dyDescent="0.2">
      <c r="A2856">
        <v>2856</v>
      </c>
      <c r="B2856" t="s">
        <v>846</v>
      </c>
      <c r="C2856" t="s">
        <v>7100</v>
      </c>
      <c r="D2856" t="s">
        <v>7101</v>
      </c>
      <c r="E2856" t="s">
        <v>1790</v>
      </c>
    </row>
    <row r="2857" spans="1:5" x14ac:dyDescent="0.2">
      <c r="A2857">
        <v>2857</v>
      </c>
      <c r="B2857" t="s">
        <v>846</v>
      </c>
      <c r="C2857" t="s">
        <v>7102</v>
      </c>
      <c r="D2857" t="s">
        <v>7103</v>
      </c>
      <c r="E2857" t="s">
        <v>1790</v>
      </c>
    </row>
    <row r="2858" spans="1:5" x14ac:dyDescent="0.2">
      <c r="A2858">
        <v>2858</v>
      </c>
      <c r="B2858" t="s">
        <v>846</v>
      </c>
      <c r="C2858" t="s">
        <v>7104</v>
      </c>
      <c r="D2858" t="s">
        <v>7103</v>
      </c>
      <c r="E2858" t="s">
        <v>2046</v>
      </c>
    </row>
    <row r="2859" spans="1:5" x14ac:dyDescent="0.2">
      <c r="A2859">
        <v>2859</v>
      </c>
      <c r="B2859" t="s">
        <v>846</v>
      </c>
      <c r="C2859" t="s">
        <v>7105</v>
      </c>
      <c r="D2859" t="s">
        <v>7106</v>
      </c>
      <c r="E2859" t="s">
        <v>2046</v>
      </c>
    </row>
    <row r="2860" spans="1:5" x14ac:dyDescent="0.2">
      <c r="A2860">
        <v>2860</v>
      </c>
      <c r="B2860" t="s">
        <v>846</v>
      </c>
      <c r="C2860" t="s">
        <v>7107</v>
      </c>
      <c r="D2860" t="s">
        <v>7108</v>
      </c>
      <c r="E2860" t="s">
        <v>1790</v>
      </c>
    </row>
    <row r="2861" spans="1:5" x14ac:dyDescent="0.2">
      <c r="A2861">
        <v>2861</v>
      </c>
      <c r="B2861" t="s">
        <v>846</v>
      </c>
      <c r="C2861" t="s">
        <v>7109</v>
      </c>
      <c r="D2861" t="s">
        <v>7110</v>
      </c>
      <c r="E2861" t="s">
        <v>2021</v>
      </c>
    </row>
    <row r="2862" spans="1:5" x14ac:dyDescent="0.2">
      <c r="A2862">
        <v>2862</v>
      </c>
      <c r="B2862" t="s">
        <v>846</v>
      </c>
      <c r="C2862" t="s">
        <v>7111</v>
      </c>
      <c r="D2862" t="s">
        <v>7112</v>
      </c>
      <c r="E2862" t="s">
        <v>1790</v>
      </c>
    </row>
    <row r="2863" spans="1:5" x14ac:dyDescent="0.2">
      <c r="A2863">
        <v>2863</v>
      </c>
      <c r="B2863" t="s">
        <v>846</v>
      </c>
      <c r="C2863" t="s">
        <v>7113</v>
      </c>
      <c r="D2863" t="s">
        <v>7114</v>
      </c>
      <c r="E2863" t="s">
        <v>2046</v>
      </c>
    </row>
    <row r="2864" spans="1:5" x14ac:dyDescent="0.2">
      <c r="A2864">
        <v>2864</v>
      </c>
      <c r="B2864" t="s">
        <v>850</v>
      </c>
      <c r="C2864" t="s">
        <v>7115</v>
      </c>
      <c r="D2864" t="s">
        <v>7116</v>
      </c>
      <c r="E2864" t="s">
        <v>2113</v>
      </c>
    </row>
    <row r="2865" spans="1:5" x14ac:dyDescent="0.2">
      <c r="A2865">
        <v>2865</v>
      </c>
      <c r="B2865" t="s">
        <v>850</v>
      </c>
      <c r="C2865" t="s">
        <v>7117</v>
      </c>
      <c r="D2865" t="s">
        <v>7118</v>
      </c>
      <c r="E2865" t="s">
        <v>2113</v>
      </c>
    </row>
    <row r="2866" spans="1:5" x14ac:dyDescent="0.2">
      <c r="A2866">
        <v>2866</v>
      </c>
      <c r="B2866" t="s">
        <v>850</v>
      </c>
      <c r="C2866" t="s">
        <v>7119</v>
      </c>
      <c r="D2866" t="s">
        <v>7120</v>
      </c>
      <c r="E2866" t="s">
        <v>2113</v>
      </c>
    </row>
    <row r="2867" spans="1:5" x14ac:dyDescent="0.2">
      <c r="A2867">
        <v>2867</v>
      </c>
      <c r="B2867" t="s">
        <v>850</v>
      </c>
      <c r="C2867" t="s">
        <v>7121</v>
      </c>
      <c r="D2867" t="s">
        <v>7122</v>
      </c>
      <c r="E2867" t="s">
        <v>2113</v>
      </c>
    </row>
    <row r="2868" spans="1:5" x14ac:dyDescent="0.2">
      <c r="A2868">
        <v>2868</v>
      </c>
      <c r="B2868" t="s">
        <v>850</v>
      </c>
      <c r="C2868" t="s">
        <v>7123</v>
      </c>
      <c r="D2868" t="s">
        <v>7124</v>
      </c>
      <c r="E2868" t="s">
        <v>2113</v>
      </c>
    </row>
    <row r="2869" spans="1:5" x14ac:dyDescent="0.2">
      <c r="A2869">
        <v>2869</v>
      </c>
      <c r="B2869" t="s">
        <v>850</v>
      </c>
      <c r="C2869" t="s">
        <v>7125</v>
      </c>
      <c r="D2869" t="s">
        <v>7126</v>
      </c>
      <c r="E2869" t="s">
        <v>2113</v>
      </c>
    </row>
    <row r="2870" spans="1:5" x14ac:dyDescent="0.2">
      <c r="A2870">
        <v>2870</v>
      </c>
      <c r="B2870" t="s">
        <v>850</v>
      </c>
      <c r="C2870" t="s">
        <v>7127</v>
      </c>
      <c r="D2870" t="s">
        <v>7128</v>
      </c>
      <c r="E2870" t="s">
        <v>2113</v>
      </c>
    </row>
    <row r="2871" spans="1:5" x14ac:dyDescent="0.2">
      <c r="A2871">
        <v>2871</v>
      </c>
      <c r="B2871" t="s">
        <v>850</v>
      </c>
      <c r="C2871" t="s">
        <v>7129</v>
      </c>
      <c r="D2871" t="s">
        <v>7130</v>
      </c>
      <c r="E2871" t="s">
        <v>2113</v>
      </c>
    </row>
    <row r="2872" spans="1:5" x14ac:dyDescent="0.2">
      <c r="A2872">
        <v>2872</v>
      </c>
      <c r="B2872" t="s">
        <v>850</v>
      </c>
      <c r="C2872" t="s">
        <v>7131</v>
      </c>
      <c r="D2872" t="s">
        <v>2750</v>
      </c>
      <c r="E2872" t="s">
        <v>2751</v>
      </c>
    </row>
    <row r="2873" spans="1:5" x14ac:dyDescent="0.2">
      <c r="A2873">
        <v>2873</v>
      </c>
      <c r="B2873" t="s">
        <v>850</v>
      </c>
      <c r="C2873" t="s">
        <v>7132</v>
      </c>
      <c r="D2873" t="s">
        <v>7133</v>
      </c>
      <c r="E2873" t="s">
        <v>2113</v>
      </c>
    </row>
    <row r="2874" spans="1:5" x14ac:dyDescent="0.2">
      <c r="A2874">
        <v>2874</v>
      </c>
      <c r="B2874" t="s">
        <v>850</v>
      </c>
      <c r="C2874" t="s">
        <v>7134</v>
      </c>
      <c r="D2874" t="s">
        <v>7135</v>
      </c>
      <c r="E2874" t="s">
        <v>2113</v>
      </c>
    </row>
    <row r="2875" spans="1:5" x14ac:dyDescent="0.2">
      <c r="A2875">
        <v>2875</v>
      </c>
      <c r="B2875" t="s">
        <v>850</v>
      </c>
      <c r="C2875" t="s">
        <v>7136</v>
      </c>
      <c r="D2875" t="s">
        <v>7137</v>
      </c>
      <c r="E2875" t="s">
        <v>2113</v>
      </c>
    </row>
    <row r="2876" spans="1:5" x14ac:dyDescent="0.2">
      <c r="A2876">
        <v>2876</v>
      </c>
      <c r="B2876" t="s">
        <v>850</v>
      </c>
      <c r="C2876" t="s">
        <v>7138</v>
      </c>
      <c r="D2876" t="s">
        <v>7139</v>
      </c>
      <c r="E2876" t="s">
        <v>2113</v>
      </c>
    </row>
    <row r="2877" spans="1:5" x14ac:dyDescent="0.2">
      <c r="A2877">
        <v>2877</v>
      </c>
      <c r="B2877" t="s">
        <v>850</v>
      </c>
      <c r="C2877" t="s">
        <v>7140</v>
      </c>
      <c r="D2877" t="s">
        <v>7141</v>
      </c>
      <c r="E2877" t="s">
        <v>2113</v>
      </c>
    </row>
    <row r="2878" spans="1:5" x14ac:dyDescent="0.2">
      <c r="A2878">
        <v>2878</v>
      </c>
      <c r="B2878" t="s">
        <v>850</v>
      </c>
      <c r="C2878" t="s">
        <v>7142</v>
      </c>
      <c r="D2878" t="s">
        <v>7143</v>
      </c>
      <c r="E2878" t="s">
        <v>2113</v>
      </c>
    </row>
    <row r="2879" spans="1:5" x14ac:dyDescent="0.2">
      <c r="A2879">
        <v>2879</v>
      </c>
      <c r="B2879" t="s">
        <v>850</v>
      </c>
      <c r="C2879" t="s">
        <v>7144</v>
      </c>
      <c r="D2879" t="s">
        <v>7145</v>
      </c>
      <c r="E2879" t="s">
        <v>2113</v>
      </c>
    </row>
    <row r="2880" spans="1:5" x14ac:dyDescent="0.2">
      <c r="A2880">
        <v>2880</v>
      </c>
      <c r="B2880" t="s">
        <v>850</v>
      </c>
      <c r="C2880" t="s">
        <v>7146</v>
      </c>
      <c r="D2880" t="s">
        <v>7147</v>
      </c>
      <c r="E2880" t="s">
        <v>2113</v>
      </c>
    </row>
    <row r="2881" spans="1:5" x14ac:dyDescent="0.2">
      <c r="A2881">
        <v>2881</v>
      </c>
      <c r="B2881" t="s">
        <v>850</v>
      </c>
      <c r="C2881" t="s">
        <v>7148</v>
      </c>
      <c r="D2881" t="s">
        <v>7149</v>
      </c>
      <c r="E2881" t="s">
        <v>2113</v>
      </c>
    </row>
    <row r="2882" spans="1:5" x14ac:dyDescent="0.2">
      <c r="A2882">
        <v>2882</v>
      </c>
      <c r="B2882" t="s">
        <v>850</v>
      </c>
      <c r="C2882" t="s">
        <v>7150</v>
      </c>
      <c r="D2882" t="s">
        <v>7151</v>
      </c>
      <c r="E2882" t="s">
        <v>2113</v>
      </c>
    </row>
    <row r="2883" spans="1:5" x14ac:dyDescent="0.2">
      <c r="A2883">
        <v>2883</v>
      </c>
      <c r="B2883" t="s">
        <v>850</v>
      </c>
      <c r="C2883" t="s">
        <v>7152</v>
      </c>
      <c r="D2883" t="s">
        <v>7153</v>
      </c>
      <c r="E2883" t="s">
        <v>2113</v>
      </c>
    </row>
    <row r="2884" spans="1:5" x14ac:dyDescent="0.2">
      <c r="A2884">
        <v>2884</v>
      </c>
      <c r="B2884" t="s">
        <v>850</v>
      </c>
      <c r="C2884" t="s">
        <v>7154</v>
      </c>
      <c r="D2884" t="s">
        <v>7155</v>
      </c>
      <c r="E2884" t="s">
        <v>2113</v>
      </c>
    </row>
    <row r="2885" spans="1:5" x14ac:dyDescent="0.2">
      <c r="A2885">
        <v>2885</v>
      </c>
      <c r="B2885" t="s">
        <v>850</v>
      </c>
      <c r="C2885" t="s">
        <v>7156</v>
      </c>
      <c r="D2885" t="s">
        <v>7157</v>
      </c>
      <c r="E2885" t="s">
        <v>2113</v>
      </c>
    </row>
    <row r="2886" spans="1:5" x14ac:dyDescent="0.2">
      <c r="A2886">
        <v>2886</v>
      </c>
      <c r="B2886" t="s">
        <v>850</v>
      </c>
      <c r="C2886" t="s">
        <v>7158</v>
      </c>
      <c r="D2886" t="s">
        <v>7159</v>
      </c>
      <c r="E2886" t="s">
        <v>2113</v>
      </c>
    </row>
    <row r="2887" spans="1:5" x14ac:dyDescent="0.2">
      <c r="A2887">
        <v>2887</v>
      </c>
      <c r="B2887" t="s">
        <v>850</v>
      </c>
      <c r="C2887" t="s">
        <v>7160</v>
      </c>
      <c r="D2887" t="s">
        <v>7161</v>
      </c>
      <c r="E2887" t="s">
        <v>2113</v>
      </c>
    </row>
    <row r="2888" spans="1:5" x14ac:dyDescent="0.2">
      <c r="A2888">
        <v>2888</v>
      </c>
      <c r="B2888" t="s">
        <v>850</v>
      </c>
      <c r="C2888" t="s">
        <v>7162</v>
      </c>
      <c r="D2888" t="s">
        <v>7163</v>
      </c>
      <c r="E2888" t="s">
        <v>2113</v>
      </c>
    </row>
    <row r="2889" spans="1:5" x14ac:dyDescent="0.2">
      <c r="A2889">
        <v>2889</v>
      </c>
      <c r="B2889" t="s">
        <v>850</v>
      </c>
      <c r="C2889" t="s">
        <v>7164</v>
      </c>
      <c r="D2889" t="s">
        <v>7165</v>
      </c>
      <c r="E2889" t="s">
        <v>2113</v>
      </c>
    </row>
    <row r="2890" spans="1:5" x14ac:dyDescent="0.2">
      <c r="A2890">
        <v>2890</v>
      </c>
      <c r="B2890" t="s">
        <v>850</v>
      </c>
      <c r="C2890" t="s">
        <v>7166</v>
      </c>
      <c r="D2890" t="s">
        <v>7167</v>
      </c>
      <c r="E2890" t="s">
        <v>2113</v>
      </c>
    </row>
    <row r="2891" spans="1:5" x14ac:dyDescent="0.2">
      <c r="A2891">
        <v>2891</v>
      </c>
      <c r="B2891" t="s">
        <v>850</v>
      </c>
      <c r="C2891" t="s">
        <v>7168</v>
      </c>
      <c r="D2891" t="s">
        <v>7169</v>
      </c>
      <c r="E2891" t="s">
        <v>2113</v>
      </c>
    </row>
    <row r="2892" spans="1:5" x14ac:dyDescent="0.2">
      <c r="A2892">
        <v>2892</v>
      </c>
      <c r="B2892" t="s">
        <v>850</v>
      </c>
      <c r="C2892" t="s">
        <v>7170</v>
      </c>
      <c r="D2892" t="s">
        <v>7171</v>
      </c>
      <c r="E2892" t="s">
        <v>2113</v>
      </c>
    </row>
    <row r="2893" spans="1:5" x14ac:dyDescent="0.2">
      <c r="A2893">
        <v>2893</v>
      </c>
      <c r="B2893" t="s">
        <v>850</v>
      </c>
      <c r="C2893" t="s">
        <v>7172</v>
      </c>
      <c r="D2893" t="s">
        <v>7173</v>
      </c>
      <c r="E2893" t="s">
        <v>2113</v>
      </c>
    </row>
    <row r="2894" spans="1:5" x14ac:dyDescent="0.2">
      <c r="A2894">
        <v>2894</v>
      </c>
      <c r="B2894" t="s">
        <v>850</v>
      </c>
      <c r="C2894" t="s">
        <v>7174</v>
      </c>
      <c r="D2894" t="s">
        <v>7175</v>
      </c>
      <c r="E2894" t="s">
        <v>2113</v>
      </c>
    </row>
    <row r="2895" spans="1:5" x14ac:dyDescent="0.2">
      <c r="A2895">
        <v>2895</v>
      </c>
      <c r="B2895" t="s">
        <v>850</v>
      </c>
      <c r="C2895" t="s">
        <v>7176</v>
      </c>
      <c r="D2895" t="s">
        <v>7177</v>
      </c>
      <c r="E2895" t="s">
        <v>2113</v>
      </c>
    </row>
    <row r="2896" spans="1:5" x14ac:dyDescent="0.2">
      <c r="A2896">
        <v>2896</v>
      </c>
      <c r="B2896" t="s">
        <v>852</v>
      </c>
      <c r="C2896" t="s">
        <v>7178</v>
      </c>
      <c r="D2896" t="s">
        <v>7179</v>
      </c>
      <c r="E2896" t="s">
        <v>2113</v>
      </c>
    </row>
    <row r="2897" spans="1:5" x14ac:dyDescent="0.2">
      <c r="A2897">
        <v>2897</v>
      </c>
      <c r="B2897" t="s">
        <v>852</v>
      </c>
      <c r="C2897" t="s">
        <v>7180</v>
      </c>
      <c r="D2897" t="s">
        <v>7181</v>
      </c>
      <c r="E2897" t="s">
        <v>2113</v>
      </c>
    </row>
    <row r="2898" spans="1:5" x14ac:dyDescent="0.2">
      <c r="A2898">
        <v>2898</v>
      </c>
      <c r="B2898" t="s">
        <v>852</v>
      </c>
      <c r="C2898" t="s">
        <v>7182</v>
      </c>
      <c r="D2898" t="s">
        <v>7183</v>
      </c>
      <c r="E2898" t="s">
        <v>2113</v>
      </c>
    </row>
    <row r="2899" spans="1:5" x14ac:dyDescent="0.2">
      <c r="A2899">
        <v>2899</v>
      </c>
      <c r="B2899" t="s">
        <v>852</v>
      </c>
      <c r="C2899" t="s">
        <v>7184</v>
      </c>
      <c r="D2899" t="s">
        <v>7185</v>
      </c>
      <c r="E2899" t="s">
        <v>2113</v>
      </c>
    </row>
    <row r="2900" spans="1:5" x14ac:dyDescent="0.2">
      <c r="A2900">
        <v>2900</v>
      </c>
      <c r="B2900" t="s">
        <v>1114</v>
      </c>
      <c r="C2900" t="s">
        <v>7186</v>
      </c>
      <c r="D2900" t="s">
        <v>7187</v>
      </c>
      <c r="E2900" t="s">
        <v>1790</v>
      </c>
    </row>
    <row r="2901" spans="1:5" x14ac:dyDescent="0.2">
      <c r="A2901">
        <v>2901</v>
      </c>
      <c r="B2901" t="s">
        <v>1114</v>
      </c>
      <c r="C2901" t="s">
        <v>7188</v>
      </c>
      <c r="D2901" t="s">
        <v>7189</v>
      </c>
      <c r="E2901" t="s">
        <v>1790</v>
      </c>
    </row>
    <row r="2902" spans="1:5" x14ac:dyDescent="0.2">
      <c r="A2902">
        <v>2902</v>
      </c>
      <c r="B2902" t="s">
        <v>1114</v>
      </c>
      <c r="C2902" t="s">
        <v>7190</v>
      </c>
      <c r="D2902" t="s">
        <v>7191</v>
      </c>
      <c r="E2902" t="s">
        <v>1790</v>
      </c>
    </row>
    <row r="2903" spans="1:5" x14ac:dyDescent="0.2">
      <c r="A2903">
        <v>2903</v>
      </c>
      <c r="B2903" t="s">
        <v>1114</v>
      </c>
      <c r="C2903" t="s">
        <v>7192</v>
      </c>
      <c r="D2903" t="s">
        <v>7193</v>
      </c>
      <c r="E2903" t="s">
        <v>2046</v>
      </c>
    </row>
    <row r="2904" spans="1:5" x14ac:dyDescent="0.2">
      <c r="A2904">
        <v>2904</v>
      </c>
      <c r="B2904" t="s">
        <v>1114</v>
      </c>
      <c r="C2904" t="s">
        <v>7194</v>
      </c>
      <c r="D2904" t="s">
        <v>7195</v>
      </c>
      <c r="E2904" t="s">
        <v>1790</v>
      </c>
    </row>
    <row r="2905" spans="1:5" x14ac:dyDescent="0.2">
      <c r="A2905">
        <v>2905</v>
      </c>
      <c r="B2905" t="s">
        <v>1114</v>
      </c>
      <c r="C2905" t="s">
        <v>7196</v>
      </c>
      <c r="D2905" t="s">
        <v>7197</v>
      </c>
      <c r="E2905" t="s">
        <v>1790</v>
      </c>
    </row>
    <row r="2906" spans="1:5" x14ac:dyDescent="0.2">
      <c r="A2906">
        <v>2906</v>
      </c>
      <c r="B2906" t="s">
        <v>1114</v>
      </c>
      <c r="C2906" t="s">
        <v>7198</v>
      </c>
      <c r="D2906" t="s">
        <v>7199</v>
      </c>
      <c r="E2906" t="s">
        <v>2046</v>
      </c>
    </row>
    <row r="2907" spans="1:5" x14ac:dyDescent="0.2">
      <c r="A2907">
        <v>2907</v>
      </c>
      <c r="B2907" t="s">
        <v>1114</v>
      </c>
      <c r="C2907" t="s">
        <v>7200</v>
      </c>
      <c r="D2907" t="s">
        <v>7201</v>
      </c>
      <c r="E2907" t="s">
        <v>1790</v>
      </c>
    </row>
    <row r="2908" spans="1:5" x14ac:dyDescent="0.2">
      <c r="A2908">
        <v>2908</v>
      </c>
      <c r="B2908" t="s">
        <v>1114</v>
      </c>
      <c r="C2908" t="s">
        <v>7202</v>
      </c>
      <c r="D2908" t="s">
        <v>7203</v>
      </c>
      <c r="E2908" t="s">
        <v>1790</v>
      </c>
    </row>
    <row r="2909" spans="1:5" x14ac:dyDescent="0.2">
      <c r="A2909">
        <v>2909</v>
      </c>
      <c r="B2909" t="s">
        <v>1114</v>
      </c>
      <c r="C2909" t="s">
        <v>7204</v>
      </c>
      <c r="D2909" t="s">
        <v>7205</v>
      </c>
      <c r="E2909" t="s">
        <v>1790</v>
      </c>
    </row>
    <row r="2910" spans="1:5" x14ac:dyDescent="0.2">
      <c r="A2910">
        <v>2910</v>
      </c>
      <c r="B2910" t="s">
        <v>1114</v>
      </c>
      <c r="C2910" t="s">
        <v>7206</v>
      </c>
      <c r="D2910" t="s">
        <v>7207</v>
      </c>
      <c r="E2910" t="s">
        <v>1790</v>
      </c>
    </row>
    <row r="2911" spans="1:5" x14ac:dyDescent="0.2">
      <c r="A2911">
        <v>2911</v>
      </c>
      <c r="B2911" t="s">
        <v>1114</v>
      </c>
      <c r="C2911" t="s">
        <v>7208</v>
      </c>
      <c r="D2911" t="s">
        <v>7209</v>
      </c>
      <c r="E2911" t="s">
        <v>1790</v>
      </c>
    </row>
    <row r="2912" spans="1:5" x14ac:dyDescent="0.2">
      <c r="A2912">
        <v>2912</v>
      </c>
      <c r="B2912" t="s">
        <v>1114</v>
      </c>
      <c r="C2912" t="s">
        <v>7210</v>
      </c>
      <c r="D2912" t="s">
        <v>7211</v>
      </c>
      <c r="E2912" t="s">
        <v>1790</v>
      </c>
    </row>
    <row r="2913" spans="1:5" x14ac:dyDescent="0.2">
      <c r="A2913">
        <v>2913</v>
      </c>
      <c r="B2913" t="s">
        <v>1114</v>
      </c>
      <c r="C2913" t="s">
        <v>7212</v>
      </c>
      <c r="D2913" t="s">
        <v>7213</v>
      </c>
      <c r="E2913" t="s">
        <v>1790</v>
      </c>
    </row>
    <row r="2914" spans="1:5" x14ac:dyDescent="0.2">
      <c r="A2914">
        <v>2914</v>
      </c>
      <c r="B2914" t="s">
        <v>1114</v>
      </c>
      <c r="C2914" t="s">
        <v>7214</v>
      </c>
      <c r="D2914" t="s">
        <v>7215</v>
      </c>
      <c r="E2914" t="s">
        <v>1790</v>
      </c>
    </row>
    <row r="2915" spans="1:5" x14ac:dyDescent="0.2">
      <c r="A2915">
        <v>2915</v>
      </c>
      <c r="B2915" t="s">
        <v>1114</v>
      </c>
      <c r="C2915" t="s">
        <v>7216</v>
      </c>
      <c r="D2915" t="s">
        <v>7217</v>
      </c>
      <c r="E2915" t="s">
        <v>1790</v>
      </c>
    </row>
    <row r="2916" spans="1:5" x14ac:dyDescent="0.2">
      <c r="A2916">
        <v>2916</v>
      </c>
      <c r="B2916" t="s">
        <v>1114</v>
      </c>
      <c r="C2916" t="s">
        <v>7218</v>
      </c>
      <c r="D2916" t="s">
        <v>7219</v>
      </c>
      <c r="E2916" t="s">
        <v>1790</v>
      </c>
    </row>
    <row r="2917" spans="1:5" x14ac:dyDescent="0.2">
      <c r="A2917">
        <v>2917</v>
      </c>
      <c r="B2917" t="s">
        <v>1114</v>
      </c>
      <c r="C2917" t="s">
        <v>7220</v>
      </c>
      <c r="D2917" t="s">
        <v>7221</v>
      </c>
      <c r="E2917" t="s">
        <v>1790</v>
      </c>
    </row>
    <row r="2918" spans="1:5" x14ac:dyDescent="0.2">
      <c r="A2918">
        <v>2918</v>
      </c>
      <c r="B2918" t="s">
        <v>1114</v>
      </c>
      <c r="C2918" t="s">
        <v>7222</v>
      </c>
      <c r="D2918" t="s">
        <v>7223</v>
      </c>
      <c r="E2918" t="s">
        <v>7224</v>
      </c>
    </row>
    <row r="2919" spans="1:5" x14ac:dyDescent="0.2">
      <c r="A2919">
        <v>2919</v>
      </c>
      <c r="B2919" t="s">
        <v>1114</v>
      </c>
      <c r="C2919" t="s">
        <v>7225</v>
      </c>
      <c r="D2919" t="s">
        <v>7226</v>
      </c>
      <c r="E2919" t="s">
        <v>1790</v>
      </c>
    </row>
    <row r="2920" spans="1:5" x14ac:dyDescent="0.2">
      <c r="A2920">
        <v>2920</v>
      </c>
      <c r="B2920" t="s">
        <v>1114</v>
      </c>
      <c r="C2920" t="s">
        <v>7227</v>
      </c>
      <c r="D2920" t="s">
        <v>7228</v>
      </c>
      <c r="E2920" t="s">
        <v>1790</v>
      </c>
    </row>
    <row r="2921" spans="1:5" x14ac:dyDescent="0.2">
      <c r="A2921">
        <v>2921</v>
      </c>
      <c r="B2921" t="s">
        <v>1114</v>
      </c>
      <c r="C2921" t="s">
        <v>7229</v>
      </c>
      <c r="D2921" t="s">
        <v>7230</v>
      </c>
      <c r="E2921" t="s">
        <v>1790</v>
      </c>
    </row>
    <row r="2922" spans="1:5" x14ac:dyDescent="0.2">
      <c r="A2922">
        <v>2922</v>
      </c>
      <c r="B2922" t="s">
        <v>1114</v>
      </c>
      <c r="C2922" t="s">
        <v>7231</v>
      </c>
      <c r="D2922" t="s">
        <v>7232</v>
      </c>
      <c r="E2922" t="s">
        <v>1790</v>
      </c>
    </row>
    <row r="2923" spans="1:5" x14ac:dyDescent="0.2">
      <c r="A2923">
        <v>2923</v>
      </c>
      <c r="B2923" t="s">
        <v>1114</v>
      </c>
      <c r="C2923" t="s">
        <v>7233</v>
      </c>
      <c r="D2923" t="s">
        <v>7234</v>
      </c>
      <c r="E2923" t="s">
        <v>1790</v>
      </c>
    </row>
    <row r="2924" spans="1:5" x14ac:dyDescent="0.2">
      <c r="A2924">
        <v>2924</v>
      </c>
      <c r="B2924" t="s">
        <v>1114</v>
      </c>
      <c r="C2924" t="s">
        <v>7235</v>
      </c>
      <c r="D2924" t="s">
        <v>7236</v>
      </c>
      <c r="E2924" t="s">
        <v>1790</v>
      </c>
    </row>
    <row r="2925" spans="1:5" x14ac:dyDescent="0.2">
      <c r="A2925">
        <v>2925</v>
      </c>
      <c r="B2925" t="s">
        <v>1114</v>
      </c>
      <c r="C2925" t="s">
        <v>7237</v>
      </c>
      <c r="D2925" t="s">
        <v>7238</v>
      </c>
      <c r="E2925" t="s">
        <v>1790</v>
      </c>
    </row>
    <row r="2926" spans="1:5" x14ac:dyDescent="0.2">
      <c r="A2926">
        <v>2926</v>
      </c>
      <c r="B2926" t="s">
        <v>1114</v>
      </c>
      <c r="C2926" t="s">
        <v>7239</v>
      </c>
      <c r="D2926" t="s">
        <v>7240</v>
      </c>
      <c r="E2926" t="s">
        <v>1790</v>
      </c>
    </row>
    <row r="2927" spans="1:5" x14ac:dyDescent="0.2">
      <c r="A2927">
        <v>2927</v>
      </c>
      <c r="B2927" t="s">
        <v>1114</v>
      </c>
      <c r="C2927" t="s">
        <v>7241</v>
      </c>
      <c r="D2927" t="s">
        <v>7242</v>
      </c>
      <c r="E2927" t="s">
        <v>1790</v>
      </c>
    </row>
    <row r="2928" spans="1:5" x14ac:dyDescent="0.2">
      <c r="A2928">
        <v>2928</v>
      </c>
      <c r="B2928" t="s">
        <v>1114</v>
      </c>
      <c r="C2928" t="s">
        <v>7243</v>
      </c>
      <c r="D2928" t="s">
        <v>7244</v>
      </c>
      <c r="E2928" t="s">
        <v>1790</v>
      </c>
    </row>
    <row r="2929" spans="1:5" x14ac:dyDescent="0.2">
      <c r="A2929">
        <v>2929</v>
      </c>
      <c r="B2929" t="s">
        <v>1114</v>
      </c>
      <c r="C2929" t="s">
        <v>7245</v>
      </c>
      <c r="D2929" t="s">
        <v>7246</v>
      </c>
      <c r="E2929" t="s">
        <v>7247</v>
      </c>
    </row>
    <row r="2930" spans="1:5" x14ac:dyDescent="0.2">
      <c r="A2930">
        <v>2930</v>
      </c>
      <c r="B2930" t="s">
        <v>1114</v>
      </c>
      <c r="C2930" t="s">
        <v>7248</v>
      </c>
      <c r="D2930" t="s">
        <v>7249</v>
      </c>
      <c r="E2930" t="s">
        <v>1790</v>
      </c>
    </row>
    <row r="2931" spans="1:5" x14ac:dyDescent="0.2">
      <c r="A2931">
        <v>2931</v>
      </c>
      <c r="B2931" t="s">
        <v>1114</v>
      </c>
      <c r="C2931" t="s">
        <v>7250</v>
      </c>
      <c r="D2931" t="s">
        <v>7251</v>
      </c>
      <c r="E2931" t="s">
        <v>1790</v>
      </c>
    </row>
    <row r="2932" spans="1:5" x14ac:dyDescent="0.2">
      <c r="A2932">
        <v>2932</v>
      </c>
      <c r="B2932" t="s">
        <v>1114</v>
      </c>
      <c r="C2932" t="s">
        <v>7252</v>
      </c>
      <c r="D2932" t="s">
        <v>7253</v>
      </c>
      <c r="E2932" t="s">
        <v>1790</v>
      </c>
    </row>
    <row r="2933" spans="1:5" x14ac:dyDescent="0.2">
      <c r="A2933">
        <v>2933</v>
      </c>
      <c r="B2933" t="s">
        <v>1114</v>
      </c>
      <c r="C2933" t="s">
        <v>7254</v>
      </c>
      <c r="D2933" t="s">
        <v>7255</v>
      </c>
      <c r="E2933" t="s">
        <v>2046</v>
      </c>
    </row>
    <row r="2934" spans="1:5" x14ac:dyDescent="0.2">
      <c r="A2934">
        <v>2934</v>
      </c>
      <c r="B2934" t="s">
        <v>1114</v>
      </c>
      <c r="C2934" t="s">
        <v>7256</v>
      </c>
      <c r="D2934" t="s">
        <v>7257</v>
      </c>
      <c r="E2934" t="s">
        <v>1790</v>
      </c>
    </row>
    <row r="2935" spans="1:5" x14ac:dyDescent="0.2">
      <c r="A2935">
        <v>2935</v>
      </c>
      <c r="B2935" t="s">
        <v>1114</v>
      </c>
      <c r="C2935" t="s">
        <v>7258</v>
      </c>
      <c r="D2935" t="s">
        <v>7259</v>
      </c>
      <c r="E2935" t="s">
        <v>1790</v>
      </c>
    </row>
    <row r="2936" spans="1:5" x14ac:dyDescent="0.2">
      <c r="A2936">
        <v>2936</v>
      </c>
      <c r="B2936" t="s">
        <v>1114</v>
      </c>
      <c r="C2936" t="s">
        <v>7260</v>
      </c>
      <c r="D2936" t="s">
        <v>7261</v>
      </c>
      <c r="E2936" t="s">
        <v>1790</v>
      </c>
    </row>
    <row r="2937" spans="1:5" x14ac:dyDescent="0.2">
      <c r="A2937">
        <v>2937</v>
      </c>
      <c r="B2937" t="s">
        <v>859</v>
      </c>
      <c r="C2937" t="s">
        <v>7262</v>
      </c>
      <c r="D2937" t="s">
        <v>7263</v>
      </c>
      <c r="E2937" t="s">
        <v>7264</v>
      </c>
    </row>
    <row r="2938" spans="1:5" x14ac:dyDescent="0.2">
      <c r="A2938">
        <v>2938</v>
      </c>
      <c r="B2938" t="s">
        <v>859</v>
      </c>
      <c r="C2938" t="s">
        <v>7265</v>
      </c>
      <c r="D2938" t="s">
        <v>7266</v>
      </c>
      <c r="E2938" t="s">
        <v>7264</v>
      </c>
    </row>
    <row r="2939" spans="1:5" x14ac:dyDescent="0.2">
      <c r="A2939">
        <v>2939</v>
      </c>
      <c r="B2939" t="s">
        <v>859</v>
      </c>
      <c r="C2939" t="s">
        <v>7267</v>
      </c>
      <c r="D2939" t="s">
        <v>7268</v>
      </c>
      <c r="E2939" t="s">
        <v>7264</v>
      </c>
    </row>
    <row r="2940" spans="1:5" x14ac:dyDescent="0.2">
      <c r="A2940">
        <v>2940</v>
      </c>
      <c r="B2940" t="s">
        <v>859</v>
      </c>
      <c r="C2940" t="s">
        <v>7269</v>
      </c>
      <c r="D2940" t="s">
        <v>7270</v>
      </c>
      <c r="E2940" t="s">
        <v>7264</v>
      </c>
    </row>
    <row r="2941" spans="1:5" x14ac:dyDescent="0.2">
      <c r="A2941">
        <v>2941</v>
      </c>
      <c r="B2941" t="s">
        <v>859</v>
      </c>
      <c r="C2941" t="s">
        <v>7271</v>
      </c>
      <c r="D2941" t="s">
        <v>7272</v>
      </c>
      <c r="E2941" t="s">
        <v>7264</v>
      </c>
    </row>
    <row r="2942" spans="1:5" x14ac:dyDescent="0.2">
      <c r="A2942">
        <v>2942</v>
      </c>
      <c r="B2942" t="s">
        <v>859</v>
      </c>
      <c r="C2942" t="s">
        <v>7273</v>
      </c>
      <c r="D2942" t="s">
        <v>7274</v>
      </c>
      <c r="E2942" t="s">
        <v>7264</v>
      </c>
    </row>
    <row r="2943" spans="1:5" x14ac:dyDescent="0.2">
      <c r="A2943">
        <v>2943</v>
      </c>
      <c r="B2943" t="s">
        <v>859</v>
      </c>
      <c r="C2943" t="s">
        <v>7275</v>
      </c>
      <c r="D2943" t="s">
        <v>7276</v>
      </c>
      <c r="E2943" t="s">
        <v>7264</v>
      </c>
    </row>
    <row r="2944" spans="1:5" x14ac:dyDescent="0.2">
      <c r="A2944">
        <v>2944</v>
      </c>
      <c r="B2944" t="s">
        <v>859</v>
      </c>
      <c r="C2944" t="s">
        <v>7277</v>
      </c>
      <c r="D2944" t="s">
        <v>7278</v>
      </c>
      <c r="E2944" t="s">
        <v>7264</v>
      </c>
    </row>
    <row r="2945" spans="1:5" x14ac:dyDescent="0.2">
      <c r="A2945">
        <v>2945</v>
      </c>
      <c r="B2945" t="s">
        <v>859</v>
      </c>
      <c r="C2945" t="s">
        <v>7279</v>
      </c>
      <c r="D2945" t="s">
        <v>7280</v>
      </c>
      <c r="E2945" t="s">
        <v>7264</v>
      </c>
    </row>
    <row r="2946" spans="1:5" x14ac:dyDescent="0.2">
      <c r="A2946">
        <v>2946</v>
      </c>
      <c r="B2946" t="s">
        <v>859</v>
      </c>
      <c r="C2946" t="s">
        <v>7281</v>
      </c>
      <c r="D2946" t="s">
        <v>7282</v>
      </c>
      <c r="E2946" t="s">
        <v>7264</v>
      </c>
    </row>
    <row r="2947" spans="1:5" x14ac:dyDescent="0.2">
      <c r="A2947">
        <v>2947</v>
      </c>
      <c r="B2947" t="s">
        <v>859</v>
      </c>
      <c r="C2947" t="s">
        <v>7283</v>
      </c>
      <c r="D2947" t="s">
        <v>7284</v>
      </c>
      <c r="E2947" t="s">
        <v>7264</v>
      </c>
    </row>
    <row r="2948" spans="1:5" x14ac:dyDescent="0.2">
      <c r="A2948">
        <v>2948</v>
      </c>
      <c r="B2948" t="s">
        <v>859</v>
      </c>
      <c r="C2948" t="s">
        <v>7285</v>
      </c>
      <c r="D2948" t="s">
        <v>7286</v>
      </c>
      <c r="E2948" t="s">
        <v>7264</v>
      </c>
    </row>
    <row r="2949" spans="1:5" x14ac:dyDescent="0.2">
      <c r="A2949">
        <v>2949</v>
      </c>
      <c r="B2949" t="s">
        <v>859</v>
      </c>
      <c r="C2949" t="s">
        <v>7287</v>
      </c>
      <c r="D2949" t="s">
        <v>7288</v>
      </c>
      <c r="E2949" t="s">
        <v>7264</v>
      </c>
    </row>
    <row r="2950" spans="1:5" x14ac:dyDescent="0.2">
      <c r="A2950">
        <v>2950</v>
      </c>
      <c r="B2950" t="s">
        <v>859</v>
      </c>
      <c r="C2950" t="s">
        <v>7289</v>
      </c>
      <c r="D2950" t="s">
        <v>7290</v>
      </c>
      <c r="E2950" t="s">
        <v>7264</v>
      </c>
    </row>
    <row r="2951" spans="1:5" x14ac:dyDescent="0.2">
      <c r="A2951">
        <v>2951</v>
      </c>
      <c r="B2951" t="s">
        <v>859</v>
      </c>
      <c r="C2951" t="s">
        <v>7291</v>
      </c>
      <c r="D2951" t="s">
        <v>7292</v>
      </c>
      <c r="E2951" t="s">
        <v>7264</v>
      </c>
    </row>
    <row r="2952" spans="1:5" x14ac:dyDescent="0.2">
      <c r="A2952">
        <v>2952</v>
      </c>
      <c r="B2952" t="s">
        <v>859</v>
      </c>
      <c r="C2952" t="s">
        <v>7293</v>
      </c>
      <c r="D2952" t="s">
        <v>7294</v>
      </c>
      <c r="E2952" t="s">
        <v>7264</v>
      </c>
    </row>
    <row r="2953" spans="1:5" x14ac:dyDescent="0.2">
      <c r="A2953">
        <v>2953</v>
      </c>
      <c r="B2953" t="s">
        <v>859</v>
      </c>
      <c r="C2953" t="s">
        <v>7295</v>
      </c>
      <c r="D2953" t="s">
        <v>7296</v>
      </c>
      <c r="E2953" t="s">
        <v>7264</v>
      </c>
    </row>
    <row r="2954" spans="1:5" x14ac:dyDescent="0.2">
      <c r="A2954">
        <v>2954</v>
      </c>
      <c r="B2954" t="s">
        <v>861</v>
      </c>
      <c r="C2954" t="s">
        <v>7297</v>
      </c>
      <c r="D2954" t="s">
        <v>7298</v>
      </c>
      <c r="E2954" t="s">
        <v>1719</v>
      </c>
    </row>
    <row r="2955" spans="1:5" x14ac:dyDescent="0.2">
      <c r="A2955">
        <v>2955</v>
      </c>
      <c r="B2955" t="s">
        <v>861</v>
      </c>
      <c r="C2955" t="s">
        <v>7299</v>
      </c>
      <c r="D2955" t="s">
        <v>7300</v>
      </c>
      <c r="E2955" t="s">
        <v>1719</v>
      </c>
    </row>
    <row r="2956" spans="1:5" x14ac:dyDescent="0.2">
      <c r="A2956">
        <v>2956</v>
      </c>
      <c r="B2956" t="s">
        <v>861</v>
      </c>
      <c r="C2956" t="s">
        <v>7301</v>
      </c>
      <c r="D2956" t="s">
        <v>7302</v>
      </c>
      <c r="E2956" t="s">
        <v>1719</v>
      </c>
    </row>
    <row r="2957" spans="1:5" x14ac:dyDescent="0.2">
      <c r="A2957">
        <v>2957</v>
      </c>
      <c r="B2957" t="s">
        <v>861</v>
      </c>
      <c r="C2957" t="s">
        <v>7303</v>
      </c>
      <c r="D2957" t="s">
        <v>7304</v>
      </c>
      <c r="E2957" t="s">
        <v>1719</v>
      </c>
    </row>
    <row r="2958" spans="1:5" x14ac:dyDescent="0.2">
      <c r="A2958">
        <v>2958</v>
      </c>
      <c r="B2958" t="s">
        <v>861</v>
      </c>
      <c r="C2958" t="s">
        <v>7305</v>
      </c>
      <c r="D2958" t="s">
        <v>7306</v>
      </c>
      <c r="E2958" t="s">
        <v>1719</v>
      </c>
    </row>
    <row r="2959" spans="1:5" x14ac:dyDescent="0.2">
      <c r="A2959">
        <v>2959</v>
      </c>
      <c r="B2959" t="s">
        <v>861</v>
      </c>
      <c r="C2959" t="s">
        <v>7307</v>
      </c>
      <c r="D2959" t="s">
        <v>7308</v>
      </c>
      <c r="E2959" t="s">
        <v>1719</v>
      </c>
    </row>
    <row r="2960" spans="1:5" x14ac:dyDescent="0.2">
      <c r="A2960">
        <v>2960</v>
      </c>
      <c r="B2960" t="s">
        <v>861</v>
      </c>
      <c r="C2960" t="s">
        <v>7309</v>
      </c>
      <c r="D2960" t="s">
        <v>7310</v>
      </c>
      <c r="E2960" t="s">
        <v>1719</v>
      </c>
    </row>
    <row r="2961" spans="1:5" x14ac:dyDescent="0.2">
      <c r="A2961">
        <v>2961</v>
      </c>
      <c r="B2961" t="s">
        <v>861</v>
      </c>
      <c r="C2961" t="s">
        <v>7311</v>
      </c>
      <c r="D2961" t="s">
        <v>7312</v>
      </c>
      <c r="E2961" t="s">
        <v>1719</v>
      </c>
    </row>
    <row r="2962" spans="1:5" x14ac:dyDescent="0.2">
      <c r="A2962">
        <v>2962</v>
      </c>
      <c r="B2962" t="s">
        <v>861</v>
      </c>
      <c r="C2962" t="s">
        <v>7313</v>
      </c>
      <c r="D2962" t="s">
        <v>7314</v>
      </c>
      <c r="E2962" t="s">
        <v>1719</v>
      </c>
    </row>
    <row r="2963" spans="1:5" x14ac:dyDescent="0.2">
      <c r="A2963">
        <v>2963</v>
      </c>
      <c r="B2963" t="s">
        <v>861</v>
      </c>
      <c r="C2963" t="s">
        <v>7315</v>
      </c>
      <c r="D2963" t="s">
        <v>7316</v>
      </c>
      <c r="E2963" t="s">
        <v>1719</v>
      </c>
    </row>
    <row r="2964" spans="1:5" x14ac:dyDescent="0.2">
      <c r="A2964">
        <v>2964</v>
      </c>
      <c r="B2964" t="s">
        <v>861</v>
      </c>
      <c r="C2964" t="s">
        <v>7317</v>
      </c>
      <c r="D2964" t="s">
        <v>7318</v>
      </c>
      <c r="E2964" t="s">
        <v>1719</v>
      </c>
    </row>
    <row r="2965" spans="1:5" x14ac:dyDescent="0.2">
      <c r="A2965">
        <v>2965</v>
      </c>
      <c r="B2965" t="s">
        <v>861</v>
      </c>
      <c r="C2965" t="s">
        <v>7319</v>
      </c>
      <c r="D2965" t="s">
        <v>7320</v>
      </c>
      <c r="E2965" t="s">
        <v>1719</v>
      </c>
    </row>
    <row r="2966" spans="1:5" x14ac:dyDescent="0.2">
      <c r="A2966">
        <v>2966</v>
      </c>
      <c r="B2966" t="s">
        <v>861</v>
      </c>
      <c r="C2966" t="s">
        <v>7321</v>
      </c>
      <c r="D2966" t="s">
        <v>7322</v>
      </c>
      <c r="E2966" t="s">
        <v>1719</v>
      </c>
    </row>
    <row r="2967" spans="1:5" x14ac:dyDescent="0.2">
      <c r="A2967">
        <v>2967</v>
      </c>
      <c r="B2967" t="s">
        <v>861</v>
      </c>
      <c r="C2967" t="s">
        <v>7323</v>
      </c>
      <c r="D2967" t="s">
        <v>7324</v>
      </c>
      <c r="E2967" t="s">
        <v>1719</v>
      </c>
    </row>
    <row r="2968" spans="1:5" x14ac:dyDescent="0.2">
      <c r="A2968">
        <v>2968</v>
      </c>
      <c r="B2968" t="s">
        <v>861</v>
      </c>
      <c r="C2968" t="s">
        <v>7325</v>
      </c>
      <c r="D2968" t="s">
        <v>7326</v>
      </c>
      <c r="E2968" t="s">
        <v>1719</v>
      </c>
    </row>
    <row r="2969" spans="1:5" x14ac:dyDescent="0.2">
      <c r="A2969">
        <v>2969</v>
      </c>
      <c r="B2969" t="s">
        <v>861</v>
      </c>
      <c r="C2969" t="s">
        <v>7327</v>
      </c>
      <c r="D2969" t="s">
        <v>7328</v>
      </c>
      <c r="E2969" t="s">
        <v>1719</v>
      </c>
    </row>
    <row r="2970" spans="1:5" x14ac:dyDescent="0.2">
      <c r="A2970">
        <v>2970</v>
      </c>
      <c r="B2970" t="s">
        <v>861</v>
      </c>
      <c r="C2970" t="s">
        <v>7329</v>
      </c>
      <c r="D2970" t="s">
        <v>7330</v>
      </c>
      <c r="E2970" t="s">
        <v>1719</v>
      </c>
    </row>
    <row r="2971" spans="1:5" x14ac:dyDescent="0.2">
      <c r="A2971">
        <v>2971</v>
      </c>
      <c r="B2971" t="s">
        <v>861</v>
      </c>
      <c r="C2971" t="s">
        <v>7331</v>
      </c>
      <c r="D2971" t="s">
        <v>7332</v>
      </c>
      <c r="E2971" t="s">
        <v>1719</v>
      </c>
    </row>
    <row r="2972" spans="1:5" x14ac:dyDescent="0.2">
      <c r="A2972">
        <v>2972</v>
      </c>
      <c r="B2972" t="s">
        <v>861</v>
      </c>
      <c r="C2972" t="s">
        <v>7333</v>
      </c>
      <c r="D2972" t="s">
        <v>7334</v>
      </c>
      <c r="E2972" t="s">
        <v>4996</v>
      </c>
    </row>
    <row r="2973" spans="1:5" x14ac:dyDescent="0.2">
      <c r="A2973">
        <v>2973</v>
      </c>
      <c r="B2973" t="s">
        <v>861</v>
      </c>
      <c r="C2973" t="s">
        <v>7335</v>
      </c>
      <c r="D2973" t="s">
        <v>7336</v>
      </c>
      <c r="E2973" t="s">
        <v>1719</v>
      </c>
    </row>
    <row r="2974" spans="1:5" x14ac:dyDescent="0.2">
      <c r="A2974">
        <v>2974</v>
      </c>
      <c r="B2974" t="s">
        <v>861</v>
      </c>
      <c r="C2974" t="s">
        <v>7337</v>
      </c>
      <c r="D2974" t="s">
        <v>7338</v>
      </c>
      <c r="E2974" t="s">
        <v>1719</v>
      </c>
    </row>
    <row r="2975" spans="1:5" x14ac:dyDescent="0.2">
      <c r="A2975">
        <v>2975</v>
      </c>
      <c r="B2975" t="s">
        <v>861</v>
      </c>
      <c r="C2975" t="s">
        <v>7339</v>
      </c>
      <c r="D2975" t="s">
        <v>7340</v>
      </c>
      <c r="E2975" t="s">
        <v>1719</v>
      </c>
    </row>
    <row r="2976" spans="1:5" x14ac:dyDescent="0.2">
      <c r="A2976">
        <v>2976</v>
      </c>
      <c r="B2976" t="s">
        <v>863</v>
      </c>
      <c r="C2976" t="s">
        <v>7341</v>
      </c>
      <c r="D2976" t="s">
        <v>7342</v>
      </c>
      <c r="E2976" t="s">
        <v>2164</v>
      </c>
    </row>
    <row r="2977" spans="1:5" x14ac:dyDescent="0.2">
      <c r="A2977">
        <v>2977</v>
      </c>
      <c r="B2977" t="s">
        <v>863</v>
      </c>
      <c r="C2977" t="s">
        <v>7343</v>
      </c>
      <c r="D2977" t="s">
        <v>7344</v>
      </c>
      <c r="E2977" t="s">
        <v>2164</v>
      </c>
    </row>
    <row r="2978" spans="1:5" x14ac:dyDescent="0.2">
      <c r="A2978">
        <v>2978</v>
      </c>
      <c r="B2978" t="s">
        <v>863</v>
      </c>
      <c r="C2978" t="s">
        <v>7345</v>
      </c>
      <c r="D2978" t="s">
        <v>7346</v>
      </c>
      <c r="E2978" t="s">
        <v>2164</v>
      </c>
    </row>
    <row r="2979" spans="1:5" x14ac:dyDescent="0.2">
      <c r="A2979">
        <v>2979</v>
      </c>
      <c r="B2979" t="s">
        <v>863</v>
      </c>
      <c r="C2979" t="s">
        <v>7347</v>
      </c>
      <c r="D2979" t="s">
        <v>7348</v>
      </c>
      <c r="E2979" t="s">
        <v>2164</v>
      </c>
    </row>
    <row r="2980" spans="1:5" x14ac:dyDescent="0.2">
      <c r="A2980">
        <v>2980</v>
      </c>
      <c r="B2980" t="s">
        <v>863</v>
      </c>
      <c r="C2980" t="s">
        <v>7349</v>
      </c>
      <c r="D2980" t="s">
        <v>7350</v>
      </c>
      <c r="E2980" t="s">
        <v>2164</v>
      </c>
    </row>
    <row r="2981" spans="1:5" x14ac:dyDescent="0.2">
      <c r="A2981">
        <v>2981</v>
      </c>
      <c r="B2981" t="s">
        <v>863</v>
      </c>
      <c r="C2981" t="s">
        <v>7351</v>
      </c>
      <c r="D2981" t="s">
        <v>7352</v>
      </c>
      <c r="E2981" t="s">
        <v>2164</v>
      </c>
    </row>
    <row r="2982" spans="1:5" x14ac:dyDescent="0.2">
      <c r="A2982">
        <v>2982</v>
      </c>
      <c r="B2982" t="s">
        <v>863</v>
      </c>
      <c r="C2982" t="s">
        <v>7353</v>
      </c>
      <c r="D2982" t="s">
        <v>7354</v>
      </c>
      <c r="E2982" t="s">
        <v>2164</v>
      </c>
    </row>
    <row r="2983" spans="1:5" x14ac:dyDescent="0.2">
      <c r="A2983">
        <v>2983</v>
      </c>
      <c r="B2983" t="s">
        <v>863</v>
      </c>
      <c r="C2983" t="s">
        <v>7355</v>
      </c>
      <c r="D2983" t="s">
        <v>7356</v>
      </c>
      <c r="E2983" t="s">
        <v>2164</v>
      </c>
    </row>
    <row r="2984" spans="1:5" x14ac:dyDescent="0.2">
      <c r="A2984">
        <v>2984</v>
      </c>
      <c r="B2984" t="s">
        <v>863</v>
      </c>
      <c r="C2984" t="s">
        <v>7357</v>
      </c>
      <c r="D2984" t="s">
        <v>7358</v>
      </c>
      <c r="E2984" t="s">
        <v>2164</v>
      </c>
    </row>
    <row r="2985" spans="1:5" x14ac:dyDescent="0.2">
      <c r="A2985">
        <v>2985</v>
      </c>
      <c r="B2985" t="s">
        <v>863</v>
      </c>
      <c r="C2985" t="s">
        <v>7359</v>
      </c>
      <c r="D2985" t="s">
        <v>7360</v>
      </c>
      <c r="E2985" t="s">
        <v>2164</v>
      </c>
    </row>
    <row r="2986" spans="1:5" x14ac:dyDescent="0.2">
      <c r="A2986">
        <v>2986</v>
      </c>
      <c r="B2986" t="s">
        <v>863</v>
      </c>
      <c r="C2986" t="s">
        <v>7361</v>
      </c>
      <c r="D2986" t="s">
        <v>7362</v>
      </c>
      <c r="E2986" t="s">
        <v>2164</v>
      </c>
    </row>
    <row r="2987" spans="1:5" x14ac:dyDescent="0.2">
      <c r="A2987">
        <v>2987</v>
      </c>
      <c r="B2987" t="s">
        <v>863</v>
      </c>
      <c r="C2987" t="s">
        <v>7363</v>
      </c>
      <c r="D2987" t="s">
        <v>7364</v>
      </c>
      <c r="E2987" t="s">
        <v>2164</v>
      </c>
    </row>
    <row r="2988" spans="1:5" x14ac:dyDescent="0.2">
      <c r="A2988">
        <v>2988</v>
      </c>
      <c r="B2988" t="s">
        <v>863</v>
      </c>
      <c r="C2988" t="s">
        <v>7365</v>
      </c>
      <c r="D2988" t="s">
        <v>7366</v>
      </c>
      <c r="E2988" t="s">
        <v>2164</v>
      </c>
    </row>
    <row r="2989" spans="1:5" x14ac:dyDescent="0.2">
      <c r="A2989">
        <v>2989</v>
      </c>
      <c r="B2989" t="s">
        <v>863</v>
      </c>
      <c r="C2989" t="s">
        <v>7367</v>
      </c>
      <c r="D2989" t="s">
        <v>7368</v>
      </c>
      <c r="E2989" t="s">
        <v>2164</v>
      </c>
    </row>
    <row r="2990" spans="1:5" x14ac:dyDescent="0.2">
      <c r="A2990">
        <v>2990</v>
      </c>
      <c r="B2990" t="s">
        <v>863</v>
      </c>
      <c r="C2990" t="s">
        <v>7369</v>
      </c>
      <c r="D2990" t="s">
        <v>7370</v>
      </c>
      <c r="E2990" t="s">
        <v>2164</v>
      </c>
    </row>
    <row r="2991" spans="1:5" x14ac:dyDescent="0.2">
      <c r="A2991">
        <v>2991</v>
      </c>
      <c r="B2991" t="s">
        <v>863</v>
      </c>
      <c r="C2991" t="s">
        <v>7371</v>
      </c>
      <c r="D2991" t="s">
        <v>7372</v>
      </c>
      <c r="E2991" t="s">
        <v>2164</v>
      </c>
    </row>
    <row r="2992" spans="1:5" x14ac:dyDescent="0.2">
      <c r="A2992">
        <v>2992</v>
      </c>
      <c r="B2992" t="s">
        <v>863</v>
      </c>
      <c r="C2992" t="s">
        <v>7373</v>
      </c>
      <c r="D2992" t="s">
        <v>7374</v>
      </c>
      <c r="E2992" t="s">
        <v>2164</v>
      </c>
    </row>
    <row r="2993" spans="1:5" x14ac:dyDescent="0.2">
      <c r="A2993">
        <v>2993</v>
      </c>
      <c r="B2993" t="s">
        <v>863</v>
      </c>
      <c r="C2993" t="s">
        <v>7375</v>
      </c>
      <c r="D2993" t="s">
        <v>7376</v>
      </c>
      <c r="E2993" t="s">
        <v>2164</v>
      </c>
    </row>
    <row r="2994" spans="1:5" x14ac:dyDescent="0.2">
      <c r="A2994">
        <v>2994</v>
      </c>
      <c r="B2994" t="s">
        <v>863</v>
      </c>
      <c r="C2994" t="s">
        <v>7377</v>
      </c>
      <c r="D2994" t="s">
        <v>7378</v>
      </c>
      <c r="E2994" t="s">
        <v>2164</v>
      </c>
    </row>
    <row r="2995" spans="1:5" x14ac:dyDescent="0.2">
      <c r="A2995">
        <v>2995</v>
      </c>
      <c r="B2995" t="s">
        <v>863</v>
      </c>
      <c r="C2995" t="s">
        <v>7379</v>
      </c>
      <c r="D2995" t="s">
        <v>7380</v>
      </c>
      <c r="E2995" t="s">
        <v>2164</v>
      </c>
    </row>
    <row r="2996" spans="1:5" x14ac:dyDescent="0.2">
      <c r="A2996">
        <v>2996</v>
      </c>
      <c r="B2996" t="s">
        <v>863</v>
      </c>
      <c r="C2996" t="s">
        <v>7381</v>
      </c>
      <c r="D2996" t="s">
        <v>7382</v>
      </c>
      <c r="E2996" t="s">
        <v>2164</v>
      </c>
    </row>
    <row r="2997" spans="1:5" x14ac:dyDescent="0.2">
      <c r="A2997">
        <v>2997</v>
      </c>
      <c r="B2997" t="s">
        <v>867</v>
      </c>
      <c r="C2997" t="s">
        <v>7383</v>
      </c>
      <c r="D2997" t="s">
        <v>7384</v>
      </c>
      <c r="E2997" t="s">
        <v>3158</v>
      </c>
    </row>
    <row r="2998" spans="1:5" x14ac:dyDescent="0.2">
      <c r="A2998">
        <v>2998</v>
      </c>
      <c r="B2998" t="s">
        <v>867</v>
      </c>
      <c r="C2998" t="s">
        <v>7385</v>
      </c>
      <c r="D2998" t="s">
        <v>7386</v>
      </c>
      <c r="E2998" t="s">
        <v>1719</v>
      </c>
    </row>
    <row r="2999" spans="1:5" x14ac:dyDescent="0.2">
      <c r="A2999">
        <v>2999</v>
      </c>
      <c r="B2999" t="s">
        <v>867</v>
      </c>
      <c r="C2999" t="s">
        <v>7387</v>
      </c>
      <c r="D2999" t="s">
        <v>7388</v>
      </c>
      <c r="E2999" t="s">
        <v>1719</v>
      </c>
    </row>
    <row r="3000" spans="1:5" x14ac:dyDescent="0.2">
      <c r="A3000">
        <v>3000</v>
      </c>
      <c r="B3000" t="s">
        <v>867</v>
      </c>
      <c r="C3000" t="s">
        <v>7389</v>
      </c>
      <c r="D3000" t="s">
        <v>7390</v>
      </c>
      <c r="E3000" t="s">
        <v>3158</v>
      </c>
    </row>
    <row r="3001" spans="1:5" x14ac:dyDescent="0.2">
      <c r="A3001">
        <v>3001</v>
      </c>
      <c r="B3001" t="s">
        <v>867</v>
      </c>
      <c r="C3001" t="s">
        <v>7391</v>
      </c>
      <c r="D3001" t="s">
        <v>7392</v>
      </c>
      <c r="E3001" t="s">
        <v>1719</v>
      </c>
    </row>
    <row r="3002" spans="1:5" x14ac:dyDescent="0.2">
      <c r="A3002">
        <v>3002</v>
      </c>
      <c r="B3002" t="s">
        <v>867</v>
      </c>
      <c r="C3002" t="s">
        <v>7393</v>
      </c>
      <c r="D3002" t="s">
        <v>7394</v>
      </c>
      <c r="E3002" t="s">
        <v>1719</v>
      </c>
    </row>
    <row r="3003" spans="1:5" x14ac:dyDescent="0.2">
      <c r="A3003">
        <v>3003</v>
      </c>
      <c r="B3003" t="s">
        <v>867</v>
      </c>
      <c r="C3003" t="s">
        <v>7395</v>
      </c>
      <c r="D3003" t="s">
        <v>7396</v>
      </c>
      <c r="E3003" t="s">
        <v>1719</v>
      </c>
    </row>
    <row r="3004" spans="1:5" x14ac:dyDescent="0.2">
      <c r="A3004">
        <v>3004</v>
      </c>
      <c r="B3004" t="s">
        <v>867</v>
      </c>
      <c r="C3004" t="s">
        <v>7397</v>
      </c>
      <c r="D3004" t="s">
        <v>7398</v>
      </c>
      <c r="E3004" t="s">
        <v>1719</v>
      </c>
    </row>
    <row r="3005" spans="1:5" x14ac:dyDescent="0.2">
      <c r="A3005">
        <v>3005</v>
      </c>
      <c r="B3005" t="s">
        <v>867</v>
      </c>
      <c r="C3005" t="s">
        <v>7399</v>
      </c>
      <c r="D3005" t="s">
        <v>7400</v>
      </c>
      <c r="E3005" t="s">
        <v>1719</v>
      </c>
    </row>
    <row r="3006" spans="1:5" x14ac:dyDescent="0.2">
      <c r="A3006">
        <v>3006</v>
      </c>
      <c r="B3006" t="s">
        <v>867</v>
      </c>
      <c r="C3006" t="s">
        <v>7401</v>
      </c>
      <c r="D3006" t="s">
        <v>7402</v>
      </c>
      <c r="E3006" t="s">
        <v>1719</v>
      </c>
    </row>
    <row r="3007" spans="1:5" x14ac:dyDescent="0.2">
      <c r="A3007">
        <v>3007</v>
      </c>
      <c r="B3007" t="s">
        <v>867</v>
      </c>
      <c r="C3007" t="s">
        <v>7403</v>
      </c>
      <c r="D3007" t="s">
        <v>7404</v>
      </c>
      <c r="E3007" t="s">
        <v>1719</v>
      </c>
    </row>
    <row r="3008" spans="1:5" x14ac:dyDescent="0.2">
      <c r="A3008">
        <v>3008</v>
      </c>
      <c r="B3008" t="s">
        <v>867</v>
      </c>
      <c r="C3008" t="s">
        <v>7405</v>
      </c>
      <c r="D3008" t="s">
        <v>7406</v>
      </c>
      <c r="E3008" t="s">
        <v>3158</v>
      </c>
    </row>
    <row r="3009" spans="1:5" x14ac:dyDescent="0.2">
      <c r="A3009">
        <v>3009</v>
      </c>
      <c r="B3009" t="s">
        <v>867</v>
      </c>
      <c r="C3009" t="s">
        <v>7407</v>
      </c>
      <c r="D3009" t="s">
        <v>7408</v>
      </c>
      <c r="E3009" t="s">
        <v>7409</v>
      </c>
    </row>
    <row r="3010" spans="1:5" x14ac:dyDescent="0.2">
      <c r="A3010">
        <v>3010</v>
      </c>
      <c r="B3010" t="s">
        <v>867</v>
      </c>
      <c r="C3010" t="s">
        <v>7410</v>
      </c>
      <c r="D3010" t="s">
        <v>7411</v>
      </c>
      <c r="E3010" t="s">
        <v>1719</v>
      </c>
    </row>
    <row r="3011" spans="1:5" x14ac:dyDescent="0.2">
      <c r="A3011">
        <v>3011</v>
      </c>
      <c r="B3011" t="s">
        <v>867</v>
      </c>
      <c r="C3011" t="s">
        <v>7412</v>
      </c>
      <c r="D3011" t="s">
        <v>7413</v>
      </c>
      <c r="E3011" t="s">
        <v>1719</v>
      </c>
    </row>
    <row r="3012" spans="1:5" x14ac:dyDescent="0.2">
      <c r="A3012">
        <v>3012</v>
      </c>
      <c r="B3012" t="s">
        <v>867</v>
      </c>
      <c r="C3012" t="s">
        <v>7414</v>
      </c>
      <c r="D3012" t="s">
        <v>7415</v>
      </c>
      <c r="E3012" t="s">
        <v>1719</v>
      </c>
    </row>
    <row r="3013" spans="1:5" x14ac:dyDescent="0.2">
      <c r="A3013">
        <v>3013</v>
      </c>
      <c r="B3013" t="s">
        <v>867</v>
      </c>
      <c r="C3013" t="s">
        <v>7416</v>
      </c>
      <c r="D3013" t="s">
        <v>7417</v>
      </c>
      <c r="E3013" t="s">
        <v>7409</v>
      </c>
    </row>
    <row r="3014" spans="1:5" x14ac:dyDescent="0.2">
      <c r="A3014">
        <v>3014</v>
      </c>
      <c r="B3014" t="s">
        <v>867</v>
      </c>
      <c r="C3014" t="s">
        <v>7418</v>
      </c>
      <c r="D3014" t="s">
        <v>7419</v>
      </c>
      <c r="E3014" t="s">
        <v>1719</v>
      </c>
    </row>
    <row r="3015" spans="1:5" x14ac:dyDescent="0.2">
      <c r="A3015">
        <v>3015</v>
      </c>
      <c r="B3015" t="s">
        <v>867</v>
      </c>
      <c r="C3015" t="s">
        <v>7420</v>
      </c>
      <c r="D3015" t="s">
        <v>7421</v>
      </c>
      <c r="E3015" t="s">
        <v>1719</v>
      </c>
    </row>
    <row r="3016" spans="1:5" x14ac:dyDescent="0.2">
      <c r="A3016">
        <v>3016</v>
      </c>
      <c r="B3016" t="s">
        <v>867</v>
      </c>
      <c r="C3016" t="s">
        <v>7422</v>
      </c>
      <c r="D3016" t="s">
        <v>7423</v>
      </c>
      <c r="E3016" t="s">
        <v>1719</v>
      </c>
    </row>
    <row r="3017" spans="1:5" x14ac:dyDescent="0.2">
      <c r="A3017">
        <v>3017</v>
      </c>
      <c r="B3017" t="s">
        <v>867</v>
      </c>
      <c r="C3017" t="s">
        <v>7424</v>
      </c>
      <c r="D3017" t="s">
        <v>7425</v>
      </c>
      <c r="E3017" t="s">
        <v>1719</v>
      </c>
    </row>
    <row r="3018" spans="1:5" x14ac:dyDescent="0.2">
      <c r="A3018">
        <v>3018</v>
      </c>
      <c r="B3018" t="s">
        <v>867</v>
      </c>
      <c r="C3018" t="s">
        <v>7426</v>
      </c>
      <c r="D3018" t="s">
        <v>7427</v>
      </c>
      <c r="E3018" t="s">
        <v>1719</v>
      </c>
    </row>
    <row r="3019" spans="1:5" x14ac:dyDescent="0.2">
      <c r="A3019">
        <v>3019</v>
      </c>
      <c r="B3019" t="s">
        <v>867</v>
      </c>
      <c r="C3019" t="s">
        <v>7428</v>
      </c>
      <c r="D3019" t="s">
        <v>7429</v>
      </c>
      <c r="E3019" t="s">
        <v>3158</v>
      </c>
    </row>
    <row r="3020" spans="1:5" x14ac:dyDescent="0.2">
      <c r="A3020">
        <v>3020</v>
      </c>
      <c r="B3020" t="s">
        <v>867</v>
      </c>
      <c r="C3020" t="s">
        <v>7430</v>
      </c>
      <c r="D3020" t="s">
        <v>7431</v>
      </c>
      <c r="E3020" t="s">
        <v>1719</v>
      </c>
    </row>
    <row r="3021" spans="1:5" x14ac:dyDescent="0.2">
      <c r="A3021">
        <v>3021</v>
      </c>
      <c r="B3021" t="s">
        <v>867</v>
      </c>
      <c r="C3021" t="s">
        <v>7432</v>
      </c>
      <c r="D3021" t="s">
        <v>7433</v>
      </c>
      <c r="E3021" t="s">
        <v>7409</v>
      </c>
    </row>
    <row r="3022" spans="1:5" x14ac:dyDescent="0.2">
      <c r="A3022">
        <v>3022</v>
      </c>
      <c r="B3022" t="s">
        <v>867</v>
      </c>
      <c r="C3022" t="s">
        <v>7434</v>
      </c>
      <c r="D3022" t="s">
        <v>7435</v>
      </c>
      <c r="E3022" t="s">
        <v>3158</v>
      </c>
    </row>
    <row r="3023" spans="1:5" x14ac:dyDescent="0.2">
      <c r="A3023">
        <v>3023</v>
      </c>
      <c r="B3023" t="s">
        <v>867</v>
      </c>
      <c r="C3023" t="s">
        <v>7436</v>
      </c>
      <c r="D3023" t="s">
        <v>7437</v>
      </c>
      <c r="E3023" t="s">
        <v>7409</v>
      </c>
    </row>
    <row r="3024" spans="1:5" x14ac:dyDescent="0.2">
      <c r="A3024">
        <v>3024</v>
      </c>
      <c r="B3024" t="s">
        <v>867</v>
      </c>
      <c r="C3024" t="s">
        <v>7438</v>
      </c>
      <c r="D3024" t="s">
        <v>7439</v>
      </c>
      <c r="E3024" t="s">
        <v>7409</v>
      </c>
    </row>
    <row r="3025" spans="1:5" x14ac:dyDescent="0.2">
      <c r="A3025">
        <v>3025</v>
      </c>
      <c r="B3025" t="s">
        <v>867</v>
      </c>
      <c r="C3025" t="s">
        <v>7440</v>
      </c>
      <c r="D3025" t="s">
        <v>7441</v>
      </c>
      <c r="E3025" t="s">
        <v>1719</v>
      </c>
    </row>
    <row r="3026" spans="1:5" x14ac:dyDescent="0.2">
      <c r="A3026">
        <v>3026</v>
      </c>
      <c r="B3026" t="s">
        <v>867</v>
      </c>
      <c r="C3026" t="s">
        <v>7442</v>
      </c>
      <c r="D3026" t="s">
        <v>7443</v>
      </c>
      <c r="E3026" t="s">
        <v>7409</v>
      </c>
    </row>
    <row r="3027" spans="1:5" x14ac:dyDescent="0.2">
      <c r="A3027">
        <v>3027</v>
      </c>
      <c r="B3027" t="s">
        <v>867</v>
      </c>
      <c r="C3027" t="s">
        <v>7444</v>
      </c>
      <c r="D3027" t="s">
        <v>7445</v>
      </c>
      <c r="E3027" t="s">
        <v>1719</v>
      </c>
    </row>
    <row r="3028" spans="1:5" x14ac:dyDescent="0.2">
      <c r="A3028">
        <v>3028</v>
      </c>
      <c r="B3028" t="s">
        <v>867</v>
      </c>
      <c r="C3028" t="s">
        <v>7446</v>
      </c>
      <c r="D3028" t="s">
        <v>7447</v>
      </c>
      <c r="E3028" t="s">
        <v>3158</v>
      </c>
    </row>
    <row r="3029" spans="1:5" x14ac:dyDescent="0.2">
      <c r="A3029">
        <v>3029</v>
      </c>
      <c r="B3029" t="s">
        <v>867</v>
      </c>
      <c r="C3029" t="s">
        <v>7448</v>
      </c>
      <c r="D3029" t="s">
        <v>7449</v>
      </c>
      <c r="E3029" t="s">
        <v>1719</v>
      </c>
    </row>
    <row r="3030" spans="1:5" x14ac:dyDescent="0.2">
      <c r="A3030">
        <v>3030</v>
      </c>
      <c r="B3030" t="s">
        <v>867</v>
      </c>
      <c r="C3030" t="s">
        <v>7450</v>
      </c>
      <c r="D3030" t="s">
        <v>7451</v>
      </c>
      <c r="E3030" t="s">
        <v>1719</v>
      </c>
    </row>
    <row r="3031" spans="1:5" x14ac:dyDescent="0.2">
      <c r="A3031">
        <v>3031</v>
      </c>
      <c r="B3031" t="s">
        <v>867</v>
      </c>
      <c r="C3031" t="s">
        <v>7452</v>
      </c>
      <c r="D3031" t="s">
        <v>7453</v>
      </c>
      <c r="E3031" t="s">
        <v>1719</v>
      </c>
    </row>
    <row r="3032" spans="1:5" x14ac:dyDescent="0.2">
      <c r="A3032">
        <v>3032</v>
      </c>
      <c r="B3032" t="s">
        <v>867</v>
      </c>
      <c r="C3032" t="s">
        <v>7454</v>
      </c>
      <c r="D3032" t="s">
        <v>7455</v>
      </c>
      <c r="E3032" t="s">
        <v>1719</v>
      </c>
    </row>
    <row r="3033" spans="1:5" x14ac:dyDescent="0.2">
      <c r="A3033">
        <v>3033</v>
      </c>
      <c r="B3033" t="s">
        <v>867</v>
      </c>
      <c r="C3033" t="s">
        <v>7456</v>
      </c>
      <c r="D3033" t="s">
        <v>7457</v>
      </c>
      <c r="E3033" t="s">
        <v>1719</v>
      </c>
    </row>
    <row r="3034" spans="1:5" x14ac:dyDescent="0.2">
      <c r="A3034">
        <v>3034</v>
      </c>
      <c r="B3034" t="s">
        <v>867</v>
      </c>
      <c r="C3034" t="s">
        <v>7458</v>
      </c>
      <c r="D3034" t="s">
        <v>7459</v>
      </c>
      <c r="E3034" t="s">
        <v>1719</v>
      </c>
    </row>
    <row r="3035" spans="1:5" x14ac:dyDescent="0.2">
      <c r="A3035">
        <v>3035</v>
      </c>
      <c r="B3035" t="s">
        <v>867</v>
      </c>
      <c r="C3035" t="s">
        <v>7460</v>
      </c>
      <c r="D3035" t="s">
        <v>7461</v>
      </c>
      <c r="E3035" t="s">
        <v>7409</v>
      </c>
    </row>
    <row r="3036" spans="1:5" x14ac:dyDescent="0.2">
      <c r="A3036">
        <v>3036</v>
      </c>
      <c r="B3036" t="s">
        <v>867</v>
      </c>
      <c r="C3036" t="s">
        <v>7462</v>
      </c>
      <c r="D3036" t="s">
        <v>7463</v>
      </c>
      <c r="E3036" t="s">
        <v>1719</v>
      </c>
    </row>
    <row r="3037" spans="1:5" x14ac:dyDescent="0.2">
      <c r="A3037">
        <v>3037</v>
      </c>
      <c r="B3037" t="s">
        <v>867</v>
      </c>
      <c r="C3037" t="s">
        <v>7464</v>
      </c>
      <c r="D3037" t="s">
        <v>7465</v>
      </c>
      <c r="E3037" t="s">
        <v>1719</v>
      </c>
    </row>
    <row r="3038" spans="1:5" x14ac:dyDescent="0.2">
      <c r="A3038">
        <v>3038</v>
      </c>
      <c r="B3038" t="s">
        <v>867</v>
      </c>
      <c r="C3038" t="s">
        <v>7466</v>
      </c>
      <c r="D3038" t="s">
        <v>7467</v>
      </c>
      <c r="E3038" t="s">
        <v>7409</v>
      </c>
    </row>
    <row r="3039" spans="1:5" x14ac:dyDescent="0.2">
      <c r="A3039">
        <v>3039</v>
      </c>
      <c r="B3039" t="s">
        <v>867</v>
      </c>
      <c r="C3039" t="s">
        <v>7468</v>
      </c>
      <c r="D3039" t="s">
        <v>7469</v>
      </c>
      <c r="E3039" t="s">
        <v>3158</v>
      </c>
    </row>
    <row r="3040" spans="1:5" x14ac:dyDescent="0.2">
      <c r="A3040">
        <v>3040</v>
      </c>
      <c r="B3040" t="s">
        <v>867</v>
      </c>
      <c r="C3040" t="s">
        <v>7470</v>
      </c>
      <c r="D3040" t="s">
        <v>7471</v>
      </c>
      <c r="E3040" t="s">
        <v>3158</v>
      </c>
    </row>
    <row r="3041" spans="1:5" x14ac:dyDescent="0.2">
      <c r="A3041">
        <v>3041</v>
      </c>
      <c r="B3041" t="s">
        <v>867</v>
      </c>
      <c r="C3041" t="s">
        <v>7472</v>
      </c>
      <c r="D3041" t="s">
        <v>7473</v>
      </c>
      <c r="E3041" t="s">
        <v>7409</v>
      </c>
    </row>
    <row r="3042" spans="1:5" x14ac:dyDescent="0.2">
      <c r="A3042">
        <v>3042</v>
      </c>
      <c r="B3042" t="s">
        <v>867</v>
      </c>
      <c r="C3042" t="s">
        <v>7474</v>
      </c>
      <c r="D3042" t="s">
        <v>7475</v>
      </c>
      <c r="E3042" t="s">
        <v>3158</v>
      </c>
    </row>
    <row r="3043" spans="1:5" x14ac:dyDescent="0.2">
      <c r="A3043">
        <v>3043</v>
      </c>
      <c r="B3043" t="s">
        <v>867</v>
      </c>
      <c r="C3043" t="s">
        <v>7476</v>
      </c>
      <c r="D3043" t="s">
        <v>7477</v>
      </c>
      <c r="E3043" t="s">
        <v>7409</v>
      </c>
    </row>
    <row r="3044" spans="1:5" x14ac:dyDescent="0.2">
      <c r="A3044">
        <v>3044</v>
      </c>
      <c r="B3044" t="s">
        <v>867</v>
      </c>
      <c r="C3044" t="s">
        <v>7478</v>
      </c>
      <c r="D3044" t="s">
        <v>7479</v>
      </c>
      <c r="E3044" t="s">
        <v>3158</v>
      </c>
    </row>
    <row r="3045" spans="1:5" x14ac:dyDescent="0.2">
      <c r="A3045">
        <v>3045</v>
      </c>
      <c r="B3045" t="s">
        <v>867</v>
      </c>
      <c r="C3045" t="s">
        <v>7480</v>
      </c>
      <c r="D3045" t="s">
        <v>7481</v>
      </c>
      <c r="E3045" t="s">
        <v>1719</v>
      </c>
    </row>
    <row r="3046" spans="1:5" x14ac:dyDescent="0.2">
      <c r="A3046">
        <v>3046</v>
      </c>
      <c r="B3046" t="s">
        <v>867</v>
      </c>
      <c r="C3046" t="s">
        <v>7482</v>
      </c>
      <c r="D3046" t="s">
        <v>7483</v>
      </c>
      <c r="E3046" t="s">
        <v>1719</v>
      </c>
    </row>
    <row r="3047" spans="1:5" x14ac:dyDescent="0.2">
      <c r="A3047">
        <v>3047</v>
      </c>
      <c r="B3047" t="s">
        <v>867</v>
      </c>
      <c r="C3047" t="s">
        <v>7484</v>
      </c>
      <c r="D3047" t="s">
        <v>7485</v>
      </c>
      <c r="E3047" t="s">
        <v>1719</v>
      </c>
    </row>
    <row r="3048" spans="1:5" x14ac:dyDescent="0.2">
      <c r="A3048">
        <v>3048</v>
      </c>
      <c r="B3048" t="s">
        <v>867</v>
      </c>
      <c r="C3048" t="s">
        <v>7486</v>
      </c>
      <c r="D3048" t="s">
        <v>7487</v>
      </c>
      <c r="E3048" t="s">
        <v>1719</v>
      </c>
    </row>
    <row r="3049" spans="1:5" x14ac:dyDescent="0.2">
      <c r="A3049">
        <v>3049</v>
      </c>
      <c r="B3049" t="s">
        <v>867</v>
      </c>
      <c r="C3049" t="s">
        <v>7488</v>
      </c>
      <c r="D3049" t="s">
        <v>7489</v>
      </c>
      <c r="E3049" t="s">
        <v>1719</v>
      </c>
    </row>
    <row r="3050" spans="1:5" x14ac:dyDescent="0.2">
      <c r="A3050">
        <v>3050</v>
      </c>
      <c r="B3050" t="s">
        <v>867</v>
      </c>
      <c r="C3050" t="s">
        <v>7490</v>
      </c>
      <c r="D3050" t="s">
        <v>7491</v>
      </c>
      <c r="E3050" t="s">
        <v>1719</v>
      </c>
    </row>
    <row r="3051" spans="1:5" x14ac:dyDescent="0.2">
      <c r="A3051">
        <v>3051</v>
      </c>
      <c r="B3051" t="s">
        <v>867</v>
      </c>
      <c r="C3051" t="s">
        <v>7492</v>
      </c>
      <c r="D3051" t="s">
        <v>7493</v>
      </c>
      <c r="E3051" t="s">
        <v>7409</v>
      </c>
    </row>
    <row r="3052" spans="1:5" x14ac:dyDescent="0.2">
      <c r="A3052">
        <v>3052</v>
      </c>
      <c r="B3052" t="s">
        <v>867</v>
      </c>
      <c r="C3052" t="s">
        <v>7494</v>
      </c>
      <c r="D3052" t="s">
        <v>7495</v>
      </c>
      <c r="E3052" t="s">
        <v>3158</v>
      </c>
    </row>
    <row r="3053" spans="1:5" x14ac:dyDescent="0.2">
      <c r="A3053">
        <v>3053</v>
      </c>
      <c r="B3053" t="s">
        <v>867</v>
      </c>
      <c r="C3053" t="s">
        <v>7496</v>
      </c>
      <c r="D3053" t="s">
        <v>7497</v>
      </c>
      <c r="E3053" t="s">
        <v>3158</v>
      </c>
    </row>
    <row r="3054" spans="1:5" x14ac:dyDescent="0.2">
      <c r="A3054">
        <v>3054</v>
      </c>
      <c r="B3054" t="s">
        <v>867</v>
      </c>
      <c r="C3054" t="s">
        <v>7498</v>
      </c>
      <c r="D3054" t="s">
        <v>7499</v>
      </c>
      <c r="E3054" t="s">
        <v>7409</v>
      </c>
    </row>
    <row r="3055" spans="1:5" x14ac:dyDescent="0.2">
      <c r="A3055">
        <v>3055</v>
      </c>
      <c r="B3055" t="s">
        <v>867</v>
      </c>
      <c r="C3055" t="s">
        <v>7500</v>
      </c>
      <c r="D3055" t="s">
        <v>6954</v>
      </c>
      <c r="E3055" t="s">
        <v>1719</v>
      </c>
    </row>
    <row r="3056" spans="1:5" x14ac:dyDescent="0.2">
      <c r="A3056">
        <v>3056</v>
      </c>
      <c r="B3056" t="s">
        <v>867</v>
      </c>
      <c r="C3056" t="s">
        <v>7501</v>
      </c>
      <c r="D3056" t="s">
        <v>7502</v>
      </c>
      <c r="E3056" t="s">
        <v>3158</v>
      </c>
    </row>
    <row r="3057" spans="1:5" x14ac:dyDescent="0.2">
      <c r="A3057">
        <v>3057</v>
      </c>
      <c r="B3057" t="s">
        <v>867</v>
      </c>
      <c r="C3057" t="s">
        <v>7503</v>
      </c>
      <c r="D3057" t="s">
        <v>7504</v>
      </c>
      <c r="E3057" t="s">
        <v>1719</v>
      </c>
    </row>
    <row r="3058" spans="1:5" x14ac:dyDescent="0.2">
      <c r="A3058">
        <v>3058</v>
      </c>
      <c r="B3058" t="s">
        <v>867</v>
      </c>
      <c r="C3058" t="s">
        <v>7505</v>
      </c>
      <c r="D3058" t="s">
        <v>7506</v>
      </c>
      <c r="E3058" t="s">
        <v>1719</v>
      </c>
    </row>
    <row r="3059" spans="1:5" x14ac:dyDescent="0.2">
      <c r="A3059">
        <v>3059</v>
      </c>
      <c r="B3059" t="s">
        <v>867</v>
      </c>
      <c r="C3059" t="s">
        <v>7507</v>
      </c>
      <c r="D3059" t="s">
        <v>7508</v>
      </c>
      <c r="E3059" t="s">
        <v>1719</v>
      </c>
    </row>
    <row r="3060" spans="1:5" x14ac:dyDescent="0.2">
      <c r="A3060">
        <v>3060</v>
      </c>
      <c r="B3060" t="s">
        <v>867</v>
      </c>
      <c r="C3060" t="s">
        <v>7509</v>
      </c>
      <c r="D3060" t="s">
        <v>7510</v>
      </c>
      <c r="E3060" t="s">
        <v>3158</v>
      </c>
    </row>
    <row r="3061" spans="1:5" x14ac:dyDescent="0.2">
      <c r="A3061">
        <v>3061</v>
      </c>
      <c r="B3061" t="s">
        <v>867</v>
      </c>
      <c r="C3061" t="s">
        <v>7511</v>
      </c>
      <c r="D3061" t="s">
        <v>7512</v>
      </c>
      <c r="E3061" t="s">
        <v>3158</v>
      </c>
    </row>
    <row r="3062" spans="1:5" x14ac:dyDescent="0.2">
      <c r="A3062">
        <v>3062</v>
      </c>
      <c r="B3062" t="s">
        <v>867</v>
      </c>
      <c r="C3062" t="s">
        <v>7513</v>
      </c>
      <c r="D3062" t="s">
        <v>7514</v>
      </c>
      <c r="E3062" t="s">
        <v>7409</v>
      </c>
    </row>
    <row r="3063" spans="1:5" x14ac:dyDescent="0.2">
      <c r="A3063">
        <v>3063</v>
      </c>
      <c r="B3063" t="s">
        <v>867</v>
      </c>
      <c r="C3063" t="s">
        <v>7515</v>
      </c>
      <c r="D3063" t="s">
        <v>7516</v>
      </c>
      <c r="E3063" t="s">
        <v>7409</v>
      </c>
    </row>
    <row r="3064" spans="1:5" x14ac:dyDescent="0.2">
      <c r="A3064">
        <v>3064</v>
      </c>
      <c r="B3064" t="s">
        <v>867</v>
      </c>
      <c r="C3064" t="s">
        <v>7517</v>
      </c>
      <c r="D3064" t="s">
        <v>7518</v>
      </c>
      <c r="E3064" t="s">
        <v>1719</v>
      </c>
    </row>
    <row r="3065" spans="1:5" x14ac:dyDescent="0.2">
      <c r="A3065">
        <v>3065</v>
      </c>
      <c r="B3065" t="s">
        <v>867</v>
      </c>
      <c r="C3065" t="s">
        <v>7519</v>
      </c>
      <c r="D3065" t="s">
        <v>7520</v>
      </c>
      <c r="E3065" t="s">
        <v>3158</v>
      </c>
    </row>
    <row r="3066" spans="1:5" x14ac:dyDescent="0.2">
      <c r="A3066">
        <v>3066</v>
      </c>
      <c r="B3066" t="s">
        <v>867</v>
      </c>
      <c r="C3066" t="s">
        <v>7521</v>
      </c>
      <c r="D3066" t="s">
        <v>7522</v>
      </c>
      <c r="E3066" t="s">
        <v>7409</v>
      </c>
    </row>
    <row r="3067" spans="1:5" x14ac:dyDescent="0.2">
      <c r="A3067">
        <v>3067</v>
      </c>
      <c r="B3067" t="s">
        <v>867</v>
      </c>
      <c r="C3067" t="s">
        <v>7523</v>
      </c>
      <c r="D3067" t="s">
        <v>7524</v>
      </c>
      <c r="E3067" t="s">
        <v>1719</v>
      </c>
    </row>
    <row r="3068" spans="1:5" x14ac:dyDescent="0.2">
      <c r="A3068">
        <v>3068</v>
      </c>
      <c r="B3068" t="s">
        <v>867</v>
      </c>
      <c r="C3068" t="s">
        <v>7525</v>
      </c>
      <c r="D3068" t="s">
        <v>7526</v>
      </c>
      <c r="E3068" t="s">
        <v>1719</v>
      </c>
    </row>
    <row r="3069" spans="1:5" x14ac:dyDescent="0.2">
      <c r="A3069">
        <v>3069</v>
      </c>
      <c r="B3069" t="s">
        <v>867</v>
      </c>
      <c r="C3069" t="s">
        <v>7527</v>
      </c>
      <c r="D3069" t="s">
        <v>7528</v>
      </c>
      <c r="E3069" t="s">
        <v>1719</v>
      </c>
    </row>
    <row r="3070" spans="1:5" x14ac:dyDescent="0.2">
      <c r="A3070">
        <v>3070</v>
      </c>
      <c r="B3070" t="s">
        <v>867</v>
      </c>
      <c r="C3070" t="s">
        <v>7529</v>
      </c>
      <c r="D3070" t="s">
        <v>7530</v>
      </c>
      <c r="E3070" t="s">
        <v>1719</v>
      </c>
    </row>
    <row r="3071" spans="1:5" x14ac:dyDescent="0.2">
      <c r="A3071">
        <v>3071</v>
      </c>
      <c r="B3071" t="s">
        <v>867</v>
      </c>
      <c r="C3071" t="s">
        <v>7531</v>
      </c>
      <c r="D3071" t="s">
        <v>7532</v>
      </c>
      <c r="E3071" t="s">
        <v>1719</v>
      </c>
    </row>
    <row r="3072" spans="1:5" x14ac:dyDescent="0.2">
      <c r="A3072">
        <v>3072</v>
      </c>
      <c r="B3072" t="s">
        <v>867</v>
      </c>
      <c r="C3072" t="s">
        <v>7533</v>
      </c>
      <c r="D3072" t="s">
        <v>7534</v>
      </c>
      <c r="E3072" t="s">
        <v>7409</v>
      </c>
    </row>
    <row r="3073" spans="1:5" x14ac:dyDescent="0.2">
      <c r="A3073">
        <v>3073</v>
      </c>
      <c r="B3073" t="s">
        <v>867</v>
      </c>
      <c r="C3073" t="s">
        <v>7535</v>
      </c>
      <c r="D3073" t="s">
        <v>7536</v>
      </c>
      <c r="E3073" t="s">
        <v>1719</v>
      </c>
    </row>
    <row r="3074" spans="1:5" x14ac:dyDescent="0.2">
      <c r="A3074">
        <v>3074</v>
      </c>
      <c r="B3074" t="s">
        <v>867</v>
      </c>
      <c r="C3074" t="s">
        <v>7537</v>
      </c>
      <c r="D3074" t="s">
        <v>7538</v>
      </c>
      <c r="E3074" t="s">
        <v>3158</v>
      </c>
    </row>
    <row r="3075" spans="1:5" x14ac:dyDescent="0.2">
      <c r="A3075">
        <v>3075</v>
      </c>
      <c r="B3075" t="s">
        <v>867</v>
      </c>
      <c r="C3075" t="s">
        <v>7539</v>
      </c>
      <c r="D3075" t="s">
        <v>7540</v>
      </c>
      <c r="E3075" t="s">
        <v>1719</v>
      </c>
    </row>
    <row r="3076" spans="1:5" x14ac:dyDescent="0.2">
      <c r="A3076">
        <v>3076</v>
      </c>
      <c r="B3076" t="s">
        <v>869</v>
      </c>
      <c r="C3076" t="s">
        <v>7541</v>
      </c>
      <c r="D3076" t="s">
        <v>7542</v>
      </c>
      <c r="E3076" t="s">
        <v>1719</v>
      </c>
    </row>
    <row r="3077" spans="1:5" x14ac:dyDescent="0.2">
      <c r="A3077">
        <v>3077</v>
      </c>
      <c r="B3077" t="s">
        <v>869</v>
      </c>
      <c r="C3077" t="s">
        <v>7543</v>
      </c>
      <c r="D3077" t="s">
        <v>7544</v>
      </c>
      <c r="E3077" t="s">
        <v>1719</v>
      </c>
    </row>
    <row r="3078" spans="1:5" x14ac:dyDescent="0.2">
      <c r="A3078">
        <v>3078</v>
      </c>
      <c r="B3078" t="s">
        <v>869</v>
      </c>
      <c r="C3078" t="s">
        <v>7545</v>
      </c>
      <c r="D3078" t="s">
        <v>7546</v>
      </c>
      <c r="E3078" t="s">
        <v>1719</v>
      </c>
    </row>
    <row r="3079" spans="1:5" x14ac:dyDescent="0.2">
      <c r="A3079">
        <v>3079</v>
      </c>
      <c r="B3079" t="s">
        <v>869</v>
      </c>
      <c r="C3079" t="s">
        <v>7547</v>
      </c>
      <c r="D3079" t="s">
        <v>7548</v>
      </c>
      <c r="E3079" t="s">
        <v>1719</v>
      </c>
    </row>
    <row r="3080" spans="1:5" x14ac:dyDescent="0.2">
      <c r="A3080">
        <v>3080</v>
      </c>
      <c r="B3080" t="s">
        <v>869</v>
      </c>
      <c r="C3080" t="s">
        <v>7549</v>
      </c>
      <c r="D3080" t="s">
        <v>7550</v>
      </c>
      <c r="E3080" t="s">
        <v>1719</v>
      </c>
    </row>
    <row r="3081" spans="1:5" x14ac:dyDescent="0.2">
      <c r="A3081">
        <v>3081</v>
      </c>
      <c r="B3081" t="s">
        <v>869</v>
      </c>
      <c r="C3081" t="s">
        <v>7551</v>
      </c>
      <c r="D3081" t="s">
        <v>7550</v>
      </c>
      <c r="E3081" t="s">
        <v>2046</v>
      </c>
    </row>
    <row r="3082" spans="1:5" x14ac:dyDescent="0.2">
      <c r="A3082">
        <v>3082</v>
      </c>
      <c r="B3082" t="s">
        <v>869</v>
      </c>
      <c r="C3082" t="s">
        <v>7552</v>
      </c>
      <c r="D3082" t="s">
        <v>7553</v>
      </c>
      <c r="E3082" t="s">
        <v>1719</v>
      </c>
    </row>
    <row r="3083" spans="1:5" x14ac:dyDescent="0.2">
      <c r="A3083">
        <v>3083</v>
      </c>
      <c r="B3083" t="s">
        <v>869</v>
      </c>
      <c r="C3083" t="s">
        <v>7554</v>
      </c>
      <c r="D3083" t="s">
        <v>7555</v>
      </c>
      <c r="E3083" t="s">
        <v>1719</v>
      </c>
    </row>
    <row r="3084" spans="1:5" x14ac:dyDescent="0.2">
      <c r="A3084">
        <v>3084</v>
      </c>
      <c r="B3084" t="s">
        <v>869</v>
      </c>
      <c r="C3084" t="s">
        <v>7556</v>
      </c>
      <c r="D3084" t="s">
        <v>7557</v>
      </c>
      <c r="E3084" t="s">
        <v>1719</v>
      </c>
    </row>
    <row r="3085" spans="1:5" x14ac:dyDescent="0.2">
      <c r="A3085">
        <v>3085</v>
      </c>
      <c r="B3085" t="s">
        <v>869</v>
      </c>
      <c r="C3085" t="s">
        <v>7558</v>
      </c>
      <c r="D3085" t="s">
        <v>7559</v>
      </c>
      <c r="E3085" t="s">
        <v>1719</v>
      </c>
    </row>
    <row r="3086" spans="1:5" x14ac:dyDescent="0.2">
      <c r="A3086">
        <v>3086</v>
      </c>
      <c r="B3086" t="s">
        <v>869</v>
      </c>
      <c r="C3086" t="s">
        <v>7560</v>
      </c>
      <c r="D3086" t="s">
        <v>7561</v>
      </c>
      <c r="E3086" t="s">
        <v>1719</v>
      </c>
    </row>
    <row r="3087" spans="1:5" x14ac:dyDescent="0.2">
      <c r="A3087">
        <v>3087</v>
      </c>
      <c r="B3087" t="s">
        <v>1115</v>
      </c>
      <c r="C3087" t="s">
        <v>7562</v>
      </c>
      <c r="D3087" t="s">
        <v>7563</v>
      </c>
      <c r="E3087" t="s">
        <v>2383</v>
      </c>
    </row>
    <row r="3088" spans="1:5" x14ac:dyDescent="0.2">
      <c r="A3088">
        <v>3088</v>
      </c>
      <c r="B3088" t="s">
        <v>1115</v>
      </c>
      <c r="C3088" t="s">
        <v>7564</v>
      </c>
      <c r="D3088" t="s">
        <v>7565</v>
      </c>
      <c r="E3088" t="s">
        <v>2383</v>
      </c>
    </row>
    <row r="3089" spans="1:5" x14ac:dyDescent="0.2">
      <c r="A3089">
        <v>3089</v>
      </c>
      <c r="B3089" t="s">
        <v>1115</v>
      </c>
      <c r="C3089" t="s">
        <v>7566</v>
      </c>
      <c r="D3089" t="s">
        <v>7567</v>
      </c>
      <c r="E3089" t="s">
        <v>2113</v>
      </c>
    </row>
    <row r="3090" spans="1:5" x14ac:dyDescent="0.2">
      <c r="A3090">
        <v>3090</v>
      </c>
      <c r="B3090" t="s">
        <v>1115</v>
      </c>
      <c r="C3090" t="s">
        <v>7568</v>
      </c>
      <c r="D3090" t="s">
        <v>7569</v>
      </c>
      <c r="E3090" t="s">
        <v>2113</v>
      </c>
    </row>
    <row r="3091" spans="1:5" x14ac:dyDescent="0.2">
      <c r="A3091">
        <v>3091</v>
      </c>
      <c r="B3091" t="s">
        <v>1115</v>
      </c>
      <c r="C3091" t="s">
        <v>7570</v>
      </c>
      <c r="D3091" t="s">
        <v>7571</v>
      </c>
      <c r="E3091" t="s">
        <v>2113</v>
      </c>
    </row>
    <row r="3092" spans="1:5" x14ac:dyDescent="0.2">
      <c r="A3092">
        <v>3092</v>
      </c>
      <c r="B3092" t="s">
        <v>1115</v>
      </c>
      <c r="C3092" t="s">
        <v>7572</v>
      </c>
      <c r="D3092" t="s">
        <v>7573</v>
      </c>
      <c r="E3092" t="s">
        <v>2113</v>
      </c>
    </row>
    <row r="3093" spans="1:5" x14ac:dyDescent="0.2">
      <c r="A3093">
        <v>3093</v>
      </c>
      <c r="B3093" t="s">
        <v>1115</v>
      </c>
      <c r="C3093" t="s">
        <v>7574</v>
      </c>
      <c r="D3093" t="s">
        <v>7575</v>
      </c>
      <c r="E3093" t="s">
        <v>2383</v>
      </c>
    </row>
    <row r="3094" spans="1:5" x14ac:dyDescent="0.2">
      <c r="A3094">
        <v>3094</v>
      </c>
      <c r="B3094" t="s">
        <v>1115</v>
      </c>
      <c r="C3094" t="s">
        <v>7576</v>
      </c>
      <c r="D3094" t="s">
        <v>7577</v>
      </c>
      <c r="E3094" t="s">
        <v>2383</v>
      </c>
    </row>
    <row r="3095" spans="1:5" x14ac:dyDescent="0.2">
      <c r="A3095">
        <v>3095</v>
      </c>
      <c r="B3095" t="s">
        <v>1115</v>
      </c>
      <c r="C3095" t="s">
        <v>7578</v>
      </c>
      <c r="D3095" t="s">
        <v>7579</v>
      </c>
      <c r="E3095" t="s">
        <v>2113</v>
      </c>
    </row>
    <row r="3096" spans="1:5" x14ac:dyDescent="0.2">
      <c r="A3096">
        <v>3096</v>
      </c>
      <c r="B3096" t="s">
        <v>1115</v>
      </c>
      <c r="C3096" t="s">
        <v>7580</v>
      </c>
      <c r="D3096" t="s">
        <v>7581</v>
      </c>
      <c r="E3096" t="s">
        <v>2113</v>
      </c>
    </row>
    <row r="3097" spans="1:5" x14ac:dyDescent="0.2">
      <c r="A3097">
        <v>3097</v>
      </c>
      <c r="B3097" t="s">
        <v>1115</v>
      </c>
      <c r="C3097" t="s">
        <v>7582</v>
      </c>
      <c r="D3097" t="s">
        <v>7583</v>
      </c>
      <c r="E3097" t="s">
        <v>2383</v>
      </c>
    </row>
    <row r="3098" spans="1:5" x14ac:dyDescent="0.2">
      <c r="A3098">
        <v>3098</v>
      </c>
      <c r="B3098" t="s">
        <v>1115</v>
      </c>
      <c r="C3098" t="s">
        <v>7584</v>
      </c>
      <c r="D3098" t="s">
        <v>7585</v>
      </c>
      <c r="E3098" t="s">
        <v>2113</v>
      </c>
    </row>
    <row r="3099" spans="1:5" x14ac:dyDescent="0.2">
      <c r="A3099">
        <v>3099</v>
      </c>
      <c r="B3099" t="s">
        <v>1115</v>
      </c>
      <c r="C3099" t="s">
        <v>7586</v>
      </c>
      <c r="D3099" t="s">
        <v>7587</v>
      </c>
      <c r="E3099" t="s">
        <v>2383</v>
      </c>
    </row>
    <row r="3100" spans="1:5" x14ac:dyDescent="0.2">
      <c r="A3100">
        <v>3100</v>
      </c>
      <c r="B3100" t="s">
        <v>1115</v>
      </c>
      <c r="C3100" t="s">
        <v>7588</v>
      </c>
      <c r="D3100" t="s">
        <v>7589</v>
      </c>
      <c r="E3100" t="s">
        <v>2383</v>
      </c>
    </row>
    <row r="3101" spans="1:5" x14ac:dyDescent="0.2">
      <c r="A3101">
        <v>3101</v>
      </c>
      <c r="B3101" t="s">
        <v>871</v>
      </c>
      <c r="C3101" t="s">
        <v>7590</v>
      </c>
      <c r="D3101" t="s">
        <v>7591</v>
      </c>
      <c r="E3101" t="s">
        <v>2087</v>
      </c>
    </row>
    <row r="3102" spans="1:5" x14ac:dyDescent="0.2">
      <c r="A3102">
        <v>3102</v>
      </c>
      <c r="B3102" t="s">
        <v>871</v>
      </c>
      <c r="C3102" t="s">
        <v>7592</v>
      </c>
      <c r="D3102" t="s">
        <v>7593</v>
      </c>
      <c r="E3102" t="s">
        <v>2087</v>
      </c>
    </row>
    <row r="3103" spans="1:5" x14ac:dyDescent="0.2">
      <c r="A3103">
        <v>3103</v>
      </c>
      <c r="B3103" t="s">
        <v>871</v>
      </c>
      <c r="C3103" t="s">
        <v>7594</v>
      </c>
      <c r="D3103" t="s">
        <v>7595</v>
      </c>
      <c r="E3103" t="s">
        <v>2087</v>
      </c>
    </row>
    <row r="3104" spans="1:5" x14ac:dyDescent="0.2">
      <c r="A3104">
        <v>3104</v>
      </c>
      <c r="B3104" t="s">
        <v>871</v>
      </c>
      <c r="C3104" t="s">
        <v>7596</v>
      </c>
      <c r="D3104" t="s">
        <v>7597</v>
      </c>
      <c r="E3104" t="s">
        <v>2087</v>
      </c>
    </row>
    <row r="3105" spans="1:5" x14ac:dyDescent="0.2">
      <c r="A3105">
        <v>3105</v>
      </c>
      <c r="B3105" t="s">
        <v>871</v>
      </c>
      <c r="C3105" t="s">
        <v>7598</v>
      </c>
      <c r="D3105" t="s">
        <v>7599</v>
      </c>
      <c r="E3105" t="s">
        <v>2087</v>
      </c>
    </row>
    <row r="3106" spans="1:5" x14ac:dyDescent="0.2">
      <c r="A3106">
        <v>3106</v>
      </c>
      <c r="B3106" t="s">
        <v>871</v>
      </c>
      <c r="C3106" t="s">
        <v>7600</v>
      </c>
      <c r="D3106" t="s">
        <v>7601</v>
      </c>
      <c r="E3106" t="s">
        <v>2087</v>
      </c>
    </row>
    <row r="3107" spans="1:5" x14ac:dyDescent="0.2">
      <c r="A3107">
        <v>3107</v>
      </c>
      <c r="B3107" t="s">
        <v>871</v>
      </c>
      <c r="C3107" t="s">
        <v>7602</v>
      </c>
      <c r="D3107" t="s">
        <v>7603</v>
      </c>
      <c r="E3107" t="s">
        <v>2087</v>
      </c>
    </row>
    <row r="3108" spans="1:5" x14ac:dyDescent="0.2">
      <c r="A3108">
        <v>3108</v>
      </c>
      <c r="B3108" t="s">
        <v>871</v>
      </c>
      <c r="C3108" t="s">
        <v>7604</v>
      </c>
      <c r="D3108" t="s">
        <v>7605</v>
      </c>
      <c r="E3108" t="s">
        <v>2087</v>
      </c>
    </row>
    <row r="3109" spans="1:5" x14ac:dyDescent="0.2">
      <c r="A3109">
        <v>3109</v>
      </c>
      <c r="B3109" t="s">
        <v>871</v>
      </c>
      <c r="C3109" t="s">
        <v>7606</v>
      </c>
      <c r="D3109" t="s">
        <v>7607</v>
      </c>
      <c r="E3109" t="s">
        <v>2087</v>
      </c>
    </row>
    <row r="3110" spans="1:5" x14ac:dyDescent="0.2">
      <c r="A3110">
        <v>3110</v>
      </c>
      <c r="B3110" t="s">
        <v>871</v>
      </c>
      <c r="C3110" t="s">
        <v>7608</v>
      </c>
      <c r="D3110" t="s">
        <v>7609</v>
      </c>
      <c r="E3110" t="s">
        <v>2087</v>
      </c>
    </row>
    <row r="3111" spans="1:5" x14ac:dyDescent="0.2">
      <c r="A3111">
        <v>3111</v>
      </c>
      <c r="B3111" t="s">
        <v>871</v>
      </c>
      <c r="C3111" t="s">
        <v>7610</v>
      </c>
      <c r="D3111" t="s">
        <v>7611</v>
      </c>
      <c r="E3111" t="s">
        <v>2087</v>
      </c>
    </row>
    <row r="3112" spans="1:5" x14ac:dyDescent="0.2">
      <c r="A3112">
        <v>3112</v>
      </c>
      <c r="B3112" t="s">
        <v>871</v>
      </c>
      <c r="C3112" t="s">
        <v>7612</v>
      </c>
      <c r="D3112" t="s">
        <v>7613</v>
      </c>
      <c r="E3112" t="s">
        <v>2087</v>
      </c>
    </row>
    <row r="3113" spans="1:5" x14ac:dyDescent="0.2">
      <c r="A3113">
        <v>3113</v>
      </c>
      <c r="B3113" t="s">
        <v>871</v>
      </c>
      <c r="C3113" t="s">
        <v>7614</v>
      </c>
      <c r="D3113" t="s">
        <v>7615</v>
      </c>
      <c r="E3113" t="s">
        <v>2087</v>
      </c>
    </row>
    <row r="3114" spans="1:5" x14ac:dyDescent="0.2">
      <c r="A3114">
        <v>3114</v>
      </c>
      <c r="B3114" t="s">
        <v>873</v>
      </c>
      <c r="C3114" t="s">
        <v>7616</v>
      </c>
      <c r="D3114" t="s">
        <v>7617</v>
      </c>
      <c r="E3114" t="s">
        <v>1790</v>
      </c>
    </row>
    <row r="3115" spans="1:5" x14ac:dyDescent="0.2">
      <c r="A3115">
        <v>3115</v>
      </c>
      <c r="B3115" t="s">
        <v>873</v>
      </c>
      <c r="C3115" t="s">
        <v>7618</v>
      </c>
      <c r="D3115" t="s">
        <v>7619</v>
      </c>
      <c r="E3115" t="s">
        <v>1790</v>
      </c>
    </row>
    <row r="3116" spans="1:5" x14ac:dyDescent="0.2">
      <c r="A3116">
        <v>3116</v>
      </c>
      <c r="B3116" t="s">
        <v>873</v>
      </c>
      <c r="C3116" t="s">
        <v>7620</v>
      </c>
      <c r="D3116" t="s">
        <v>7621</v>
      </c>
      <c r="E3116" t="s">
        <v>1790</v>
      </c>
    </row>
    <row r="3117" spans="1:5" x14ac:dyDescent="0.2">
      <c r="A3117">
        <v>3117</v>
      </c>
      <c r="B3117" t="s">
        <v>873</v>
      </c>
      <c r="C3117" t="s">
        <v>7622</v>
      </c>
      <c r="D3117" t="s">
        <v>7623</v>
      </c>
      <c r="E3117" t="s">
        <v>1790</v>
      </c>
    </row>
    <row r="3118" spans="1:5" x14ac:dyDescent="0.2">
      <c r="A3118">
        <v>3118</v>
      </c>
      <c r="B3118" t="s">
        <v>873</v>
      </c>
      <c r="C3118" t="s">
        <v>7624</v>
      </c>
      <c r="D3118" t="s">
        <v>7625</v>
      </c>
      <c r="E3118" t="s">
        <v>1790</v>
      </c>
    </row>
    <row r="3119" spans="1:5" x14ac:dyDescent="0.2">
      <c r="A3119">
        <v>3119</v>
      </c>
      <c r="B3119" t="s">
        <v>873</v>
      </c>
      <c r="C3119" t="s">
        <v>7626</v>
      </c>
      <c r="D3119" t="s">
        <v>7627</v>
      </c>
      <c r="E3119" t="s">
        <v>1790</v>
      </c>
    </row>
    <row r="3120" spans="1:5" x14ac:dyDescent="0.2">
      <c r="A3120">
        <v>3120</v>
      </c>
      <c r="B3120" t="s">
        <v>873</v>
      </c>
      <c r="C3120" t="s">
        <v>7628</v>
      </c>
      <c r="D3120" t="s">
        <v>7629</v>
      </c>
      <c r="E3120" t="s">
        <v>1790</v>
      </c>
    </row>
    <row r="3121" spans="1:5" x14ac:dyDescent="0.2">
      <c r="A3121">
        <v>3121</v>
      </c>
      <c r="B3121" t="s">
        <v>873</v>
      </c>
      <c r="C3121" t="s">
        <v>7630</v>
      </c>
      <c r="D3121" t="s">
        <v>7631</v>
      </c>
      <c r="E3121" t="s">
        <v>1790</v>
      </c>
    </row>
    <row r="3122" spans="1:5" x14ac:dyDescent="0.2">
      <c r="A3122">
        <v>3122</v>
      </c>
      <c r="B3122" t="s">
        <v>873</v>
      </c>
      <c r="C3122" t="s">
        <v>7632</v>
      </c>
      <c r="D3122" t="s">
        <v>7633</v>
      </c>
      <c r="E3122" t="s">
        <v>1790</v>
      </c>
    </row>
    <row r="3123" spans="1:5" x14ac:dyDescent="0.2">
      <c r="A3123">
        <v>3123</v>
      </c>
      <c r="B3123" t="s">
        <v>873</v>
      </c>
      <c r="C3123" t="s">
        <v>7634</v>
      </c>
      <c r="D3123" t="s">
        <v>7635</v>
      </c>
      <c r="E3123" t="s">
        <v>1790</v>
      </c>
    </row>
    <row r="3124" spans="1:5" x14ac:dyDescent="0.2">
      <c r="A3124">
        <v>3124</v>
      </c>
      <c r="B3124" t="s">
        <v>873</v>
      </c>
      <c r="C3124" t="s">
        <v>7636</v>
      </c>
      <c r="D3124" t="s">
        <v>7637</v>
      </c>
      <c r="E3124" t="s">
        <v>1790</v>
      </c>
    </row>
    <row r="3125" spans="1:5" x14ac:dyDescent="0.2">
      <c r="A3125">
        <v>3125</v>
      </c>
      <c r="B3125" t="s">
        <v>873</v>
      </c>
      <c r="C3125" t="s">
        <v>7638</v>
      </c>
      <c r="D3125" t="s">
        <v>7639</v>
      </c>
      <c r="E3125" t="s">
        <v>1790</v>
      </c>
    </row>
    <row r="3126" spans="1:5" x14ac:dyDescent="0.2">
      <c r="A3126">
        <v>3126</v>
      </c>
      <c r="B3126" t="s">
        <v>873</v>
      </c>
      <c r="C3126" t="s">
        <v>7640</v>
      </c>
      <c r="D3126" t="s">
        <v>7641</v>
      </c>
      <c r="E3126" t="s">
        <v>1790</v>
      </c>
    </row>
    <row r="3127" spans="1:5" x14ac:dyDescent="0.2">
      <c r="A3127">
        <v>3127</v>
      </c>
      <c r="B3127" t="s">
        <v>873</v>
      </c>
      <c r="C3127" t="s">
        <v>7642</v>
      </c>
      <c r="D3127" t="s">
        <v>7643</v>
      </c>
      <c r="E3127" t="s">
        <v>1790</v>
      </c>
    </row>
    <row r="3128" spans="1:5" x14ac:dyDescent="0.2">
      <c r="A3128">
        <v>3128</v>
      </c>
      <c r="B3128" t="s">
        <v>878</v>
      </c>
      <c r="C3128" t="s">
        <v>7644</v>
      </c>
      <c r="D3128" t="s">
        <v>7645</v>
      </c>
      <c r="E3128" t="s">
        <v>7646</v>
      </c>
    </row>
    <row r="3129" spans="1:5" x14ac:dyDescent="0.2">
      <c r="A3129">
        <v>3129</v>
      </c>
      <c r="B3129" t="s">
        <v>878</v>
      </c>
      <c r="C3129" t="s">
        <v>7647</v>
      </c>
      <c r="D3129" t="s">
        <v>7648</v>
      </c>
      <c r="E3129" t="s">
        <v>7646</v>
      </c>
    </row>
    <row r="3130" spans="1:5" x14ac:dyDescent="0.2">
      <c r="A3130">
        <v>3130</v>
      </c>
      <c r="B3130" t="s">
        <v>878</v>
      </c>
      <c r="C3130" t="s">
        <v>7649</v>
      </c>
      <c r="D3130" t="s">
        <v>2720</v>
      </c>
      <c r="E3130" t="s">
        <v>7650</v>
      </c>
    </row>
    <row r="3131" spans="1:5" x14ac:dyDescent="0.2">
      <c r="A3131">
        <v>3131</v>
      </c>
      <c r="B3131" t="s">
        <v>878</v>
      </c>
      <c r="C3131" t="s">
        <v>7651</v>
      </c>
      <c r="D3131" t="s">
        <v>7652</v>
      </c>
      <c r="E3131" t="s">
        <v>7646</v>
      </c>
    </row>
    <row r="3132" spans="1:5" x14ac:dyDescent="0.2">
      <c r="A3132">
        <v>3132</v>
      </c>
      <c r="B3132" t="s">
        <v>878</v>
      </c>
      <c r="C3132" t="s">
        <v>7653</v>
      </c>
      <c r="D3132" t="s">
        <v>4191</v>
      </c>
      <c r="E3132" t="s">
        <v>7650</v>
      </c>
    </row>
    <row r="3133" spans="1:5" x14ac:dyDescent="0.2">
      <c r="A3133">
        <v>3133</v>
      </c>
      <c r="B3133" t="s">
        <v>878</v>
      </c>
      <c r="C3133" t="s">
        <v>7654</v>
      </c>
      <c r="D3133" t="s">
        <v>7655</v>
      </c>
      <c r="E3133" t="s">
        <v>7650</v>
      </c>
    </row>
    <row r="3134" spans="1:5" x14ac:dyDescent="0.2">
      <c r="A3134">
        <v>3134</v>
      </c>
      <c r="B3134" t="s">
        <v>878</v>
      </c>
      <c r="C3134" t="s">
        <v>7656</v>
      </c>
      <c r="D3134" t="s">
        <v>7657</v>
      </c>
      <c r="E3134" t="s">
        <v>7646</v>
      </c>
    </row>
    <row r="3135" spans="1:5" x14ac:dyDescent="0.2">
      <c r="A3135">
        <v>3135</v>
      </c>
      <c r="B3135" t="s">
        <v>878</v>
      </c>
      <c r="C3135" t="s">
        <v>7658</v>
      </c>
      <c r="D3135" t="s">
        <v>7659</v>
      </c>
      <c r="E3135" t="s">
        <v>7646</v>
      </c>
    </row>
    <row r="3136" spans="1:5" x14ac:dyDescent="0.2">
      <c r="A3136">
        <v>3136</v>
      </c>
      <c r="B3136" t="s">
        <v>878</v>
      </c>
      <c r="C3136" t="s">
        <v>7660</v>
      </c>
      <c r="D3136" t="s">
        <v>7661</v>
      </c>
      <c r="E3136" t="s">
        <v>7646</v>
      </c>
    </row>
    <row r="3137" spans="1:5" x14ac:dyDescent="0.2">
      <c r="A3137">
        <v>3137</v>
      </c>
      <c r="B3137" t="s">
        <v>878</v>
      </c>
      <c r="C3137" t="s">
        <v>7662</v>
      </c>
      <c r="D3137" t="s">
        <v>7663</v>
      </c>
      <c r="E3137" t="s">
        <v>7646</v>
      </c>
    </row>
    <row r="3138" spans="1:5" x14ac:dyDescent="0.2">
      <c r="A3138">
        <v>3138</v>
      </c>
      <c r="B3138" t="s">
        <v>878</v>
      </c>
      <c r="C3138" t="s">
        <v>7664</v>
      </c>
      <c r="D3138" t="s">
        <v>7665</v>
      </c>
      <c r="E3138" t="s">
        <v>7646</v>
      </c>
    </row>
    <row r="3139" spans="1:5" x14ac:dyDescent="0.2">
      <c r="A3139">
        <v>3139</v>
      </c>
      <c r="B3139" t="s">
        <v>878</v>
      </c>
      <c r="C3139" t="s">
        <v>7666</v>
      </c>
      <c r="D3139" t="s">
        <v>7667</v>
      </c>
      <c r="E3139" t="s">
        <v>7650</v>
      </c>
    </row>
    <row r="3140" spans="1:5" x14ac:dyDescent="0.2">
      <c r="A3140">
        <v>3140</v>
      </c>
      <c r="B3140" t="s">
        <v>878</v>
      </c>
      <c r="C3140" t="s">
        <v>7649</v>
      </c>
      <c r="D3140" t="s">
        <v>7668</v>
      </c>
      <c r="E3140" t="s">
        <v>7650</v>
      </c>
    </row>
    <row r="3141" spans="1:5" x14ac:dyDescent="0.2">
      <c r="A3141">
        <v>3141</v>
      </c>
      <c r="B3141" t="s">
        <v>878</v>
      </c>
      <c r="C3141" t="s">
        <v>7669</v>
      </c>
      <c r="D3141" t="s">
        <v>7670</v>
      </c>
      <c r="E3141" t="s">
        <v>7646</v>
      </c>
    </row>
    <row r="3142" spans="1:5" x14ac:dyDescent="0.2">
      <c r="A3142">
        <v>3142</v>
      </c>
      <c r="B3142" t="s">
        <v>878</v>
      </c>
      <c r="C3142" t="s">
        <v>7671</v>
      </c>
      <c r="D3142" t="s">
        <v>7672</v>
      </c>
      <c r="E3142" t="s">
        <v>7646</v>
      </c>
    </row>
    <row r="3143" spans="1:5" x14ac:dyDescent="0.2">
      <c r="A3143">
        <v>3143</v>
      </c>
      <c r="B3143" t="s">
        <v>878</v>
      </c>
      <c r="C3143" t="s">
        <v>7666</v>
      </c>
      <c r="D3143" t="s">
        <v>7673</v>
      </c>
      <c r="E3143" t="s">
        <v>7650</v>
      </c>
    </row>
    <row r="3144" spans="1:5" x14ac:dyDescent="0.2">
      <c r="A3144">
        <v>3144</v>
      </c>
      <c r="B3144" t="s">
        <v>878</v>
      </c>
      <c r="C3144" t="s">
        <v>7674</v>
      </c>
      <c r="D3144" t="s">
        <v>7675</v>
      </c>
      <c r="E3144" t="s">
        <v>7646</v>
      </c>
    </row>
    <row r="3145" spans="1:5" x14ac:dyDescent="0.2">
      <c r="A3145">
        <v>3145</v>
      </c>
      <c r="B3145" t="s">
        <v>878</v>
      </c>
      <c r="C3145" t="s">
        <v>7676</v>
      </c>
      <c r="D3145" t="s">
        <v>7677</v>
      </c>
      <c r="E3145" t="s">
        <v>7650</v>
      </c>
    </row>
    <row r="3146" spans="1:5" x14ac:dyDescent="0.2">
      <c r="A3146">
        <v>3146</v>
      </c>
      <c r="B3146" t="s">
        <v>878</v>
      </c>
      <c r="C3146" t="s">
        <v>7653</v>
      </c>
      <c r="D3146" t="s">
        <v>7678</v>
      </c>
      <c r="E3146" t="s">
        <v>7650</v>
      </c>
    </row>
    <row r="3147" spans="1:5" x14ac:dyDescent="0.2">
      <c r="A3147">
        <v>3147</v>
      </c>
      <c r="B3147" t="s">
        <v>878</v>
      </c>
      <c r="C3147" t="s">
        <v>7679</v>
      </c>
      <c r="D3147" t="s">
        <v>7680</v>
      </c>
      <c r="E3147" t="s">
        <v>7646</v>
      </c>
    </row>
    <row r="3148" spans="1:5" x14ac:dyDescent="0.2">
      <c r="A3148">
        <v>3148</v>
      </c>
      <c r="B3148" t="s">
        <v>878</v>
      </c>
      <c r="C3148" t="s">
        <v>7681</v>
      </c>
      <c r="D3148" t="s">
        <v>7682</v>
      </c>
      <c r="E3148" t="s">
        <v>7646</v>
      </c>
    </row>
    <row r="3149" spans="1:5" x14ac:dyDescent="0.2">
      <c r="A3149">
        <v>3149</v>
      </c>
      <c r="B3149" t="s">
        <v>878</v>
      </c>
      <c r="C3149" t="s">
        <v>7683</v>
      </c>
      <c r="D3149" t="s">
        <v>7684</v>
      </c>
      <c r="E3149" t="s">
        <v>7646</v>
      </c>
    </row>
    <row r="3150" spans="1:5" x14ac:dyDescent="0.2">
      <c r="A3150">
        <v>3150</v>
      </c>
      <c r="B3150" t="s">
        <v>878</v>
      </c>
      <c r="C3150" t="s">
        <v>7654</v>
      </c>
      <c r="D3150" t="s">
        <v>7685</v>
      </c>
      <c r="E3150" t="s">
        <v>7650</v>
      </c>
    </row>
    <row r="3151" spans="1:5" x14ac:dyDescent="0.2">
      <c r="A3151">
        <v>3151</v>
      </c>
      <c r="B3151" t="s">
        <v>878</v>
      </c>
      <c r="C3151" t="s">
        <v>7676</v>
      </c>
      <c r="D3151" t="s">
        <v>4197</v>
      </c>
      <c r="E3151" t="s">
        <v>7650</v>
      </c>
    </row>
    <row r="3152" spans="1:5" x14ac:dyDescent="0.2">
      <c r="A3152">
        <v>3152</v>
      </c>
      <c r="B3152" t="s">
        <v>880</v>
      </c>
      <c r="C3152" t="s">
        <v>7686</v>
      </c>
      <c r="D3152" t="s">
        <v>7687</v>
      </c>
      <c r="E3152" t="s">
        <v>7688</v>
      </c>
    </row>
    <row r="3153" spans="1:5" x14ac:dyDescent="0.2">
      <c r="A3153">
        <v>3153</v>
      </c>
      <c r="B3153" t="s">
        <v>880</v>
      </c>
      <c r="C3153" t="s">
        <v>7689</v>
      </c>
      <c r="D3153" t="s">
        <v>7690</v>
      </c>
      <c r="E3153" t="s">
        <v>2673</v>
      </c>
    </row>
    <row r="3154" spans="1:5" x14ac:dyDescent="0.2">
      <c r="A3154">
        <v>3154</v>
      </c>
      <c r="B3154" t="s">
        <v>880</v>
      </c>
      <c r="C3154" t="s">
        <v>7691</v>
      </c>
      <c r="D3154" t="s">
        <v>7692</v>
      </c>
      <c r="E3154" t="s">
        <v>7688</v>
      </c>
    </row>
    <row r="3155" spans="1:5" x14ac:dyDescent="0.2">
      <c r="A3155">
        <v>3155</v>
      </c>
      <c r="B3155" t="s">
        <v>880</v>
      </c>
      <c r="C3155" t="s">
        <v>7693</v>
      </c>
      <c r="D3155" t="s">
        <v>7694</v>
      </c>
      <c r="E3155" t="s">
        <v>1719</v>
      </c>
    </row>
    <row r="3156" spans="1:5" x14ac:dyDescent="0.2">
      <c r="A3156">
        <v>3156</v>
      </c>
      <c r="B3156" t="s">
        <v>880</v>
      </c>
      <c r="C3156" t="s">
        <v>7695</v>
      </c>
      <c r="D3156" t="s">
        <v>7696</v>
      </c>
      <c r="E3156" t="s">
        <v>1719</v>
      </c>
    </row>
    <row r="3157" spans="1:5" x14ac:dyDescent="0.2">
      <c r="A3157">
        <v>3157</v>
      </c>
      <c r="B3157" t="s">
        <v>880</v>
      </c>
      <c r="C3157" t="s">
        <v>7697</v>
      </c>
      <c r="D3157" t="s">
        <v>7698</v>
      </c>
      <c r="E3157" t="s">
        <v>1719</v>
      </c>
    </row>
    <row r="3158" spans="1:5" x14ac:dyDescent="0.2">
      <c r="A3158">
        <v>3158</v>
      </c>
      <c r="B3158" t="s">
        <v>880</v>
      </c>
      <c r="C3158" t="s">
        <v>7699</v>
      </c>
      <c r="D3158" t="s">
        <v>7700</v>
      </c>
      <c r="E3158" t="s">
        <v>1719</v>
      </c>
    </row>
    <row r="3159" spans="1:5" x14ac:dyDescent="0.2">
      <c r="A3159">
        <v>3159</v>
      </c>
      <c r="B3159" t="s">
        <v>880</v>
      </c>
      <c r="C3159" t="s">
        <v>7701</v>
      </c>
      <c r="D3159" t="s">
        <v>7702</v>
      </c>
      <c r="E3159" t="s">
        <v>1719</v>
      </c>
    </row>
    <row r="3160" spans="1:5" x14ac:dyDescent="0.2">
      <c r="A3160">
        <v>3160</v>
      </c>
      <c r="B3160" t="s">
        <v>880</v>
      </c>
      <c r="C3160" t="s">
        <v>7703</v>
      </c>
      <c r="D3160" t="s">
        <v>2561</v>
      </c>
      <c r="E3160" t="s">
        <v>1719</v>
      </c>
    </row>
    <row r="3161" spans="1:5" x14ac:dyDescent="0.2">
      <c r="A3161">
        <v>3161</v>
      </c>
      <c r="B3161" t="s">
        <v>880</v>
      </c>
      <c r="C3161" t="s">
        <v>7704</v>
      </c>
      <c r="D3161" t="s">
        <v>7705</v>
      </c>
      <c r="E3161" t="s">
        <v>1719</v>
      </c>
    </row>
    <row r="3162" spans="1:5" x14ac:dyDescent="0.2">
      <c r="A3162">
        <v>3162</v>
      </c>
      <c r="B3162" t="s">
        <v>880</v>
      </c>
      <c r="C3162" t="s">
        <v>7706</v>
      </c>
      <c r="D3162" t="s">
        <v>7707</v>
      </c>
      <c r="E3162" t="s">
        <v>1719</v>
      </c>
    </row>
    <row r="3163" spans="1:5" x14ac:dyDescent="0.2">
      <c r="A3163">
        <v>3163</v>
      </c>
      <c r="B3163" t="s">
        <v>880</v>
      </c>
      <c r="C3163" t="s">
        <v>7708</v>
      </c>
      <c r="D3163" t="s">
        <v>7709</v>
      </c>
      <c r="E3163" t="s">
        <v>1719</v>
      </c>
    </row>
    <row r="3164" spans="1:5" x14ac:dyDescent="0.2">
      <c r="A3164">
        <v>3164</v>
      </c>
      <c r="B3164" t="s">
        <v>880</v>
      </c>
      <c r="C3164" t="s">
        <v>7710</v>
      </c>
      <c r="D3164" t="s">
        <v>7711</v>
      </c>
      <c r="E3164" t="s">
        <v>2673</v>
      </c>
    </row>
    <row r="3165" spans="1:5" x14ac:dyDescent="0.2">
      <c r="A3165">
        <v>3165</v>
      </c>
      <c r="B3165" t="s">
        <v>880</v>
      </c>
      <c r="C3165" t="s">
        <v>7712</v>
      </c>
      <c r="D3165" t="s">
        <v>7713</v>
      </c>
      <c r="E3165" t="s">
        <v>2673</v>
      </c>
    </row>
    <row r="3166" spans="1:5" x14ac:dyDescent="0.2">
      <c r="A3166">
        <v>3166</v>
      </c>
      <c r="B3166" t="s">
        <v>880</v>
      </c>
      <c r="C3166" t="s">
        <v>7714</v>
      </c>
      <c r="D3166" t="s">
        <v>7715</v>
      </c>
      <c r="E3166" t="s">
        <v>7688</v>
      </c>
    </row>
    <row r="3167" spans="1:5" x14ac:dyDescent="0.2">
      <c r="A3167">
        <v>3167</v>
      </c>
      <c r="B3167" t="s">
        <v>880</v>
      </c>
      <c r="C3167" t="s">
        <v>7716</v>
      </c>
      <c r="D3167" t="s">
        <v>7717</v>
      </c>
      <c r="E3167" t="s">
        <v>1719</v>
      </c>
    </row>
    <row r="3168" spans="1:5" x14ac:dyDescent="0.2">
      <c r="A3168">
        <v>3168</v>
      </c>
      <c r="B3168" t="s">
        <v>880</v>
      </c>
      <c r="C3168" t="s">
        <v>7718</v>
      </c>
      <c r="D3168" t="s">
        <v>7719</v>
      </c>
      <c r="E3168" t="s">
        <v>1719</v>
      </c>
    </row>
    <row r="3169" spans="1:5" x14ac:dyDescent="0.2">
      <c r="A3169">
        <v>3169</v>
      </c>
      <c r="B3169" t="s">
        <v>880</v>
      </c>
      <c r="C3169" t="s">
        <v>7720</v>
      </c>
      <c r="D3169" t="s">
        <v>7721</v>
      </c>
      <c r="E3169" t="s">
        <v>1719</v>
      </c>
    </row>
    <row r="3170" spans="1:5" x14ac:dyDescent="0.2">
      <c r="A3170">
        <v>3170</v>
      </c>
      <c r="B3170" t="s">
        <v>884</v>
      </c>
      <c r="C3170" t="s">
        <v>7722</v>
      </c>
      <c r="D3170" t="s">
        <v>7723</v>
      </c>
      <c r="E3170" t="s">
        <v>7724</v>
      </c>
    </row>
    <row r="3171" spans="1:5" x14ac:dyDescent="0.2">
      <c r="A3171">
        <v>3171</v>
      </c>
      <c r="B3171" t="s">
        <v>884</v>
      </c>
      <c r="C3171" t="s">
        <v>7725</v>
      </c>
      <c r="D3171" t="s">
        <v>7726</v>
      </c>
      <c r="E3171" t="s">
        <v>7724</v>
      </c>
    </row>
    <row r="3172" spans="1:5" x14ac:dyDescent="0.2">
      <c r="A3172">
        <v>3172</v>
      </c>
      <c r="B3172" t="s">
        <v>884</v>
      </c>
      <c r="C3172" t="s">
        <v>7727</v>
      </c>
      <c r="D3172" t="s">
        <v>7728</v>
      </c>
      <c r="E3172" t="s">
        <v>7724</v>
      </c>
    </row>
    <row r="3173" spans="1:5" x14ac:dyDescent="0.2">
      <c r="A3173">
        <v>3173</v>
      </c>
      <c r="B3173" t="s">
        <v>884</v>
      </c>
      <c r="C3173" t="s">
        <v>7729</v>
      </c>
      <c r="D3173" t="s">
        <v>7730</v>
      </c>
      <c r="E3173" t="s">
        <v>7731</v>
      </c>
    </row>
    <row r="3174" spans="1:5" x14ac:dyDescent="0.2">
      <c r="A3174">
        <v>3174</v>
      </c>
      <c r="B3174" t="s">
        <v>884</v>
      </c>
      <c r="C3174" t="s">
        <v>7732</v>
      </c>
      <c r="D3174" t="s">
        <v>7733</v>
      </c>
      <c r="E3174" t="s">
        <v>7734</v>
      </c>
    </row>
    <row r="3175" spans="1:5" x14ac:dyDescent="0.2">
      <c r="A3175">
        <v>3175</v>
      </c>
      <c r="B3175" t="s">
        <v>884</v>
      </c>
      <c r="C3175" t="s">
        <v>7735</v>
      </c>
      <c r="D3175" t="s">
        <v>7736</v>
      </c>
      <c r="E3175" t="s">
        <v>7724</v>
      </c>
    </row>
    <row r="3176" spans="1:5" x14ac:dyDescent="0.2">
      <c r="A3176">
        <v>3176</v>
      </c>
      <c r="B3176" t="s">
        <v>884</v>
      </c>
      <c r="C3176" t="s">
        <v>7737</v>
      </c>
      <c r="D3176" t="s">
        <v>7738</v>
      </c>
      <c r="E3176" t="s">
        <v>7724</v>
      </c>
    </row>
    <row r="3177" spans="1:5" x14ac:dyDescent="0.2">
      <c r="A3177">
        <v>3177</v>
      </c>
      <c r="B3177" t="s">
        <v>884</v>
      </c>
      <c r="C3177" t="s">
        <v>7737</v>
      </c>
      <c r="D3177" t="s">
        <v>7739</v>
      </c>
      <c r="E3177" t="s">
        <v>7724</v>
      </c>
    </row>
    <row r="3178" spans="1:5" x14ac:dyDescent="0.2">
      <c r="A3178">
        <v>3178</v>
      </c>
      <c r="B3178" t="s">
        <v>884</v>
      </c>
      <c r="C3178" t="s">
        <v>7740</v>
      </c>
      <c r="D3178" t="s">
        <v>7741</v>
      </c>
      <c r="E3178" t="s">
        <v>7734</v>
      </c>
    </row>
    <row r="3179" spans="1:5" x14ac:dyDescent="0.2">
      <c r="A3179">
        <v>3179</v>
      </c>
      <c r="B3179" t="s">
        <v>884</v>
      </c>
      <c r="C3179" t="s">
        <v>7742</v>
      </c>
      <c r="D3179" t="s">
        <v>7743</v>
      </c>
      <c r="E3179" t="s">
        <v>7724</v>
      </c>
    </row>
    <row r="3180" spans="1:5" x14ac:dyDescent="0.2">
      <c r="A3180">
        <v>3180</v>
      </c>
      <c r="B3180" t="s">
        <v>884</v>
      </c>
      <c r="C3180" t="s">
        <v>7744</v>
      </c>
      <c r="D3180" t="s">
        <v>7745</v>
      </c>
      <c r="E3180" t="s">
        <v>7734</v>
      </c>
    </row>
    <row r="3181" spans="1:5" x14ac:dyDescent="0.2">
      <c r="A3181">
        <v>3181</v>
      </c>
      <c r="B3181" t="s">
        <v>884</v>
      </c>
      <c r="C3181" t="s">
        <v>7746</v>
      </c>
      <c r="D3181" t="s">
        <v>7747</v>
      </c>
      <c r="E3181" t="s">
        <v>3443</v>
      </c>
    </row>
    <row r="3182" spans="1:5" x14ac:dyDescent="0.2">
      <c r="A3182">
        <v>3182</v>
      </c>
      <c r="B3182" t="s">
        <v>884</v>
      </c>
      <c r="C3182" t="s">
        <v>7748</v>
      </c>
      <c r="D3182" t="s">
        <v>7749</v>
      </c>
      <c r="E3182" t="s">
        <v>7724</v>
      </c>
    </row>
    <row r="3183" spans="1:5" x14ac:dyDescent="0.2">
      <c r="A3183">
        <v>3183</v>
      </c>
      <c r="B3183" t="s">
        <v>884</v>
      </c>
      <c r="C3183" t="s">
        <v>7750</v>
      </c>
      <c r="D3183" t="s">
        <v>7751</v>
      </c>
      <c r="E3183" t="s">
        <v>7724</v>
      </c>
    </row>
    <row r="3184" spans="1:5" x14ac:dyDescent="0.2">
      <c r="A3184">
        <v>3184</v>
      </c>
      <c r="B3184" t="s">
        <v>884</v>
      </c>
      <c r="C3184" t="s">
        <v>7752</v>
      </c>
      <c r="D3184" t="s">
        <v>7753</v>
      </c>
      <c r="E3184" t="s">
        <v>3443</v>
      </c>
    </row>
    <row r="3185" spans="1:5" x14ac:dyDescent="0.2">
      <c r="A3185">
        <v>3185</v>
      </c>
      <c r="B3185" t="s">
        <v>884</v>
      </c>
      <c r="C3185" t="s">
        <v>7742</v>
      </c>
      <c r="D3185" t="s">
        <v>7754</v>
      </c>
      <c r="E3185" t="s">
        <v>7724</v>
      </c>
    </row>
    <row r="3186" spans="1:5" x14ac:dyDescent="0.2">
      <c r="A3186">
        <v>3186</v>
      </c>
      <c r="B3186" t="s">
        <v>884</v>
      </c>
      <c r="C3186" t="s">
        <v>7755</v>
      </c>
      <c r="D3186" t="s">
        <v>7756</v>
      </c>
      <c r="E3186" t="s">
        <v>7724</v>
      </c>
    </row>
    <row r="3187" spans="1:5" x14ac:dyDescent="0.2">
      <c r="A3187">
        <v>3187</v>
      </c>
      <c r="B3187" t="s">
        <v>884</v>
      </c>
      <c r="C3187" t="s">
        <v>7757</v>
      </c>
      <c r="D3187" t="s">
        <v>7758</v>
      </c>
      <c r="E3187" t="s">
        <v>7734</v>
      </c>
    </row>
    <row r="3188" spans="1:5" x14ac:dyDescent="0.2">
      <c r="A3188">
        <v>3188</v>
      </c>
      <c r="B3188" t="s">
        <v>884</v>
      </c>
      <c r="C3188" t="s">
        <v>7735</v>
      </c>
      <c r="D3188" t="s">
        <v>7759</v>
      </c>
      <c r="E3188" t="s">
        <v>7724</v>
      </c>
    </row>
    <row r="3189" spans="1:5" x14ac:dyDescent="0.2">
      <c r="A3189">
        <v>3189</v>
      </c>
      <c r="B3189" t="s">
        <v>884</v>
      </c>
      <c r="C3189" t="s">
        <v>7725</v>
      </c>
      <c r="D3189" t="s">
        <v>7760</v>
      </c>
      <c r="E3189" t="s">
        <v>7724</v>
      </c>
    </row>
    <row r="3190" spans="1:5" x14ac:dyDescent="0.2">
      <c r="A3190">
        <v>3190</v>
      </c>
      <c r="B3190" t="s">
        <v>884</v>
      </c>
      <c r="C3190" t="s">
        <v>7748</v>
      </c>
      <c r="D3190" t="s">
        <v>7761</v>
      </c>
      <c r="E3190" t="s">
        <v>7724</v>
      </c>
    </row>
    <row r="3191" spans="1:5" x14ac:dyDescent="0.2">
      <c r="A3191">
        <v>3191</v>
      </c>
      <c r="B3191" t="s">
        <v>884</v>
      </c>
      <c r="C3191" t="s">
        <v>7762</v>
      </c>
      <c r="D3191" t="s">
        <v>7763</v>
      </c>
      <c r="E3191" t="s">
        <v>7724</v>
      </c>
    </row>
    <row r="3192" spans="1:5" x14ac:dyDescent="0.2">
      <c r="A3192">
        <v>3192</v>
      </c>
      <c r="B3192" t="s">
        <v>884</v>
      </c>
      <c r="C3192" t="s">
        <v>7764</v>
      </c>
      <c r="D3192" t="s">
        <v>7765</v>
      </c>
      <c r="E3192" t="s">
        <v>7724</v>
      </c>
    </row>
    <row r="3193" spans="1:5" x14ac:dyDescent="0.2">
      <c r="A3193">
        <v>3193</v>
      </c>
      <c r="B3193" t="s">
        <v>884</v>
      </c>
      <c r="C3193" t="s">
        <v>7722</v>
      </c>
      <c r="D3193" t="s">
        <v>7766</v>
      </c>
      <c r="E3193" t="s">
        <v>7724</v>
      </c>
    </row>
    <row r="3194" spans="1:5" x14ac:dyDescent="0.2">
      <c r="A3194">
        <v>3194</v>
      </c>
      <c r="B3194" t="s">
        <v>884</v>
      </c>
      <c r="C3194" t="s">
        <v>7732</v>
      </c>
      <c r="D3194" t="s">
        <v>7767</v>
      </c>
      <c r="E3194" t="s">
        <v>7734</v>
      </c>
    </row>
    <row r="3195" spans="1:5" x14ac:dyDescent="0.2">
      <c r="A3195">
        <v>3195</v>
      </c>
      <c r="B3195" t="s">
        <v>884</v>
      </c>
      <c r="C3195" t="s">
        <v>7768</v>
      </c>
      <c r="D3195" t="s">
        <v>7769</v>
      </c>
      <c r="E3195" t="s">
        <v>7724</v>
      </c>
    </row>
    <row r="3196" spans="1:5" x14ac:dyDescent="0.2">
      <c r="A3196">
        <v>3196</v>
      </c>
      <c r="B3196" t="s">
        <v>884</v>
      </c>
      <c r="C3196" t="s">
        <v>7727</v>
      </c>
      <c r="D3196" t="s">
        <v>7770</v>
      </c>
      <c r="E3196" t="s">
        <v>7724</v>
      </c>
    </row>
    <row r="3197" spans="1:5" x14ac:dyDescent="0.2">
      <c r="A3197">
        <v>3197</v>
      </c>
      <c r="B3197" t="s">
        <v>884</v>
      </c>
      <c r="C3197" t="s">
        <v>7764</v>
      </c>
      <c r="D3197" t="s">
        <v>7771</v>
      </c>
      <c r="E3197" t="s">
        <v>7724</v>
      </c>
    </row>
    <row r="3198" spans="1:5" x14ac:dyDescent="0.2">
      <c r="A3198">
        <v>3198</v>
      </c>
      <c r="B3198" t="s">
        <v>884</v>
      </c>
      <c r="C3198" t="s">
        <v>7762</v>
      </c>
      <c r="D3198" t="s">
        <v>7772</v>
      </c>
      <c r="E3198" t="s">
        <v>7724</v>
      </c>
    </row>
    <row r="3199" spans="1:5" x14ac:dyDescent="0.2">
      <c r="A3199">
        <v>3199</v>
      </c>
      <c r="B3199" t="s">
        <v>884</v>
      </c>
      <c r="C3199" t="s">
        <v>7744</v>
      </c>
      <c r="D3199" t="s">
        <v>7773</v>
      </c>
      <c r="E3199" t="s">
        <v>7734</v>
      </c>
    </row>
    <row r="3200" spans="1:5" x14ac:dyDescent="0.2">
      <c r="A3200">
        <v>3200</v>
      </c>
      <c r="B3200" t="s">
        <v>884</v>
      </c>
      <c r="C3200" t="s">
        <v>7729</v>
      </c>
      <c r="D3200" t="s">
        <v>7774</v>
      </c>
      <c r="E3200" t="s">
        <v>7731</v>
      </c>
    </row>
    <row r="3201" spans="1:5" x14ac:dyDescent="0.2">
      <c r="A3201">
        <v>3201</v>
      </c>
      <c r="B3201" t="s">
        <v>884</v>
      </c>
      <c r="C3201" t="s">
        <v>7750</v>
      </c>
      <c r="D3201" t="s">
        <v>7775</v>
      </c>
      <c r="E3201" t="s">
        <v>7724</v>
      </c>
    </row>
    <row r="3202" spans="1:5" x14ac:dyDescent="0.2">
      <c r="A3202">
        <v>3202</v>
      </c>
      <c r="B3202" t="s">
        <v>886</v>
      </c>
      <c r="C3202" t="s">
        <v>7776</v>
      </c>
      <c r="D3202" t="s">
        <v>7777</v>
      </c>
      <c r="E3202" t="s">
        <v>3322</v>
      </c>
    </row>
    <row r="3203" spans="1:5" x14ac:dyDescent="0.2">
      <c r="A3203">
        <v>3203</v>
      </c>
      <c r="B3203" t="s">
        <v>886</v>
      </c>
      <c r="C3203" t="s">
        <v>7778</v>
      </c>
      <c r="D3203" t="s">
        <v>7779</v>
      </c>
      <c r="E3203" t="s">
        <v>3322</v>
      </c>
    </row>
    <row r="3204" spans="1:5" x14ac:dyDescent="0.2">
      <c r="A3204">
        <v>3204</v>
      </c>
      <c r="B3204" t="s">
        <v>886</v>
      </c>
      <c r="C3204" t="s">
        <v>7780</v>
      </c>
      <c r="D3204" t="s">
        <v>7781</v>
      </c>
      <c r="E3204" t="s">
        <v>2590</v>
      </c>
    </row>
    <row r="3205" spans="1:5" x14ac:dyDescent="0.2">
      <c r="A3205">
        <v>3205</v>
      </c>
      <c r="B3205" t="s">
        <v>886</v>
      </c>
      <c r="C3205" t="s">
        <v>7782</v>
      </c>
      <c r="D3205" t="s">
        <v>7783</v>
      </c>
      <c r="E3205" t="s">
        <v>2590</v>
      </c>
    </row>
    <row r="3206" spans="1:5" x14ac:dyDescent="0.2">
      <c r="A3206">
        <v>3206</v>
      </c>
      <c r="B3206" t="s">
        <v>886</v>
      </c>
      <c r="C3206" t="s">
        <v>7784</v>
      </c>
      <c r="D3206" t="s">
        <v>7785</v>
      </c>
      <c r="E3206" t="s">
        <v>2590</v>
      </c>
    </row>
    <row r="3207" spans="1:5" x14ac:dyDescent="0.2">
      <c r="A3207">
        <v>3207</v>
      </c>
      <c r="B3207" t="s">
        <v>886</v>
      </c>
      <c r="C3207" t="s">
        <v>7786</v>
      </c>
      <c r="D3207" t="s">
        <v>7787</v>
      </c>
      <c r="E3207" t="s">
        <v>2590</v>
      </c>
    </row>
    <row r="3208" spans="1:5" x14ac:dyDescent="0.2">
      <c r="A3208">
        <v>3208</v>
      </c>
      <c r="B3208" t="s">
        <v>886</v>
      </c>
      <c r="C3208" t="s">
        <v>7788</v>
      </c>
      <c r="D3208" t="s">
        <v>7789</v>
      </c>
      <c r="E3208" t="s">
        <v>2590</v>
      </c>
    </row>
    <row r="3209" spans="1:5" x14ac:dyDescent="0.2">
      <c r="A3209">
        <v>3209</v>
      </c>
      <c r="B3209" t="s">
        <v>886</v>
      </c>
      <c r="C3209" t="s">
        <v>7790</v>
      </c>
      <c r="D3209" t="s">
        <v>7791</v>
      </c>
      <c r="E3209" t="s">
        <v>2590</v>
      </c>
    </row>
    <row r="3210" spans="1:5" x14ac:dyDescent="0.2">
      <c r="A3210">
        <v>3210</v>
      </c>
      <c r="B3210" t="s">
        <v>886</v>
      </c>
      <c r="C3210" t="s">
        <v>7792</v>
      </c>
      <c r="D3210" t="s">
        <v>7793</v>
      </c>
      <c r="E3210" t="s">
        <v>2590</v>
      </c>
    </row>
    <row r="3211" spans="1:5" x14ac:dyDescent="0.2">
      <c r="A3211">
        <v>3211</v>
      </c>
      <c r="B3211" t="s">
        <v>886</v>
      </c>
      <c r="C3211" t="s">
        <v>7794</v>
      </c>
      <c r="D3211" t="s">
        <v>7795</v>
      </c>
      <c r="E3211" t="s">
        <v>2590</v>
      </c>
    </row>
    <row r="3212" spans="1:5" x14ac:dyDescent="0.2">
      <c r="A3212">
        <v>3212</v>
      </c>
      <c r="B3212" t="s">
        <v>886</v>
      </c>
      <c r="C3212" t="s">
        <v>7796</v>
      </c>
      <c r="D3212" t="s">
        <v>7797</v>
      </c>
      <c r="E3212" t="s">
        <v>2590</v>
      </c>
    </row>
    <row r="3213" spans="1:5" x14ac:dyDescent="0.2">
      <c r="A3213">
        <v>3213</v>
      </c>
      <c r="B3213" t="s">
        <v>886</v>
      </c>
      <c r="C3213" t="s">
        <v>7798</v>
      </c>
      <c r="D3213" t="s">
        <v>7799</v>
      </c>
      <c r="E3213" t="s">
        <v>2590</v>
      </c>
    </row>
    <row r="3214" spans="1:5" x14ac:dyDescent="0.2">
      <c r="A3214">
        <v>3214</v>
      </c>
      <c r="B3214" t="s">
        <v>886</v>
      </c>
      <c r="C3214" t="s">
        <v>7800</v>
      </c>
      <c r="D3214" t="s">
        <v>7801</v>
      </c>
      <c r="E3214" t="s">
        <v>2590</v>
      </c>
    </row>
    <row r="3215" spans="1:5" x14ac:dyDescent="0.2">
      <c r="A3215">
        <v>3215</v>
      </c>
      <c r="B3215" t="s">
        <v>886</v>
      </c>
      <c r="C3215" t="s">
        <v>7802</v>
      </c>
      <c r="D3215" t="s">
        <v>7803</v>
      </c>
      <c r="E3215" t="s">
        <v>2590</v>
      </c>
    </row>
    <row r="3216" spans="1:5" x14ac:dyDescent="0.2">
      <c r="A3216">
        <v>3216</v>
      </c>
      <c r="B3216" t="s">
        <v>886</v>
      </c>
      <c r="C3216" t="s">
        <v>7804</v>
      </c>
      <c r="D3216" t="s">
        <v>7805</v>
      </c>
      <c r="E3216" t="s">
        <v>2590</v>
      </c>
    </row>
    <row r="3217" spans="1:5" x14ac:dyDescent="0.2">
      <c r="A3217">
        <v>3217</v>
      </c>
      <c r="B3217" t="s">
        <v>886</v>
      </c>
      <c r="C3217" t="s">
        <v>7806</v>
      </c>
      <c r="D3217" t="s">
        <v>7807</v>
      </c>
      <c r="E3217" t="s">
        <v>2590</v>
      </c>
    </row>
    <row r="3218" spans="1:5" x14ac:dyDescent="0.2">
      <c r="A3218">
        <v>3218</v>
      </c>
      <c r="B3218" t="s">
        <v>886</v>
      </c>
      <c r="C3218" t="s">
        <v>7808</v>
      </c>
      <c r="D3218" t="s">
        <v>7809</v>
      </c>
      <c r="E3218" t="s">
        <v>2590</v>
      </c>
    </row>
    <row r="3219" spans="1:5" x14ac:dyDescent="0.2">
      <c r="A3219">
        <v>3219</v>
      </c>
      <c r="B3219" t="s">
        <v>888</v>
      </c>
      <c r="C3219" t="s">
        <v>7810</v>
      </c>
      <c r="D3219" t="s">
        <v>7811</v>
      </c>
      <c r="E3219" t="s">
        <v>2590</v>
      </c>
    </row>
    <row r="3220" spans="1:5" x14ac:dyDescent="0.2">
      <c r="A3220">
        <v>3220</v>
      </c>
      <c r="B3220" t="s">
        <v>888</v>
      </c>
      <c r="C3220" t="s">
        <v>7812</v>
      </c>
      <c r="D3220" t="s">
        <v>7813</v>
      </c>
      <c r="E3220" t="s">
        <v>2590</v>
      </c>
    </row>
    <row r="3221" spans="1:5" x14ac:dyDescent="0.2">
      <c r="A3221">
        <v>3221</v>
      </c>
      <c r="B3221" t="s">
        <v>888</v>
      </c>
      <c r="C3221" t="s">
        <v>7814</v>
      </c>
      <c r="D3221" t="s">
        <v>7815</v>
      </c>
      <c r="E3221" t="s">
        <v>2590</v>
      </c>
    </row>
    <row r="3222" spans="1:5" x14ac:dyDescent="0.2">
      <c r="A3222">
        <v>3222</v>
      </c>
      <c r="B3222" t="s">
        <v>888</v>
      </c>
      <c r="C3222" t="s">
        <v>7816</v>
      </c>
      <c r="D3222" t="s">
        <v>7817</v>
      </c>
      <c r="E3222" t="s">
        <v>2590</v>
      </c>
    </row>
    <row r="3223" spans="1:5" x14ac:dyDescent="0.2">
      <c r="A3223">
        <v>3223</v>
      </c>
      <c r="B3223" t="s">
        <v>888</v>
      </c>
      <c r="C3223" t="s">
        <v>7818</v>
      </c>
      <c r="D3223" t="s">
        <v>7819</v>
      </c>
      <c r="E3223" t="s">
        <v>7820</v>
      </c>
    </row>
    <row r="3224" spans="1:5" x14ac:dyDescent="0.2">
      <c r="A3224">
        <v>3224</v>
      </c>
      <c r="B3224" t="s">
        <v>888</v>
      </c>
      <c r="C3224" t="s">
        <v>7821</v>
      </c>
      <c r="D3224" t="s">
        <v>7822</v>
      </c>
      <c r="E3224" t="s">
        <v>2590</v>
      </c>
    </row>
    <row r="3225" spans="1:5" x14ac:dyDescent="0.2">
      <c r="A3225">
        <v>3225</v>
      </c>
      <c r="B3225" t="s">
        <v>888</v>
      </c>
      <c r="C3225" t="s">
        <v>7823</v>
      </c>
      <c r="D3225" t="s">
        <v>7824</v>
      </c>
      <c r="E3225" t="s">
        <v>2590</v>
      </c>
    </row>
    <row r="3226" spans="1:5" x14ac:dyDescent="0.2">
      <c r="A3226">
        <v>3226</v>
      </c>
      <c r="B3226" t="s">
        <v>888</v>
      </c>
      <c r="C3226" t="s">
        <v>7825</v>
      </c>
      <c r="D3226" t="s">
        <v>7826</v>
      </c>
      <c r="E3226" t="s">
        <v>2590</v>
      </c>
    </row>
    <row r="3227" spans="1:5" x14ac:dyDescent="0.2">
      <c r="A3227">
        <v>3227</v>
      </c>
      <c r="B3227" t="s">
        <v>890</v>
      </c>
      <c r="C3227" t="s">
        <v>7827</v>
      </c>
      <c r="D3227" t="s">
        <v>7828</v>
      </c>
      <c r="E3227" t="s">
        <v>2113</v>
      </c>
    </row>
    <row r="3228" spans="1:5" x14ac:dyDescent="0.2">
      <c r="A3228">
        <v>3228</v>
      </c>
      <c r="B3228" t="s">
        <v>890</v>
      </c>
      <c r="C3228" t="s">
        <v>7829</v>
      </c>
      <c r="D3228" t="s">
        <v>7830</v>
      </c>
      <c r="E3228" t="s">
        <v>7831</v>
      </c>
    </row>
    <row r="3229" spans="1:5" x14ac:dyDescent="0.2">
      <c r="A3229">
        <v>3229</v>
      </c>
      <c r="B3229" t="s">
        <v>890</v>
      </c>
      <c r="C3229" t="s">
        <v>7832</v>
      </c>
      <c r="D3229" t="s">
        <v>7833</v>
      </c>
      <c r="E3229" t="s">
        <v>2113</v>
      </c>
    </row>
    <row r="3230" spans="1:5" x14ac:dyDescent="0.2">
      <c r="A3230">
        <v>3230</v>
      </c>
      <c r="B3230" t="s">
        <v>890</v>
      </c>
      <c r="C3230" t="s">
        <v>7834</v>
      </c>
      <c r="D3230" t="s">
        <v>7835</v>
      </c>
      <c r="E3230" t="s">
        <v>2113</v>
      </c>
    </row>
    <row r="3231" spans="1:5" x14ac:dyDescent="0.2">
      <c r="A3231">
        <v>3231</v>
      </c>
      <c r="B3231" t="s">
        <v>890</v>
      </c>
      <c r="C3231" t="s">
        <v>7836</v>
      </c>
      <c r="D3231" t="s">
        <v>7837</v>
      </c>
      <c r="E3231" t="s">
        <v>2113</v>
      </c>
    </row>
    <row r="3232" spans="1:5" x14ac:dyDescent="0.2">
      <c r="A3232">
        <v>3232</v>
      </c>
      <c r="B3232" t="s">
        <v>890</v>
      </c>
      <c r="C3232" t="s">
        <v>7838</v>
      </c>
      <c r="D3232" t="s">
        <v>7839</v>
      </c>
      <c r="E3232" t="s">
        <v>2113</v>
      </c>
    </row>
    <row r="3233" spans="1:5" x14ac:dyDescent="0.2">
      <c r="A3233">
        <v>3233</v>
      </c>
      <c r="B3233" t="s">
        <v>890</v>
      </c>
      <c r="C3233" t="s">
        <v>7840</v>
      </c>
      <c r="D3233" t="s">
        <v>7841</v>
      </c>
      <c r="E3233" t="s">
        <v>2113</v>
      </c>
    </row>
    <row r="3234" spans="1:5" x14ac:dyDescent="0.2">
      <c r="A3234">
        <v>3234</v>
      </c>
      <c r="B3234" t="s">
        <v>890</v>
      </c>
      <c r="C3234" t="s">
        <v>7842</v>
      </c>
      <c r="D3234" t="s">
        <v>7843</v>
      </c>
      <c r="E3234" t="s">
        <v>2113</v>
      </c>
    </row>
    <row r="3235" spans="1:5" x14ac:dyDescent="0.2">
      <c r="A3235">
        <v>3235</v>
      </c>
      <c r="B3235" t="s">
        <v>890</v>
      </c>
      <c r="C3235" t="s">
        <v>7844</v>
      </c>
      <c r="D3235" t="s">
        <v>7845</v>
      </c>
      <c r="E3235" t="s">
        <v>2113</v>
      </c>
    </row>
    <row r="3236" spans="1:5" x14ac:dyDescent="0.2">
      <c r="A3236">
        <v>3236</v>
      </c>
      <c r="B3236" t="s">
        <v>890</v>
      </c>
      <c r="C3236" t="s">
        <v>7846</v>
      </c>
      <c r="D3236" t="s">
        <v>7847</v>
      </c>
      <c r="E3236" t="s">
        <v>2113</v>
      </c>
    </row>
    <row r="3237" spans="1:5" x14ac:dyDescent="0.2">
      <c r="A3237">
        <v>3237</v>
      </c>
      <c r="B3237" t="s">
        <v>890</v>
      </c>
      <c r="C3237" t="s">
        <v>7848</v>
      </c>
      <c r="D3237" t="s">
        <v>7849</v>
      </c>
      <c r="E3237" t="s">
        <v>2113</v>
      </c>
    </row>
    <row r="3238" spans="1:5" x14ac:dyDescent="0.2">
      <c r="A3238">
        <v>3238</v>
      </c>
      <c r="B3238" t="s">
        <v>890</v>
      </c>
      <c r="C3238" t="s">
        <v>7850</v>
      </c>
      <c r="D3238" t="s">
        <v>7851</v>
      </c>
      <c r="E3238" t="s">
        <v>2113</v>
      </c>
    </row>
    <row r="3239" spans="1:5" x14ac:dyDescent="0.2">
      <c r="A3239">
        <v>3239</v>
      </c>
      <c r="B3239" t="s">
        <v>890</v>
      </c>
      <c r="C3239" t="s">
        <v>7852</v>
      </c>
      <c r="D3239" t="s">
        <v>7853</v>
      </c>
      <c r="E3239" t="s">
        <v>2113</v>
      </c>
    </row>
    <row r="3240" spans="1:5" x14ac:dyDescent="0.2">
      <c r="A3240">
        <v>3240</v>
      </c>
      <c r="B3240" t="s">
        <v>890</v>
      </c>
      <c r="C3240" t="s">
        <v>7854</v>
      </c>
      <c r="D3240" t="s">
        <v>7855</v>
      </c>
      <c r="E3240" t="s">
        <v>2113</v>
      </c>
    </row>
    <row r="3241" spans="1:5" x14ac:dyDescent="0.2">
      <c r="A3241">
        <v>3241</v>
      </c>
      <c r="B3241" t="s">
        <v>890</v>
      </c>
      <c r="C3241" t="s">
        <v>7856</v>
      </c>
      <c r="D3241" t="s">
        <v>7857</v>
      </c>
      <c r="E3241" t="s">
        <v>2113</v>
      </c>
    </row>
    <row r="3242" spans="1:5" x14ac:dyDescent="0.2">
      <c r="A3242">
        <v>3242</v>
      </c>
      <c r="B3242" t="s">
        <v>890</v>
      </c>
      <c r="C3242" t="s">
        <v>7858</v>
      </c>
      <c r="D3242" t="s">
        <v>7859</v>
      </c>
      <c r="E3242" t="s">
        <v>2113</v>
      </c>
    </row>
    <row r="3243" spans="1:5" x14ac:dyDescent="0.2">
      <c r="A3243">
        <v>3243</v>
      </c>
      <c r="B3243" t="s">
        <v>890</v>
      </c>
      <c r="C3243" t="s">
        <v>7860</v>
      </c>
      <c r="D3243" t="s">
        <v>7861</v>
      </c>
      <c r="E3243" t="s">
        <v>2113</v>
      </c>
    </row>
    <row r="3244" spans="1:5" x14ac:dyDescent="0.2">
      <c r="A3244">
        <v>3244</v>
      </c>
      <c r="B3244" t="s">
        <v>890</v>
      </c>
      <c r="C3244" t="s">
        <v>7862</v>
      </c>
      <c r="D3244" t="s">
        <v>7863</v>
      </c>
      <c r="E3244" t="s">
        <v>2113</v>
      </c>
    </row>
    <row r="3245" spans="1:5" x14ac:dyDescent="0.2">
      <c r="A3245">
        <v>3245</v>
      </c>
      <c r="B3245" t="s">
        <v>890</v>
      </c>
      <c r="C3245" t="s">
        <v>7864</v>
      </c>
      <c r="D3245" t="s">
        <v>7865</v>
      </c>
      <c r="E3245" t="s">
        <v>2113</v>
      </c>
    </row>
    <row r="3246" spans="1:5" x14ac:dyDescent="0.2">
      <c r="A3246">
        <v>3246</v>
      </c>
      <c r="B3246" t="s">
        <v>890</v>
      </c>
      <c r="C3246" t="s">
        <v>7866</v>
      </c>
      <c r="D3246" t="s">
        <v>7867</v>
      </c>
      <c r="E3246" t="s">
        <v>2113</v>
      </c>
    </row>
    <row r="3247" spans="1:5" x14ac:dyDescent="0.2">
      <c r="A3247">
        <v>3247</v>
      </c>
      <c r="B3247" t="s">
        <v>890</v>
      </c>
      <c r="C3247" t="s">
        <v>7868</v>
      </c>
      <c r="D3247" t="s">
        <v>7869</v>
      </c>
      <c r="E3247" t="s">
        <v>2113</v>
      </c>
    </row>
    <row r="3248" spans="1:5" x14ac:dyDescent="0.2">
      <c r="A3248">
        <v>3248</v>
      </c>
      <c r="B3248" t="s">
        <v>890</v>
      </c>
      <c r="C3248" t="s">
        <v>7870</v>
      </c>
      <c r="D3248" t="s">
        <v>7871</v>
      </c>
      <c r="E3248" t="s">
        <v>2113</v>
      </c>
    </row>
    <row r="3249" spans="1:5" x14ac:dyDescent="0.2">
      <c r="A3249">
        <v>3249</v>
      </c>
      <c r="B3249" t="s">
        <v>890</v>
      </c>
      <c r="C3249" t="s">
        <v>7872</v>
      </c>
      <c r="D3249" t="s">
        <v>7873</v>
      </c>
      <c r="E3249" t="s">
        <v>2113</v>
      </c>
    </row>
    <row r="3250" spans="1:5" x14ac:dyDescent="0.2">
      <c r="A3250">
        <v>3250</v>
      </c>
      <c r="B3250" t="s">
        <v>890</v>
      </c>
      <c r="C3250" t="s">
        <v>7874</v>
      </c>
      <c r="D3250" t="s">
        <v>7875</v>
      </c>
      <c r="E3250" t="s">
        <v>2113</v>
      </c>
    </row>
    <row r="3251" spans="1:5" x14ac:dyDescent="0.2">
      <c r="A3251">
        <v>3251</v>
      </c>
      <c r="B3251" t="s">
        <v>890</v>
      </c>
      <c r="C3251" t="s">
        <v>7876</v>
      </c>
      <c r="D3251" t="s">
        <v>7877</v>
      </c>
      <c r="E3251" t="s">
        <v>2113</v>
      </c>
    </row>
    <row r="3252" spans="1:5" x14ac:dyDescent="0.2">
      <c r="A3252">
        <v>3252</v>
      </c>
      <c r="B3252" t="s">
        <v>890</v>
      </c>
      <c r="C3252" t="s">
        <v>7878</v>
      </c>
      <c r="D3252" t="s">
        <v>7879</v>
      </c>
      <c r="E3252" t="s">
        <v>2113</v>
      </c>
    </row>
    <row r="3253" spans="1:5" x14ac:dyDescent="0.2">
      <c r="A3253">
        <v>3253</v>
      </c>
      <c r="B3253" t="s">
        <v>890</v>
      </c>
      <c r="C3253" t="s">
        <v>7880</v>
      </c>
      <c r="D3253" t="s">
        <v>1632</v>
      </c>
      <c r="E3253" t="s">
        <v>2113</v>
      </c>
    </row>
    <row r="3254" spans="1:5" x14ac:dyDescent="0.2">
      <c r="A3254">
        <v>3254</v>
      </c>
      <c r="B3254" t="s">
        <v>890</v>
      </c>
      <c r="C3254" t="s">
        <v>7881</v>
      </c>
      <c r="D3254" t="s">
        <v>7882</v>
      </c>
      <c r="E3254" t="s">
        <v>2113</v>
      </c>
    </row>
    <row r="3255" spans="1:5" x14ac:dyDescent="0.2">
      <c r="A3255">
        <v>3255</v>
      </c>
      <c r="B3255" t="s">
        <v>890</v>
      </c>
      <c r="C3255" t="s">
        <v>7883</v>
      </c>
      <c r="D3255" t="s">
        <v>7884</v>
      </c>
      <c r="E3255" t="s">
        <v>2113</v>
      </c>
    </row>
    <row r="3256" spans="1:5" x14ac:dyDescent="0.2">
      <c r="A3256">
        <v>3256</v>
      </c>
      <c r="B3256" t="s">
        <v>890</v>
      </c>
      <c r="C3256" t="s">
        <v>7885</v>
      </c>
      <c r="D3256" t="s">
        <v>7886</v>
      </c>
      <c r="E3256" t="s">
        <v>2113</v>
      </c>
    </row>
    <row r="3257" spans="1:5" x14ac:dyDescent="0.2">
      <c r="A3257">
        <v>3257</v>
      </c>
      <c r="B3257" t="s">
        <v>890</v>
      </c>
      <c r="C3257" t="s">
        <v>7887</v>
      </c>
      <c r="D3257" t="s">
        <v>7888</v>
      </c>
      <c r="E3257" t="s">
        <v>2113</v>
      </c>
    </row>
    <row r="3258" spans="1:5" x14ac:dyDescent="0.2">
      <c r="A3258">
        <v>3258</v>
      </c>
      <c r="B3258" t="s">
        <v>890</v>
      </c>
      <c r="C3258" t="s">
        <v>7889</v>
      </c>
      <c r="D3258" t="s">
        <v>2610</v>
      </c>
      <c r="E3258" t="s">
        <v>2113</v>
      </c>
    </row>
    <row r="3259" spans="1:5" x14ac:dyDescent="0.2">
      <c r="A3259">
        <v>3259</v>
      </c>
      <c r="B3259" t="s">
        <v>890</v>
      </c>
      <c r="C3259" t="s">
        <v>7890</v>
      </c>
      <c r="D3259" t="s">
        <v>7891</v>
      </c>
      <c r="E3259" t="s">
        <v>2113</v>
      </c>
    </row>
    <row r="3260" spans="1:5" x14ac:dyDescent="0.2">
      <c r="A3260">
        <v>3260</v>
      </c>
      <c r="B3260" t="s">
        <v>890</v>
      </c>
      <c r="C3260" t="s">
        <v>7892</v>
      </c>
      <c r="D3260" t="s">
        <v>7893</v>
      </c>
      <c r="E3260" t="s">
        <v>2113</v>
      </c>
    </row>
    <row r="3261" spans="1:5" x14ac:dyDescent="0.2">
      <c r="A3261">
        <v>3261</v>
      </c>
      <c r="B3261" t="s">
        <v>890</v>
      </c>
      <c r="C3261" t="s">
        <v>7894</v>
      </c>
      <c r="D3261" t="s">
        <v>7895</v>
      </c>
      <c r="E3261" t="s">
        <v>2113</v>
      </c>
    </row>
    <row r="3262" spans="1:5" x14ac:dyDescent="0.2">
      <c r="A3262">
        <v>3262</v>
      </c>
      <c r="B3262" t="s">
        <v>890</v>
      </c>
      <c r="C3262" t="s">
        <v>7896</v>
      </c>
      <c r="D3262" t="s">
        <v>7897</v>
      </c>
      <c r="E3262" t="s">
        <v>2113</v>
      </c>
    </row>
    <row r="3263" spans="1:5" x14ac:dyDescent="0.2">
      <c r="A3263">
        <v>3263</v>
      </c>
      <c r="B3263" t="s">
        <v>890</v>
      </c>
      <c r="C3263" t="s">
        <v>7898</v>
      </c>
      <c r="D3263" t="s">
        <v>7899</v>
      </c>
      <c r="E3263" t="s">
        <v>2113</v>
      </c>
    </row>
    <row r="3264" spans="1:5" x14ac:dyDescent="0.2">
      <c r="A3264">
        <v>3264</v>
      </c>
      <c r="B3264" t="s">
        <v>898</v>
      </c>
      <c r="C3264" t="s">
        <v>7900</v>
      </c>
      <c r="D3264" t="s">
        <v>7901</v>
      </c>
      <c r="E3264" t="s">
        <v>1788</v>
      </c>
    </row>
    <row r="3265" spans="1:5" x14ac:dyDescent="0.2">
      <c r="A3265">
        <v>3265</v>
      </c>
      <c r="B3265" t="s">
        <v>898</v>
      </c>
      <c r="C3265" t="s">
        <v>7902</v>
      </c>
      <c r="D3265" t="s">
        <v>7903</v>
      </c>
      <c r="E3265" t="s">
        <v>1788</v>
      </c>
    </row>
    <row r="3266" spans="1:5" x14ac:dyDescent="0.2">
      <c r="A3266">
        <v>3266</v>
      </c>
      <c r="B3266" t="s">
        <v>898</v>
      </c>
      <c r="C3266" t="s">
        <v>7904</v>
      </c>
      <c r="D3266" t="s">
        <v>7905</v>
      </c>
      <c r="E3266" t="s">
        <v>1788</v>
      </c>
    </row>
    <row r="3267" spans="1:5" x14ac:dyDescent="0.2">
      <c r="A3267">
        <v>3267</v>
      </c>
      <c r="B3267" t="s">
        <v>898</v>
      </c>
      <c r="C3267" t="s">
        <v>7906</v>
      </c>
      <c r="D3267" t="s">
        <v>7907</v>
      </c>
      <c r="E3267" t="s">
        <v>1788</v>
      </c>
    </row>
    <row r="3268" spans="1:5" x14ac:dyDescent="0.2">
      <c r="A3268">
        <v>3268</v>
      </c>
      <c r="B3268" t="s">
        <v>898</v>
      </c>
      <c r="C3268" t="s">
        <v>7906</v>
      </c>
      <c r="D3268" t="s">
        <v>7908</v>
      </c>
      <c r="E3268" t="s">
        <v>1788</v>
      </c>
    </row>
    <row r="3269" spans="1:5" x14ac:dyDescent="0.2">
      <c r="A3269">
        <v>3269</v>
      </c>
      <c r="B3269" t="s">
        <v>898</v>
      </c>
      <c r="C3269" t="s">
        <v>7906</v>
      </c>
      <c r="D3269" t="s">
        <v>7909</v>
      </c>
      <c r="E3269" t="s">
        <v>1788</v>
      </c>
    </row>
    <row r="3270" spans="1:5" x14ac:dyDescent="0.2">
      <c r="A3270">
        <v>3270</v>
      </c>
      <c r="B3270" t="s">
        <v>898</v>
      </c>
      <c r="C3270" t="s">
        <v>7910</v>
      </c>
      <c r="D3270" t="s">
        <v>7911</v>
      </c>
      <c r="E3270" t="s">
        <v>1788</v>
      </c>
    </row>
    <row r="3271" spans="1:5" x14ac:dyDescent="0.2">
      <c r="A3271">
        <v>3271</v>
      </c>
      <c r="B3271" t="s">
        <v>898</v>
      </c>
      <c r="C3271" t="s">
        <v>7912</v>
      </c>
      <c r="D3271" t="s">
        <v>7913</v>
      </c>
      <c r="E3271" t="s">
        <v>1788</v>
      </c>
    </row>
    <row r="3272" spans="1:5" x14ac:dyDescent="0.2">
      <c r="A3272">
        <v>3272</v>
      </c>
      <c r="B3272" t="s">
        <v>898</v>
      </c>
      <c r="C3272" t="s">
        <v>7914</v>
      </c>
      <c r="D3272" t="s">
        <v>7915</v>
      </c>
      <c r="E3272" t="s">
        <v>7916</v>
      </c>
    </row>
    <row r="3273" spans="1:5" x14ac:dyDescent="0.2">
      <c r="A3273">
        <v>3273</v>
      </c>
      <c r="B3273" t="s">
        <v>898</v>
      </c>
      <c r="C3273" t="s">
        <v>7917</v>
      </c>
      <c r="D3273" t="s">
        <v>7918</v>
      </c>
      <c r="E3273" t="s">
        <v>1788</v>
      </c>
    </row>
    <row r="3274" spans="1:5" x14ac:dyDescent="0.2">
      <c r="A3274">
        <v>3274</v>
      </c>
      <c r="B3274" t="s">
        <v>898</v>
      </c>
      <c r="C3274" t="s">
        <v>7919</v>
      </c>
      <c r="D3274" t="s">
        <v>7920</v>
      </c>
      <c r="E3274" t="s">
        <v>1788</v>
      </c>
    </row>
    <row r="3275" spans="1:5" x14ac:dyDescent="0.2">
      <c r="A3275">
        <v>3275</v>
      </c>
      <c r="B3275" t="s">
        <v>898</v>
      </c>
      <c r="C3275" t="s">
        <v>7921</v>
      </c>
      <c r="D3275" t="s">
        <v>7922</v>
      </c>
      <c r="E3275" t="s">
        <v>1788</v>
      </c>
    </row>
    <row r="3276" spans="1:5" x14ac:dyDescent="0.2">
      <c r="A3276">
        <v>3276</v>
      </c>
      <c r="B3276" t="s">
        <v>898</v>
      </c>
      <c r="C3276" t="s">
        <v>7923</v>
      </c>
      <c r="D3276" t="s">
        <v>7924</v>
      </c>
      <c r="E3276" t="s">
        <v>1788</v>
      </c>
    </row>
    <row r="3277" spans="1:5" x14ac:dyDescent="0.2">
      <c r="A3277">
        <v>3277</v>
      </c>
      <c r="B3277" t="s">
        <v>898</v>
      </c>
      <c r="C3277" t="s">
        <v>7925</v>
      </c>
      <c r="D3277" t="s">
        <v>7926</v>
      </c>
      <c r="E3277" t="s">
        <v>1788</v>
      </c>
    </row>
    <row r="3278" spans="1:5" x14ac:dyDescent="0.2">
      <c r="A3278">
        <v>3278</v>
      </c>
      <c r="B3278" t="s">
        <v>898</v>
      </c>
      <c r="C3278" t="s">
        <v>7927</v>
      </c>
      <c r="D3278" t="s">
        <v>7928</v>
      </c>
      <c r="E3278" t="s">
        <v>1788</v>
      </c>
    </row>
    <row r="3279" spans="1:5" x14ac:dyDescent="0.2">
      <c r="A3279">
        <v>3279</v>
      </c>
      <c r="B3279" t="s">
        <v>898</v>
      </c>
      <c r="C3279" t="s">
        <v>7929</v>
      </c>
      <c r="D3279" t="s">
        <v>7930</v>
      </c>
      <c r="E3279" t="s">
        <v>1788</v>
      </c>
    </row>
    <row r="3280" spans="1:5" x14ac:dyDescent="0.2">
      <c r="A3280">
        <v>3280</v>
      </c>
      <c r="B3280" t="s">
        <v>898</v>
      </c>
      <c r="C3280" t="s">
        <v>7931</v>
      </c>
      <c r="D3280" t="s">
        <v>7932</v>
      </c>
      <c r="E3280" t="s">
        <v>1788</v>
      </c>
    </row>
    <row r="3281" spans="1:5" x14ac:dyDescent="0.2">
      <c r="A3281">
        <v>3281</v>
      </c>
      <c r="B3281" t="s">
        <v>898</v>
      </c>
      <c r="C3281" t="s">
        <v>7933</v>
      </c>
      <c r="D3281" t="s">
        <v>7934</v>
      </c>
      <c r="E3281" t="s">
        <v>7916</v>
      </c>
    </row>
    <row r="3282" spans="1:5" x14ac:dyDescent="0.2">
      <c r="A3282">
        <v>3282</v>
      </c>
      <c r="B3282" t="s">
        <v>898</v>
      </c>
      <c r="C3282" t="s">
        <v>7935</v>
      </c>
      <c r="D3282" t="s">
        <v>7936</v>
      </c>
      <c r="E3282" t="s">
        <v>1788</v>
      </c>
    </row>
    <row r="3283" spans="1:5" x14ac:dyDescent="0.2">
      <c r="A3283">
        <v>3283</v>
      </c>
      <c r="B3283" t="s">
        <v>898</v>
      </c>
      <c r="C3283" t="s">
        <v>7937</v>
      </c>
      <c r="D3283" t="s">
        <v>7938</v>
      </c>
      <c r="E3283" t="s">
        <v>1788</v>
      </c>
    </row>
    <row r="3284" spans="1:5" x14ac:dyDescent="0.2">
      <c r="A3284">
        <v>3284</v>
      </c>
      <c r="B3284" t="s">
        <v>898</v>
      </c>
      <c r="C3284" t="s">
        <v>7929</v>
      </c>
      <c r="D3284" t="s">
        <v>7939</v>
      </c>
      <c r="E3284" t="s">
        <v>1788</v>
      </c>
    </row>
    <row r="3285" spans="1:5" x14ac:dyDescent="0.2">
      <c r="A3285">
        <v>3285</v>
      </c>
      <c r="B3285" t="s">
        <v>898</v>
      </c>
      <c r="C3285" t="s">
        <v>7940</v>
      </c>
      <c r="D3285" t="s">
        <v>7941</v>
      </c>
      <c r="E3285" t="s">
        <v>1788</v>
      </c>
    </row>
    <row r="3286" spans="1:5" x14ac:dyDescent="0.2">
      <c r="A3286">
        <v>3286</v>
      </c>
      <c r="B3286" t="s">
        <v>898</v>
      </c>
      <c r="C3286" t="s">
        <v>7942</v>
      </c>
      <c r="D3286" t="s">
        <v>7943</v>
      </c>
      <c r="E3286" t="s">
        <v>1788</v>
      </c>
    </row>
    <row r="3287" spans="1:5" x14ac:dyDescent="0.2">
      <c r="A3287">
        <v>3287</v>
      </c>
      <c r="B3287" t="s">
        <v>898</v>
      </c>
      <c r="C3287" t="s">
        <v>7944</v>
      </c>
      <c r="D3287" t="s">
        <v>7945</v>
      </c>
      <c r="E3287" t="s">
        <v>1788</v>
      </c>
    </row>
    <row r="3288" spans="1:5" x14ac:dyDescent="0.2">
      <c r="A3288">
        <v>3288</v>
      </c>
      <c r="B3288" t="s">
        <v>900</v>
      </c>
      <c r="C3288" t="s">
        <v>7946</v>
      </c>
      <c r="D3288" t="s">
        <v>7947</v>
      </c>
      <c r="E3288" t="s">
        <v>2087</v>
      </c>
    </row>
    <row r="3289" spans="1:5" x14ac:dyDescent="0.2">
      <c r="A3289">
        <v>3289</v>
      </c>
      <c r="B3289" t="s">
        <v>900</v>
      </c>
      <c r="C3289" t="s">
        <v>7948</v>
      </c>
      <c r="D3289" t="s">
        <v>7949</v>
      </c>
      <c r="E3289" t="s">
        <v>2365</v>
      </c>
    </row>
    <row r="3290" spans="1:5" x14ac:dyDescent="0.2">
      <c r="A3290">
        <v>3290</v>
      </c>
      <c r="B3290" t="s">
        <v>900</v>
      </c>
      <c r="C3290" t="s">
        <v>7950</v>
      </c>
      <c r="D3290" t="s">
        <v>7951</v>
      </c>
      <c r="E3290" t="s">
        <v>2087</v>
      </c>
    </row>
    <row r="3291" spans="1:5" x14ac:dyDescent="0.2">
      <c r="A3291">
        <v>3291</v>
      </c>
      <c r="B3291" t="s">
        <v>900</v>
      </c>
      <c r="C3291" t="s">
        <v>7952</v>
      </c>
      <c r="D3291" t="s">
        <v>2371</v>
      </c>
      <c r="E3291" t="s">
        <v>2087</v>
      </c>
    </row>
    <row r="3292" spans="1:5" x14ac:dyDescent="0.2">
      <c r="A3292">
        <v>3292</v>
      </c>
      <c r="B3292" t="s">
        <v>900</v>
      </c>
      <c r="C3292" t="s">
        <v>7953</v>
      </c>
      <c r="D3292" t="s">
        <v>4032</v>
      </c>
      <c r="E3292" t="s">
        <v>2087</v>
      </c>
    </row>
    <row r="3293" spans="1:5" x14ac:dyDescent="0.2">
      <c r="A3293">
        <v>3293</v>
      </c>
      <c r="B3293" t="s">
        <v>900</v>
      </c>
      <c r="C3293" t="s">
        <v>7954</v>
      </c>
      <c r="D3293" t="s">
        <v>7955</v>
      </c>
      <c r="E3293" t="s">
        <v>2087</v>
      </c>
    </row>
    <row r="3294" spans="1:5" x14ac:dyDescent="0.2">
      <c r="A3294">
        <v>3294</v>
      </c>
      <c r="B3294" t="s">
        <v>900</v>
      </c>
      <c r="C3294" t="s">
        <v>7956</v>
      </c>
      <c r="D3294" t="s">
        <v>7957</v>
      </c>
      <c r="E3294" t="s">
        <v>2365</v>
      </c>
    </row>
    <row r="3295" spans="1:5" x14ac:dyDescent="0.2">
      <c r="A3295">
        <v>3295</v>
      </c>
      <c r="B3295" t="s">
        <v>900</v>
      </c>
      <c r="C3295" t="s">
        <v>7958</v>
      </c>
      <c r="D3295" t="s">
        <v>7959</v>
      </c>
      <c r="E3295" t="s">
        <v>2365</v>
      </c>
    </row>
    <row r="3296" spans="1:5" x14ac:dyDescent="0.2">
      <c r="A3296">
        <v>3296</v>
      </c>
      <c r="B3296" t="s">
        <v>900</v>
      </c>
      <c r="C3296" t="s">
        <v>7960</v>
      </c>
      <c r="D3296" t="s">
        <v>7961</v>
      </c>
      <c r="E3296" t="s">
        <v>2365</v>
      </c>
    </row>
    <row r="3297" spans="1:5" x14ac:dyDescent="0.2">
      <c r="A3297">
        <v>3297</v>
      </c>
      <c r="B3297" t="s">
        <v>902</v>
      </c>
      <c r="C3297" t="s">
        <v>7962</v>
      </c>
      <c r="D3297" t="s">
        <v>7963</v>
      </c>
      <c r="E3297" t="s">
        <v>7964</v>
      </c>
    </row>
    <row r="3298" spans="1:5" x14ac:dyDescent="0.2">
      <c r="A3298">
        <v>3298</v>
      </c>
      <c r="B3298" t="s">
        <v>902</v>
      </c>
      <c r="C3298" t="s">
        <v>7965</v>
      </c>
      <c r="D3298" t="s">
        <v>7966</v>
      </c>
      <c r="E3298" t="s">
        <v>1719</v>
      </c>
    </row>
    <row r="3299" spans="1:5" x14ac:dyDescent="0.2">
      <c r="A3299">
        <v>3299</v>
      </c>
      <c r="B3299" t="s">
        <v>902</v>
      </c>
      <c r="C3299" t="s">
        <v>7965</v>
      </c>
      <c r="D3299" t="s">
        <v>7967</v>
      </c>
      <c r="E3299" t="s">
        <v>1719</v>
      </c>
    </row>
    <row r="3300" spans="1:5" x14ac:dyDescent="0.2">
      <c r="A3300">
        <v>3300</v>
      </c>
      <c r="B3300" t="s">
        <v>902</v>
      </c>
      <c r="C3300" t="s">
        <v>7968</v>
      </c>
      <c r="D3300" t="s">
        <v>7969</v>
      </c>
      <c r="E3300" t="s">
        <v>2110</v>
      </c>
    </row>
    <row r="3301" spans="1:5" x14ac:dyDescent="0.2">
      <c r="A3301">
        <v>3301</v>
      </c>
      <c r="B3301" t="s">
        <v>902</v>
      </c>
      <c r="C3301" t="s">
        <v>7970</v>
      </c>
      <c r="D3301" t="s">
        <v>7971</v>
      </c>
      <c r="E3301" t="s">
        <v>7964</v>
      </c>
    </row>
    <row r="3302" spans="1:5" x14ac:dyDescent="0.2">
      <c r="A3302">
        <v>3302</v>
      </c>
      <c r="B3302" t="s">
        <v>902</v>
      </c>
      <c r="C3302" t="s">
        <v>7970</v>
      </c>
      <c r="D3302" t="s">
        <v>7972</v>
      </c>
      <c r="E3302" t="s">
        <v>7964</v>
      </c>
    </row>
    <row r="3303" spans="1:5" x14ac:dyDescent="0.2">
      <c r="A3303">
        <v>3303</v>
      </c>
      <c r="B3303" t="s">
        <v>902</v>
      </c>
      <c r="C3303" t="s">
        <v>7973</v>
      </c>
      <c r="D3303" t="s">
        <v>7974</v>
      </c>
      <c r="E3303" t="s">
        <v>7975</v>
      </c>
    </row>
    <row r="3304" spans="1:5" x14ac:dyDescent="0.2">
      <c r="A3304">
        <v>3304</v>
      </c>
      <c r="B3304" t="s">
        <v>902</v>
      </c>
      <c r="C3304" t="s">
        <v>7973</v>
      </c>
      <c r="D3304" t="s">
        <v>7976</v>
      </c>
      <c r="E3304" t="s">
        <v>7975</v>
      </c>
    </row>
    <row r="3305" spans="1:5" x14ac:dyDescent="0.2">
      <c r="A3305">
        <v>3305</v>
      </c>
      <c r="B3305" t="s">
        <v>902</v>
      </c>
      <c r="C3305" t="s">
        <v>7977</v>
      </c>
      <c r="D3305" t="s">
        <v>7978</v>
      </c>
      <c r="E3305" t="s">
        <v>1719</v>
      </c>
    </row>
    <row r="3306" spans="1:5" x14ac:dyDescent="0.2">
      <c r="A3306">
        <v>3306</v>
      </c>
      <c r="B3306" t="s">
        <v>902</v>
      </c>
      <c r="C3306" t="s">
        <v>7977</v>
      </c>
      <c r="D3306" t="s">
        <v>7979</v>
      </c>
      <c r="E3306" t="s">
        <v>1719</v>
      </c>
    </row>
    <row r="3307" spans="1:5" x14ac:dyDescent="0.2">
      <c r="A3307">
        <v>3307</v>
      </c>
      <c r="B3307" t="s">
        <v>902</v>
      </c>
      <c r="C3307" t="s">
        <v>7980</v>
      </c>
      <c r="D3307" t="s">
        <v>7981</v>
      </c>
      <c r="E3307" t="s">
        <v>1719</v>
      </c>
    </row>
    <row r="3308" spans="1:5" x14ac:dyDescent="0.2">
      <c r="A3308">
        <v>3308</v>
      </c>
      <c r="B3308" t="s">
        <v>902</v>
      </c>
      <c r="C3308" t="s">
        <v>7980</v>
      </c>
      <c r="D3308" t="s">
        <v>5150</v>
      </c>
      <c r="E3308" t="s">
        <v>1719</v>
      </c>
    </row>
    <row r="3309" spans="1:5" x14ac:dyDescent="0.2">
      <c r="A3309">
        <v>3309</v>
      </c>
      <c r="B3309" t="s">
        <v>902</v>
      </c>
      <c r="C3309" t="s">
        <v>7982</v>
      </c>
      <c r="D3309" t="s">
        <v>7983</v>
      </c>
      <c r="E3309" t="s">
        <v>1719</v>
      </c>
    </row>
    <row r="3310" spans="1:5" x14ac:dyDescent="0.2">
      <c r="A3310">
        <v>3310</v>
      </c>
      <c r="B3310" t="s">
        <v>902</v>
      </c>
      <c r="C3310" t="s">
        <v>7962</v>
      </c>
      <c r="D3310" t="s">
        <v>7984</v>
      </c>
      <c r="E3310" t="s">
        <v>7964</v>
      </c>
    </row>
    <row r="3311" spans="1:5" x14ac:dyDescent="0.2">
      <c r="A3311">
        <v>3311</v>
      </c>
      <c r="B3311" t="s">
        <v>904</v>
      </c>
      <c r="C3311" t="s">
        <v>7985</v>
      </c>
      <c r="D3311" t="s">
        <v>7986</v>
      </c>
      <c r="E3311" t="s">
        <v>2113</v>
      </c>
    </row>
    <row r="3312" spans="1:5" x14ac:dyDescent="0.2">
      <c r="A3312">
        <v>3312</v>
      </c>
      <c r="B3312" t="s">
        <v>904</v>
      </c>
      <c r="C3312" t="s">
        <v>7987</v>
      </c>
      <c r="D3312" t="s">
        <v>7988</v>
      </c>
      <c r="E3312" t="s">
        <v>2113</v>
      </c>
    </row>
    <row r="3313" spans="1:5" x14ac:dyDescent="0.2">
      <c r="A3313">
        <v>3313</v>
      </c>
      <c r="B3313" t="s">
        <v>904</v>
      </c>
      <c r="C3313" t="s">
        <v>7989</v>
      </c>
      <c r="D3313" t="s">
        <v>7990</v>
      </c>
      <c r="E3313" t="s">
        <v>2113</v>
      </c>
    </row>
    <row r="3314" spans="1:5" x14ac:dyDescent="0.2">
      <c r="A3314">
        <v>3314</v>
      </c>
      <c r="B3314" t="s">
        <v>904</v>
      </c>
      <c r="C3314" t="s">
        <v>7991</v>
      </c>
      <c r="D3314" t="s">
        <v>7992</v>
      </c>
      <c r="E3314" t="s">
        <v>2113</v>
      </c>
    </row>
    <row r="3315" spans="1:5" x14ac:dyDescent="0.2">
      <c r="A3315">
        <v>3315</v>
      </c>
      <c r="B3315" t="s">
        <v>904</v>
      </c>
      <c r="C3315" t="s">
        <v>7993</v>
      </c>
      <c r="D3315" t="s">
        <v>7994</v>
      </c>
      <c r="E3315" t="s">
        <v>2113</v>
      </c>
    </row>
    <row r="3316" spans="1:5" x14ac:dyDescent="0.2">
      <c r="A3316">
        <v>3316</v>
      </c>
      <c r="B3316" t="s">
        <v>904</v>
      </c>
      <c r="C3316" t="s">
        <v>7995</v>
      </c>
      <c r="D3316" t="s">
        <v>7996</v>
      </c>
      <c r="E3316" t="s">
        <v>2113</v>
      </c>
    </row>
    <row r="3317" spans="1:5" x14ac:dyDescent="0.2">
      <c r="A3317">
        <v>3317</v>
      </c>
      <c r="B3317" t="s">
        <v>904</v>
      </c>
      <c r="C3317" t="s">
        <v>7997</v>
      </c>
      <c r="D3317" t="s">
        <v>7998</v>
      </c>
      <c r="E3317" t="s">
        <v>2113</v>
      </c>
    </row>
    <row r="3318" spans="1:5" x14ac:dyDescent="0.2">
      <c r="A3318">
        <v>3318</v>
      </c>
      <c r="B3318" t="s">
        <v>904</v>
      </c>
      <c r="C3318" t="s">
        <v>7999</v>
      </c>
      <c r="D3318" t="s">
        <v>8000</v>
      </c>
      <c r="E3318" t="s">
        <v>2113</v>
      </c>
    </row>
    <row r="3319" spans="1:5" x14ac:dyDescent="0.2">
      <c r="A3319">
        <v>3319</v>
      </c>
      <c r="B3319" t="s">
        <v>904</v>
      </c>
      <c r="C3319" t="s">
        <v>8001</v>
      </c>
      <c r="D3319" t="s">
        <v>8002</v>
      </c>
      <c r="E3319" t="s">
        <v>2113</v>
      </c>
    </row>
    <row r="3320" spans="1:5" x14ac:dyDescent="0.2">
      <c r="A3320">
        <v>3320</v>
      </c>
      <c r="B3320" t="s">
        <v>904</v>
      </c>
      <c r="C3320" t="s">
        <v>8003</v>
      </c>
      <c r="D3320" t="s">
        <v>8004</v>
      </c>
      <c r="E3320" t="s">
        <v>2113</v>
      </c>
    </row>
    <row r="3321" spans="1:5" x14ac:dyDescent="0.2">
      <c r="A3321">
        <v>3321</v>
      </c>
      <c r="B3321" t="s">
        <v>904</v>
      </c>
      <c r="C3321" t="s">
        <v>8005</v>
      </c>
      <c r="D3321" t="s">
        <v>8006</v>
      </c>
      <c r="E3321" t="s">
        <v>2113</v>
      </c>
    </row>
    <row r="3322" spans="1:5" x14ac:dyDescent="0.2">
      <c r="A3322">
        <v>3322</v>
      </c>
      <c r="B3322" t="s">
        <v>904</v>
      </c>
      <c r="C3322" t="s">
        <v>8007</v>
      </c>
      <c r="D3322" t="s">
        <v>8008</v>
      </c>
      <c r="E3322" t="s">
        <v>2113</v>
      </c>
    </row>
    <row r="3323" spans="1:5" x14ac:dyDescent="0.2">
      <c r="A3323">
        <v>3323</v>
      </c>
      <c r="B3323" t="s">
        <v>904</v>
      </c>
      <c r="C3323" t="s">
        <v>8009</v>
      </c>
      <c r="D3323" t="s">
        <v>8010</v>
      </c>
      <c r="E3323" t="s">
        <v>2113</v>
      </c>
    </row>
    <row r="3324" spans="1:5" x14ac:dyDescent="0.2">
      <c r="A3324">
        <v>3324</v>
      </c>
      <c r="B3324" t="s">
        <v>904</v>
      </c>
      <c r="C3324" t="s">
        <v>8011</v>
      </c>
      <c r="D3324" t="s">
        <v>8012</v>
      </c>
      <c r="E3324" t="s">
        <v>2113</v>
      </c>
    </row>
    <row r="3325" spans="1:5" x14ac:dyDescent="0.2">
      <c r="A3325">
        <v>3325</v>
      </c>
      <c r="B3325" t="s">
        <v>904</v>
      </c>
      <c r="C3325" t="s">
        <v>8013</v>
      </c>
      <c r="D3325" t="s">
        <v>8014</v>
      </c>
      <c r="E3325" t="s">
        <v>2113</v>
      </c>
    </row>
    <row r="3326" spans="1:5" x14ac:dyDescent="0.2">
      <c r="A3326">
        <v>3326</v>
      </c>
      <c r="B3326" t="s">
        <v>904</v>
      </c>
      <c r="C3326" t="s">
        <v>8015</v>
      </c>
      <c r="D3326" t="s">
        <v>8016</v>
      </c>
      <c r="E3326" t="s">
        <v>2113</v>
      </c>
    </row>
    <row r="3327" spans="1:5" x14ac:dyDescent="0.2">
      <c r="A3327">
        <v>3327</v>
      </c>
      <c r="B3327" t="s">
        <v>8017</v>
      </c>
      <c r="C3327" t="s">
        <v>8018</v>
      </c>
      <c r="D3327" t="s">
        <v>8019</v>
      </c>
      <c r="E3327" t="s">
        <v>2365</v>
      </c>
    </row>
    <row r="3328" spans="1:5" x14ac:dyDescent="0.2">
      <c r="A3328">
        <v>3328</v>
      </c>
      <c r="B3328" t="s">
        <v>8017</v>
      </c>
      <c r="C3328" t="s">
        <v>8020</v>
      </c>
      <c r="D3328" t="s">
        <v>5432</v>
      </c>
      <c r="E3328" t="s">
        <v>2365</v>
      </c>
    </row>
    <row r="3329" spans="1:5" x14ac:dyDescent="0.2">
      <c r="A3329">
        <v>3329</v>
      </c>
      <c r="B3329" t="s">
        <v>8017</v>
      </c>
      <c r="C3329" t="s">
        <v>8021</v>
      </c>
      <c r="D3329" t="s">
        <v>8022</v>
      </c>
      <c r="E3329" t="s">
        <v>2365</v>
      </c>
    </row>
    <row r="3330" spans="1:5" x14ac:dyDescent="0.2">
      <c r="A3330">
        <v>3330</v>
      </c>
      <c r="B3330" t="s">
        <v>8017</v>
      </c>
      <c r="C3330" t="s">
        <v>8023</v>
      </c>
      <c r="D3330" t="s">
        <v>8024</v>
      </c>
      <c r="E3330" t="s">
        <v>2365</v>
      </c>
    </row>
    <row r="3331" spans="1:5" x14ac:dyDescent="0.2">
      <c r="A3331">
        <v>3331</v>
      </c>
      <c r="B3331" t="s">
        <v>8017</v>
      </c>
      <c r="C3331" t="s">
        <v>8023</v>
      </c>
      <c r="D3331" t="s">
        <v>8025</v>
      </c>
      <c r="E3331" t="s">
        <v>2365</v>
      </c>
    </row>
    <row r="3332" spans="1:5" x14ac:dyDescent="0.2">
      <c r="A3332">
        <v>3332</v>
      </c>
      <c r="B3332" t="s">
        <v>8017</v>
      </c>
      <c r="C3332" t="s">
        <v>8026</v>
      </c>
      <c r="D3332" t="s">
        <v>8027</v>
      </c>
      <c r="E3332" t="s">
        <v>2365</v>
      </c>
    </row>
    <row r="3333" spans="1:5" x14ac:dyDescent="0.2">
      <c r="A3333">
        <v>3333</v>
      </c>
      <c r="B3333" t="s">
        <v>8017</v>
      </c>
      <c r="C3333" t="s">
        <v>8026</v>
      </c>
      <c r="D3333" t="s">
        <v>8028</v>
      </c>
      <c r="E3333" t="s">
        <v>2365</v>
      </c>
    </row>
    <row r="3334" spans="1:5" x14ac:dyDescent="0.2">
      <c r="A3334">
        <v>3334</v>
      </c>
      <c r="B3334" t="s">
        <v>8017</v>
      </c>
      <c r="C3334" t="s">
        <v>8029</v>
      </c>
      <c r="D3334" t="s">
        <v>7544</v>
      </c>
      <c r="E3334" t="s">
        <v>2365</v>
      </c>
    </row>
    <row r="3335" spans="1:5" x14ac:dyDescent="0.2">
      <c r="A3335">
        <v>3335</v>
      </c>
      <c r="B3335" t="s">
        <v>8017</v>
      </c>
      <c r="C3335" t="s">
        <v>8029</v>
      </c>
      <c r="D3335" t="s">
        <v>8030</v>
      </c>
      <c r="E3335" t="s">
        <v>2365</v>
      </c>
    </row>
    <row r="3336" spans="1:5" x14ac:dyDescent="0.2">
      <c r="A3336">
        <v>3336</v>
      </c>
      <c r="B3336" t="s">
        <v>8017</v>
      </c>
      <c r="C3336" t="s">
        <v>8018</v>
      </c>
      <c r="D3336" t="s">
        <v>8031</v>
      </c>
      <c r="E3336" t="s">
        <v>2365</v>
      </c>
    </row>
    <row r="3337" spans="1:5" x14ac:dyDescent="0.2">
      <c r="A3337">
        <v>3337</v>
      </c>
      <c r="B3337" t="s">
        <v>8017</v>
      </c>
      <c r="C3337" t="s">
        <v>8032</v>
      </c>
      <c r="D3337" t="s">
        <v>8033</v>
      </c>
      <c r="E3337" t="s">
        <v>2365</v>
      </c>
    </row>
    <row r="3338" spans="1:5" x14ac:dyDescent="0.2">
      <c r="A3338">
        <v>3338</v>
      </c>
      <c r="B3338" t="s">
        <v>8017</v>
      </c>
      <c r="C3338" t="s">
        <v>8032</v>
      </c>
      <c r="D3338" t="s">
        <v>8034</v>
      </c>
      <c r="E3338" t="s">
        <v>2365</v>
      </c>
    </row>
    <row r="3339" spans="1:5" x14ac:dyDescent="0.2">
      <c r="A3339">
        <v>3339</v>
      </c>
      <c r="B3339" t="s">
        <v>8017</v>
      </c>
      <c r="C3339" t="s">
        <v>8021</v>
      </c>
      <c r="D3339" t="s">
        <v>8035</v>
      </c>
      <c r="E3339" t="s">
        <v>2365</v>
      </c>
    </row>
    <row r="3340" spans="1:5" x14ac:dyDescent="0.2">
      <c r="A3340">
        <v>3340</v>
      </c>
      <c r="B3340" t="s">
        <v>8017</v>
      </c>
      <c r="C3340" t="s">
        <v>8020</v>
      </c>
      <c r="D3340" t="s">
        <v>8036</v>
      </c>
      <c r="E3340" t="s">
        <v>2365</v>
      </c>
    </row>
    <row r="3341" spans="1:5" x14ac:dyDescent="0.2">
      <c r="A3341">
        <v>3341</v>
      </c>
      <c r="B3341" t="s">
        <v>8017</v>
      </c>
      <c r="C3341" t="s">
        <v>8037</v>
      </c>
      <c r="D3341" t="s">
        <v>8038</v>
      </c>
      <c r="E3341" t="s">
        <v>2365</v>
      </c>
    </row>
    <row r="3342" spans="1:5" x14ac:dyDescent="0.2">
      <c r="A3342">
        <v>3342</v>
      </c>
      <c r="B3342" t="s">
        <v>8017</v>
      </c>
      <c r="C3342" t="s">
        <v>8037</v>
      </c>
      <c r="D3342" t="s">
        <v>8039</v>
      </c>
      <c r="E3342" t="s">
        <v>2365</v>
      </c>
    </row>
    <row r="3343" spans="1:5" x14ac:dyDescent="0.2">
      <c r="A3343">
        <v>3343</v>
      </c>
      <c r="B3343" t="s">
        <v>8017</v>
      </c>
      <c r="C3343" t="s">
        <v>8040</v>
      </c>
      <c r="D3343" t="s">
        <v>8041</v>
      </c>
      <c r="E3343" t="s">
        <v>2365</v>
      </c>
    </row>
    <row r="3344" spans="1:5" x14ac:dyDescent="0.2">
      <c r="A3344">
        <v>3344</v>
      </c>
      <c r="B3344" t="s">
        <v>8017</v>
      </c>
      <c r="C3344" t="s">
        <v>8042</v>
      </c>
      <c r="D3344" t="s">
        <v>8043</v>
      </c>
      <c r="E3344" t="s">
        <v>2365</v>
      </c>
    </row>
    <row r="3345" spans="1:5" x14ac:dyDescent="0.2">
      <c r="A3345">
        <v>3345</v>
      </c>
      <c r="B3345" t="s">
        <v>8017</v>
      </c>
      <c r="C3345" t="s">
        <v>8040</v>
      </c>
      <c r="D3345" t="s">
        <v>8044</v>
      </c>
      <c r="E3345" t="s">
        <v>2365</v>
      </c>
    </row>
    <row r="3346" spans="1:5" x14ac:dyDescent="0.2">
      <c r="A3346">
        <v>3346</v>
      </c>
      <c r="B3346" t="s">
        <v>8017</v>
      </c>
      <c r="C3346" t="s">
        <v>8045</v>
      </c>
      <c r="D3346" t="s">
        <v>8046</v>
      </c>
      <c r="E3346" t="s">
        <v>2365</v>
      </c>
    </row>
    <row r="3347" spans="1:5" x14ac:dyDescent="0.2">
      <c r="A3347">
        <v>3347</v>
      </c>
      <c r="B3347" t="s">
        <v>8017</v>
      </c>
      <c r="C3347" t="s">
        <v>8045</v>
      </c>
      <c r="D3347" t="s">
        <v>8047</v>
      </c>
      <c r="E3347" t="s">
        <v>2365</v>
      </c>
    </row>
    <row r="3348" spans="1:5" x14ac:dyDescent="0.2">
      <c r="A3348">
        <v>3348</v>
      </c>
      <c r="B3348" t="s">
        <v>8017</v>
      </c>
      <c r="C3348" t="s">
        <v>8048</v>
      </c>
      <c r="D3348" t="s">
        <v>8049</v>
      </c>
      <c r="E3348" t="s">
        <v>2365</v>
      </c>
    </row>
    <row r="3349" spans="1:5" x14ac:dyDescent="0.2">
      <c r="A3349">
        <v>3349</v>
      </c>
      <c r="B3349" t="s">
        <v>8017</v>
      </c>
      <c r="C3349" t="s">
        <v>8048</v>
      </c>
      <c r="D3349" t="s">
        <v>8050</v>
      </c>
      <c r="E3349" t="s">
        <v>2365</v>
      </c>
    </row>
    <row r="3350" spans="1:5" x14ac:dyDescent="0.2">
      <c r="A3350">
        <v>3350</v>
      </c>
      <c r="B3350" t="s">
        <v>8017</v>
      </c>
      <c r="C3350" t="s">
        <v>8051</v>
      </c>
      <c r="D3350" t="s">
        <v>8052</v>
      </c>
      <c r="E3350" t="s">
        <v>2365</v>
      </c>
    </row>
    <row r="3351" spans="1:5" x14ac:dyDescent="0.2">
      <c r="A3351">
        <v>3351</v>
      </c>
      <c r="B3351" t="s">
        <v>8017</v>
      </c>
      <c r="C3351" t="s">
        <v>8051</v>
      </c>
      <c r="D3351" t="s">
        <v>8053</v>
      </c>
      <c r="E3351" t="s">
        <v>2365</v>
      </c>
    </row>
    <row r="3352" spans="1:5" x14ac:dyDescent="0.2">
      <c r="A3352">
        <v>3352</v>
      </c>
      <c r="B3352" t="s">
        <v>8017</v>
      </c>
      <c r="C3352" t="s">
        <v>8054</v>
      </c>
      <c r="D3352" t="s">
        <v>8055</v>
      </c>
      <c r="E3352" t="s">
        <v>2365</v>
      </c>
    </row>
    <row r="3353" spans="1:5" x14ac:dyDescent="0.2">
      <c r="A3353">
        <v>3353</v>
      </c>
      <c r="B3353" t="s">
        <v>8017</v>
      </c>
      <c r="C3353" t="s">
        <v>8054</v>
      </c>
      <c r="D3353" t="s">
        <v>8056</v>
      </c>
      <c r="E3353" t="s">
        <v>2365</v>
      </c>
    </row>
    <row r="3354" spans="1:5" x14ac:dyDescent="0.2">
      <c r="A3354">
        <v>3354</v>
      </c>
      <c r="B3354" t="s">
        <v>8017</v>
      </c>
      <c r="C3354" t="s">
        <v>8042</v>
      </c>
      <c r="D3354" t="s">
        <v>8057</v>
      </c>
      <c r="E3354" t="s">
        <v>2365</v>
      </c>
    </row>
    <row r="3355" spans="1:5" x14ac:dyDescent="0.2">
      <c r="A3355">
        <v>3355</v>
      </c>
      <c r="B3355" t="s">
        <v>8017</v>
      </c>
      <c r="C3355" t="s">
        <v>8058</v>
      </c>
      <c r="D3355" t="s">
        <v>8059</v>
      </c>
      <c r="E3355" t="s">
        <v>2365</v>
      </c>
    </row>
    <row r="3356" spans="1:5" x14ac:dyDescent="0.2">
      <c r="A3356">
        <v>3356</v>
      </c>
      <c r="B3356" t="s">
        <v>8017</v>
      </c>
      <c r="C3356" t="s">
        <v>8060</v>
      </c>
      <c r="D3356" t="s">
        <v>8061</v>
      </c>
      <c r="E3356" t="s">
        <v>2365</v>
      </c>
    </row>
    <row r="3357" spans="1:5" x14ac:dyDescent="0.2">
      <c r="A3357">
        <v>3357</v>
      </c>
      <c r="B3357" t="s">
        <v>8017</v>
      </c>
      <c r="C3357" t="s">
        <v>8058</v>
      </c>
      <c r="D3357" t="s">
        <v>8062</v>
      </c>
      <c r="E3357" t="s">
        <v>2365</v>
      </c>
    </row>
    <row r="3358" spans="1:5" x14ac:dyDescent="0.2">
      <c r="A3358">
        <v>3358</v>
      </c>
      <c r="B3358" t="s">
        <v>8017</v>
      </c>
      <c r="C3358" t="s">
        <v>8060</v>
      </c>
      <c r="D3358" t="s">
        <v>8063</v>
      </c>
      <c r="E3358" t="s">
        <v>2365</v>
      </c>
    </row>
    <row r="3359" spans="1:5" x14ac:dyDescent="0.2">
      <c r="A3359">
        <v>3359</v>
      </c>
      <c r="B3359" t="s">
        <v>910</v>
      </c>
      <c r="C3359" t="s">
        <v>8064</v>
      </c>
      <c r="D3359" t="s">
        <v>8065</v>
      </c>
      <c r="E3359" t="s">
        <v>1719</v>
      </c>
    </row>
    <row r="3360" spans="1:5" x14ac:dyDescent="0.2">
      <c r="A3360">
        <v>3360</v>
      </c>
      <c r="B3360" t="s">
        <v>910</v>
      </c>
      <c r="C3360" t="s">
        <v>8066</v>
      </c>
      <c r="D3360" t="s">
        <v>8067</v>
      </c>
      <c r="E3360" t="s">
        <v>1719</v>
      </c>
    </row>
    <row r="3361" spans="1:5" x14ac:dyDescent="0.2">
      <c r="A3361">
        <v>3361</v>
      </c>
      <c r="B3361" t="s">
        <v>910</v>
      </c>
      <c r="C3361" t="s">
        <v>8068</v>
      </c>
      <c r="D3361" t="s">
        <v>8069</v>
      </c>
      <c r="E3361" t="s">
        <v>1719</v>
      </c>
    </row>
    <row r="3362" spans="1:5" x14ac:dyDescent="0.2">
      <c r="A3362">
        <v>3362</v>
      </c>
      <c r="B3362" t="s">
        <v>910</v>
      </c>
      <c r="C3362" t="s">
        <v>8070</v>
      </c>
      <c r="D3362" t="s">
        <v>4960</v>
      </c>
      <c r="E3362" t="s">
        <v>1719</v>
      </c>
    </row>
    <row r="3363" spans="1:5" x14ac:dyDescent="0.2">
      <c r="A3363">
        <v>3363</v>
      </c>
      <c r="B3363" t="s">
        <v>910</v>
      </c>
      <c r="C3363" t="s">
        <v>8071</v>
      </c>
      <c r="D3363" t="s">
        <v>8072</v>
      </c>
      <c r="E3363" t="s">
        <v>1719</v>
      </c>
    </row>
    <row r="3364" spans="1:5" x14ac:dyDescent="0.2">
      <c r="A3364">
        <v>3364</v>
      </c>
      <c r="B3364" t="s">
        <v>910</v>
      </c>
      <c r="C3364" t="s">
        <v>8073</v>
      </c>
      <c r="D3364" t="s">
        <v>8074</v>
      </c>
      <c r="E3364" t="s">
        <v>8075</v>
      </c>
    </row>
    <row r="3365" spans="1:5" x14ac:dyDescent="0.2">
      <c r="A3365">
        <v>3365</v>
      </c>
      <c r="B3365" t="s">
        <v>910</v>
      </c>
      <c r="C3365" t="s">
        <v>8076</v>
      </c>
      <c r="D3365" t="s">
        <v>8077</v>
      </c>
      <c r="E3365" t="s">
        <v>1719</v>
      </c>
    </row>
    <row r="3366" spans="1:5" x14ac:dyDescent="0.2">
      <c r="A3366">
        <v>3366</v>
      </c>
      <c r="B3366" t="s">
        <v>910</v>
      </c>
      <c r="C3366" t="s">
        <v>8078</v>
      </c>
      <c r="D3366" t="s">
        <v>8079</v>
      </c>
      <c r="E3366" t="s">
        <v>8075</v>
      </c>
    </row>
    <row r="3367" spans="1:5" x14ac:dyDescent="0.2">
      <c r="A3367">
        <v>3367</v>
      </c>
      <c r="B3367" t="s">
        <v>910</v>
      </c>
      <c r="C3367" t="s">
        <v>8080</v>
      </c>
      <c r="D3367" t="s">
        <v>8081</v>
      </c>
      <c r="E3367" t="s">
        <v>1719</v>
      </c>
    </row>
    <row r="3368" spans="1:5" x14ac:dyDescent="0.2">
      <c r="A3368">
        <v>3368</v>
      </c>
      <c r="B3368" t="s">
        <v>910</v>
      </c>
      <c r="C3368" t="s">
        <v>8082</v>
      </c>
      <c r="D3368" t="s">
        <v>8083</v>
      </c>
      <c r="E3368" t="s">
        <v>8075</v>
      </c>
    </row>
    <row r="3369" spans="1:5" x14ac:dyDescent="0.2">
      <c r="A3369">
        <v>3369</v>
      </c>
      <c r="B3369" t="s">
        <v>910</v>
      </c>
      <c r="C3369" t="s">
        <v>8084</v>
      </c>
      <c r="D3369" t="s">
        <v>8085</v>
      </c>
      <c r="E3369" t="s">
        <v>1719</v>
      </c>
    </row>
    <row r="3370" spans="1:5" x14ac:dyDescent="0.2">
      <c r="A3370">
        <v>3370</v>
      </c>
      <c r="B3370" t="s">
        <v>910</v>
      </c>
      <c r="C3370" t="s">
        <v>8086</v>
      </c>
      <c r="D3370" t="s">
        <v>8087</v>
      </c>
      <c r="E3370" t="s">
        <v>1719</v>
      </c>
    </row>
    <row r="3371" spans="1:5" x14ac:dyDescent="0.2">
      <c r="A3371">
        <v>3371</v>
      </c>
      <c r="B3371" t="s">
        <v>912</v>
      </c>
      <c r="C3371" t="s">
        <v>8088</v>
      </c>
      <c r="D3371" t="s">
        <v>8089</v>
      </c>
      <c r="E3371" t="s">
        <v>3322</v>
      </c>
    </row>
    <row r="3372" spans="1:5" x14ac:dyDescent="0.2">
      <c r="A3372">
        <v>3372</v>
      </c>
      <c r="B3372" t="s">
        <v>912</v>
      </c>
      <c r="C3372" t="s">
        <v>8090</v>
      </c>
      <c r="D3372" t="s">
        <v>2720</v>
      </c>
      <c r="E3372" t="s">
        <v>1719</v>
      </c>
    </row>
    <row r="3373" spans="1:5" x14ac:dyDescent="0.2">
      <c r="A3373">
        <v>3373</v>
      </c>
      <c r="B3373" t="s">
        <v>912</v>
      </c>
      <c r="C3373" t="s">
        <v>8091</v>
      </c>
      <c r="D3373" t="s">
        <v>8092</v>
      </c>
      <c r="E3373" t="s">
        <v>1719</v>
      </c>
    </row>
    <row r="3374" spans="1:5" x14ac:dyDescent="0.2">
      <c r="A3374">
        <v>3374</v>
      </c>
      <c r="B3374" t="s">
        <v>912</v>
      </c>
      <c r="C3374" t="s">
        <v>8093</v>
      </c>
      <c r="D3374" t="s">
        <v>8094</v>
      </c>
      <c r="E3374" t="s">
        <v>1719</v>
      </c>
    </row>
    <row r="3375" spans="1:5" x14ac:dyDescent="0.2">
      <c r="A3375">
        <v>3375</v>
      </c>
      <c r="B3375" t="s">
        <v>912</v>
      </c>
      <c r="C3375" t="s">
        <v>8095</v>
      </c>
      <c r="D3375" t="s">
        <v>8096</v>
      </c>
      <c r="E3375" t="s">
        <v>1719</v>
      </c>
    </row>
    <row r="3376" spans="1:5" x14ac:dyDescent="0.2">
      <c r="A3376">
        <v>3376</v>
      </c>
      <c r="B3376" t="s">
        <v>912</v>
      </c>
      <c r="C3376" t="s">
        <v>8097</v>
      </c>
      <c r="D3376" t="s">
        <v>8098</v>
      </c>
      <c r="E3376" t="s">
        <v>1719</v>
      </c>
    </row>
    <row r="3377" spans="1:5" x14ac:dyDescent="0.2">
      <c r="A3377">
        <v>3377</v>
      </c>
      <c r="B3377" t="s">
        <v>912</v>
      </c>
      <c r="C3377" t="s">
        <v>8099</v>
      </c>
      <c r="D3377" t="s">
        <v>8100</v>
      </c>
      <c r="E3377" t="s">
        <v>1719</v>
      </c>
    </row>
    <row r="3378" spans="1:5" x14ac:dyDescent="0.2">
      <c r="A3378">
        <v>3378</v>
      </c>
      <c r="B3378" t="s">
        <v>912</v>
      </c>
      <c r="C3378" t="s">
        <v>8101</v>
      </c>
      <c r="D3378" t="s">
        <v>8102</v>
      </c>
      <c r="E3378" t="s">
        <v>1719</v>
      </c>
    </row>
    <row r="3379" spans="1:5" x14ac:dyDescent="0.2">
      <c r="A3379">
        <v>3379</v>
      </c>
      <c r="B3379" t="s">
        <v>912</v>
      </c>
      <c r="C3379" t="s">
        <v>8103</v>
      </c>
      <c r="D3379" t="s">
        <v>8104</v>
      </c>
      <c r="E3379" t="s">
        <v>1719</v>
      </c>
    </row>
    <row r="3380" spans="1:5" x14ac:dyDescent="0.2">
      <c r="A3380">
        <v>3380</v>
      </c>
      <c r="B3380" t="s">
        <v>912</v>
      </c>
      <c r="C3380" t="s">
        <v>8105</v>
      </c>
      <c r="D3380" t="s">
        <v>8106</v>
      </c>
      <c r="E3380" t="s">
        <v>1719</v>
      </c>
    </row>
    <row r="3381" spans="1:5" x14ac:dyDescent="0.2">
      <c r="A3381">
        <v>3381</v>
      </c>
      <c r="B3381" t="s">
        <v>912</v>
      </c>
      <c r="C3381" t="s">
        <v>8107</v>
      </c>
      <c r="D3381" t="s">
        <v>8108</v>
      </c>
      <c r="E3381" t="s">
        <v>1719</v>
      </c>
    </row>
    <row r="3382" spans="1:5" x14ac:dyDescent="0.2">
      <c r="A3382">
        <v>3382</v>
      </c>
      <c r="B3382" t="s">
        <v>912</v>
      </c>
      <c r="C3382" t="s">
        <v>8109</v>
      </c>
      <c r="D3382" t="s">
        <v>8110</v>
      </c>
      <c r="E3382" t="s">
        <v>1719</v>
      </c>
    </row>
    <row r="3383" spans="1:5" x14ac:dyDescent="0.2">
      <c r="A3383">
        <v>3383</v>
      </c>
      <c r="B3383" t="s">
        <v>912</v>
      </c>
      <c r="C3383" t="s">
        <v>8111</v>
      </c>
      <c r="D3383" t="s">
        <v>8112</v>
      </c>
      <c r="E3383" t="s">
        <v>1790</v>
      </c>
    </row>
    <row r="3384" spans="1:5" x14ac:dyDescent="0.2">
      <c r="A3384">
        <v>3384</v>
      </c>
      <c r="B3384" t="s">
        <v>912</v>
      </c>
      <c r="C3384" t="s">
        <v>8113</v>
      </c>
      <c r="D3384" t="s">
        <v>8114</v>
      </c>
      <c r="E3384" t="s">
        <v>1719</v>
      </c>
    </row>
    <row r="3385" spans="1:5" x14ac:dyDescent="0.2">
      <c r="A3385">
        <v>3385</v>
      </c>
      <c r="B3385" t="s">
        <v>912</v>
      </c>
      <c r="C3385" t="s">
        <v>8115</v>
      </c>
      <c r="D3385" t="s">
        <v>4193</v>
      </c>
      <c r="E3385" t="s">
        <v>1719</v>
      </c>
    </row>
    <row r="3386" spans="1:5" x14ac:dyDescent="0.2">
      <c r="A3386">
        <v>3386</v>
      </c>
      <c r="B3386" t="s">
        <v>912</v>
      </c>
      <c r="C3386" t="s">
        <v>8116</v>
      </c>
      <c r="D3386" t="s">
        <v>8117</v>
      </c>
      <c r="E3386" t="s">
        <v>1719</v>
      </c>
    </row>
    <row r="3387" spans="1:5" x14ac:dyDescent="0.2">
      <c r="A3387">
        <v>3387</v>
      </c>
      <c r="B3387" t="s">
        <v>912</v>
      </c>
      <c r="C3387" t="s">
        <v>8118</v>
      </c>
      <c r="D3387" t="s">
        <v>8119</v>
      </c>
      <c r="E3387" t="s">
        <v>1719</v>
      </c>
    </row>
    <row r="3388" spans="1:5" x14ac:dyDescent="0.2">
      <c r="A3388">
        <v>3388</v>
      </c>
      <c r="B3388" t="s">
        <v>912</v>
      </c>
      <c r="C3388" t="s">
        <v>8120</v>
      </c>
      <c r="D3388" t="s">
        <v>8121</v>
      </c>
      <c r="E3388" t="s">
        <v>1719</v>
      </c>
    </row>
    <row r="3389" spans="1:5" x14ac:dyDescent="0.2">
      <c r="A3389">
        <v>3389</v>
      </c>
      <c r="B3389" t="s">
        <v>912</v>
      </c>
      <c r="C3389" t="s">
        <v>8122</v>
      </c>
      <c r="D3389" t="s">
        <v>4197</v>
      </c>
      <c r="E3389" t="s">
        <v>1719</v>
      </c>
    </row>
    <row r="3390" spans="1:5" x14ac:dyDescent="0.2">
      <c r="A3390">
        <v>3390</v>
      </c>
      <c r="B3390" t="s">
        <v>912</v>
      </c>
      <c r="C3390" t="s">
        <v>8123</v>
      </c>
      <c r="D3390" t="s">
        <v>8124</v>
      </c>
      <c r="E3390" t="s">
        <v>1719</v>
      </c>
    </row>
    <row r="3391" spans="1:5" x14ac:dyDescent="0.2">
      <c r="A3391">
        <v>3391</v>
      </c>
      <c r="B3391" t="s">
        <v>917</v>
      </c>
      <c r="C3391" t="s">
        <v>8125</v>
      </c>
      <c r="D3391" t="s">
        <v>8126</v>
      </c>
      <c r="E3391" t="s">
        <v>2590</v>
      </c>
    </row>
    <row r="3392" spans="1:5" x14ac:dyDescent="0.2">
      <c r="A3392">
        <v>3392</v>
      </c>
      <c r="B3392" t="s">
        <v>917</v>
      </c>
      <c r="C3392" t="s">
        <v>8127</v>
      </c>
      <c r="D3392" t="s">
        <v>8128</v>
      </c>
      <c r="E3392" t="s">
        <v>2590</v>
      </c>
    </row>
    <row r="3393" spans="1:5" x14ac:dyDescent="0.2">
      <c r="A3393">
        <v>3393</v>
      </c>
      <c r="B3393" t="s">
        <v>917</v>
      </c>
      <c r="C3393" t="s">
        <v>8129</v>
      </c>
      <c r="D3393" t="s">
        <v>8130</v>
      </c>
      <c r="E3393" t="s">
        <v>2590</v>
      </c>
    </row>
    <row r="3394" spans="1:5" x14ac:dyDescent="0.2">
      <c r="A3394">
        <v>3394</v>
      </c>
      <c r="B3394" t="s">
        <v>917</v>
      </c>
      <c r="C3394" t="s">
        <v>8131</v>
      </c>
      <c r="D3394" t="s">
        <v>8132</v>
      </c>
      <c r="E3394" t="s">
        <v>3458</v>
      </c>
    </row>
    <row r="3395" spans="1:5" x14ac:dyDescent="0.2">
      <c r="A3395">
        <v>3395</v>
      </c>
      <c r="B3395" t="s">
        <v>917</v>
      </c>
      <c r="C3395" t="s">
        <v>8133</v>
      </c>
      <c r="D3395" t="s">
        <v>8134</v>
      </c>
      <c r="E3395" t="s">
        <v>2590</v>
      </c>
    </row>
    <row r="3396" spans="1:5" x14ac:dyDescent="0.2">
      <c r="A3396">
        <v>3396</v>
      </c>
      <c r="B3396" t="s">
        <v>917</v>
      </c>
      <c r="C3396" t="s">
        <v>8135</v>
      </c>
      <c r="D3396" t="s">
        <v>8136</v>
      </c>
      <c r="E3396" t="s">
        <v>2590</v>
      </c>
    </row>
    <row r="3397" spans="1:5" x14ac:dyDescent="0.2">
      <c r="A3397">
        <v>3397</v>
      </c>
      <c r="B3397" t="s">
        <v>917</v>
      </c>
      <c r="C3397" t="s">
        <v>8137</v>
      </c>
      <c r="D3397" t="s">
        <v>8138</v>
      </c>
      <c r="E3397" t="s">
        <v>2590</v>
      </c>
    </row>
    <row r="3398" spans="1:5" x14ac:dyDescent="0.2">
      <c r="A3398">
        <v>3398</v>
      </c>
      <c r="B3398" t="s">
        <v>917</v>
      </c>
      <c r="C3398" t="s">
        <v>8139</v>
      </c>
      <c r="D3398" t="s">
        <v>8140</v>
      </c>
      <c r="E3398" t="s">
        <v>2590</v>
      </c>
    </row>
    <row r="3399" spans="1:5" x14ac:dyDescent="0.2">
      <c r="A3399">
        <v>3399</v>
      </c>
      <c r="B3399" t="s">
        <v>917</v>
      </c>
      <c r="C3399" t="s">
        <v>8141</v>
      </c>
      <c r="D3399" t="s">
        <v>2720</v>
      </c>
      <c r="E3399" t="s">
        <v>2590</v>
      </c>
    </row>
    <row r="3400" spans="1:5" x14ac:dyDescent="0.2">
      <c r="A3400">
        <v>3400</v>
      </c>
      <c r="B3400" t="s">
        <v>917</v>
      </c>
      <c r="C3400" t="s">
        <v>8142</v>
      </c>
      <c r="D3400" t="s">
        <v>8143</v>
      </c>
      <c r="E3400" t="s">
        <v>2590</v>
      </c>
    </row>
    <row r="3401" spans="1:5" x14ac:dyDescent="0.2">
      <c r="A3401">
        <v>3401</v>
      </c>
      <c r="B3401" t="s">
        <v>917</v>
      </c>
      <c r="C3401" t="s">
        <v>8144</v>
      </c>
      <c r="D3401" t="s">
        <v>8145</v>
      </c>
      <c r="E3401" t="s">
        <v>2590</v>
      </c>
    </row>
    <row r="3402" spans="1:5" x14ac:dyDescent="0.2">
      <c r="A3402">
        <v>3402</v>
      </c>
      <c r="B3402" t="s">
        <v>917</v>
      </c>
      <c r="C3402" t="s">
        <v>8146</v>
      </c>
      <c r="D3402" t="s">
        <v>8147</v>
      </c>
      <c r="E3402" t="s">
        <v>2590</v>
      </c>
    </row>
    <row r="3403" spans="1:5" x14ac:dyDescent="0.2">
      <c r="A3403">
        <v>3403</v>
      </c>
      <c r="B3403" t="s">
        <v>917</v>
      </c>
      <c r="C3403" t="s">
        <v>8148</v>
      </c>
      <c r="D3403" t="s">
        <v>8149</v>
      </c>
      <c r="E3403" t="s">
        <v>2590</v>
      </c>
    </row>
    <row r="3404" spans="1:5" x14ac:dyDescent="0.2">
      <c r="A3404">
        <v>3404</v>
      </c>
      <c r="B3404" t="s">
        <v>917</v>
      </c>
      <c r="C3404" t="s">
        <v>8150</v>
      </c>
      <c r="D3404" t="s">
        <v>2064</v>
      </c>
      <c r="E3404" t="s">
        <v>2590</v>
      </c>
    </row>
    <row r="3405" spans="1:5" x14ac:dyDescent="0.2">
      <c r="A3405">
        <v>3405</v>
      </c>
      <c r="B3405" t="s">
        <v>917</v>
      </c>
      <c r="C3405" t="s">
        <v>8151</v>
      </c>
      <c r="D3405" t="s">
        <v>8152</v>
      </c>
      <c r="E3405" t="s">
        <v>2590</v>
      </c>
    </row>
    <row r="3406" spans="1:5" x14ac:dyDescent="0.2">
      <c r="A3406">
        <v>3406</v>
      </c>
      <c r="B3406" t="s">
        <v>917</v>
      </c>
      <c r="C3406" t="s">
        <v>8153</v>
      </c>
      <c r="D3406" t="s">
        <v>8154</v>
      </c>
      <c r="E3406" t="s">
        <v>2590</v>
      </c>
    </row>
    <row r="3407" spans="1:5" x14ac:dyDescent="0.2">
      <c r="A3407">
        <v>3407</v>
      </c>
      <c r="B3407" t="s">
        <v>917</v>
      </c>
      <c r="C3407" t="s">
        <v>8155</v>
      </c>
      <c r="D3407" t="s">
        <v>8156</v>
      </c>
      <c r="E3407" t="s">
        <v>2590</v>
      </c>
    </row>
    <row r="3408" spans="1:5" x14ac:dyDescent="0.2">
      <c r="A3408">
        <v>3408</v>
      </c>
      <c r="B3408" t="s">
        <v>917</v>
      </c>
      <c r="C3408" t="s">
        <v>8157</v>
      </c>
      <c r="D3408" t="s">
        <v>8158</v>
      </c>
      <c r="E3408" t="s">
        <v>2590</v>
      </c>
    </row>
    <row r="3409" spans="1:5" x14ac:dyDescent="0.2">
      <c r="A3409">
        <v>3409</v>
      </c>
      <c r="B3409" t="s">
        <v>919</v>
      </c>
      <c r="C3409" t="s">
        <v>8159</v>
      </c>
      <c r="D3409" t="s">
        <v>8160</v>
      </c>
      <c r="E3409" t="s">
        <v>2590</v>
      </c>
    </row>
    <row r="3410" spans="1:5" x14ac:dyDescent="0.2">
      <c r="A3410">
        <v>3410</v>
      </c>
      <c r="B3410" t="s">
        <v>919</v>
      </c>
      <c r="C3410" t="s">
        <v>8159</v>
      </c>
      <c r="D3410" t="s">
        <v>8161</v>
      </c>
      <c r="E3410" t="s">
        <v>2590</v>
      </c>
    </row>
    <row r="3411" spans="1:5" x14ac:dyDescent="0.2">
      <c r="A3411">
        <v>3411</v>
      </c>
      <c r="B3411" t="s">
        <v>919</v>
      </c>
      <c r="C3411" t="s">
        <v>8159</v>
      </c>
      <c r="D3411" t="s">
        <v>2744</v>
      </c>
      <c r="E3411" t="s">
        <v>2590</v>
      </c>
    </row>
    <row r="3412" spans="1:5" x14ac:dyDescent="0.2">
      <c r="A3412">
        <v>3412</v>
      </c>
      <c r="B3412" t="s">
        <v>919</v>
      </c>
      <c r="C3412" t="s">
        <v>8162</v>
      </c>
      <c r="D3412" t="s">
        <v>8163</v>
      </c>
      <c r="E3412" t="s">
        <v>2590</v>
      </c>
    </row>
    <row r="3413" spans="1:5" x14ac:dyDescent="0.2">
      <c r="A3413">
        <v>3413</v>
      </c>
      <c r="B3413" t="s">
        <v>919</v>
      </c>
      <c r="C3413" t="s">
        <v>8162</v>
      </c>
      <c r="D3413" t="s">
        <v>8164</v>
      </c>
      <c r="E3413" t="s">
        <v>2590</v>
      </c>
    </row>
    <row r="3414" spans="1:5" x14ac:dyDescent="0.2">
      <c r="A3414">
        <v>3414</v>
      </c>
      <c r="B3414" t="s">
        <v>919</v>
      </c>
      <c r="C3414" t="s">
        <v>8162</v>
      </c>
      <c r="D3414" t="s">
        <v>8165</v>
      </c>
      <c r="E3414" t="s">
        <v>2590</v>
      </c>
    </row>
    <row r="3415" spans="1:5" x14ac:dyDescent="0.2">
      <c r="A3415">
        <v>3415</v>
      </c>
      <c r="B3415" t="s">
        <v>919</v>
      </c>
      <c r="C3415" t="s">
        <v>8166</v>
      </c>
      <c r="D3415" t="s">
        <v>8167</v>
      </c>
      <c r="E3415" t="s">
        <v>2590</v>
      </c>
    </row>
    <row r="3416" spans="1:5" x14ac:dyDescent="0.2">
      <c r="A3416">
        <v>3416</v>
      </c>
      <c r="B3416" t="s">
        <v>919</v>
      </c>
      <c r="C3416" t="s">
        <v>8166</v>
      </c>
      <c r="D3416" t="s">
        <v>8168</v>
      </c>
      <c r="E3416" t="s">
        <v>2590</v>
      </c>
    </row>
    <row r="3417" spans="1:5" x14ac:dyDescent="0.2">
      <c r="A3417">
        <v>3417</v>
      </c>
      <c r="B3417" t="s">
        <v>919</v>
      </c>
      <c r="C3417" t="s">
        <v>8169</v>
      </c>
      <c r="D3417" t="s">
        <v>8170</v>
      </c>
      <c r="E3417" t="s">
        <v>2590</v>
      </c>
    </row>
    <row r="3418" spans="1:5" x14ac:dyDescent="0.2">
      <c r="A3418">
        <v>3418</v>
      </c>
      <c r="B3418" t="s">
        <v>919</v>
      </c>
      <c r="C3418" t="s">
        <v>8169</v>
      </c>
      <c r="D3418" t="s">
        <v>8171</v>
      </c>
      <c r="E3418" t="s">
        <v>2590</v>
      </c>
    </row>
    <row r="3419" spans="1:5" x14ac:dyDescent="0.2">
      <c r="A3419">
        <v>3419</v>
      </c>
      <c r="B3419" t="s">
        <v>919</v>
      </c>
      <c r="C3419" t="s">
        <v>8169</v>
      </c>
      <c r="D3419" t="s">
        <v>8172</v>
      </c>
      <c r="E3419" t="s">
        <v>2590</v>
      </c>
    </row>
    <row r="3420" spans="1:5" x14ac:dyDescent="0.2">
      <c r="A3420">
        <v>3420</v>
      </c>
      <c r="B3420" t="s">
        <v>919</v>
      </c>
      <c r="C3420" t="s">
        <v>8173</v>
      </c>
      <c r="D3420" t="s">
        <v>8174</v>
      </c>
      <c r="E3420" t="s">
        <v>2590</v>
      </c>
    </row>
    <row r="3421" spans="1:5" x14ac:dyDescent="0.2">
      <c r="A3421">
        <v>3421</v>
      </c>
      <c r="B3421" t="s">
        <v>919</v>
      </c>
      <c r="C3421" t="s">
        <v>8173</v>
      </c>
      <c r="D3421" t="s">
        <v>8175</v>
      </c>
      <c r="E3421" t="s">
        <v>2590</v>
      </c>
    </row>
    <row r="3422" spans="1:5" x14ac:dyDescent="0.2">
      <c r="A3422">
        <v>3422</v>
      </c>
      <c r="B3422" t="s">
        <v>919</v>
      </c>
      <c r="C3422" t="s">
        <v>8173</v>
      </c>
      <c r="D3422" t="s">
        <v>8176</v>
      </c>
      <c r="E3422" t="s">
        <v>2590</v>
      </c>
    </row>
    <row r="3423" spans="1:5" x14ac:dyDescent="0.2">
      <c r="A3423">
        <v>3423</v>
      </c>
      <c r="B3423" t="s">
        <v>919</v>
      </c>
      <c r="C3423" t="s">
        <v>8177</v>
      </c>
      <c r="D3423" t="s">
        <v>8178</v>
      </c>
      <c r="E3423" t="s">
        <v>2590</v>
      </c>
    </row>
    <row r="3424" spans="1:5" x14ac:dyDescent="0.2">
      <c r="A3424">
        <v>3424</v>
      </c>
      <c r="B3424" t="s">
        <v>919</v>
      </c>
      <c r="C3424" t="s">
        <v>8179</v>
      </c>
      <c r="D3424" t="s">
        <v>8180</v>
      </c>
      <c r="E3424" t="s">
        <v>2590</v>
      </c>
    </row>
    <row r="3425" spans="1:5" x14ac:dyDescent="0.2">
      <c r="A3425">
        <v>3425</v>
      </c>
      <c r="B3425" t="s">
        <v>919</v>
      </c>
      <c r="C3425" t="s">
        <v>8181</v>
      </c>
      <c r="D3425" t="s">
        <v>8182</v>
      </c>
      <c r="E3425" t="s">
        <v>8183</v>
      </c>
    </row>
    <row r="3426" spans="1:5" x14ac:dyDescent="0.2">
      <c r="A3426">
        <v>3426</v>
      </c>
      <c r="B3426" t="s">
        <v>919</v>
      </c>
      <c r="C3426" t="s">
        <v>8184</v>
      </c>
      <c r="D3426" t="s">
        <v>8185</v>
      </c>
      <c r="E3426" t="s">
        <v>2590</v>
      </c>
    </row>
    <row r="3427" spans="1:5" x14ac:dyDescent="0.2">
      <c r="A3427">
        <v>3427</v>
      </c>
      <c r="B3427" t="s">
        <v>919</v>
      </c>
      <c r="C3427" t="s">
        <v>8186</v>
      </c>
      <c r="D3427" t="s">
        <v>8187</v>
      </c>
      <c r="E3427" t="s">
        <v>2590</v>
      </c>
    </row>
    <row r="3428" spans="1:5" x14ac:dyDescent="0.2">
      <c r="A3428">
        <v>3428</v>
      </c>
      <c r="B3428" t="s">
        <v>919</v>
      </c>
      <c r="C3428" t="s">
        <v>8188</v>
      </c>
      <c r="D3428" t="s">
        <v>8189</v>
      </c>
      <c r="E3428" t="s">
        <v>2590</v>
      </c>
    </row>
    <row r="3429" spans="1:5" x14ac:dyDescent="0.2">
      <c r="A3429">
        <v>3429</v>
      </c>
      <c r="B3429" t="s">
        <v>919</v>
      </c>
      <c r="C3429" t="s">
        <v>8190</v>
      </c>
      <c r="D3429" t="s">
        <v>8191</v>
      </c>
      <c r="E3429" t="s">
        <v>2590</v>
      </c>
    </row>
    <row r="3430" spans="1:5" x14ac:dyDescent="0.2">
      <c r="A3430">
        <v>3430</v>
      </c>
      <c r="B3430" t="s">
        <v>919</v>
      </c>
      <c r="C3430" t="s">
        <v>8190</v>
      </c>
      <c r="D3430" t="s">
        <v>8192</v>
      </c>
      <c r="E3430" t="s">
        <v>2590</v>
      </c>
    </row>
    <row r="3431" spans="1:5" x14ac:dyDescent="0.2">
      <c r="A3431">
        <v>3431</v>
      </c>
      <c r="B3431" t="s">
        <v>919</v>
      </c>
      <c r="C3431" t="s">
        <v>8186</v>
      </c>
      <c r="D3431" t="s">
        <v>8193</v>
      </c>
      <c r="E3431" t="s">
        <v>2590</v>
      </c>
    </row>
    <row r="3432" spans="1:5" x14ac:dyDescent="0.2">
      <c r="A3432">
        <v>3432</v>
      </c>
      <c r="B3432" t="s">
        <v>919</v>
      </c>
      <c r="C3432" t="s">
        <v>8186</v>
      </c>
      <c r="D3432" t="s">
        <v>8194</v>
      </c>
      <c r="E3432" t="s">
        <v>2590</v>
      </c>
    </row>
    <row r="3433" spans="1:5" x14ac:dyDescent="0.2">
      <c r="A3433">
        <v>3433</v>
      </c>
      <c r="B3433" t="s">
        <v>919</v>
      </c>
      <c r="C3433" t="s">
        <v>8181</v>
      </c>
      <c r="D3433" t="s">
        <v>8195</v>
      </c>
      <c r="E3433" t="s">
        <v>8183</v>
      </c>
    </row>
    <row r="3434" spans="1:5" x14ac:dyDescent="0.2">
      <c r="A3434">
        <v>3434</v>
      </c>
      <c r="B3434" t="s">
        <v>919</v>
      </c>
      <c r="C3434" t="s">
        <v>8177</v>
      </c>
      <c r="D3434" t="s">
        <v>8196</v>
      </c>
      <c r="E3434" t="s">
        <v>2590</v>
      </c>
    </row>
    <row r="3435" spans="1:5" x14ac:dyDescent="0.2">
      <c r="A3435">
        <v>3435</v>
      </c>
      <c r="B3435" t="s">
        <v>919</v>
      </c>
      <c r="C3435" t="s">
        <v>8179</v>
      </c>
      <c r="D3435" t="s">
        <v>8197</v>
      </c>
      <c r="E3435" t="s">
        <v>2590</v>
      </c>
    </row>
    <row r="3436" spans="1:5" x14ac:dyDescent="0.2">
      <c r="A3436">
        <v>3436</v>
      </c>
      <c r="B3436" t="s">
        <v>919</v>
      </c>
      <c r="C3436" t="s">
        <v>8198</v>
      </c>
      <c r="D3436" t="s">
        <v>4066</v>
      </c>
      <c r="E3436" t="s">
        <v>2590</v>
      </c>
    </row>
    <row r="3437" spans="1:5" x14ac:dyDescent="0.2">
      <c r="A3437">
        <v>3437</v>
      </c>
      <c r="B3437" t="s">
        <v>919</v>
      </c>
      <c r="C3437" t="s">
        <v>8199</v>
      </c>
      <c r="D3437" t="s">
        <v>8200</v>
      </c>
      <c r="E3437" t="s">
        <v>2590</v>
      </c>
    </row>
    <row r="3438" spans="1:5" x14ac:dyDescent="0.2">
      <c r="A3438">
        <v>3438</v>
      </c>
      <c r="B3438" t="s">
        <v>919</v>
      </c>
      <c r="C3438" t="s">
        <v>8199</v>
      </c>
      <c r="D3438" t="s">
        <v>8201</v>
      </c>
      <c r="E3438" t="s">
        <v>2590</v>
      </c>
    </row>
    <row r="3439" spans="1:5" x14ac:dyDescent="0.2">
      <c r="A3439">
        <v>3439</v>
      </c>
      <c r="B3439" t="s">
        <v>919</v>
      </c>
      <c r="C3439" t="s">
        <v>8202</v>
      </c>
      <c r="D3439" t="s">
        <v>8203</v>
      </c>
      <c r="E3439" t="s">
        <v>2590</v>
      </c>
    </row>
    <row r="3440" spans="1:5" x14ac:dyDescent="0.2">
      <c r="A3440">
        <v>3440</v>
      </c>
      <c r="B3440" t="s">
        <v>919</v>
      </c>
      <c r="C3440" t="s">
        <v>8204</v>
      </c>
      <c r="D3440" t="s">
        <v>8205</v>
      </c>
      <c r="E3440" t="s">
        <v>2164</v>
      </c>
    </row>
    <row r="3441" spans="1:5" x14ac:dyDescent="0.2">
      <c r="A3441">
        <v>3441</v>
      </c>
      <c r="B3441" t="s">
        <v>919</v>
      </c>
      <c r="C3441" t="s">
        <v>8204</v>
      </c>
      <c r="D3441" t="s">
        <v>8206</v>
      </c>
      <c r="E3441" t="s">
        <v>2164</v>
      </c>
    </row>
    <row r="3442" spans="1:5" x14ac:dyDescent="0.2">
      <c r="A3442">
        <v>3442</v>
      </c>
      <c r="B3442" t="s">
        <v>919</v>
      </c>
      <c r="C3442" t="s">
        <v>8207</v>
      </c>
      <c r="D3442" t="s">
        <v>8208</v>
      </c>
      <c r="E3442" t="s">
        <v>2590</v>
      </c>
    </row>
    <row r="3443" spans="1:5" x14ac:dyDescent="0.2">
      <c r="A3443">
        <v>3443</v>
      </c>
      <c r="B3443" t="s">
        <v>919</v>
      </c>
      <c r="C3443" t="s">
        <v>8207</v>
      </c>
      <c r="D3443" t="s">
        <v>8209</v>
      </c>
      <c r="E3443" t="s">
        <v>2590</v>
      </c>
    </row>
    <row r="3444" spans="1:5" x14ac:dyDescent="0.2">
      <c r="A3444">
        <v>3444</v>
      </c>
      <c r="B3444" t="s">
        <v>919</v>
      </c>
      <c r="C3444" t="s">
        <v>8210</v>
      </c>
      <c r="D3444" t="s">
        <v>8211</v>
      </c>
      <c r="E3444" t="s">
        <v>2590</v>
      </c>
    </row>
    <row r="3445" spans="1:5" x14ac:dyDescent="0.2">
      <c r="A3445">
        <v>3445</v>
      </c>
      <c r="B3445" t="s">
        <v>919</v>
      </c>
      <c r="C3445" t="s">
        <v>8210</v>
      </c>
      <c r="D3445" t="s">
        <v>8212</v>
      </c>
      <c r="E3445" t="s">
        <v>2590</v>
      </c>
    </row>
    <row r="3446" spans="1:5" x14ac:dyDescent="0.2">
      <c r="A3446">
        <v>3446</v>
      </c>
      <c r="B3446" t="s">
        <v>919</v>
      </c>
      <c r="C3446" t="s">
        <v>8213</v>
      </c>
      <c r="D3446" t="s">
        <v>8214</v>
      </c>
      <c r="E3446" t="s">
        <v>2590</v>
      </c>
    </row>
    <row r="3447" spans="1:5" x14ac:dyDescent="0.2">
      <c r="A3447">
        <v>3447</v>
      </c>
      <c r="B3447" t="s">
        <v>919</v>
      </c>
      <c r="C3447" t="s">
        <v>8213</v>
      </c>
      <c r="D3447" t="s">
        <v>8215</v>
      </c>
      <c r="E3447" t="s">
        <v>2590</v>
      </c>
    </row>
    <row r="3448" spans="1:5" x14ac:dyDescent="0.2">
      <c r="A3448">
        <v>3448</v>
      </c>
      <c r="B3448" t="s">
        <v>919</v>
      </c>
      <c r="C3448" t="s">
        <v>8204</v>
      </c>
      <c r="D3448" t="s">
        <v>8216</v>
      </c>
      <c r="E3448" t="s">
        <v>2164</v>
      </c>
    </row>
    <row r="3449" spans="1:5" x14ac:dyDescent="0.2">
      <c r="A3449">
        <v>3449</v>
      </c>
      <c r="B3449" t="s">
        <v>919</v>
      </c>
      <c r="C3449" t="s">
        <v>8213</v>
      </c>
      <c r="D3449" t="s">
        <v>8217</v>
      </c>
      <c r="E3449" t="s">
        <v>2590</v>
      </c>
    </row>
    <row r="3450" spans="1:5" x14ac:dyDescent="0.2">
      <c r="A3450">
        <v>3450</v>
      </c>
      <c r="B3450" t="s">
        <v>919</v>
      </c>
      <c r="C3450" t="s">
        <v>8218</v>
      </c>
      <c r="D3450" t="s">
        <v>8219</v>
      </c>
      <c r="E3450" t="s">
        <v>2590</v>
      </c>
    </row>
    <row r="3451" spans="1:5" x14ac:dyDescent="0.2">
      <c r="A3451">
        <v>3451</v>
      </c>
      <c r="B3451" t="s">
        <v>919</v>
      </c>
      <c r="C3451" t="s">
        <v>8218</v>
      </c>
      <c r="D3451" t="s">
        <v>8220</v>
      </c>
      <c r="E3451" t="s">
        <v>2590</v>
      </c>
    </row>
    <row r="3452" spans="1:5" x14ac:dyDescent="0.2">
      <c r="A3452">
        <v>3452</v>
      </c>
      <c r="B3452" t="s">
        <v>919</v>
      </c>
      <c r="C3452" t="s">
        <v>8221</v>
      </c>
      <c r="D3452" t="s">
        <v>8222</v>
      </c>
      <c r="E3452" t="s">
        <v>2590</v>
      </c>
    </row>
    <row r="3453" spans="1:5" x14ac:dyDescent="0.2">
      <c r="A3453">
        <v>3453</v>
      </c>
      <c r="B3453" t="s">
        <v>919</v>
      </c>
      <c r="C3453" t="s">
        <v>8221</v>
      </c>
      <c r="D3453" t="s">
        <v>8223</v>
      </c>
      <c r="E3453" t="s">
        <v>2590</v>
      </c>
    </row>
    <row r="3454" spans="1:5" x14ac:dyDescent="0.2">
      <c r="A3454">
        <v>3454</v>
      </c>
      <c r="B3454" t="s">
        <v>919</v>
      </c>
      <c r="C3454" t="s">
        <v>8224</v>
      </c>
      <c r="D3454" t="s">
        <v>8225</v>
      </c>
      <c r="E3454" t="s">
        <v>2590</v>
      </c>
    </row>
    <row r="3455" spans="1:5" x14ac:dyDescent="0.2">
      <c r="A3455">
        <v>3455</v>
      </c>
      <c r="B3455" t="s">
        <v>919</v>
      </c>
      <c r="C3455" t="s">
        <v>8224</v>
      </c>
      <c r="D3455" t="s">
        <v>8226</v>
      </c>
      <c r="E3455" t="s">
        <v>2590</v>
      </c>
    </row>
    <row r="3456" spans="1:5" x14ac:dyDescent="0.2">
      <c r="A3456">
        <v>3456</v>
      </c>
      <c r="B3456" t="s">
        <v>919</v>
      </c>
      <c r="C3456" t="s">
        <v>8177</v>
      </c>
      <c r="D3456" t="s">
        <v>8227</v>
      </c>
      <c r="E3456" t="s">
        <v>2590</v>
      </c>
    </row>
    <row r="3457" spans="1:5" x14ac:dyDescent="0.2">
      <c r="A3457">
        <v>3457</v>
      </c>
      <c r="B3457" t="s">
        <v>919</v>
      </c>
      <c r="C3457" t="s">
        <v>8181</v>
      </c>
      <c r="D3457" t="s">
        <v>8228</v>
      </c>
      <c r="E3457" t="s">
        <v>8183</v>
      </c>
    </row>
    <row r="3458" spans="1:5" x14ac:dyDescent="0.2">
      <c r="A3458">
        <v>3458</v>
      </c>
      <c r="B3458" t="s">
        <v>919</v>
      </c>
      <c r="C3458" t="s">
        <v>8198</v>
      </c>
      <c r="D3458" t="s">
        <v>8229</v>
      </c>
      <c r="E3458" t="s">
        <v>2590</v>
      </c>
    </row>
    <row r="3459" spans="1:5" x14ac:dyDescent="0.2">
      <c r="A3459">
        <v>3459</v>
      </c>
      <c r="B3459" t="s">
        <v>919</v>
      </c>
      <c r="C3459" t="s">
        <v>8179</v>
      </c>
      <c r="D3459" t="s">
        <v>8230</v>
      </c>
      <c r="E3459" t="s">
        <v>2590</v>
      </c>
    </row>
    <row r="3460" spans="1:5" x14ac:dyDescent="0.2">
      <c r="A3460">
        <v>3460</v>
      </c>
      <c r="B3460" t="s">
        <v>919</v>
      </c>
      <c r="C3460" t="s">
        <v>8231</v>
      </c>
      <c r="D3460" t="s">
        <v>8232</v>
      </c>
      <c r="E3460" t="s">
        <v>2590</v>
      </c>
    </row>
    <row r="3461" spans="1:5" x14ac:dyDescent="0.2">
      <c r="A3461">
        <v>3461</v>
      </c>
      <c r="B3461" t="s">
        <v>919</v>
      </c>
      <c r="C3461" t="s">
        <v>8231</v>
      </c>
      <c r="D3461" t="s">
        <v>8233</v>
      </c>
      <c r="E3461" t="s">
        <v>2590</v>
      </c>
    </row>
    <row r="3462" spans="1:5" x14ac:dyDescent="0.2">
      <c r="A3462">
        <v>3462</v>
      </c>
      <c r="B3462" t="s">
        <v>919</v>
      </c>
      <c r="C3462" t="s">
        <v>8234</v>
      </c>
      <c r="D3462" t="s">
        <v>8235</v>
      </c>
      <c r="E3462" t="s">
        <v>2590</v>
      </c>
    </row>
    <row r="3463" spans="1:5" x14ac:dyDescent="0.2">
      <c r="A3463">
        <v>3463</v>
      </c>
      <c r="B3463" t="s">
        <v>919</v>
      </c>
      <c r="C3463" t="s">
        <v>8234</v>
      </c>
      <c r="D3463" t="s">
        <v>8236</v>
      </c>
      <c r="E3463" t="s">
        <v>2590</v>
      </c>
    </row>
    <row r="3464" spans="1:5" x14ac:dyDescent="0.2">
      <c r="A3464">
        <v>3464</v>
      </c>
      <c r="B3464" t="s">
        <v>919</v>
      </c>
      <c r="C3464" t="s">
        <v>8234</v>
      </c>
      <c r="D3464" t="s">
        <v>8237</v>
      </c>
      <c r="E3464" t="s">
        <v>2590</v>
      </c>
    </row>
    <row r="3465" spans="1:5" x14ac:dyDescent="0.2">
      <c r="A3465">
        <v>3465</v>
      </c>
      <c r="B3465" t="s">
        <v>919</v>
      </c>
      <c r="C3465" t="s">
        <v>8238</v>
      </c>
      <c r="D3465" t="s">
        <v>8239</v>
      </c>
      <c r="E3465" t="s">
        <v>2590</v>
      </c>
    </row>
    <row r="3466" spans="1:5" x14ac:dyDescent="0.2">
      <c r="A3466">
        <v>3466</v>
      </c>
      <c r="B3466" t="s">
        <v>919</v>
      </c>
      <c r="C3466" t="s">
        <v>8238</v>
      </c>
      <c r="D3466" t="s">
        <v>8240</v>
      </c>
      <c r="E3466" t="s">
        <v>2590</v>
      </c>
    </row>
    <row r="3467" spans="1:5" x14ac:dyDescent="0.2">
      <c r="A3467">
        <v>3467</v>
      </c>
      <c r="B3467" t="s">
        <v>919</v>
      </c>
      <c r="C3467" t="s">
        <v>8241</v>
      </c>
      <c r="D3467" t="s">
        <v>8242</v>
      </c>
      <c r="E3467" t="s">
        <v>2590</v>
      </c>
    </row>
    <row r="3468" spans="1:5" x14ac:dyDescent="0.2">
      <c r="A3468">
        <v>3468</v>
      </c>
      <c r="B3468" t="s">
        <v>919</v>
      </c>
      <c r="C3468" t="s">
        <v>8241</v>
      </c>
      <c r="D3468" t="s">
        <v>8243</v>
      </c>
      <c r="E3468" t="s">
        <v>2590</v>
      </c>
    </row>
    <row r="3469" spans="1:5" x14ac:dyDescent="0.2">
      <c r="A3469">
        <v>3469</v>
      </c>
      <c r="B3469" t="s">
        <v>919</v>
      </c>
      <c r="C3469" t="s">
        <v>8184</v>
      </c>
      <c r="D3469" t="s">
        <v>8244</v>
      </c>
      <c r="E3469" t="s">
        <v>2590</v>
      </c>
    </row>
    <row r="3470" spans="1:5" x14ac:dyDescent="0.2">
      <c r="A3470">
        <v>3470</v>
      </c>
      <c r="B3470" t="s">
        <v>919</v>
      </c>
      <c r="C3470" t="s">
        <v>8184</v>
      </c>
      <c r="D3470" t="s">
        <v>8245</v>
      </c>
      <c r="E3470" t="s">
        <v>2590</v>
      </c>
    </row>
    <row r="3471" spans="1:5" x14ac:dyDescent="0.2">
      <c r="A3471">
        <v>3471</v>
      </c>
      <c r="B3471" t="s">
        <v>919</v>
      </c>
      <c r="C3471" t="s">
        <v>8188</v>
      </c>
      <c r="D3471" t="s">
        <v>8246</v>
      </c>
      <c r="E3471" t="s">
        <v>2590</v>
      </c>
    </row>
    <row r="3472" spans="1:5" x14ac:dyDescent="0.2">
      <c r="A3472">
        <v>3472</v>
      </c>
      <c r="B3472" t="s">
        <v>921</v>
      </c>
      <c r="C3472" t="s">
        <v>8247</v>
      </c>
      <c r="D3472" t="s">
        <v>8248</v>
      </c>
      <c r="E3472" t="s">
        <v>1719</v>
      </c>
    </row>
    <row r="3473" spans="1:5" x14ac:dyDescent="0.2">
      <c r="A3473">
        <v>3473</v>
      </c>
      <c r="B3473" t="s">
        <v>921</v>
      </c>
      <c r="C3473" t="s">
        <v>8249</v>
      </c>
      <c r="D3473" t="s">
        <v>8250</v>
      </c>
      <c r="E3473" t="s">
        <v>1719</v>
      </c>
    </row>
    <row r="3474" spans="1:5" x14ac:dyDescent="0.2">
      <c r="A3474">
        <v>3474</v>
      </c>
      <c r="B3474" t="s">
        <v>921</v>
      </c>
      <c r="C3474" t="s">
        <v>8251</v>
      </c>
      <c r="D3474" t="s">
        <v>8252</v>
      </c>
      <c r="E3474" t="s">
        <v>1719</v>
      </c>
    </row>
    <row r="3475" spans="1:5" x14ac:dyDescent="0.2">
      <c r="A3475">
        <v>3475</v>
      </c>
      <c r="B3475" t="s">
        <v>921</v>
      </c>
      <c r="C3475" t="s">
        <v>8253</v>
      </c>
      <c r="D3475" t="s">
        <v>8254</v>
      </c>
      <c r="E3475" t="s">
        <v>1719</v>
      </c>
    </row>
    <row r="3476" spans="1:5" x14ac:dyDescent="0.2">
      <c r="A3476">
        <v>3476</v>
      </c>
      <c r="B3476" t="s">
        <v>921</v>
      </c>
      <c r="C3476" t="s">
        <v>8255</v>
      </c>
      <c r="D3476" t="s">
        <v>8256</v>
      </c>
      <c r="E3476" t="s">
        <v>1719</v>
      </c>
    </row>
    <row r="3477" spans="1:5" x14ac:dyDescent="0.2">
      <c r="A3477">
        <v>3477</v>
      </c>
      <c r="B3477" t="s">
        <v>921</v>
      </c>
      <c r="C3477" t="s">
        <v>8257</v>
      </c>
      <c r="D3477" t="s">
        <v>8258</v>
      </c>
      <c r="E3477" t="s">
        <v>1719</v>
      </c>
    </row>
    <row r="3478" spans="1:5" x14ac:dyDescent="0.2">
      <c r="A3478">
        <v>3478</v>
      </c>
      <c r="B3478" t="s">
        <v>921</v>
      </c>
      <c r="C3478" t="s">
        <v>8257</v>
      </c>
      <c r="D3478" t="s">
        <v>8259</v>
      </c>
      <c r="E3478" t="s">
        <v>1719</v>
      </c>
    </row>
    <row r="3479" spans="1:5" x14ac:dyDescent="0.2">
      <c r="A3479">
        <v>3479</v>
      </c>
      <c r="B3479" t="s">
        <v>921</v>
      </c>
      <c r="C3479" t="s">
        <v>8260</v>
      </c>
      <c r="D3479" t="s">
        <v>8261</v>
      </c>
      <c r="E3479" t="s">
        <v>1719</v>
      </c>
    </row>
    <row r="3480" spans="1:5" x14ac:dyDescent="0.2">
      <c r="A3480">
        <v>3480</v>
      </c>
      <c r="B3480" t="s">
        <v>921</v>
      </c>
      <c r="C3480" t="s">
        <v>8260</v>
      </c>
      <c r="D3480" t="s">
        <v>8262</v>
      </c>
      <c r="E3480" t="s">
        <v>1719</v>
      </c>
    </row>
    <row r="3481" spans="1:5" x14ac:dyDescent="0.2">
      <c r="A3481">
        <v>3481</v>
      </c>
      <c r="B3481" t="s">
        <v>921</v>
      </c>
      <c r="C3481" t="s">
        <v>8263</v>
      </c>
      <c r="D3481" t="s">
        <v>8264</v>
      </c>
      <c r="E3481" t="s">
        <v>1719</v>
      </c>
    </row>
    <row r="3482" spans="1:5" x14ac:dyDescent="0.2">
      <c r="A3482">
        <v>3482</v>
      </c>
      <c r="B3482" t="s">
        <v>921</v>
      </c>
      <c r="C3482" t="s">
        <v>8265</v>
      </c>
      <c r="D3482" t="s">
        <v>8266</v>
      </c>
      <c r="E3482" t="s">
        <v>2087</v>
      </c>
    </row>
    <row r="3483" spans="1:5" x14ac:dyDescent="0.2">
      <c r="A3483">
        <v>3483</v>
      </c>
      <c r="B3483" t="s">
        <v>921</v>
      </c>
      <c r="C3483" t="s">
        <v>8267</v>
      </c>
      <c r="D3483" t="s">
        <v>8268</v>
      </c>
      <c r="E3483" t="s">
        <v>1719</v>
      </c>
    </row>
    <row r="3484" spans="1:5" x14ac:dyDescent="0.2">
      <c r="A3484">
        <v>3484</v>
      </c>
      <c r="B3484" t="s">
        <v>921</v>
      </c>
      <c r="C3484" t="s">
        <v>8269</v>
      </c>
      <c r="D3484" t="s">
        <v>8270</v>
      </c>
      <c r="E3484" t="s">
        <v>1719</v>
      </c>
    </row>
    <row r="3485" spans="1:5" x14ac:dyDescent="0.2">
      <c r="A3485">
        <v>3485</v>
      </c>
      <c r="B3485" t="s">
        <v>921</v>
      </c>
      <c r="C3485" t="s">
        <v>8271</v>
      </c>
      <c r="D3485" t="s">
        <v>8272</v>
      </c>
      <c r="E3485" t="s">
        <v>1719</v>
      </c>
    </row>
    <row r="3486" spans="1:5" x14ac:dyDescent="0.2">
      <c r="A3486">
        <v>3486</v>
      </c>
      <c r="B3486" t="s">
        <v>921</v>
      </c>
      <c r="C3486" t="s">
        <v>8273</v>
      </c>
      <c r="D3486" t="s">
        <v>8274</v>
      </c>
      <c r="E3486" t="s">
        <v>1719</v>
      </c>
    </row>
    <row r="3487" spans="1:5" x14ac:dyDescent="0.2">
      <c r="A3487">
        <v>3487</v>
      </c>
      <c r="B3487" t="s">
        <v>921</v>
      </c>
      <c r="C3487" t="s">
        <v>8275</v>
      </c>
      <c r="D3487" t="s">
        <v>8276</v>
      </c>
      <c r="E3487" t="s">
        <v>1719</v>
      </c>
    </row>
    <row r="3488" spans="1:5" x14ac:dyDescent="0.2">
      <c r="A3488">
        <v>3488</v>
      </c>
      <c r="B3488" t="s">
        <v>921</v>
      </c>
      <c r="C3488" t="s">
        <v>8275</v>
      </c>
      <c r="D3488" t="s">
        <v>8277</v>
      </c>
      <c r="E3488" t="s">
        <v>1719</v>
      </c>
    </row>
    <row r="3489" spans="1:5" x14ac:dyDescent="0.2">
      <c r="A3489">
        <v>3489</v>
      </c>
      <c r="B3489" t="s">
        <v>921</v>
      </c>
      <c r="C3489" t="s">
        <v>8278</v>
      </c>
      <c r="D3489" t="s">
        <v>8279</v>
      </c>
      <c r="E3489" t="s">
        <v>2087</v>
      </c>
    </row>
    <row r="3490" spans="1:5" x14ac:dyDescent="0.2">
      <c r="A3490">
        <v>3490</v>
      </c>
      <c r="B3490" t="s">
        <v>921</v>
      </c>
      <c r="C3490" t="s">
        <v>8280</v>
      </c>
      <c r="D3490" t="s">
        <v>8281</v>
      </c>
      <c r="E3490" t="s">
        <v>1719</v>
      </c>
    </row>
    <row r="3491" spans="1:5" x14ac:dyDescent="0.2">
      <c r="A3491">
        <v>3491</v>
      </c>
      <c r="B3491" t="s">
        <v>921</v>
      </c>
      <c r="C3491" t="s">
        <v>8282</v>
      </c>
      <c r="D3491" t="s">
        <v>8283</v>
      </c>
      <c r="E3491" t="s">
        <v>1719</v>
      </c>
    </row>
    <row r="3492" spans="1:5" x14ac:dyDescent="0.2">
      <c r="A3492">
        <v>3492</v>
      </c>
      <c r="B3492" t="s">
        <v>921</v>
      </c>
      <c r="C3492" t="s">
        <v>8284</v>
      </c>
      <c r="D3492" t="s">
        <v>8285</v>
      </c>
      <c r="E3492" t="s">
        <v>1719</v>
      </c>
    </row>
    <row r="3493" spans="1:5" x14ac:dyDescent="0.2">
      <c r="A3493">
        <v>3493</v>
      </c>
      <c r="B3493" t="s">
        <v>921</v>
      </c>
      <c r="C3493" t="s">
        <v>8286</v>
      </c>
      <c r="D3493" t="s">
        <v>8287</v>
      </c>
      <c r="E3493" t="s">
        <v>1719</v>
      </c>
    </row>
    <row r="3494" spans="1:5" x14ac:dyDescent="0.2">
      <c r="A3494">
        <v>3494</v>
      </c>
      <c r="B3494" t="s">
        <v>921</v>
      </c>
      <c r="C3494" t="s">
        <v>8286</v>
      </c>
      <c r="D3494" t="s">
        <v>8288</v>
      </c>
      <c r="E3494" t="s">
        <v>1719</v>
      </c>
    </row>
    <row r="3495" spans="1:5" x14ac:dyDescent="0.2">
      <c r="A3495">
        <v>3495</v>
      </c>
      <c r="B3495" t="s">
        <v>921</v>
      </c>
      <c r="C3495" t="s">
        <v>8289</v>
      </c>
      <c r="D3495" t="s">
        <v>8290</v>
      </c>
      <c r="E3495" t="s">
        <v>2087</v>
      </c>
    </row>
    <row r="3496" spans="1:5" x14ac:dyDescent="0.2">
      <c r="A3496">
        <v>3496</v>
      </c>
      <c r="B3496" t="s">
        <v>921</v>
      </c>
      <c r="C3496" t="s">
        <v>8291</v>
      </c>
      <c r="D3496" t="s">
        <v>8292</v>
      </c>
      <c r="E3496" t="s">
        <v>1719</v>
      </c>
    </row>
    <row r="3497" spans="1:5" x14ac:dyDescent="0.2">
      <c r="A3497">
        <v>3497</v>
      </c>
      <c r="B3497" t="s">
        <v>921</v>
      </c>
      <c r="C3497" t="s">
        <v>8293</v>
      </c>
      <c r="D3497" t="s">
        <v>8294</v>
      </c>
      <c r="E3497" t="s">
        <v>2087</v>
      </c>
    </row>
    <row r="3498" spans="1:5" x14ac:dyDescent="0.2">
      <c r="A3498">
        <v>3498</v>
      </c>
      <c r="B3498" t="s">
        <v>921</v>
      </c>
      <c r="C3498" t="s">
        <v>8295</v>
      </c>
      <c r="D3498" t="s">
        <v>8296</v>
      </c>
      <c r="E3498" t="s">
        <v>1719</v>
      </c>
    </row>
    <row r="3499" spans="1:5" x14ac:dyDescent="0.2">
      <c r="A3499">
        <v>3499</v>
      </c>
      <c r="B3499" t="s">
        <v>921</v>
      </c>
      <c r="C3499" t="s">
        <v>8297</v>
      </c>
      <c r="D3499" t="s">
        <v>8298</v>
      </c>
      <c r="E3499" t="s">
        <v>1719</v>
      </c>
    </row>
    <row r="3500" spans="1:5" x14ac:dyDescent="0.2">
      <c r="A3500">
        <v>3500</v>
      </c>
      <c r="B3500" t="s">
        <v>921</v>
      </c>
      <c r="C3500" t="s">
        <v>8299</v>
      </c>
      <c r="D3500" t="s">
        <v>8300</v>
      </c>
      <c r="E3500" t="s">
        <v>1719</v>
      </c>
    </row>
    <row r="3501" spans="1:5" x14ac:dyDescent="0.2">
      <c r="A3501">
        <v>3501</v>
      </c>
      <c r="B3501" t="s">
        <v>921</v>
      </c>
      <c r="C3501" t="s">
        <v>8301</v>
      </c>
      <c r="D3501" t="s">
        <v>8302</v>
      </c>
      <c r="E3501" t="s">
        <v>1719</v>
      </c>
    </row>
    <row r="3502" spans="1:5" x14ac:dyDescent="0.2">
      <c r="A3502">
        <v>3502</v>
      </c>
      <c r="B3502" t="s">
        <v>921</v>
      </c>
      <c r="C3502" t="s">
        <v>8303</v>
      </c>
      <c r="D3502" t="s">
        <v>8304</v>
      </c>
      <c r="E3502" t="s">
        <v>2087</v>
      </c>
    </row>
    <row r="3503" spans="1:5" x14ac:dyDescent="0.2">
      <c r="A3503">
        <v>3503</v>
      </c>
      <c r="B3503" t="s">
        <v>921</v>
      </c>
      <c r="C3503" t="s">
        <v>8305</v>
      </c>
      <c r="D3503" t="s">
        <v>8306</v>
      </c>
      <c r="E3503" t="s">
        <v>1719</v>
      </c>
    </row>
    <row r="3504" spans="1:5" x14ac:dyDescent="0.2">
      <c r="A3504">
        <v>3504</v>
      </c>
      <c r="B3504" t="s">
        <v>921</v>
      </c>
      <c r="C3504" t="s">
        <v>8307</v>
      </c>
      <c r="D3504" t="s">
        <v>8308</v>
      </c>
      <c r="E3504" t="s">
        <v>1719</v>
      </c>
    </row>
    <row r="3505" spans="1:5" x14ac:dyDescent="0.2">
      <c r="A3505">
        <v>3505</v>
      </c>
      <c r="B3505" t="s">
        <v>921</v>
      </c>
      <c r="C3505" t="s">
        <v>8309</v>
      </c>
      <c r="D3505" t="s">
        <v>8310</v>
      </c>
      <c r="E3505" t="s">
        <v>1719</v>
      </c>
    </row>
    <row r="3506" spans="1:5" x14ac:dyDescent="0.2">
      <c r="A3506">
        <v>3506</v>
      </c>
      <c r="B3506" t="s">
        <v>921</v>
      </c>
      <c r="C3506" t="s">
        <v>8311</v>
      </c>
      <c r="D3506" t="s">
        <v>8312</v>
      </c>
      <c r="E3506" t="s">
        <v>2087</v>
      </c>
    </row>
    <row r="3507" spans="1:5" x14ac:dyDescent="0.2">
      <c r="A3507">
        <v>3507</v>
      </c>
      <c r="B3507" t="s">
        <v>921</v>
      </c>
      <c r="C3507" t="s">
        <v>8313</v>
      </c>
      <c r="D3507" t="s">
        <v>8314</v>
      </c>
      <c r="E3507" t="s">
        <v>2087</v>
      </c>
    </row>
    <row r="3508" spans="1:5" x14ac:dyDescent="0.2">
      <c r="A3508">
        <v>3508</v>
      </c>
      <c r="B3508" t="s">
        <v>921</v>
      </c>
      <c r="C3508" t="s">
        <v>8315</v>
      </c>
      <c r="D3508" t="s">
        <v>8316</v>
      </c>
      <c r="E3508" t="s">
        <v>1719</v>
      </c>
    </row>
    <row r="3509" spans="1:5" x14ac:dyDescent="0.2">
      <c r="A3509">
        <v>3509</v>
      </c>
      <c r="B3509" t="s">
        <v>921</v>
      </c>
      <c r="C3509" t="s">
        <v>8317</v>
      </c>
      <c r="D3509" t="s">
        <v>8318</v>
      </c>
      <c r="E3509" t="s">
        <v>2087</v>
      </c>
    </row>
    <row r="3510" spans="1:5" x14ac:dyDescent="0.2">
      <c r="A3510">
        <v>3510</v>
      </c>
      <c r="B3510" t="s">
        <v>921</v>
      </c>
      <c r="C3510" t="s">
        <v>8319</v>
      </c>
      <c r="D3510" t="s">
        <v>8320</v>
      </c>
      <c r="E3510" t="s">
        <v>1719</v>
      </c>
    </row>
    <row r="3511" spans="1:5" x14ac:dyDescent="0.2">
      <c r="A3511">
        <v>3511</v>
      </c>
      <c r="B3511" t="s">
        <v>921</v>
      </c>
      <c r="C3511" t="s">
        <v>8321</v>
      </c>
      <c r="D3511" t="s">
        <v>8322</v>
      </c>
      <c r="E3511" t="s">
        <v>2087</v>
      </c>
    </row>
    <row r="3512" spans="1:5" x14ac:dyDescent="0.2">
      <c r="A3512">
        <v>3512</v>
      </c>
      <c r="B3512" t="s">
        <v>921</v>
      </c>
      <c r="C3512" t="s">
        <v>8323</v>
      </c>
      <c r="D3512" t="s">
        <v>8324</v>
      </c>
      <c r="E3512" t="s">
        <v>1719</v>
      </c>
    </row>
    <row r="3513" spans="1:5" x14ac:dyDescent="0.2">
      <c r="A3513">
        <v>3513</v>
      </c>
      <c r="B3513" t="s">
        <v>921</v>
      </c>
      <c r="C3513" t="s">
        <v>8325</v>
      </c>
      <c r="D3513" t="s">
        <v>8326</v>
      </c>
      <c r="E3513" t="s">
        <v>1719</v>
      </c>
    </row>
    <row r="3514" spans="1:5" x14ac:dyDescent="0.2">
      <c r="A3514">
        <v>3514</v>
      </c>
      <c r="B3514" t="s">
        <v>921</v>
      </c>
      <c r="C3514" t="s">
        <v>8327</v>
      </c>
      <c r="D3514" t="s">
        <v>8328</v>
      </c>
      <c r="E3514" t="s">
        <v>1719</v>
      </c>
    </row>
    <row r="3515" spans="1:5" x14ac:dyDescent="0.2">
      <c r="A3515">
        <v>3515</v>
      </c>
      <c r="B3515" t="s">
        <v>921</v>
      </c>
      <c r="C3515" t="s">
        <v>8329</v>
      </c>
      <c r="D3515" t="s">
        <v>8330</v>
      </c>
      <c r="E3515" t="s">
        <v>1719</v>
      </c>
    </row>
    <row r="3516" spans="1:5" x14ac:dyDescent="0.2">
      <c r="A3516">
        <v>3516</v>
      </c>
      <c r="B3516" t="s">
        <v>921</v>
      </c>
      <c r="C3516" t="s">
        <v>8331</v>
      </c>
      <c r="D3516" t="s">
        <v>8332</v>
      </c>
      <c r="E3516" t="s">
        <v>1719</v>
      </c>
    </row>
    <row r="3517" spans="1:5" x14ac:dyDescent="0.2">
      <c r="A3517">
        <v>3517</v>
      </c>
      <c r="B3517" t="s">
        <v>921</v>
      </c>
      <c r="C3517" t="s">
        <v>8333</v>
      </c>
      <c r="D3517" t="s">
        <v>8334</v>
      </c>
      <c r="E3517" t="s">
        <v>2087</v>
      </c>
    </row>
    <row r="3518" spans="1:5" x14ac:dyDescent="0.2">
      <c r="A3518">
        <v>3518</v>
      </c>
      <c r="B3518" t="s">
        <v>921</v>
      </c>
      <c r="C3518" t="s">
        <v>8335</v>
      </c>
      <c r="D3518" t="s">
        <v>8336</v>
      </c>
      <c r="E3518" t="s">
        <v>1719</v>
      </c>
    </row>
    <row r="3519" spans="1:5" x14ac:dyDescent="0.2">
      <c r="A3519">
        <v>3519</v>
      </c>
      <c r="B3519" t="s">
        <v>921</v>
      </c>
      <c r="C3519" t="s">
        <v>8335</v>
      </c>
      <c r="D3519" t="s">
        <v>8337</v>
      </c>
      <c r="E3519" t="s">
        <v>1719</v>
      </c>
    </row>
    <row r="3520" spans="1:5" x14ac:dyDescent="0.2">
      <c r="A3520">
        <v>3520</v>
      </c>
      <c r="B3520" t="s">
        <v>921</v>
      </c>
      <c r="C3520" t="s">
        <v>8249</v>
      </c>
      <c r="D3520" t="s">
        <v>8338</v>
      </c>
      <c r="E3520" t="s">
        <v>1719</v>
      </c>
    </row>
    <row r="3521" spans="1:5" x14ac:dyDescent="0.2">
      <c r="A3521">
        <v>3521</v>
      </c>
      <c r="B3521" t="s">
        <v>921</v>
      </c>
      <c r="C3521" t="s">
        <v>8325</v>
      </c>
      <c r="D3521" t="s">
        <v>8339</v>
      </c>
      <c r="E3521" t="s">
        <v>1719</v>
      </c>
    </row>
    <row r="3522" spans="1:5" x14ac:dyDescent="0.2">
      <c r="A3522">
        <v>3522</v>
      </c>
      <c r="B3522" t="s">
        <v>921</v>
      </c>
      <c r="C3522" t="s">
        <v>8340</v>
      </c>
      <c r="D3522" t="s">
        <v>8341</v>
      </c>
      <c r="E3522" t="s">
        <v>1719</v>
      </c>
    </row>
    <row r="3523" spans="1:5" x14ac:dyDescent="0.2">
      <c r="A3523">
        <v>3523</v>
      </c>
      <c r="B3523" t="s">
        <v>921</v>
      </c>
      <c r="C3523" t="s">
        <v>8295</v>
      </c>
      <c r="D3523" t="s">
        <v>8342</v>
      </c>
      <c r="E3523" t="s">
        <v>1719</v>
      </c>
    </row>
    <row r="3524" spans="1:5" x14ac:dyDescent="0.2">
      <c r="A3524">
        <v>3524</v>
      </c>
      <c r="B3524" t="s">
        <v>921</v>
      </c>
      <c r="C3524" t="s">
        <v>8343</v>
      </c>
      <c r="D3524" t="s">
        <v>8344</v>
      </c>
      <c r="E3524" t="s">
        <v>1719</v>
      </c>
    </row>
    <row r="3525" spans="1:5" x14ac:dyDescent="0.2">
      <c r="A3525">
        <v>3525</v>
      </c>
      <c r="B3525" t="s">
        <v>921</v>
      </c>
      <c r="C3525" t="s">
        <v>8345</v>
      </c>
      <c r="D3525" t="s">
        <v>8346</v>
      </c>
      <c r="E3525" t="s">
        <v>1719</v>
      </c>
    </row>
    <row r="3526" spans="1:5" x14ac:dyDescent="0.2">
      <c r="A3526">
        <v>3526</v>
      </c>
      <c r="B3526" t="s">
        <v>921</v>
      </c>
      <c r="C3526" t="s">
        <v>8347</v>
      </c>
      <c r="D3526" t="s">
        <v>8348</v>
      </c>
      <c r="E3526" t="s">
        <v>1719</v>
      </c>
    </row>
    <row r="3527" spans="1:5" x14ac:dyDescent="0.2">
      <c r="A3527">
        <v>3527</v>
      </c>
      <c r="B3527" t="s">
        <v>921</v>
      </c>
      <c r="C3527" t="s">
        <v>8349</v>
      </c>
      <c r="D3527" t="s">
        <v>8350</v>
      </c>
      <c r="E3527" t="s">
        <v>1719</v>
      </c>
    </row>
    <row r="3528" spans="1:5" x14ac:dyDescent="0.2">
      <c r="A3528">
        <v>3528</v>
      </c>
      <c r="B3528" t="s">
        <v>921</v>
      </c>
      <c r="C3528" t="s">
        <v>8351</v>
      </c>
      <c r="D3528" t="s">
        <v>8352</v>
      </c>
      <c r="E3528" t="s">
        <v>1719</v>
      </c>
    </row>
    <row r="3529" spans="1:5" x14ac:dyDescent="0.2">
      <c r="A3529">
        <v>3529</v>
      </c>
      <c r="B3529" t="s">
        <v>921</v>
      </c>
      <c r="C3529" t="s">
        <v>8353</v>
      </c>
      <c r="D3529" t="s">
        <v>8354</v>
      </c>
      <c r="E3529" t="s">
        <v>2087</v>
      </c>
    </row>
    <row r="3530" spans="1:5" x14ac:dyDescent="0.2">
      <c r="A3530">
        <v>3530</v>
      </c>
      <c r="B3530" t="s">
        <v>921</v>
      </c>
      <c r="C3530" t="s">
        <v>8340</v>
      </c>
      <c r="D3530" t="s">
        <v>8355</v>
      </c>
      <c r="E3530" t="s">
        <v>1719</v>
      </c>
    </row>
    <row r="3531" spans="1:5" x14ac:dyDescent="0.2">
      <c r="A3531">
        <v>3531</v>
      </c>
      <c r="B3531" t="s">
        <v>921</v>
      </c>
      <c r="C3531" t="s">
        <v>8356</v>
      </c>
      <c r="D3531" t="s">
        <v>8357</v>
      </c>
      <c r="E3531" t="s">
        <v>1719</v>
      </c>
    </row>
    <row r="3532" spans="1:5" x14ac:dyDescent="0.2">
      <c r="A3532">
        <v>3532</v>
      </c>
      <c r="B3532" t="s">
        <v>921</v>
      </c>
      <c r="C3532" t="s">
        <v>8358</v>
      </c>
      <c r="D3532" t="s">
        <v>8359</v>
      </c>
      <c r="E3532" t="s">
        <v>1719</v>
      </c>
    </row>
    <row r="3533" spans="1:5" x14ac:dyDescent="0.2">
      <c r="A3533">
        <v>3533</v>
      </c>
      <c r="B3533" t="s">
        <v>921</v>
      </c>
      <c r="C3533" t="s">
        <v>8351</v>
      </c>
      <c r="D3533" t="s">
        <v>8360</v>
      </c>
      <c r="E3533" t="s">
        <v>1719</v>
      </c>
    </row>
    <row r="3534" spans="1:5" x14ac:dyDescent="0.2">
      <c r="A3534">
        <v>3534</v>
      </c>
      <c r="B3534" t="s">
        <v>921</v>
      </c>
      <c r="C3534" t="s">
        <v>8361</v>
      </c>
      <c r="D3534" t="s">
        <v>8362</v>
      </c>
      <c r="E3534" t="s">
        <v>1719</v>
      </c>
    </row>
    <row r="3535" spans="1:5" x14ac:dyDescent="0.2">
      <c r="A3535">
        <v>3535</v>
      </c>
      <c r="B3535" t="s">
        <v>921</v>
      </c>
      <c r="C3535" t="s">
        <v>8307</v>
      </c>
      <c r="D3535" t="s">
        <v>8363</v>
      </c>
      <c r="E3535" t="s">
        <v>1719</v>
      </c>
    </row>
    <row r="3536" spans="1:5" x14ac:dyDescent="0.2">
      <c r="A3536">
        <v>3536</v>
      </c>
      <c r="B3536" t="s">
        <v>921</v>
      </c>
      <c r="C3536" t="s">
        <v>8291</v>
      </c>
      <c r="D3536" t="s">
        <v>8364</v>
      </c>
      <c r="E3536" t="s">
        <v>1719</v>
      </c>
    </row>
    <row r="3537" spans="1:5" x14ac:dyDescent="0.2">
      <c r="A3537">
        <v>3537</v>
      </c>
      <c r="B3537" t="s">
        <v>921</v>
      </c>
      <c r="C3537" t="s">
        <v>8365</v>
      </c>
      <c r="D3537" t="s">
        <v>8366</v>
      </c>
      <c r="E3537" t="s">
        <v>1719</v>
      </c>
    </row>
    <row r="3538" spans="1:5" x14ac:dyDescent="0.2">
      <c r="A3538">
        <v>3538</v>
      </c>
      <c r="B3538" t="s">
        <v>921</v>
      </c>
      <c r="C3538" t="s">
        <v>8299</v>
      </c>
      <c r="D3538" t="s">
        <v>8367</v>
      </c>
      <c r="E3538" t="s">
        <v>1719</v>
      </c>
    </row>
    <row r="3539" spans="1:5" x14ac:dyDescent="0.2">
      <c r="A3539">
        <v>3539</v>
      </c>
      <c r="B3539" t="s">
        <v>921</v>
      </c>
      <c r="C3539" t="s">
        <v>8368</v>
      </c>
      <c r="D3539" t="s">
        <v>8369</v>
      </c>
      <c r="E3539" t="s">
        <v>1719</v>
      </c>
    </row>
    <row r="3540" spans="1:5" x14ac:dyDescent="0.2">
      <c r="A3540">
        <v>3540</v>
      </c>
      <c r="B3540" t="s">
        <v>921</v>
      </c>
      <c r="C3540" t="s">
        <v>8370</v>
      </c>
      <c r="D3540" t="s">
        <v>8371</v>
      </c>
      <c r="E3540" t="s">
        <v>1719</v>
      </c>
    </row>
    <row r="3541" spans="1:5" x14ac:dyDescent="0.2">
      <c r="A3541">
        <v>3541</v>
      </c>
      <c r="B3541" t="s">
        <v>921</v>
      </c>
      <c r="C3541" t="s">
        <v>8372</v>
      </c>
      <c r="D3541" t="s">
        <v>8373</v>
      </c>
      <c r="E3541" t="s">
        <v>1719</v>
      </c>
    </row>
    <row r="3542" spans="1:5" x14ac:dyDescent="0.2">
      <c r="A3542">
        <v>3542</v>
      </c>
      <c r="B3542" t="s">
        <v>921</v>
      </c>
      <c r="C3542" t="s">
        <v>8301</v>
      </c>
      <c r="D3542" t="s">
        <v>8374</v>
      </c>
      <c r="E3542" t="s">
        <v>1719</v>
      </c>
    </row>
    <row r="3543" spans="1:5" x14ac:dyDescent="0.2">
      <c r="A3543">
        <v>3543</v>
      </c>
      <c r="B3543" t="s">
        <v>921</v>
      </c>
      <c r="C3543" t="s">
        <v>8305</v>
      </c>
      <c r="D3543" t="s">
        <v>8375</v>
      </c>
      <c r="E3543" t="s">
        <v>1719</v>
      </c>
    </row>
    <row r="3544" spans="1:5" x14ac:dyDescent="0.2">
      <c r="A3544">
        <v>3544</v>
      </c>
      <c r="B3544" t="s">
        <v>921</v>
      </c>
      <c r="C3544" t="s">
        <v>8376</v>
      </c>
      <c r="D3544" t="s">
        <v>8377</v>
      </c>
      <c r="E3544" t="s">
        <v>1719</v>
      </c>
    </row>
    <row r="3545" spans="1:5" x14ac:dyDescent="0.2">
      <c r="A3545">
        <v>3545</v>
      </c>
      <c r="B3545" t="s">
        <v>921</v>
      </c>
      <c r="C3545" t="s">
        <v>8378</v>
      </c>
      <c r="D3545" t="s">
        <v>8379</v>
      </c>
      <c r="E3545" t="s">
        <v>1719</v>
      </c>
    </row>
    <row r="3546" spans="1:5" x14ac:dyDescent="0.2">
      <c r="A3546">
        <v>3546</v>
      </c>
      <c r="B3546" t="s">
        <v>921</v>
      </c>
      <c r="C3546" t="s">
        <v>8380</v>
      </c>
      <c r="D3546" t="s">
        <v>8381</v>
      </c>
      <c r="E3546" t="s">
        <v>1719</v>
      </c>
    </row>
    <row r="3547" spans="1:5" x14ac:dyDescent="0.2">
      <c r="A3547">
        <v>3547</v>
      </c>
      <c r="B3547" t="s">
        <v>921</v>
      </c>
      <c r="C3547" t="s">
        <v>8319</v>
      </c>
      <c r="D3547" t="s">
        <v>8382</v>
      </c>
      <c r="E3547" t="s">
        <v>1719</v>
      </c>
    </row>
    <row r="3548" spans="1:5" x14ac:dyDescent="0.2">
      <c r="A3548">
        <v>3548</v>
      </c>
      <c r="B3548" t="s">
        <v>921</v>
      </c>
      <c r="C3548" t="s">
        <v>8383</v>
      </c>
      <c r="D3548" t="s">
        <v>8384</v>
      </c>
      <c r="E3548" t="s">
        <v>1719</v>
      </c>
    </row>
    <row r="3549" spans="1:5" x14ac:dyDescent="0.2">
      <c r="A3549">
        <v>3549</v>
      </c>
      <c r="B3549" t="s">
        <v>921</v>
      </c>
      <c r="C3549" t="s">
        <v>8383</v>
      </c>
      <c r="D3549" t="s">
        <v>8385</v>
      </c>
      <c r="E3549" t="s">
        <v>1719</v>
      </c>
    </row>
    <row r="3550" spans="1:5" x14ac:dyDescent="0.2">
      <c r="A3550">
        <v>3550</v>
      </c>
      <c r="B3550" t="s">
        <v>921</v>
      </c>
      <c r="C3550" t="s">
        <v>8386</v>
      </c>
      <c r="D3550" t="s">
        <v>8387</v>
      </c>
      <c r="E3550" t="s">
        <v>1719</v>
      </c>
    </row>
    <row r="3551" spans="1:5" x14ac:dyDescent="0.2">
      <c r="A3551">
        <v>3551</v>
      </c>
      <c r="B3551" t="s">
        <v>921</v>
      </c>
      <c r="C3551" t="s">
        <v>8388</v>
      </c>
      <c r="D3551" t="s">
        <v>8389</v>
      </c>
      <c r="E3551" t="s">
        <v>1719</v>
      </c>
    </row>
    <row r="3552" spans="1:5" x14ac:dyDescent="0.2">
      <c r="A3552">
        <v>3552</v>
      </c>
      <c r="B3552" t="s">
        <v>921</v>
      </c>
      <c r="C3552" t="s">
        <v>8315</v>
      </c>
      <c r="D3552" t="s">
        <v>8390</v>
      </c>
      <c r="E3552" t="s">
        <v>1719</v>
      </c>
    </row>
    <row r="3553" spans="1:5" x14ac:dyDescent="0.2">
      <c r="A3553">
        <v>3553</v>
      </c>
      <c r="B3553" t="s">
        <v>921</v>
      </c>
      <c r="C3553" t="s">
        <v>8343</v>
      </c>
      <c r="D3553" t="s">
        <v>8391</v>
      </c>
      <c r="E3553" t="s">
        <v>1719</v>
      </c>
    </row>
    <row r="3554" spans="1:5" x14ac:dyDescent="0.2">
      <c r="A3554">
        <v>3554</v>
      </c>
      <c r="B3554" t="s">
        <v>921</v>
      </c>
      <c r="C3554" t="s">
        <v>8392</v>
      </c>
      <c r="D3554" t="s">
        <v>8393</v>
      </c>
      <c r="E3554" t="s">
        <v>1719</v>
      </c>
    </row>
    <row r="3555" spans="1:5" x14ac:dyDescent="0.2">
      <c r="A3555">
        <v>3555</v>
      </c>
      <c r="B3555" t="s">
        <v>921</v>
      </c>
      <c r="C3555" t="s">
        <v>8394</v>
      </c>
      <c r="D3555" t="s">
        <v>8395</v>
      </c>
      <c r="E3555" t="s">
        <v>1719</v>
      </c>
    </row>
    <row r="3556" spans="1:5" x14ac:dyDescent="0.2">
      <c r="A3556">
        <v>3556</v>
      </c>
      <c r="B3556" t="s">
        <v>921</v>
      </c>
      <c r="C3556" t="s">
        <v>8396</v>
      </c>
      <c r="D3556" t="s">
        <v>8397</v>
      </c>
      <c r="E3556" t="s">
        <v>2087</v>
      </c>
    </row>
    <row r="3557" spans="1:5" x14ac:dyDescent="0.2">
      <c r="A3557">
        <v>3557</v>
      </c>
      <c r="B3557" t="s">
        <v>921</v>
      </c>
      <c r="C3557" t="s">
        <v>8398</v>
      </c>
      <c r="D3557" t="s">
        <v>8399</v>
      </c>
      <c r="E3557" t="s">
        <v>1719</v>
      </c>
    </row>
    <row r="3558" spans="1:5" x14ac:dyDescent="0.2">
      <c r="A3558">
        <v>3558</v>
      </c>
      <c r="B3558" t="s">
        <v>921</v>
      </c>
      <c r="C3558" t="s">
        <v>8398</v>
      </c>
      <c r="D3558" t="s">
        <v>8400</v>
      </c>
      <c r="E3558" t="s">
        <v>1719</v>
      </c>
    </row>
    <row r="3559" spans="1:5" x14ac:dyDescent="0.2">
      <c r="A3559">
        <v>3559</v>
      </c>
      <c r="B3559" t="s">
        <v>921</v>
      </c>
      <c r="C3559" t="s">
        <v>8401</v>
      </c>
      <c r="D3559" t="s">
        <v>8402</v>
      </c>
      <c r="E3559" t="s">
        <v>1719</v>
      </c>
    </row>
    <row r="3560" spans="1:5" x14ac:dyDescent="0.2">
      <c r="A3560">
        <v>3560</v>
      </c>
      <c r="B3560" t="s">
        <v>921</v>
      </c>
      <c r="C3560" t="s">
        <v>8401</v>
      </c>
      <c r="D3560" t="s">
        <v>8403</v>
      </c>
      <c r="E3560" t="s">
        <v>1719</v>
      </c>
    </row>
    <row r="3561" spans="1:5" x14ac:dyDescent="0.2">
      <c r="A3561">
        <v>3561</v>
      </c>
      <c r="B3561" t="s">
        <v>921</v>
      </c>
      <c r="C3561" t="s">
        <v>8404</v>
      </c>
      <c r="D3561" t="s">
        <v>8405</v>
      </c>
      <c r="E3561" t="s">
        <v>1719</v>
      </c>
    </row>
    <row r="3562" spans="1:5" x14ac:dyDescent="0.2">
      <c r="A3562">
        <v>3562</v>
      </c>
      <c r="B3562" t="s">
        <v>921</v>
      </c>
      <c r="C3562" t="s">
        <v>8368</v>
      </c>
      <c r="D3562" t="s">
        <v>8406</v>
      </c>
      <c r="E3562" t="s">
        <v>1719</v>
      </c>
    </row>
    <row r="3563" spans="1:5" x14ac:dyDescent="0.2">
      <c r="A3563">
        <v>3563</v>
      </c>
      <c r="B3563" t="s">
        <v>921</v>
      </c>
      <c r="C3563" t="s">
        <v>8407</v>
      </c>
      <c r="D3563" t="s">
        <v>8408</v>
      </c>
      <c r="E3563" t="s">
        <v>1719</v>
      </c>
    </row>
    <row r="3564" spans="1:5" x14ac:dyDescent="0.2">
      <c r="A3564">
        <v>3564</v>
      </c>
      <c r="B3564" t="s">
        <v>921</v>
      </c>
      <c r="C3564" t="s">
        <v>8370</v>
      </c>
      <c r="D3564" t="s">
        <v>8409</v>
      </c>
      <c r="E3564" t="s">
        <v>1719</v>
      </c>
    </row>
    <row r="3565" spans="1:5" x14ac:dyDescent="0.2">
      <c r="A3565">
        <v>3565</v>
      </c>
      <c r="B3565" t="s">
        <v>921</v>
      </c>
      <c r="C3565" t="s">
        <v>8410</v>
      </c>
      <c r="D3565" t="s">
        <v>8411</v>
      </c>
      <c r="E3565" t="s">
        <v>1719</v>
      </c>
    </row>
    <row r="3566" spans="1:5" x14ac:dyDescent="0.2">
      <c r="A3566">
        <v>3566</v>
      </c>
      <c r="B3566" t="s">
        <v>921</v>
      </c>
      <c r="C3566" t="s">
        <v>8388</v>
      </c>
      <c r="D3566" t="s">
        <v>8412</v>
      </c>
      <c r="E3566" t="s">
        <v>1719</v>
      </c>
    </row>
    <row r="3567" spans="1:5" x14ac:dyDescent="0.2">
      <c r="A3567">
        <v>3567</v>
      </c>
      <c r="B3567" t="s">
        <v>921</v>
      </c>
      <c r="C3567" t="s">
        <v>8265</v>
      </c>
      <c r="D3567" t="s">
        <v>8413</v>
      </c>
      <c r="E3567" t="s">
        <v>2087</v>
      </c>
    </row>
    <row r="3568" spans="1:5" x14ac:dyDescent="0.2">
      <c r="A3568">
        <v>3568</v>
      </c>
      <c r="B3568" t="s">
        <v>921</v>
      </c>
      <c r="C3568" t="s">
        <v>8414</v>
      </c>
      <c r="D3568" t="s">
        <v>8415</v>
      </c>
      <c r="E3568" t="s">
        <v>2087</v>
      </c>
    </row>
    <row r="3569" spans="1:5" x14ac:dyDescent="0.2">
      <c r="A3569">
        <v>3569</v>
      </c>
      <c r="B3569" t="s">
        <v>921</v>
      </c>
      <c r="C3569" t="s">
        <v>8372</v>
      </c>
      <c r="D3569" t="s">
        <v>8416</v>
      </c>
      <c r="E3569" t="s">
        <v>1719</v>
      </c>
    </row>
    <row r="3570" spans="1:5" x14ac:dyDescent="0.2">
      <c r="A3570">
        <v>3570</v>
      </c>
      <c r="B3570" t="s">
        <v>921</v>
      </c>
      <c r="C3570" t="s">
        <v>8417</v>
      </c>
      <c r="D3570" t="s">
        <v>8418</v>
      </c>
      <c r="E3570" t="s">
        <v>1719</v>
      </c>
    </row>
    <row r="3571" spans="1:5" x14ac:dyDescent="0.2">
      <c r="A3571">
        <v>3571</v>
      </c>
      <c r="B3571" t="s">
        <v>921</v>
      </c>
      <c r="C3571" t="s">
        <v>8419</v>
      </c>
      <c r="D3571" t="s">
        <v>8420</v>
      </c>
      <c r="E3571" t="s">
        <v>2087</v>
      </c>
    </row>
    <row r="3572" spans="1:5" x14ac:dyDescent="0.2">
      <c r="A3572">
        <v>3572</v>
      </c>
      <c r="B3572" t="s">
        <v>921</v>
      </c>
      <c r="C3572" t="s">
        <v>8345</v>
      </c>
      <c r="D3572" t="s">
        <v>8421</v>
      </c>
      <c r="E3572" t="s">
        <v>1719</v>
      </c>
    </row>
    <row r="3573" spans="1:5" x14ac:dyDescent="0.2">
      <c r="A3573">
        <v>3573</v>
      </c>
      <c r="B3573" t="s">
        <v>921</v>
      </c>
      <c r="C3573" t="s">
        <v>8422</v>
      </c>
      <c r="D3573" t="s">
        <v>8423</v>
      </c>
      <c r="E3573" t="s">
        <v>1719</v>
      </c>
    </row>
    <row r="3574" spans="1:5" x14ac:dyDescent="0.2">
      <c r="A3574">
        <v>3574</v>
      </c>
      <c r="B3574" t="s">
        <v>921</v>
      </c>
      <c r="C3574" t="s">
        <v>8424</v>
      </c>
      <c r="D3574" t="s">
        <v>8425</v>
      </c>
      <c r="E3574" t="s">
        <v>1719</v>
      </c>
    </row>
    <row r="3575" spans="1:5" x14ac:dyDescent="0.2">
      <c r="A3575">
        <v>3575</v>
      </c>
      <c r="B3575" t="s">
        <v>921</v>
      </c>
      <c r="C3575" t="s">
        <v>8424</v>
      </c>
      <c r="D3575" t="s">
        <v>8426</v>
      </c>
      <c r="E3575" t="s">
        <v>1719</v>
      </c>
    </row>
    <row r="3576" spans="1:5" x14ac:dyDescent="0.2">
      <c r="A3576">
        <v>3576</v>
      </c>
      <c r="B3576" t="s">
        <v>921</v>
      </c>
      <c r="C3576" t="s">
        <v>8422</v>
      </c>
      <c r="D3576" t="s">
        <v>8427</v>
      </c>
      <c r="E3576" t="s">
        <v>1719</v>
      </c>
    </row>
    <row r="3577" spans="1:5" x14ac:dyDescent="0.2">
      <c r="A3577">
        <v>3577</v>
      </c>
      <c r="B3577" t="s">
        <v>921</v>
      </c>
      <c r="C3577" t="s">
        <v>8428</v>
      </c>
      <c r="D3577" t="s">
        <v>8429</v>
      </c>
      <c r="E3577" t="s">
        <v>1719</v>
      </c>
    </row>
    <row r="3578" spans="1:5" x14ac:dyDescent="0.2">
      <c r="A3578">
        <v>3578</v>
      </c>
      <c r="B3578" t="s">
        <v>921</v>
      </c>
      <c r="C3578" t="s">
        <v>8414</v>
      </c>
      <c r="D3578" t="s">
        <v>8430</v>
      </c>
      <c r="E3578" t="s">
        <v>2087</v>
      </c>
    </row>
    <row r="3579" spans="1:5" x14ac:dyDescent="0.2">
      <c r="A3579">
        <v>3579</v>
      </c>
      <c r="B3579" t="s">
        <v>921</v>
      </c>
      <c r="C3579" t="s">
        <v>8431</v>
      </c>
      <c r="D3579" t="s">
        <v>8432</v>
      </c>
      <c r="E3579" t="s">
        <v>1719</v>
      </c>
    </row>
    <row r="3580" spans="1:5" x14ac:dyDescent="0.2">
      <c r="A3580">
        <v>3580</v>
      </c>
      <c r="B3580" t="s">
        <v>921</v>
      </c>
      <c r="C3580" t="s">
        <v>8433</v>
      </c>
      <c r="D3580" t="s">
        <v>8434</v>
      </c>
      <c r="E3580" t="s">
        <v>1719</v>
      </c>
    </row>
    <row r="3581" spans="1:5" x14ac:dyDescent="0.2">
      <c r="A3581">
        <v>3581</v>
      </c>
      <c r="B3581" t="s">
        <v>921</v>
      </c>
      <c r="C3581" t="s">
        <v>8329</v>
      </c>
      <c r="D3581" t="s">
        <v>8435</v>
      </c>
      <c r="E3581" t="s">
        <v>1719</v>
      </c>
    </row>
    <row r="3582" spans="1:5" x14ac:dyDescent="0.2">
      <c r="A3582">
        <v>3582</v>
      </c>
      <c r="B3582" t="s">
        <v>921</v>
      </c>
      <c r="C3582" t="s">
        <v>8378</v>
      </c>
      <c r="D3582" t="s">
        <v>8436</v>
      </c>
      <c r="E3582" t="s">
        <v>1719</v>
      </c>
    </row>
    <row r="3583" spans="1:5" x14ac:dyDescent="0.2">
      <c r="A3583">
        <v>3583</v>
      </c>
      <c r="B3583" t="s">
        <v>921</v>
      </c>
      <c r="C3583" t="s">
        <v>8380</v>
      </c>
      <c r="D3583" t="s">
        <v>8437</v>
      </c>
      <c r="E3583" t="s">
        <v>1719</v>
      </c>
    </row>
    <row r="3584" spans="1:5" x14ac:dyDescent="0.2">
      <c r="A3584">
        <v>3584</v>
      </c>
      <c r="B3584" t="s">
        <v>921</v>
      </c>
      <c r="C3584" t="s">
        <v>8317</v>
      </c>
      <c r="D3584" t="s">
        <v>8438</v>
      </c>
      <c r="E3584" t="s">
        <v>2087</v>
      </c>
    </row>
    <row r="3585" spans="1:5" x14ac:dyDescent="0.2">
      <c r="A3585">
        <v>3585</v>
      </c>
      <c r="B3585" t="s">
        <v>921</v>
      </c>
      <c r="C3585" t="s">
        <v>8278</v>
      </c>
      <c r="D3585" t="s">
        <v>8439</v>
      </c>
      <c r="E3585" t="s">
        <v>2087</v>
      </c>
    </row>
    <row r="3586" spans="1:5" x14ac:dyDescent="0.2">
      <c r="A3586">
        <v>3586</v>
      </c>
      <c r="B3586" t="s">
        <v>921</v>
      </c>
      <c r="C3586" t="s">
        <v>8289</v>
      </c>
      <c r="D3586" t="s">
        <v>8440</v>
      </c>
      <c r="E3586" t="s">
        <v>2087</v>
      </c>
    </row>
    <row r="3587" spans="1:5" x14ac:dyDescent="0.2">
      <c r="A3587">
        <v>3587</v>
      </c>
      <c r="B3587" t="s">
        <v>921</v>
      </c>
      <c r="C3587" t="s">
        <v>8321</v>
      </c>
      <c r="D3587" t="s">
        <v>8441</v>
      </c>
      <c r="E3587" t="s">
        <v>2087</v>
      </c>
    </row>
    <row r="3588" spans="1:5" x14ac:dyDescent="0.2">
      <c r="A3588">
        <v>3588</v>
      </c>
      <c r="B3588" t="s">
        <v>921</v>
      </c>
      <c r="C3588" t="s">
        <v>8313</v>
      </c>
      <c r="D3588" t="s">
        <v>8442</v>
      </c>
      <c r="E3588" t="s">
        <v>2087</v>
      </c>
    </row>
    <row r="3589" spans="1:5" x14ac:dyDescent="0.2">
      <c r="A3589">
        <v>3589</v>
      </c>
      <c r="B3589" t="s">
        <v>921</v>
      </c>
      <c r="C3589" t="s">
        <v>8311</v>
      </c>
      <c r="D3589" t="s">
        <v>8443</v>
      </c>
      <c r="E3589" t="s">
        <v>2087</v>
      </c>
    </row>
    <row r="3590" spans="1:5" x14ac:dyDescent="0.2">
      <c r="A3590">
        <v>3590</v>
      </c>
      <c r="B3590" t="s">
        <v>921</v>
      </c>
      <c r="C3590" t="s">
        <v>8419</v>
      </c>
      <c r="D3590" t="s">
        <v>8444</v>
      </c>
      <c r="E3590" t="s">
        <v>2087</v>
      </c>
    </row>
    <row r="3591" spans="1:5" x14ac:dyDescent="0.2">
      <c r="A3591">
        <v>3591</v>
      </c>
      <c r="B3591" t="s">
        <v>921</v>
      </c>
      <c r="C3591" t="s">
        <v>8353</v>
      </c>
      <c r="D3591" t="s">
        <v>8445</v>
      </c>
      <c r="E3591" t="s">
        <v>2087</v>
      </c>
    </row>
    <row r="3592" spans="1:5" x14ac:dyDescent="0.2">
      <c r="A3592">
        <v>3592</v>
      </c>
      <c r="B3592" t="s">
        <v>921</v>
      </c>
      <c r="C3592" t="s">
        <v>8446</v>
      </c>
      <c r="D3592" t="s">
        <v>8447</v>
      </c>
      <c r="E3592" t="s">
        <v>2087</v>
      </c>
    </row>
    <row r="3593" spans="1:5" x14ac:dyDescent="0.2">
      <c r="A3593">
        <v>3593</v>
      </c>
      <c r="B3593" t="s">
        <v>921</v>
      </c>
      <c r="C3593" t="s">
        <v>8303</v>
      </c>
      <c r="D3593" t="s">
        <v>8448</v>
      </c>
      <c r="E3593" t="s">
        <v>2087</v>
      </c>
    </row>
    <row r="3594" spans="1:5" x14ac:dyDescent="0.2">
      <c r="A3594">
        <v>3594</v>
      </c>
      <c r="B3594" t="s">
        <v>921</v>
      </c>
      <c r="C3594" t="s">
        <v>8293</v>
      </c>
      <c r="D3594" t="s">
        <v>8449</v>
      </c>
      <c r="E3594" t="s">
        <v>2087</v>
      </c>
    </row>
    <row r="3595" spans="1:5" x14ac:dyDescent="0.2">
      <c r="A3595">
        <v>3595</v>
      </c>
      <c r="B3595" t="s">
        <v>921</v>
      </c>
      <c r="C3595" t="s">
        <v>8396</v>
      </c>
      <c r="D3595" t="s">
        <v>8450</v>
      </c>
      <c r="E3595" t="s">
        <v>2087</v>
      </c>
    </row>
    <row r="3596" spans="1:5" x14ac:dyDescent="0.2">
      <c r="A3596">
        <v>3596</v>
      </c>
      <c r="B3596" t="s">
        <v>921</v>
      </c>
      <c r="C3596" t="s">
        <v>8333</v>
      </c>
      <c r="D3596" t="s">
        <v>8451</v>
      </c>
      <c r="E3596" t="s">
        <v>2087</v>
      </c>
    </row>
    <row r="3597" spans="1:5" x14ac:dyDescent="0.2">
      <c r="A3597">
        <v>3597</v>
      </c>
      <c r="B3597" t="s">
        <v>921</v>
      </c>
      <c r="C3597" t="s">
        <v>8452</v>
      </c>
      <c r="D3597" t="s">
        <v>8453</v>
      </c>
      <c r="E3597" t="s">
        <v>2087</v>
      </c>
    </row>
    <row r="3598" spans="1:5" x14ac:dyDescent="0.2">
      <c r="A3598">
        <v>3598</v>
      </c>
      <c r="B3598" t="s">
        <v>921</v>
      </c>
      <c r="C3598" t="s">
        <v>8454</v>
      </c>
      <c r="D3598" t="s">
        <v>8455</v>
      </c>
      <c r="E3598" t="s">
        <v>2087</v>
      </c>
    </row>
    <row r="3599" spans="1:5" x14ac:dyDescent="0.2">
      <c r="A3599">
        <v>3599</v>
      </c>
      <c r="B3599" t="s">
        <v>921</v>
      </c>
      <c r="C3599" t="s">
        <v>8456</v>
      </c>
      <c r="D3599" t="s">
        <v>8457</v>
      </c>
      <c r="E3599" t="s">
        <v>1719</v>
      </c>
    </row>
    <row r="3600" spans="1:5" x14ac:dyDescent="0.2">
      <c r="A3600">
        <v>3600</v>
      </c>
      <c r="B3600" t="s">
        <v>921</v>
      </c>
      <c r="C3600" t="s">
        <v>8456</v>
      </c>
      <c r="D3600" t="s">
        <v>8458</v>
      </c>
      <c r="E3600" t="s">
        <v>1719</v>
      </c>
    </row>
    <row r="3601" spans="1:5" x14ac:dyDescent="0.2">
      <c r="A3601">
        <v>3601</v>
      </c>
      <c r="B3601" t="s">
        <v>921</v>
      </c>
      <c r="C3601" t="s">
        <v>8459</v>
      </c>
      <c r="D3601" t="s">
        <v>8460</v>
      </c>
      <c r="E3601" t="s">
        <v>1719</v>
      </c>
    </row>
    <row r="3602" spans="1:5" x14ac:dyDescent="0.2">
      <c r="A3602">
        <v>3602</v>
      </c>
      <c r="B3602" t="s">
        <v>921</v>
      </c>
      <c r="C3602" t="s">
        <v>8461</v>
      </c>
      <c r="D3602" t="s">
        <v>8462</v>
      </c>
      <c r="E3602" t="s">
        <v>1719</v>
      </c>
    </row>
    <row r="3603" spans="1:5" x14ac:dyDescent="0.2">
      <c r="A3603">
        <v>3603</v>
      </c>
      <c r="B3603" t="s">
        <v>921</v>
      </c>
      <c r="C3603" t="s">
        <v>8461</v>
      </c>
      <c r="D3603" t="s">
        <v>8463</v>
      </c>
      <c r="E3603" t="s">
        <v>1719</v>
      </c>
    </row>
    <row r="3604" spans="1:5" x14ac:dyDescent="0.2">
      <c r="A3604">
        <v>3604</v>
      </c>
      <c r="B3604" t="s">
        <v>921</v>
      </c>
      <c r="C3604" t="s">
        <v>8464</v>
      </c>
      <c r="D3604" t="s">
        <v>8465</v>
      </c>
      <c r="E3604" t="s">
        <v>1719</v>
      </c>
    </row>
    <row r="3605" spans="1:5" x14ac:dyDescent="0.2">
      <c r="A3605">
        <v>3605</v>
      </c>
      <c r="B3605" t="s">
        <v>921</v>
      </c>
      <c r="C3605" t="s">
        <v>8466</v>
      </c>
      <c r="D3605" t="s">
        <v>8467</v>
      </c>
      <c r="E3605" t="s">
        <v>1719</v>
      </c>
    </row>
    <row r="3606" spans="1:5" x14ac:dyDescent="0.2">
      <c r="A3606">
        <v>3606</v>
      </c>
      <c r="B3606" t="s">
        <v>921</v>
      </c>
      <c r="C3606" t="s">
        <v>8468</v>
      </c>
      <c r="D3606" t="s">
        <v>8469</v>
      </c>
      <c r="E3606" t="s">
        <v>1719</v>
      </c>
    </row>
    <row r="3607" spans="1:5" x14ac:dyDescent="0.2">
      <c r="A3607">
        <v>3607</v>
      </c>
      <c r="B3607" t="s">
        <v>921</v>
      </c>
      <c r="C3607" t="s">
        <v>8309</v>
      </c>
      <c r="D3607" t="s">
        <v>8470</v>
      </c>
      <c r="E3607" t="s">
        <v>1719</v>
      </c>
    </row>
    <row r="3608" spans="1:5" x14ac:dyDescent="0.2">
      <c r="A3608">
        <v>3608</v>
      </c>
      <c r="B3608" t="s">
        <v>921</v>
      </c>
      <c r="C3608" t="s">
        <v>8471</v>
      </c>
      <c r="D3608" t="s">
        <v>8472</v>
      </c>
      <c r="E3608" t="s">
        <v>1719</v>
      </c>
    </row>
    <row r="3609" spans="1:5" x14ac:dyDescent="0.2">
      <c r="A3609">
        <v>3609</v>
      </c>
      <c r="B3609" t="s">
        <v>921</v>
      </c>
      <c r="C3609" t="s">
        <v>8323</v>
      </c>
      <c r="D3609" t="s">
        <v>8473</v>
      </c>
      <c r="E3609" t="s">
        <v>1719</v>
      </c>
    </row>
    <row r="3610" spans="1:5" x14ac:dyDescent="0.2">
      <c r="A3610">
        <v>3610</v>
      </c>
      <c r="B3610" t="s">
        <v>921</v>
      </c>
      <c r="C3610" t="s">
        <v>8407</v>
      </c>
      <c r="D3610" t="s">
        <v>8474</v>
      </c>
      <c r="E3610" t="s">
        <v>1719</v>
      </c>
    </row>
    <row r="3611" spans="1:5" x14ac:dyDescent="0.2">
      <c r="A3611">
        <v>3611</v>
      </c>
      <c r="B3611" t="s">
        <v>921</v>
      </c>
      <c r="C3611" t="s">
        <v>8410</v>
      </c>
      <c r="D3611" t="s">
        <v>8475</v>
      </c>
      <c r="E3611" t="s">
        <v>1719</v>
      </c>
    </row>
    <row r="3612" spans="1:5" x14ac:dyDescent="0.2">
      <c r="A3612">
        <v>3612</v>
      </c>
      <c r="B3612" t="s">
        <v>921</v>
      </c>
      <c r="C3612" t="s">
        <v>8417</v>
      </c>
      <c r="D3612" t="s">
        <v>8476</v>
      </c>
      <c r="E3612" t="s">
        <v>1719</v>
      </c>
    </row>
    <row r="3613" spans="1:5" x14ac:dyDescent="0.2">
      <c r="A3613">
        <v>3613</v>
      </c>
      <c r="B3613" t="s">
        <v>921</v>
      </c>
      <c r="C3613" t="s">
        <v>8331</v>
      </c>
      <c r="D3613" t="s">
        <v>8477</v>
      </c>
      <c r="E3613" t="s">
        <v>1719</v>
      </c>
    </row>
    <row r="3614" spans="1:5" x14ac:dyDescent="0.2">
      <c r="A3614">
        <v>3614</v>
      </c>
      <c r="B3614" t="s">
        <v>921</v>
      </c>
      <c r="C3614" t="s">
        <v>8471</v>
      </c>
      <c r="D3614" t="s">
        <v>8478</v>
      </c>
      <c r="E3614" t="s">
        <v>1719</v>
      </c>
    </row>
    <row r="3615" spans="1:5" x14ac:dyDescent="0.2">
      <c r="A3615">
        <v>3615</v>
      </c>
      <c r="B3615" t="s">
        <v>921</v>
      </c>
      <c r="C3615" t="s">
        <v>8452</v>
      </c>
      <c r="D3615" t="s">
        <v>8479</v>
      </c>
      <c r="E3615" t="s">
        <v>2087</v>
      </c>
    </row>
    <row r="3616" spans="1:5" x14ac:dyDescent="0.2">
      <c r="A3616">
        <v>3616</v>
      </c>
      <c r="B3616" t="s">
        <v>921</v>
      </c>
      <c r="C3616" t="s">
        <v>8480</v>
      </c>
      <c r="D3616" t="s">
        <v>8481</v>
      </c>
      <c r="E3616" t="s">
        <v>1719</v>
      </c>
    </row>
    <row r="3617" spans="1:5" x14ac:dyDescent="0.2">
      <c r="A3617">
        <v>3617</v>
      </c>
      <c r="B3617" t="s">
        <v>921</v>
      </c>
      <c r="C3617" t="s">
        <v>8482</v>
      </c>
      <c r="D3617" t="s">
        <v>8483</v>
      </c>
      <c r="E3617" t="s">
        <v>1719</v>
      </c>
    </row>
    <row r="3618" spans="1:5" x14ac:dyDescent="0.2">
      <c r="A3618">
        <v>3618</v>
      </c>
      <c r="B3618" t="s">
        <v>921</v>
      </c>
      <c r="C3618" t="s">
        <v>8376</v>
      </c>
      <c r="D3618" t="s">
        <v>8484</v>
      </c>
      <c r="E3618" t="s">
        <v>1719</v>
      </c>
    </row>
    <row r="3619" spans="1:5" x14ac:dyDescent="0.2">
      <c r="A3619">
        <v>3619</v>
      </c>
      <c r="B3619" t="s">
        <v>921</v>
      </c>
      <c r="C3619" t="s">
        <v>8485</v>
      </c>
      <c r="D3619" t="s">
        <v>8486</v>
      </c>
      <c r="E3619" t="s">
        <v>1719</v>
      </c>
    </row>
    <row r="3620" spans="1:5" x14ac:dyDescent="0.2">
      <c r="A3620">
        <v>3620</v>
      </c>
      <c r="B3620" t="s">
        <v>921</v>
      </c>
      <c r="C3620" t="s">
        <v>8487</v>
      </c>
      <c r="D3620" t="s">
        <v>8488</v>
      </c>
      <c r="E3620" t="s">
        <v>1719</v>
      </c>
    </row>
    <row r="3621" spans="1:5" x14ac:dyDescent="0.2">
      <c r="A3621">
        <v>3621</v>
      </c>
      <c r="B3621" t="s">
        <v>921</v>
      </c>
      <c r="C3621" t="s">
        <v>8349</v>
      </c>
      <c r="D3621" t="s">
        <v>8489</v>
      </c>
      <c r="E3621" t="s">
        <v>1719</v>
      </c>
    </row>
    <row r="3622" spans="1:5" x14ac:dyDescent="0.2">
      <c r="A3622">
        <v>3622</v>
      </c>
      <c r="B3622" t="s">
        <v>921</v>
      </c>
      <c r="C3622" t="s">
        <v>8490</v>
      </c>
      <c r="D3622" t="s">
        <v>8491</v>
      </c>
      <c r="E3622" t="s">
        <v>1719</v>
      </c>
    </row>
    <row r="3623" spans="1:5" x14ac:dyDescent="0.2">
      <c r="A3623">
        <v>3623</v>
      </c>
      <c r="B3623" t="s">
        <v>921</v>
      </c>
      <c r="C3623" t="s">
        <v>8492</v>
      </c>
      <c r="D3623" t="s">
        <v>8493</v>
      </c>
      <c r="E3623" t="s">
        <v>1719</v>
      </c>
    </row>
    <row r="3624" spans="1:5" x14ac:dyDescent="0.2">
      <c r="A3624">
        <v>3624</v>
      </c>
      <c r="B3624" t="s">
        <v>921</v>
      </c>
      <c r="C3624" t="s">
        <v>8492</v>
      </c>
      <c r="D3624" t="s">
        <v>8494</v>
      </c>
      <c r="E3624" t="s">
        <v>1719</v>
      </c>
    </row>
    <row r="3625" spans="1:5" x14ac:dyDescent="0.2">
      <c r="A3625">
        <v>3625</v>
      </c>
      <c r="B3625" t="s">
        <v>921</v>
      </c>
      <c r="C3625" t="s">
        <v>8495</v>
      </c>
      <c r="D3625" t="s">
        <v>8496</v>
      </c>
      <c r="E3625" t="s">
        <v>1719</v>
      </c>
    </row>
    <row r="3626" spans="1:5" x14ac:dyDescent="0.2">
      <c r="A3626">
        <v>3626</v>
      </c>
      <c r="B3626" t="s">
        <v>921</v>
      </c>
      <c r="C3626" t="s">
        <v>8251</v>
      </c>
      <c r="D3626" t="s">
        <v>8497</v>
      </c>
      <c r="E3626" t="s">
        <v>1719</v>
      </c>
    </row>
    <row r="3627" spans="1:5" x14ac:dyDescent="0.2">
      <c r="A3627">
        <v>3627</v>
      </c>
      <c r="B3627" t="s">
        <v>921</v>
      </c>
      <c r="C3627" t="s">
        <v>8327</v>
      </c>
      <c r="D3627" t="s">
        <v>8498</v>
      </c>
      <c r="E3627" t="s">
        <v>1719</v>
      </c>
    </row>
    <row r="3628" spans="1:5" x14ac:dyDescent="0.2">
      <c r="A3628">
        <v>3628</v>
      </c>
      <c r="B3628" t="s">
        <v>921</v>
      </c>
      <c r="C3628" t="s">
        <v>8356</v>
      </c>
      <c r="D3628" t="s">
        <v>8499</v>
      </c>
      <c r="E3628" t="s">
        <v>1719</v>
      </c>
    </row>
    <row r="3629" spans="1:5" x14ac:dyDescent="0.2">
      <c r="A3629">
        <v>3629</v>
      </c>
      <c r="B3629" t="s">
        <v>921</v>
      </c>
      <c r="C3629" t="s">
        <v>8297</v>
      </c>
      <c r="D3629" t="s">
        <v>8500</v>
      </c>
      <c r="E3629" t="s">
        <v>1719</v>
      </c>
    </row>
    <row r="3630" spans="1:5" x14ac:dyDescent="0.2">
      <c r="A3630">
        <v>3630</v>
      </c>
      <c r="B3630" t="s">
        <v>921</v>
      </c>
      <c r="C3630" t="s">
        <v>8482</v>
      </c>
      <c r="D3630" t="s">
        <v>8501</v>
      </c>
      <c r="E3630" t="s">
        <v>1719</v>
      </c>
    </row>
    <row r="3631" spans="1:5" x14ac:dyDescent="0.2">
      <c r="A3631">
        <v>3631</v>
      </c>
      <c r="B3631" t="s">
        <v>921</v>
      </c>
      <c r="C3631" t="s">
        <v>8392</v>
      </c>
      <c r="D3631" t="s">
        <v>8502</v>
      </c>
      <c r="E3631" t="s">
        <v>1719</v>
      </c>
    </row>
    <row r="3632" spans="1:5" x14ac:dyDescent="0.2">
      <c r="A3632">
        <v>3632</v>
      </c>
      <c r="B3632" t="s">
        <v>921</v>
      </c>
      <c r="C3632" t="s">
        <v>8503</v>
      </c>
      <c r="D3632" t="s">
        <v>8504</v>
      </c>
      <c r="E3632" t="s">
        <v>1719</v>
      </c>
    </row>
    <row r="3633" spans="1:5" x14ac:dyDescent="0.2">
      <c r="A3633">
        <v>3633</v>
      </c>
      <c r="B3633" t="s">
        <v>921</v>
      </c>
      <c r="C3633" t="s">
        <v>8490</v>
      </c>
      <c r="D3633" t="s">
        <v>8505</v>
      </c>
      <c r="E3633" t="s">
        <v>1719</v>
      </c>
    </row>
    <row r="3634" spans="1:5" x14ac:dyDescent="0.2">
      <c r="A3634">
        <v>3634</v>
      </c>
      <c r="B3634" t="s">
        <v>921</v>
      </c>
      <c r="C3634" t="s">
        <v>8446</v>
      </c>
      <c r="D3634" t="s">
        <v>8506</v>
      </c>
      <c r="E3634" t="s">
        <v>2087</v>
      </c>
    </row>
    <row r="3635" spans="1:5" x14ac:dyDescent="0.2">
      <c r="A3635">
        <v>3635</v>
      </c>
      <c r="B3635" t="s">
        <v>921</v>
      </c>
      <c r="C3635" t="s">
        <v>8464</v>
      </c>
      <c r="D3635" t="s">
        <v>8507</v>
      </c>
      <c r="E3635" t="s">
        <v>1719</v>
      </c>
    </row>
    <row r="3636" spans="1:5" x14ac:dyDescent="0.2">
      <c r="A3636">
        <v>3636</v>
      </c>
      <c r="B3636" t="s">
        <v>921</v>
      </c>
      <c r="C3636" t="s">
        <v>8454</v>
      </c>
      <c r="D3636" t="s">
        <v>8508</v>
      </c>
      <c r="E3636" t="s">
        <v>2087</v>
      </c>
    </row>
    <row r="3637" spans="1:5" x14ac:dyDescent="0.2">
      <c r="A3637">
        <v>3637</v>
      </c>
      <c r="B3637" t="s">
        <v>921</v>
      </c>
      <c r="C3637" t="s">
        <v>8466</v>
      </c>
      <c r="D3637" t="s">
        <v>8509</v>
      </c>
      <c r="E3637" t="s">
        <v>1719</v>
      </c>
    </row>
    <row r="3638" spans="1:5" x14ac:dyDescent="0.2">
      <c r="A3638">
        <v>3638</v>
      </c>
      <c r="B3638" t="s">
        <v>921</v>
      </c>
      <c r="C3638" t="s">
        <v>8347</v>
      </c>
      <c r="D3638" t="s">
        <v>8510</v>
      </c>
      <c r="E3638" t="s">
        <v>1719</v>
      </c>
    </row>
    <row r="3639" spans="1:5" x14ac:dyDescent="0.2">
      <c r="A3639">
        <v>3639</v>
      </c>
      <c r="B3639" t="s">
        <v>921</v>
      </c>
      <c r="C3639" t="s">
        <v>8503</v>
      </c>
      <c r="D3639" t="s">
        <v>8511</v>
      </c>
      <c r="E3639" t="s">
        <v>1719</v>
      </c>
    </row>
    <row r="3640" spans="1:5" x14ac:dyDescent="0.2">
      <c r="A3640">
        <v>3640</v>
      </c>
      <c r="B3640" t="s">
        <v>925</v>
      </c>
      <c r="C3640" t="s">
        <v>8512</v>
      </c>
      <c r="D3640" t="s">
        <v>8513</v>
      </c>
      <c r="E3640" t="s">
        <v>1719</v>
      </c>
    </row>
    <row r="3641" spans="1:5" x14ac:dyDescent="0.2">
      <c r="A3641">
        <v>3641</v>
      </c>
      <c r="B3641" t="s">
        <v>925</v>
      </c>
      <c r="C3641" t="s">
        <v>8514</v>
      </c>
      <c r="D3641" t="s">
        <v>8515</v>
      </c>
      <c r="E3641" t="s">
        <v>1719</v>
      </c>
    </row>
    <row r="3642" spans="1:5" x14ac:dyDescent="0.2">
      <c r="A3642">
        <v>3642</v>
      </c>
      <c r="B3642" t="s">
        <v>925</v>
      </c>
      <c r="C3642" t="s">
        <v>8516</v>
      </c>
      <c r="D3642" t="s">
        <v>8517</v>
      </c>
      <c r="E3642" t="s">
        <v>1719</v>
      </c>
    </row>
    <row r="3643" spans="1:5" x14ac:dyDescent="0.2">
      <c r="A3643">
        <v>3643</v>
      </c>
      <c r="B3643" t="s">
        <v>925</v>
      </c>
      <c r="C3643" t="s">
        <v>8518</v>
      </c>
      <c r="D3643" t="s">
        <v>8519</v>
      </c>
      <c r="E3643" t="s">
        <v>1719</v>
      </c>
    </row>
    <row r="3644" spans="1:5" x14ac:dyDescent="0.2">
      <c r="A3644">
        <v>3644</v>
      </c>
      <c r="B3644" t="s">
        <v>925</v>
      </c>
      <c r="C3644" t="s">
        <v>8520</v>
      </c>
      <c r="D3644" t="s">
        <v>8521</v>
      </c>
      <c r="E3644" t="s">
        <v>1719</v>
      </c>
    </row>
    <row r="3645" spans="1:5" x14ac:dyDescent="0.2">
      <c r="A3645">
        <v>3645</v>
      </c>
      <c r="B3645" t="s">
        <v>925</v>
      </c>
      <c r="C3645" t="s">
        <v>8522</v>
      </c>
      <c r="D3645" t="s">
        <v>8523</v>
      </c>
      <c r="E3645" t="s">
        <v>1719</v>
      </c>
    </row>
    <row r="3646" spans="1:5" x14ac:dyDescent="0.2">
      <c r="A3646">
        <v>3646</v>
      </c>
      <c r="B3646" t="s">
        <v>925</v>
      </c>
      <c r="C3646" t="s">
        <v>8524</v>
      </c>
      <c r="D3646" t="s">
        <v>8525</v>
      </c>
      <c r="E3646" t="s">
        <v>1719</v>
      </c>
    </row>
    <row r="3647" spans="1:5" x14ac:dyDescent="0.2">
      <c r="A3647">
        <v>3647</v>
      </c>
      <c r="B3647" t="s">
        <v>925</v>
      </c>
      <c r="C3647" t="s">
        <v>8526</v>
      </c>
      <c r="D3647" t="s">
        <v>8527</v>
      </c>
      <c r="E3647" t="s">
        <v>1719</v>
      </c>
    </row>
    <row r="3648" spans="1:5" x14ac:dyDescent="0.2">
      <c r="A3648">
        <v>3648</v>
      </c>
      <c r="B3648" t="s">
        <v>925</v>
      </c>
      <c r="C3648" t="s">
        <v>8528</v>
      </c>
      <c r="D3648" t="s">
        <v>8529</v>
      </c>
      <c r="E3648" t="s">
        <v>1719</v>
      </c>
    </row>
    <row r="3649" spans="1:5" x14ac:dyDescent="0.2">
      <c r="A3649">
        <v>3649</v>
      </c>
      <c r="B3649" t="s">
        <v>925</v>
      </c>
      <c r="C3649" t="s">
        <v>8530</v>
      </c>
      <c r="D3649" t="s">
        <v>8531</v>
      </c>
      <c r="E3649" t="s">
        <v>1719</v>
      </c>
    </row>
    <row r="3650" spans="1:5" x14ac:dyDescent="0.2">
      <c r="A3650">
        <v>3650</v>
      </c>
      <c r="B3650" t="s">
        <v>925</v>
      </c>
      <c r="C3650" t="s">
        <v>8532</v>
      </c>
      <c r="D3650" t="s">
        <v>8533</v>
      </c>
      <c r="E3650" t="s">
        <v>1719</v>
      </c>
    </row>
    <row r="3651" spans="1:5" x14ac:dyDescent="0.2">
      <c r="A3651">
        <v>3651</v>
      </c>
      <c r="B3651" t="s">
        <v>925</v>
      </c>
      <c r="C3651" t="s">
        <v>8534</v>
      </c>
      <c r="D3651" t="s">
        <v>8535</v>
      </c>
      <c r="E3651" t="s">
        <v>1719</v>
      </c>
    </row>
    <row r="3652" spans="1:5" x14ac:dyDescent="0.2">
      <c r="A3652">
        <v>3652</v>
      </c>
      <c r="B3652" t="s">
        <v>925</v>
      </c>
      <c r="C3652" t="s">
        <v>8536</v>
      </c>
      <c r="D3652" t="s">
        <v>8537</v>
      </c>
      <c r="E3652" t="s">
        <v>1719</v>
      </c>
    </row>
    <row r="3653" spans="1:5" x14ac:dyDescent="0.2">
      <c r="A3653">
        <v>3653</v>
      </c>
      <c r="B3653" t="s">
        <v>925</v>
      </c>
      <c r="C3653" t="s">
        <v>8538</v>
      </c>
      <c r="D3653" t="s">
        <v>8539</v>
      </c>
      <c r="E3653" t="s">
        <v>1719</v>
      </c>
    </row>
    <row r="3654" spans="1:5" x14ac:dyDescent="0.2">
      <c r="A3654">
        <v>3654</v>
      </c>
      <c r="B3654" t="s">
        <v>925</v>
      </c>
      <c r="C3654" t="s">
        <v>8540</v>
      </c>
      <c r="D3654" t="s">
        <v>8541</v>
      </c>
      <c r="E3654" t="s">
        <v>1719</v>
      </c>
    </row>
    <row r="3655" spans="1:5" x14ac:dyDescent="0.2">
      <c r="A3655">
        <v>3655</v>
      </c>
      <c r="B3655" t="s">
        <v>925</v>
      </c>
      <c r="C3655" t="s">
        <v>8542</v>
      </c>
      <c r="D3655" t="s">
        <v>8543</v>
      </c>
      <c r="E3655" t="s">
        <v>1719</v>
      </c>
    </row>
    <row r="3656" spans="1:5" x14ac:dyDescent="0.2">
      <c r="A3656">
        <v>3656</v>
      </c>
      <c r="B3656" t="s">
        <v>927</v>
      </c>
      <c r="C3656" t="s">
        <v>8544</v>
      </c>
      <c r="D3656" t="s">
        <v>8545</v>
      </c>
      <c r="E3656" t="s">
        <v>1790</v>
      </c>
    </row>
    <row r="3657" spans="1:5" x14ac:dyDescent="0.2">
      <c r="A3657">
        <v>3657</v>
      </c>
      <c r="B3657" t="s">
        <v>927</v>
      </c>
      <c r="C3657" t="s">
        <v>8546</v>
      </c>
      <c r="D3657" t="s">
        <v>8547</v>
      </c>
      <c r="E3657" t="s">
        <v>1790</v>
      </c>
    </row>
    <row r="3658" spans="1:5" x14ac:dyDescent="0.2">
      <c r="A3658">
        <v>3658</v>
      </c>
      <c r="B3658" t="s">
        <v>927</v>
      </c>
      <c r="C3658" t="s">
        <v>8548</v>
      </c>
      <c r="D3658" t="s">
        <v>8549</v>
      </c>
      <c r="E3658" t="s">
        <v>1790</v>
      </c>
    </row>
    <row r="3659" spans="1:5" x14ac:dyDescent="0.2">
      <c r="A3659">
        <v>3659</v>
      </c>
      <c r="B3659" t="s">
        <v>927</v>
      </c>
      <c r="C3659" t="s">
        <v>8550</v>
      </c>
      <c r="D3659" t="s">
        <v>8551</v>
      </c>
      <c r="E3659" t="s">
        <v>1790</v>
      </c>
    </row>
    <row r="3660" spans="1:5" x14ac:dyDescent="0.2">
      <c r="A3660">
        <v>3660</v>
      </c>
      <c r="B3660" t="s">
        <v>927</v>
      </c>
      <c r="C3660" t="s">
        <v>8552</v>
      </c>
      <c r="D3660" t="s">
        <v>8553</v>
      </c>
      <c r="E3660" t="s">
        <v>1790</v>
      </c>
    </row>
    <row r="3661" spans="1:5" x14ac:dyDescent="0.2">
      <c r="A3661">
        <v>3661</v>
      </c>
      <c r="B3661" t="s">
        <v>927</v>
      </c>
      <c r="C3661" t="s">
        <v>8554</v>
      </c>
      <c r="D3661" t="s">
        <v>8555</v>
      </c>
      <c r="E3661" t="s">
        <v>1790</v>
      </c>
    </row>
    <row r="3662" spans="1:5" x14ac:dyDescent="0.2">
      <c r="A3662">
        <v>3662</v>
      </c>
      <c r="B3662" t="s">
        <v>927</v>
      </c>
      <c r="C3662" t="s">
        <v>8556</v>
      </c>
      <c r="D3662" t="s">
        <v>8557</v>
      </c>
      <c r="E3662" t="s">
        <v>1790</v>
      </c>
    </row>
    <row r="3663" spans="1:5" x14ac:dyDescent="0.2">
      <c r="A3663">
        <v>3663</v>
      </c>
      <c r="B3663" t="s">
        <v>927</v>
      </c>
      <c r="C3663" t="s">
        <v>8558</v>
      </c>
      <c r="D3663" t="s">
        <v>8559</v>
      </c>
      <c r="E3663" t="s">
        <v>1790</v>
      </c>
    </row>
    <row r="3664" spans="1:5" x14ac:dyDescent="0.2">
      <c r="A3664">
        <v>3664</v>
      </c>
      <c r="B3664" t="s">
        <v>927</v>
      </c>
      <c r="C3664" t="s">
        <v>8560</v>
      </c>
      <c r="D3664" t="s">
        <v>8561</v>
      </c>
      <c r="E3664" t="s">
        <v>1790</v>
      </c>
    </row>
    <row r="3665" spans="1:5" x14ac:dyDescent="0.2">
      <c r="A3665">
        <v>3665</v>
      </c>
      <c r="B3665" t="s">
        <v>927</v>
      </c>
      <c r="C3665" t="s">
        <v>8562</v>
      </c>
      <c r="D3665" t="s">
        <v>8563</v>
      </c>
      <c r="E3665" t="s">
        <v>1790</v>
      </c>
    </row>
    <row r="3666" spans="1:5" x14ac:dyDescent="0.2">
      <c r="A3666">
        <v>3666</v>
      </c>
      <c r="B3666" t="s">
        <v>927</v>
      </c>
      <c r="C3666" t="s">
        <v>8564</v>
      </c>
      <c r="D3666" t="s">
        <v>8565</v>
      </c>
      <c r="E3666" t="s">
        <v>1790</v>
      </c>
    </row>
    <row r="3667" spans="1:5" x14ac:dyDescent="0.2">
      <c r="A3667">
        <v>3667</v>
      </c>
      <c r="B3667" t="s">
        <v>927</v>
      </c>
      <c r="C3667" t="s">
        <v>8566</v>
      </c>
      <c r="D3667" t="s">
        <v>8567</v>
      </c>
      <c r="E3667" t="s">
        <v>1790</v>
      </c>
    </row>
    <row r="3668" spans="1:5" x14ac:dyDescent="0.2">
      <c r="A3668">
        <v>3668</v>
      </c>
      <c r="B3668" t="s">
        <v>927</v>
      </c>
      <c r="C3668" t="s">
        <v>8568</v>
      </c>
      <c r="D3668" t="s">
        <v>8569</v>
      </c>
      <c r="E3668" t="s">
        <v>3322</v>
      </c>
    </row>
    <row r="3669" spans="1:5" x14ac:dyDescent="0.2">
      <c r="A3669">
        <v>3669</v>
      </c>
      <c r="B3669" t="s">
        <v>927</v>
      </c>
      <c r="C3669" t="s">
        <v>8570</v>
      </c>
      <c r="D3669" t="s">
        <v>8571</v>
      </c>
      <c r="E3669" t="s">
        <v>3322</v>
      </c>
    </row>
    <row r="3670" spans="1:5" x14ac:dyDescent="0.2">
      <c r="A3670">
        <v>3670</v>
      </c>
      <c r="B3670" t="s">
        <v>927</v>
      </c>
      <c r="C3670" t="s">
        <v>8572</v>
      </c>
      <c r="D3670" t="s">
        <v>8573</v>
      </c>
      <c r="E3670" t="s">
        <v>1790</v>
      </c>
    </row>
    <row r="3671" spans="1:5" x14ac:dyDescent="0.2">
      <c r="A3671">
        <v>3671</v>
      </c>
      <c r="B3671" t="s">
        <v>927</v>
      </c>
      <c r="C3671" t="s">
        <v>8574</v>
      </c>
      <c r="D3671" t="s">
        <v>8575</v>
      </c>
      <c r="E3671" t="s">
        <v>1790</v>
      </c>
    </row>
    <row r="3672" spans="1:5" x14ac:dyDescent="0.2">
      <c r="A3672">
        <v>3672</v>
      </c>
      <c r="B3672" t="s">
        <v>927</v>
      </c>
      <c r="C3672" t="s">
        <v>8576</v>
      </c>
      <c r="D3672" t="s">
        <v>8577</v>
      </c>
      <c r="E3672" t="s">
        <v>1790</v>
      </c>
    </row>
    <row r="3673" spans="1:5" x14ac:dyDescent="0.2">
      <c r="A3673">
        <v>3673</v>
      </c>
      <c r="B3673" t="s">
        <v>927</v>
      </c>
      <c r="C3673" t="s">
        <v>8578</v>
      </c>
      <c r="D3673" t="s">
        <v>8579</v>
      </c>
      <c r="E3673" t="s">
        <v>1790</v>
      </c>
    </row>
    <row r="3674" spans="1:5" x14ac:dyDescent="0.2">
      <c r="A3674">
        <v>3674</v>
      </c>
      <c r="B3674" t="s">
        <v>927</v>
      </c>
      <c r="C3674" t="s">
        <v>8580</v>
      </c>
      <c r="D3674" t="s">
        <v>8581</v>
      </c>
      <c r="E3674" t="s">
        <v>1790</v>
      </c>
    </row>
    <row r="3675" spans="1:5" x14ac:dyDescent="0.2">
      <c r="A3675">
        <v>3675</v>
      </c>
      <c r="B3675" t="s">
        <v>927</v>
      </c>
      <c r="C3675" t="s">
        <v>8582</v>
      </c>
      <c r="D3675" t="s">
        <v>8583</v>
      </c>
      <c r="E3675" t="s">
        <v>1790</v>
      </c>
    </row>
    <row r="3676" spans="1:5" x14ac:dyDescent="0.2">
      <c r="A3676">
        <v>3676</v>
      </c>
      <c r="B3676" t="s">
        <v>931</v>
      </c>
      <c r="C3676" t="s">
        <v>8584</v>
      </c>
      <c r="D3676" t="s">
        <v>8585</v>
      </c>
      <c r="E3676" t="s">
        <v>2164</v>
      </c>
    </row>
    <row r="3677" spans="1:5" x14ac:dyDescent="0.2">
      <c r="A3677">
        <v>3677</v>
      </c>
      <c r="B3677" t="s">
        <v>931</v>
      </c>
      <c r="C3677" t="s">
        <v>8586</v>
      </c>
      <c r="D3677" t="s">
        <v>8587</v>
      </c>
      <c r="E3677" t="s">
        <v>2164</v>
      </c>
    </row>
    <row r="3678" spans="1:5" x14ac:dyDescent="0.2">
      <c r="A3678">
        <v>3678</v>
      </c>
      <c r="B3678" t="s">
        <v>931</v>
      </c>
      <c r="C3678" t="s">
        <v>8588</v>
      </c>
      <c r="D3678" t="s">
        <v>8589</v>
      </c>
      <c r="E3678" t="s">
        <v>2164</v>
      </c>
    </row>
    <row r="3679" spans="1:5" x14ac:dyDescent="0.2">
      <c r="A3679">
        <v>3679</v>
      </c>
      <c r="B3679" t="s">
        <v>931</v>
      </c>
      <c r="C3679" t="s">
        <v>8590</v>
      </c>
      <c r="D3679" t="s">
        <v>8591</v>
      </c>
      <c r="E3679" t="s">
        <v>2164</v>
      </c>
    </row>
    <row r="3680" spans="1:5" x14ac:dyDescent="0.2">
      <c r="A3680">
        <v>3680</v>
      </c>
      <c r="B3680" t="s">
        <v>931</v>
      </c>
      <c r="C3680" t="s">
        <v>8592</v>
      </c>
      <c r="D3680" t="s">
        <v>8593</v>
      </c>
      <c r="E3680" t="s">
        <v>2164</v>
      </c>
    </row>
    <row r="3681" spans="1:5" x14ac:dyDescent="0.2">
      <c r="A3681">
        <v>3681</v>
      </c>
      <c r="B3681" t="s">
        <v>931</v>
      </c>
      <c r="C3681" t="s">
        <v>8594</v>
      </c>
      <c r="D3681" t="s">
        <v>8595</v>
      </c>
      <c r="E3681" t="s">
        <v>2164</v>
      </c>
    </row>
    <row r="3682" spans="1:5" x14ac:dyDescent="0.2">
      <c r="A3682">
        <v>3682</v>
      </c>
      <c r="B3682" t="s">
        <v>931</v>
      </c>
      <c r="C3682" t="s">
        <v>8596</v>
      </c>
      <c r="D3682" t="s">
        <v>8597</v>
      </c>
      <c r="E3682" t="s">
        <v>2164</v>
      </c>
    </row>
    <row r="3683" spans="1:5" x14ac:dyDescent="0.2">
      <c r="A3683">
        <v>3683</v>
      </c>
      <c r="B3683" t="s">
        <v>935</v>
      </c>
      <c r="C3683" t="s">
        <v>8598</v>
      </c>
      <c r="D3683" t="s">
        <v>8599</v>
      </c>
      <c r="E3683" t="s">
        <v>2590</v>
      </c>
    </row>
    <row r="3684" spans="1:5" x14ac:dyDescent="0.2">
      <c r="A3684">
        <v>3684</v>
      </c>
      <c r="B3684" t="s">
        <v>935</v>
      </c>
      <c r="C3684" t="s">
        <v>8600</v>
      </c>
      <c r="D3684" t="s">
        <v>8601</v>
      </c>
      <c r="E3684" t="s">
        <v>2590</v>
      </c>
    </row>
    <row r="3685" spans="1:5" x14ac:dyDescent="0.2">
      <c r="A3685">
        <v>3685</v>
      </c>
      <c r="B3685" t="s">
        <v>935</v>
      </c>
      <c r="C3685" t="s">
        <v>8602</v>
      </c>
      <c r="D3685" t="s">
        <v>8603</v>
      </c>
      <c r="E3685" t="s">
        <v>2590</v>
      </c>
    </row>
    <row r="3686" spans="1:5" x14ac:dyDescent="0.2">
      <c r="A3686">
        <v>3686</v>
      </c>
      <c r="B3686" t="s">
        <v>935</v>
      </c>
      <c r="C3686" t="s">
        <v>8604</v>
      </c>
      <c r="D3686" t="s">
        <v>8605</v>
      </c>
      <c r="E3686" t="s">
        <v>2590</v>
      </c>
    </row>
    <row r="3687" spans="1:5" x14ac:dyDescent="0.2">
      <c r="A3687">
        <v>3687</v>
      </c>
      <c r="B3687" t="s">
        <v>935</v>
      </c>
      <c r="C3687" t="s">
        <v>8606</v>
      </c>
      <c r="D3687" t="s">
        <v>8607</v>
      </c>
      <c r="E3687" t="s">
        <v>2590</v>
      </c>
    </row>
    <row r="3688" spans="1:5" x14ac:dyDescent="0.2">
      <c r="A3688">
        <v>3688</v>
      </c>
      <c r="B3688" t="s">
        <v>935</v>
      </c>
      <c r="C3688" t="s">
        <v>8608</v>
      </c>
      <c r="D3688" t="s">
        <v>8609</v>
      </c>
      <c r="E3688" t="s">
        <v>2590</v>
      </c>
    </row>
    <row r="3689" spans="1:5" x14ac:dyDescent="0.2">
      <c r="A3689">
        <v>3689</v>
      </c>
      <c r="B3689" t="s">
        <v>935</v>
      </c>
      <c r="C3689" t="s">
        <v>8610</v>
      </c>
      <c r="D3689" t="s">
        <v>8611</v>
      </c>
      <c r="E3689" t="s">
        <v>2590</v>
      </c>
    </row>
    <row r="3690" spans="1:5" x14ac:dyDescent="0.2">
      <c r="A3690">
        <v>3690</v>
      </c>
      <c r="B3690" t="s">
        <v>935</v>
      </c>
      <c r="C3690" t="s">
        <v>8612</v>
      </c>
      <c r="D3690" t="s">
        <v>8613</v>
      </c>
      <c r="E3690" t="s">
        <v>2590</v>
      </c>
    </row>
    <row r="3691" spans="1:5" x14ac:dyDescent="0.2">
      <c r="A3691">
        <v>3691</v>
      </c>
      <c r="B3691" t="s">
        <v>935</v>
      </c>
      <c r="C3691" t="s">
        <v>8614</v>
      </c>
      <c r="D3691" t="s">
        <v>8615</v>
      </c>
      <c r="E3691" t="s">
        <v>2590</v>
      </c>
    </row>
    <row r="3692" spans="1:5" x14ac:dyDescent="0.2">
      <c r="A3692">
        <v>3692</v>
      </c>
      <c r="B3692" t="s">
        <v>935</v>
      </c>
      <c r="C3692" t="s">
        <v>8616</v>
      </c>
      <c r="D3692" t="s">
        <v>8617</v>
      </c>
      <c r="E3692" t="s">
        <v>2164</v>
      </c>
    </row>
    <row r="3693" spans="1:5" x14ac:dyDescent="0.2">
      <c r="A3693">
        <v>3693</v>
      </c>
      <c r="B3693" t="s">
        <v>935</v>
      </c>
      <c r="C3693" t="s">
        <v>8618</v>
      </c>
      <c r="D3693" t="s">
        <v>8619</v>
      </c>
      <c r="E3693" t="s">
        <v>2590</v>
      </c>
    </row>
    <row r="3694" spans="1:5" x14ac:dyDescent="0.2">
      <c r="A3694">
        <v>3694</v>
      </c>
      <c r="B3694" t="s">
        <v>935</v>
      </c>
      <c r="C3694" t="s">
        <v>8620</v>
      </c>
      <c r="D3694" t="s">
        <v>8621</v>
      </c>
      <c r="E3694" t="s">
        <v>2590</v>
      </c>
    </row>
    <row r="3695" spans="1:5" x14ac:dyDescent="0.2">
      <c r="A3695">
        <v>3695</v>
      </c>
      <c r="B3695" t="s">
        <v>935</v>
      </c>
      <c r="C3695" t="s">
        <v>8622</v>
      </c>
      <c r="D3695" t="s">
        <v>8623</v>
      </c>
      <c r="E3695" t="s">
        <v>2590</v>
      </c>
    </row>
    <row r="3696" spans="1:5" x14ac:dyDescent="0.2">
      <c r="A3696">
        <v>3696</v>
      </c>
      <c r="B3696" t="s">
        <v>935</v>
      </c>
      <c r="C3696" t="s">
        <v>8624</v>
      </c>
      <c r="D3696" t="s">
        <v>8625</v>
      </c>
      <c r="E3696" t="s">
        <v>2590</v>
      </c>
    </row>
    <row r="3697" spans="1:5" x14ac:dyDescent="0.2">
      <c r="A3697">
        <v>3697</v>
      </c>
      <c r="B3697" t="s">
        <v>935</v>
      </c>
      <c r="C3697" t="s">
        <v>8626</v>
      </c>
      <c r="D3697" t="s">
        <v>8627</v>
      </c>
      <c r="E3697" t="s">
        <v>2590</v>
      </c>
    </row>
    <row r="3698" spans="1:5" x14ac:dyDescent="0.2">
      <c r="A3698">
        <v>3698</v>
      </c>
      <c r="B3698" t="s">
        <v>935</v>
      </c>
      <c r="C3698" t="s">
        <v>8628</v>
      </c>
      <c r="D3698" t="s">
        <v>7205</v>
      </c>
      <c r="E3698" t="s">
        <v>2590</v>
      </c>
    </row>
    <row r="3699" spans="1:5" x14ac:dyDescent="0.2">
      <c r="A3699">
        <v>3699</v>
      </c>
      <c r="B3699" t="s">
        <v>935</v>
      </c>
      <c r="C3699" t="s">
        <v>8629</v>
      </c>
      <c r="D3699" t="s">
        <v>8630</v>
      </c>
      <c r="E3699" t="s">
        <v>2590</v>
      </c>
    </row>
    <row r="3700" spans="1:5" x14ac:dyDescent="0.2">
      <c r="A3700">
        <v>3700</v>
      </c>
      <c r="B3700" t="s">
        <v>935</v>
      </c>
      <c r="C3700" t="s">
        <v>8631</v>
      </c>
      <c r="D3700" t="s">
        <v>8632</v>
      </c>
      <c r="E3700" t="s">
        <v>2590</v>
      </c>
    </row>
    <row r="3701" spans="1:5" x14ac:dyDescent="0.2">
      <c r="A3701">
        <v>3701</v>
      </c>
      <c r="B3701" t="s">
        <v>935</v>
      </c>
      <c r="C3701" t="s">
        <v>8633</v>
      </c>
      <c r="D3701" t="s">
        <v>8634</v>
      </c>
      <c r="E3701" t="s">
        <v>2590</v>
      </c>
    </row>
    <row r="3702" spans="1:5" x14ac:dyDescent="0.2">
      <c r="A3702">
        <v>3702</v>
      </c>
      <c r="B3702" t="s">
        <v>935</v>
      </c>
      <c r="C3702" t="s">
        <v>8635</v>
      </c>
      <c r="D3702" t="s">
        <v>8636</v>
      </c>
      <c r="E3702" t="s">
        <v>2590</v>
      </c>
    </row>
    <row r="3703" spans="1:5" x14ac:dyDescent="0.2">
      <c r="A3703">
        <v>3703</v>
      </c>
      <c r="B3703" t="s">
        <v>935</v>
      </c>
      <c r="C3703" t="s">
        <v>8637</v>
      </c>
      <c r="D3703" t="s">
        <v>8638</v>
      </c>
      <c r="E3703" t="s">
        <v>2590</v>
      </c>
    </row>
    <row r="3704" spans="1:5" x14ac:dyDescent="0.2">
      <c r="A3704">
        <v>3704</v>
      </c>
      <c r="B3704" t="s">
        <v>935</v>
      </c>
      <c r="C3704" t="s">
        <v>8639</v>
      </c>
      <c r="D3704" t="s">
        <v>8640</v>
      </c>
      <c r="E3704" t="s">
        <v>2590</v>
      </c>
    </row>
    <row r="3705" spans="1:5" x14ac:dyDescent="0.2">
      <c r="A3705">
        <v>3705</v>
      </c>
      <c r="B3705" t="s">
        <v>935</v>
      </c>
      <c r="C3705" t="s">
        <v>8641</v>
      </c>
      <c r="D3705" t="s">
        <v>8642</v>
      </c>
      <c r="E3705" t="s">
        <v>2590</v>
      </c>
    </row>
    <row r="3706" spans="1:5" x14ac:dyDescent="0.2">
      <c r="A3706">
        <v>3706</v>
      </c>
      <c r="B3706" t="s">
        <v>935</v>
      </c>
      <c r="C3706" t="s">
        <v>8643</v>
      </c>
      <c r="D3706" t="s">
        <v>8644</v>
      </c>
      <c r="E3706" t="s">
        <v>2590</v>
      </c>
    </row>
    <row r="3707" spans="1:5" x14ac:dyDescent="0.2">
      <c r="A3707">
        <v>3707</v>
      </c>
      <c r="B3707" t="s">
        <v>935</v>
      </c>
      <c r="C3707" t="s">
        <v>8645</v>
      </c>
      <c r="D3707" t="s">
        <v>8646</v>
      </c>
      <c r="E3707" t="s">
        <v>2590</v>
      </c>
    </row>
    <row r="3708" spans="1:5" x14ac:dyDescent="0.2">
      <c r="A3708">
        <v>3708</v>
      </c>
      <c r="B3708" t="s">
        <v>935</v>
      </c>
      <c r="C3708" t="s">
        <v>8647</v>
      </c>
      <c r="D3708" t="s">
        <v>8648</v>
      </c>
      <c r="E3708" t="s">
        <v>2590</v>
      </c>
    </row>
    <row r="3709" spans="1:5" x14ac:dyDescent="0.2">
      <c r="A3709">
        <v>3709</v>
      </c>
      <c r="B3709" t="s">
        <v>935</v>
      </c>
      <c r="C3709" t="s">
        <v>8649</v>
      </c>
      <c r="D3709" t="s">
        <v>8650</v>
      </c>
      <c r="E3709" t="s">
        <v>2590</v>
      </c>
    </row>
    <row r="3710" spans="1:5" x14ac:dyDescent="0.2">
      <c r="A3710">
        <v>3710</v>
      </c>
      <c r="B3710" t="s">
        <v>935</v>
      </c>
      <c r="C3710" t="s">
        <v>8651</v>
      </c>
      <c r="D3710" t="s">
        <v>8652</v>
      </c>
      <c r="E3710" t="s">
        <v>2590</v>
      </c>
    </row>
    <row r="3711" spans="1:5" x14ac:dyDescent="0.2">
      <c r="A3711">
        <v>3711</v>
      </c>
      <c r="B3711" t="s">
        <v>935</v>
      </c>
      <c r="C3711" t="s">
        <v>8653</v>
      </c>
      <c r="D3711" t="s">
        <v>8654</v>
      </c>
      <c r="E3711" t="s">
        <v>2590</v>
      </c>
    </row>
    <row r="3712" spans="1:5" x14ac:dyDescent="0.2">
      <c r="A3712">
        <v>3712</v>
      </c>
      <c r="B3712" t="s">
        <v>935</v>
      </c>
      <c r="C3712" t="s">
        <v>8655</v>
      </c>
      <c r="D3712" t="s">
        <v>8656</v>
      </c>
      <c r="E3712" t="s">
        <v>2590</v>
      </c>
    </row>
    <row r="3713" spans="1:5" x14ac:dyDescent="0.2">
      <c r="A3713">
        <v>3713</v>
      </c>
      <c r="B3713" t="s">
        <v>935</v>
      </c>
      <c r="C3713" t="s">
        <v>8657</v>
      </c>
      <c r="D3713" t="s">
        <v>8658</v>
      </c>
      <c r="E3713" t="s">
        <v>2590</v>
      </c>
    </row>
    <row r="3714" spans="1:5" x14ac:dyDescent="0.2">
      <c r="A3714">
        <v>3714</v>
      </c>
      <c r="B3714" t="s">
        <v>935</v>
      </c>
      <c r="C3714" t="s">
        <v>8659</v>
      </c>
      <c r="D3714" t="s">
        <v>8660</v>
      </c>
      <c r="E3714" t="s">
        <v>2590</v>
      </c>
    </row>
    <row r="3715" spans="1:5" x14ac:dyDescent="0.2">
      <c r="A3715">
        <v>3715</v>
      </c>
      <c r="B3715" t="s">
        <v>935</v>
      </c>
      <c r="C3715" t="s">
        <v>8661</v>
      </c>
      <c r="D3715" t="s">
        <v>8662</v>
      </c>
      <c r="E3715" t="s">
        <v>2590</v>
      </c>
    </row>
    <row r="3716" spans="1:5" x14ac:dyDescent="0.2">
      <c r="A3716">
        <v>3716</v>
      </c>
      <c r="B3716" t="s">
        <v>935</v>
      </c>
      <c r="C3716" t="s">
        <v>8663</v>
      </c>
      <c r="D3716" t="s">
        <v>8664</v>
      </c>
      <c r="E3716" t="s">
        <v>2590</v>
      </c>
    </row>
    <row r="3717" spans="1:5" x14ac:dyDescent="0.2">
      <c r="A3717">
        <v>3717</v>
      </c>
      <c r="B3717" t="s">
        <v>935</v>
      </c>
      <c r="C3717" t="s">
        <v>8665</v>
      </c>
      <c r="D3717" t="s">
        <v>8666</v>
      </c>
      <c r="E3717" t="s">
        <v>2590</v>
      </c>
    </row>
    <row r="3718" spans="1:5" x14ac:dyDescent="0.2">
      <c r="A3718">
        <v>3718</v>
      </c>
      <c r="B3718" t="s">
        <v>935</v>
      </c>
      <c r="C3718" t="s">
        <v>8667</v>
      </c>
      <c r="D3718" t="s">
        <v>8668</v>
      </c>
      <c r="E3718" t="s">
        <v>2590</v>
      </c>
    </row>
    <row r="3719" spans="1:5" x14ac:dyDescent="0.2">
      <c r="A3719">
        <v>3719</v>
      </c>
      <c r="B3719" t="s">
        <v>935</v>
      </c>
      <c r="C3719" t="s">
        <v>8669</v>
      </c>
      <c r="D3719" t="s">
        <v>8670</v>
      </c>
      <c r="E3719" t="s">
        <v>2590</v>
      </c>
    </row>
    <row r="3720" spans="1:5" x14ac:dyDescent="0.2">
      <c r="A3720">
        <v>3720</v>
      </c>
      <c r="B3720" t="s">
        <v>935</v>
      </c>
      <c r="C3720" t="s">
        <v>8671</v>
      </c>
      <c r="D3720" t="s">
        <v>8672</v>
      </c>
      <c r="E3720" t="s">
        <v>2590</v>
      </c>
    </row>
    <row r="3721" spans="1:5" x14ac:dyDescent="0.2">
      <c r="A3721">
        <v>3721</v>
      </c>
      <c r="B3721" t="s">
        <v>935</v>
      </c>
      <c r="C3721" t="s">
        <v>8673</v>
      </c>
      <c r="D3721" t="s">
        <v>8674</v>
      </c>
      <c r="E3721" t="s">
        <v>2590</v>
      </c>
    </row>
    <row r="3722" spans="1:5" x14ac:dyDescent="0.2">
      <c r="A3722">
        <v>3722</v>
      </c>
      <c r="B3722" t="s">
        <v>935</v>
      </c>
      <c r="C3722" t="s">
        <v>8675</v>
      </c>
      <c r="D3722" t="s">
        <v>8676</v>
      </c>
      <c r="E3722" t="s">
        <v>2590</v>
      </c>
    </row>
    <row r="3723" spans="1:5" x14ac:dyDescent="0.2">
      <c r="A3723">
        <v>3723</v>
      </c>
      <c r="B3723" t="s">
        <v>935</v>
      </c>
      <c r="C3723" t="s">
        <v>8677</v>
      </c>
      <c r="D3723" t="s">
        <v>8678</v>
      </c>
      <c r="E3723" t="s">
        <v>2590</v>
      </c>
    </row>
    <row r="3724" spans="1:5" x14ac:dyDescent="0.2">
      <c r="A3724">
        <v>3724</v>
      </c>
      <c r="B3724" t="s">
        <v>935</v>
      </c>
      <c r="C3724" t="s">
        <v>8679</v>
      </c>
      <c r="D3724" t="s">
        <v>8680</v>
      </c>
      <c r="E3724" t="s">
        <v>2590</v>
      </c>
    </row>
    <row r="3725" spans="1:5" x14ac:dyDescent="0.2">
      <c r="A3725">
        <v>3725</v>
      </c>
      <c r="B3725" t="s">
        <v>1119</v>
      </c>
      <c r="C3725" t="s">
        <v>8681</v>
      </c>
      <c r="D3725" t="s">
        <v>8682</v>
      </c>
      <c r="E3725" t="s">
        <v>8683</v>
      </c>
    </row>
    <row r="3726" spans="1:5" x14ac:dyDescent="0.2">
      <c r="A3726">
        <v>3726</v>
      </c>
      <c r="B3726" t="s">
        <v>1119</v>
      </c>
      <c r="C3726" t="s">
        <v>8684</v>
      </c>
      <c r="D3726" t="s">
        <v>8685</v>
      </c>
      <c r="E3726" t="s">
        <v>8683</v>
      </c>
    </row>
    <row r="3727" spans="1:5" x14ac:dyDescent="0.2">
      <c r="A3727">
        <v>3727</v>
      </c>
      <c r="B3727" t="s">
        <v>1119</v>
      </c>
      <c r="C3727" t="s">
        <v>8686</v>
      </c>
      <c r="D3727" t="s">
        <v>8687</v>
      </c>
      <c r="E3727" t="s">
        <v>8688</v>
      </c>
    </row>
    <row r="3728" spans="1:5" x14ac:dyDescent="0.2">
      <c r="A3728">
        <v>3728</v>
      </c>
      <c r="B3728" t="s">
        <v>1119</v>
      </c>
      <c r="C3728" t="s">
        <v>8689</v>
      </c>
      <c r="D3728" t="s">
        <v>8690</v>
      </c>
      <c r="E3728" t="s">
        <v>4630</v>
      </c>
    </row>
    <row r="3729" spans="1:5" x14ac:dyDescent="0.2">
      <c r="A3729">
        <v>3729</v>
      </c>
      <c r="B3729" t="s">
        <v>1119</v>
      </c>
      <c r="C3729" t="s">
        <v>8691</v>
      </c>
      <c r="D3729" t="s">
        <v>8692</v>
      </c>
      <c r="E3729" t="s">
        <v>4630</v>
      </c>
    </row>
    <row r="3730" spans="1:5" x14ac:dyDescent="0.2">
      <c r="A3730">
        <v>3730</v>
      </c>
      <c r="B3730" t="s">
        <v>1119</v>
      </c>
      <c r="C3730" t="s">
        <v>8693</v>
      </c>
      <c r="D3730" t="s">
        <v>8694</v>
      </c>
      <c r="E3730" t="s">
        <v>4630</v>
      </c>
    </row>
    <row r="3731" spans="1:5" x14ac:dyDescent="0.2">
      <c r="A3731">
        <v>3731</v>
      </c>
      <c r="B3731" t="s">
        <v>1119</v>
      </c>
      <c r="C3731" t="s">
        <v>8695</v>
      </c>
      <c r="D3731" t="s">
        <v>8696</v>
      </c>
      <c r="E3731" t="s">
        <v>8683</v>
      </c>
    </row>
    <row r="3732" spans="1:5" x14ac:dyDescent="0.2">
      <c r="A3732">
        <v>3732</v>
      </c>
      <c r="B3732" t="s">
        <v>1119</v>
      </c>
      <c r="C3732" t="s">
        <v>8697</v>
      </c>
      <c r="D3732" t="s">
        <v>8698</v>
      </c>
      <c r="E3732" t="s">
        <v>4630</v>
      </c>
    </row>
    <row r="3733" spans="1:5" x14ac:dyDescent="0.2">
      <c r="A3733">
        <v>3733</v>
      </c>
      <c r="B3733" t="s">
        <v>1119</v>
      </c>
      <c r="C3733" t="s">
        <v>8699</v>
      </c>
      <c r="D3733" t="s">
        <v>8700</v>
      </c>
      <c r="E3733" t="s">
        <v>4630</v>
      </c>
    </row>
    <row r="3734" spans="1:5" x14ac:dyDescent="0.2">
      <c r="A3734">
        <v>3734</v>
      </c>
      <c r="B3734" t="s">
        <v>1119</v>
      </c>
      <c r="C3734" t="s">
        <v>8701</v>
      </c>
      <c r="D3734" t="s">
        <v>8702</v>
      </c>
      <c r="E3734" t="s">
        <v>8683</v>
      </c>
    </row>
    <row r="3735" spans="1:5" x14ac:dyDescent="0.2">
      <c r="A3735">
        <v>3735</v>
      </c>
      <c r="B3735" t="s">
        <v>1119</v>
      </c>
      <c r="C3735" t="s">
        <v>8703</v>
      </c>
      <c r="D3735" t="s">
        <v>8704</v>
      </c>
      <c r="E3735" t="s">
        <v>8683</v>
      </c>
    </row>
    <row r="3736" spans="1:5" x14ac:dyDescent="0.2">
      <c r="A3736">
        <v>3736</v>
      </c>
      <c r="B3736" t="s">
        <v>1119</v>
      </c>
      <c r="C3736" t="s">
        <v>8705</v>
      </c>
      <c r="D3736" t="s">
        <v>8706</v>
      </c>
      <c r="E3736" t="s">
        <v>4630</v>
      </c>
    </row>
    <row r="3737" spans="1:5" x14ac:dyDescent="0.2">
      <c r="A3737">
        <v>3737</v>
      </c>
      <c r="B3737" t="s">
        <v>1119</v>
      </c>
      <c r="C3737" t="s">
        <v>8707</v>
      </c>
      <c r="D3737" t="s">
        <v>8708</v>
      </c>
      <c r="E3737" t="s">
        <v>8709</v>
      </c>
    </row>
    <row r="3738" spans="1:5" x14ac:dyDescent="0.2">
      <c r="A3738">
        <v>3738</v>
      </c>
      <c r="B3738" t="s">
        <v>1119</v>
      </c>
      <c r="C3738" t="s">
        <v>8710</v>
      </c>
      <c r="D3738" t="s">
        <v>8711</v>
      </c>
      <c r="E3738" t="s">
        <v>8683</v>
      </c>
    </row>
    <row r="3739" spans="1:5" x14ac:dyDescent="0.2">
      <c r="A3739">
        <v>3739</v>
      </c>
      <c r="B3739" t="s">
        <v>1119</v>
      </c>
      <c r="C3739" t="s">
        <v>8712</v>
      </c>
      <c r="D3739" t="s">
        <v>8713</v>
      </c>
      <c r="E3739" t="s">
        <v>8683</v>
      </c>
    </row>
    <row r="3740" spans="1:5" x14ac:dyDescent="0.2">
      <c r="A3740">
        <v>3740</v>
      </c>
      <c r="B3740" t="s">
        <v>1119</v>
      </c>
      <c r="C3740" t="s">
        <v>8714</v>
      </c>
      <c r="D3740" t="s">
        <v>8715</v>
      </c>
      <c r="E3740" t="s">
        <v>8683</v>
      </c>
    </row>
    <row r="3741" spans="1:5" x14ac:dyDescent="0.2">
      <c r="A3741">
        <v>3741</v>
      </c>
      <c r="B3741" t="s">
        <v>1119</v>
      </c>
      <c r="C3741" t="s">
        <v>8716</v>
      </c>
      <c r="D3741" t="s">
        <v>8717</v>
      </c>
      <c r="E3741" t="s">
        <v>4630</v>
      </c>
    </row>
    <row r="3742" spans="1:5" x14ac:dyDescent="0.2">
      <c r="A3742">
        <v>3742</v>
      </c>
      <c r="B3742" t="s">
        <v>1119</v>
      </c>
      <c r="C3742" t="s">
        <v>8718</v>
      </c>
      <c r="D3742" t="s">
        <v>8719</v>
      </c>
      <c r="E3742" t="s">
        <v>4630</v>
      </c>
    </row>
    <row r="3743" spans="1:5" x14ac:dyDescent="0.2">
      <c r="A3743">
        <v>3743</v>
      </c>
      <c r="B3743" t="s">
        <v>1119</v>
      </c>
      <c r="C3743" t="s">
        <v>8720</v>
      </c>
      <c r="D3743" t="s">
        <v>8721</v>
      </c>
      <c r="E3743" t="s">
        <v>8683</v>
      </c>
    </row>
    <row r="3744" spans="1:5" x14ac:dyDescent="0.2">
      <c r="A3744">
        <v>3744</v>
      </c>
      <c r="B3744" t="s">
        <v>1119</v>
      </c>
      <c r="C3744" t="s">
        <v>8722</v>
      </c>
      <c r="D3744" t="s">
        <v>8723</v>
      </c>
      <c r="E3744" t="s">
        <v>4630</v>
      </c>
    </row>
    <row r="3745" spans="1:5" x14ac:dyDescent="0.2">
      <c r="A3745">
        <v>3745</v>
      </c>
      <c r="B3745" t="s">
        <v>1119</v>
      </c>
      <c r="C3745" t="s">
        <v>8724</v>
      </c>
      <c r="D3745" t="s">
        <v>8725</v>
      </c>
      <c r="E3745" t="s">
        <v>8683</v>
      </c>
    </row>
    <row r="3746" spans="1:5" x14ac:dyDescent="0.2">
      <c r="A3746">
        <v>3746</v>
      </c>
      <c r="B3746" t="s">
        <v>1119</v>
      </c>
      <c r="C3746" t="s">
        <v>8726</v>
      </c>
      <c r="D3746" t="s">
        <v>8727</v>
      </c>
      <c r="E3746" t="s">
        <v>4630</v>
      </c>
    </row>
    <row r="3747" spans="1:5" x14ac:dyDescent="0.2">
      <c r="A3747">
        <v>3747</v>
      </c>
      <c r="B3747" t="s">
        <v>1119</v>
      </c>
      <c r="C3747" t="s">
        <v>8728</v>
      </c>
      <c r="D3747" t="s">
        <v>8729</v>
      </c>
      <c r="E3747" t="s">
        <v>8688</v>
      </c>
    </row>
    <row r="3748" spans="1:5" x14ac:dyDescent="0.2">
      <c r="A3748">
        <v>3748</v>
      </c>
      <c r="B3748" t="s">
        <v>1119</v>
      </c>
      <c r="C3748" t="s">
        <v>8730</v>
      </c>
      <c r="D3748" t="s">
        <v>8731</v>
      </c>
      <c r="E3748" t="s">
        <v>8683</v>
      </c>
    </row>
    <row r="3749" spans="1:5" x14ac:dyDescent="0.2">
      <c r="A3749">
        <v>3749</v>
      </c>
      <c r="B3749" t="s">
        <v>1119</v>
      </c>
      <c r="C3749" t="s">
        <v>8732</v>
      </c>
      <c r="D3749" t="s">
        <v>8733</v>
      </c>
      <c r="E3749" t="s">
        <v>8683</v>
      </c>
    </row>
    <row r="3750" spans="1:5" x14ac:dyDescent="0.2">
      <c r="A3750">
        <v>3750</v>
      </c>
      <c r="B3750" t="s">
        <v>1119</v>
      </c>
      <c r="C3750" t="s">
        <v>8734</v>
      </c>
      <c r="D3750" t="s">
        <v>8735</v>
      </c>
      <c r="E3750" t="s">
        <v>4630</v>
      </c>
    </row>
    <row r="3751" spans="1:5" x14ac:dyDescent="0.2">
      <c r="A3751">
        <v>3751</v>
      </c>
      <c r="B3751" t="s">
        <v>1119</v>
      </c>
      <c r="C3751" t="s">
        <v>8736</v>
      </c>
      <c r="D3751" t="s">
        <v>8737</v>
      </c>
      <c r="E3751" t="s">
        <v>8688</v>
      </c>
    </row>
    <row r="3752" spans="1:5" x14ac:dyDescent="0.2">
      <c r="A3752">
        <v>3752</v>
      </c>
      <c r="B3752" t="s">
        <v>1119</v>
      </c>
      <c r="C3752" t="s">
        <v>8738</v>
      </c>
      <c r="D3752" t="s">
        <v>8739</v>
      </c>
      <c r="E3752" t="s">
        <v>8683</v>
      </c>
    </row>
    <row r="3753" spans="1:5" x14ac:dyDescent="0.2">
      <c r="A3753">
        <v>3753</v>
      </c>
      <c r="B3753" t="s">
        <v>1119</v>
      </c>
      <c r="C3753" t="s">
        <v>8740</v>
      </c>
      <c r="D3753" t="s">
        <v>8741</v>
      </c>
      <c r="E3753" t="s">
        <v>8709</v>
      </c>
    </row>
    <row r="3754" spans="1:5" x14ac:dyDescent="0.2">
      <c r="A3754">
        <v>3754</v>
      </c>
      <c r="B3754" t="s">
        <v>1119</v>
      </c>
      <c r="C3754" t="s">
        <v>8742</v>
      </c>
      <c r="D3754" t="s">
        <v>8743</v>
      </c>
      <c r="E3754" t="s">
        <v>4630</v>
      </c>
    </row>
    <row r="3755" spans="1:5" x14ac:dyDescent="0.2">
      <c r="A3755">
        <v>3755</v>
      </c>
      <c r="B3755" t="s">
        <v>1119</v>
      </c>
      <c r="C3755" t="s">
        <v>8744</v>
      </c>
      <c r="D3755" t="s">
        <v>8745</v>
      </c>
      <c r="E3755" t="s">
        <v>8683</v>
      </c>
    </row>
    <row r="3756" spans="1:5" x14ac:dyDescent="0.2">
      <c r="A3756">
        <v>3756</v>
      </c>
      <c r="B3756" t="s">
        <v>1119</v>
      </c>
      <c r="C3756" t="s">
        <v>8746</v>
      </c>
      <c r="D3756" t="s">
        <v>8747</v>
      </c>
      <c r="E3756" t="s">
        <v>4630</v>
      </c>
    </row>
    <row r="3757" spans="1:5" x14ac:dyDescent="0.2">
      <c r="A3757">
        <v>3757</v>
      </c>
      <c r="B3757" t="s">
        <v>1119</v>
      </c>
      <c r="C3757" t="s">
        <v>8748</v>
      </c>
      <c r="D3757" t="s">
        <v>8749</v>
      </c>
      <c r="E3757" t="s">
        <v>8688</v>
      </c>
    </row>
    <row r="3758" spans="1:5" x14ac:dyDescent="0.2">
      <c r="A3758">
        <v>3758</v>
      </c>
      <c r="B3758" t="s">
        <v>1119</v>
      </c>
      <c r="C3758" t="s">
        <v>8750</v>
      </c>
      <c r="D3758" t="s">
        <v>8751</v>
      </c>
      <c r="E3758" t="s">
        <v>8688</v>
      </c>
    </row>
    <row r="3759" spans="1:5" x14ac:dyDescent="0.2">
      <c r="A3759">
        <v>3759</v>
      </c>
      <c r="B3759" t="s">
        <v>1119</v>
      </c>
      <c r="C3759" t="s">
        <v>8752</v>
      </c>
      <c r="D3759" t="s">
        <v>8753</v>
      </c>
      <c r="E3759" t="s">
        <v>4630</v>
      </c>
    </row>
    <row r="3760" spans="1:5" x14ac:dyDescent="0.2">
      <c r="A3760">
        <v>3760</v>
      </c>
      <c r="B3760" t="s">
        <v>1119</v>
      </c>
      <c r="C3760" t="s">
        <v>8754</v>
      </c>
      <c r="D3760" t="s">
        <v>8755</v>
      </c>
      <c r="E3760" t="s">
        <v>4630</v>
      </c>
    </row>
    <row r="3761" spans="1:5" x14ac:dyDescent="0.2">
      <c r="A3761">
        <v>3761</v>
      </c>
      <c r="B3761" t="s">
        <v>1119</v>
      </c>
      <c r="C3761" t="s">
        <v>8756</v>
      </c>
      <c r="D3761" t="s">
        <v>8757</v>
      </c>
      <c r="E3761" t="s">
        <v>4630</v>
      </c>
    </row>
    <row r="3762" spans="1:5" x14ac:dyDescent="0.2">
      <c r="A3762">
        <v>3762</v>
      </c>
      <c r="B3762" t="s">
        <v>1119</v>
      </c>
      <c r="C3762" t="s">
        <v>8758</v>
      </c>
      <c r="D3762" t="s">
        <v>8759</v>
      </c>
      <c r="E3762" t="s">
        <v>4630</v>
      </c>
    </row>
    <row r="3763" spans="1:5" x14ac:dyDescent="0.2">
      <c r="A3763">
        <v>3763</v>
      </c>
      <c r="B3763" t="s">
        <v>1119</v>
      </c>
      <c r="C3763" t="s">
        <v>8760</v>
      </c>
      <c r="D3763" t="s">
        <v>8761</v>
      </c>
      <c r="E3763" t="s">
        <v>4630</v>
      </c>
    </row>
    <row r="3764" spans="1:5" x14ac:dyDescent="0.2">
      <c r="A3764">
        <v>3764</v>
      </c>
      <c r="B3764" t="s">
        <v>1119</v>
      </c>
      <c r="C3764" t="s">
        <v>8762</v>
      </c>
      <c r="D3764" t="s">
        <v>8763</v>
      </c>
      <c r="E3764" t="s">
        <v>8683</v>
      </c>
    </row>
    <row r="3765" spans="1:5" x14ac:dyDescent="0.2">
      <c r="A3765">
        <v>3765</v>
      </c>
      <c r="B3765" t="s">
        <v>1119</v>
      </c>
      <c r="C3765" t="s">
        <v>8764</v>
      </c>
      <c r="D3765" t="s">
        <v>8765</v>
      </c>
      <c r="E3765" t="s">
        <v>8683</v>
      </c>
    </row>
    <row r="3766" spans="1:5" x14ac:dyDescent="0.2">
      <c r="A3766">
        <v>3766</v>
      </c>
      <c r="B3766" t="s">
        <v>1119</v>
      </c>
      <c r="C3766" t="s">
        <v>8766</v>
      </c>
      <c r="D3766" t="s">
        <v>8767</v>
      </c>
      <c r="E3766" t="s">
        <v>4630</v>
      </c>
    </row>
    <row r="3767" spans="1:5" x14ac:dyDescent="0.2">
      <c r="A3767">
        <v>3767</v>
      </c>
      <c r="B3767" t="s">
        <v>1119</v>
      </c>
      <c r="C3767" t="s">
        <v>8768</v>
      </c>
      <c r="D3767" t="s">
        <v>8769</v>
      </c>
      <c r="E3767" t="s">
        <v>8770</v>
      </c>
    </row>
    <row r="3768" spans="1:5" x14ac:dyDescent="0.2">
      <c r="A3768">
        <v>3768</v>
      </c>
      <c r="B3768" t="s">
        <v>1119</v>
      </c>
      <c r="C3768" t="s">
        <v>8771</v>
      </c>
      <c r="D3768" t="s">
        <v>8772</v>
      </c>
      <c r="E3768" t="s">
        <v>4630</v>
      </c>
    </row>
    <row r="3769" spans="1:5" x14ac:dyDescent="0.2">
      <c r="A3769">
        <v>3769</v>
      </c>
      <c r="B3769" t="s">
        <v>1119</v>
      </c>
      <c r="C3769" t="s">
        <v>8773</v>
      </c>
      <c r="D3769" t="s">
        <v>8774</v>
      </c>
      <c r="E3769" t="s">
        <v>8709</v>
      </c>
    </row>
    <row r="3770" spans="1:5" x14ac:dyDescent="0.2">
      <c r="A3770">
        <v>3770</v>
      </c>
      <c r="B3770" t="s">
        <v>1119</v>
      </c>
      <c r="C3770" t="s">
        <v>8775</v>
      </c>
      <c r="D3770" t="s">
        <v>8776</v>
      </c>
      <c r="E3770" t="s">
        <v>4630</v>
      </c>
    </row>
    <row r="3771" spans="1:5" x14ac:dyDescent="0.2">
      <c r="A3771">
        <v>3771</v>
      </c>
      <c r="B3771" t="s">
        <v>1119</v>
      </c>
      <c r="C3771" t="s">
        <v>8777</v>
      </c>
      <c r="D3771" t="s">
        <v>8778</v>
      </c>
      <c r="E3771" t="s">
        <v>4630</v>
      </c>
    </row>
    <row r="3772" spans="1:5" x14ac:dyDescent="0.2">
      <c r="A3772">
        <v>3772</v>
      </c>
      <c r="B3772" t="s">
        <v>1119</v>
      </c>
      <c r="C3772" t="s">
        <v>8779</v>
      </c>
      <c r="D3772" t="s">
        <v>8780</v>
      </c>
      <c r="E3772" t="s">
        <v>4630</v>
      </c>
    </row>
    <row r="3773" spans="1:5" x14ac:dyDescent="0.2">
      <c r="A3773">
        <v>3773</v>
      </c>
      <c r="B3773" t="s">
        <v>1119</v>
      </c>
      <c r="C3773" t="s">
        <v>8781</v>
      </c>
      <c r="D3773" t="s">
        <v>8782</v>
      </c>
      <c r="E3773" t="s">
        <v>4630</v>
      </c>
    </row>
    <row r="3774" spans="1:5" x14ac:dyDescent="0.2">
      <c r="A3774">
        <v>3774</v>
      </c>
      <c r="B3774" t="s">
        <v>1119</v>
      </c>
      <c r="C3774" t="s">
        <v>8783</v>
      </c>
      <c r="D3774" t="s">
        <v>8784</v>
      </c>
      <c r="E3774" t="s">
        <v>4630</v>
      </c>
    </row>
    <row r="3775" spans="1:5" x14ac:dyDescent="0.2">
      <c r="A3775">
        <v>3775</v>
      </c>
      <c r="B3775" t="s">
        <v>1119</v>
      </c>
      <c r="C3775" t="s">
        <v>8785</v>
      </c>
      <c r="D3775" t="s">
        <v>8786</v>
      </c>
      <c r="E3775" t="s">
        <v>4630</v>
      </c>
    </row>
    <row r="3776" spans="1:5" x14ac:dyDescent="0.2">
      <c r="A3776">
        <v>3776</v>
      </c>
      <c r="B3776" t="s">
        <v>1119</v>
      </c>
      <c r="C3776" t="s">
        <v>8787</v>
      </c>
      <c r="D3776" t="s">
        <v>8788</v>
      </c>
      <c r="E3776" t="s">
        <v>4630</v>
      </c>
    </row>
    <row r="3777" spans="1:5" x14ac:dyDescent="0.2">
      <c r="A3777">
        <v>3777</v>
      </c>
      <c r="B3777" t="s">
        <v>1119</v>
      </c>
      <c r="C3777" t="s">
        <v>8789</v>
      </c>
      <c r="D3777" t="s">
        <v>8790</v>
      </c>
      <c r="E3777" t="s">
        <v>8688</v>
      </c>
    </row>
    <row r="3778" spans="1:5" x14ac:dyDescent="0.2">
      <c r="A3778">
        <v>3778</v>
      </c>
      <c r="B3778" t="s">
        <v>1119</v>
      </c>
      <c r="C3778" t="s">
        <v>8791</v>
      </c>
      <c r="D3778" t="s">
        <v>8792</v>
      </c>
      <c r="E3778" t="s">
        <v>8688</v>
      </c>
    </row>
    <row r="3779" spans="1:5" x14ac:dyDescent="0.2">
      <c r="A3779">
        <v>3779</v>
      </c>
      <c r="B3779" t="s">
        <v>1119</v>
      </c>
      <c r="C3779" t="s">
        <v>8791</v>
      </c>
      <c r="D3779" t="s">
        <v>8793</v>
      </c>
      <c r="E3779" t="s">
        <v>8688</v>
      </c>
    </row>
    <row r="3780" spans="1:5" x14ac:dyDescent="0.2">
      <c r="A3780">
        <v>3780</v>
      </c>
      <c r="B3780" t="s">
        <v>1119</v>
      </c>
      <c r="C3780" t="s">
        <v>8794</v>
      </c>
      <c r="D3780" t="s">
        <v>8795</v>
      </c>
      <c r="E3780" t="s">
        <v>4630</v>
      </c>
    </row>
    <row r="3781" spans="1:5" x14ac:dyDescent="0.2">
      <c r="A3781">
        <v>3781</v>
      </c>
      <c r="B3781" t="s">
        <v>1119</v>
      </c>
      <c r="C3781" t="s">
        <v>8794</v>
      </c>
      <c r="D3781" t="s">
        <v>8796</v>
      </c>
      <c r="E3781" t="s">
        <v>4630</v>
      </c>
    </row>
    <row r="3782" spans="1:5" x14ac:dyDescent="0.2">
      <c r="A3782">
        <v>3782</v>
      </c>
      <c r="B3782" t="s">
        <v>1119</v>
      </c>
      <c r="C3782" t="s">
        <v>8797</v>
      </c>
      <c r="D3782" t="s">
        <v>8798</v>
      </c>
      <c r="E3782" t="s">
        <v>4630</v>
      </c>
    </row>
    <row r="3783" spans="1:5" x14ac:dyDescent="0.2">
      <c r="A3783">
        <v>3783</v>
      </c>
      <c r="B3783" t="s">
        <v>1119</v>
      </c>
      <c r="C3783" t="s">
        <v>8797</v>
      </c>
      <c r="D3783" t="s">
        <v>8799</v>
      </c>
      <c r="E3783" t="s">
        <v>4630</v>
      </c>
    </row>
    <row r="3784" spans="1:5" x14ac:dyDescent="0.2">
      <c r="A3784">
        <v>3784</v>
      </c>
      <c r="B3784" t="s">
        <v>1119</v>
      </c>
      <c r="C3784" t="s">
        <v>8800</v>
      </c>
      <c r="D3784" t="s">
        <v>8801</v>
      </c>
      <c r="E3784" t="s">
        <v>4630</v>
      </c>
    </row>
    <row r="3785" spans="1:5" x14ac:dyDescent="0.2">
      <c r="A3785">
        <v>3785</v>
      </c>
      <c r="B3785" t="s">
        <v>1119</v>
      </c>
      <c r="C3785" t="s">
        <v>8802</v>
      </c>
      <c r="D3785" t="s">
        <v>8803</v>
      </c>
      <c r="E3785" t="s">
        <v>8683</v>
      </c>
    </row>
    <row r="3786" spans="1:5" x14ac:dyDescent="0.2">
      <c r="A3786">
        <v>3786</v>
      </c>
      <c r="B3786" t="s">
        <v>1119</v>
      </c>
      <c r="C3786" t="s">
        <v>8804</v>
      </c>
      <c r="D3786" t="s">
        <v>8805</v>
      </c>
      <c r="E3786" t="s">
        <v>4630</v>
      </c>
    </row>
    <row r="3787" spans="1:5" x14ac:dyDescent="0.2">
      <c r="A3787">
        <v>3787</v>
      </c>
      <c r="B3787" t="s">
        <v>1119</v>
      </c>
      <c r="C3787" t="s">
        <v>8806</v>
      </c>
      <c r="D3787" t="s">
        <v>8807</v>
      </c>
      <c r="E3787" t="s">
        <v>4630</v>
      </c>
    </row>
    <row r="3788" spans="1:5" x14ac:dyDescent="0.2">
      <c r="A3788">
        <v>3788</v>
      </c>
      <c r="B3788" t="s">
        <v>1119</v>
      </c>
      <c r="C3788" t="s">
        <v>8808</v>
      </c>
      <c r="D3788" t="s">
        <v>8809</v>
      </c>
      <c r="E3788" t="s">
        <v>8770</v>
      </c>
    </row>
    <row r="3789" spans="1:5" x14ac:dyDescent="0.2">
      <c r="A3789">
        <v>3789</v>
      </c>
      <c r="B3789" t="s">
        <v>1119</v>
      </c>
      <c r="C3789" t="s">
        <v>8810</v>
      </c>
      <c r="D3789" t="s">
        <v>8811</v>
      </c>
      <c r="E3789" t="s">
        <v>4630</v>
      </c>
    </row>
    <row r="3790" spans="1:5" x14ac:dyDescent="0.2">
      <c r="A3790">
        <v>3790</v>
      </c>
      <c r="B3790" t="s">
        <v>1119</v>
      </c>
      <c r="C3790" t="s">
        <v>8812</v>
      </c>
      <c r="D3790" t="s">
        <v>8813</v>
      </c>
      <c r="E3790" t="s">
        <v>8683</v>
      </c>
    </row>
    <row r="3791" spans="1:5" x14ac:dyDescent="0.2">
      <c r="A3791">
        <v>3791</v>
      </c>
      <c r="B3791" t="s">
        <v>1119</v>
      </c>
      <c r="C3791" t="s">
        <v>8814</v>
      </c>
      <c r="D3791" t="s">
        <v>8815</v>
      </c>
      <c r="E3791" t="s">
        <v>4630</v>
      </c>
    </row>
    <row r="3792" spans="1:5" x14ac:dyDescent="0.2">
      <c r="A3792">
        <v>3792</v>
      </c>
      <c r="B3792" t="s">
        <v>1119</v>
      </c>
      <c r="C3792" t="s">
        <v>8816</v>
      </c>
      <c r="D3792" t="s">
        <v>8817</v>
      </c>
      <c r="E3792" t="s">
        <v>8688</v>
      </c>
    </row>
    <row r="3793" spans="1:5" x14ac:dyDescent="0.2">
      <c r="A3793">
        <v>3793</v>
      </c>
      <c r="B3793" t="s">
        <v>1119</v>
      </c>
      <c r="C3793" t="s">
        <v>8818</v>
      </c>
      <c r="D3793" t="s">
        <v>8819</v>
      </c>
      <c r="E3793" t="s">
        <v>4630</v>
      </c>
    </row>
    <row r="3794" spans="1:5" x14ac:dyDescent="0.2">
      <c r="A3794">
        <v>3794</v>
      </c>
      <c r="B3794" t="s">
        <v>1119</v>
      </c>
      <c r="C3794" t="s">
        <v>8820</v>
      </c>
      <c r="D3794" t="s">
        <v>8821</v>
      </c>
      <c r="E3794" t="s">
        <v>4630</v>
      </c>
    </row>
    <row r="3795" spans="1:5" x14ac:dyDescent="0.2">
      <c r="A3795">
        <v>3795</v>
      </c>
      <c r="B3795" t="s">
        <v>1119</v>
      </c>
      <c r="C3795" t="s">
        <v>8822</v>
      </c>
      <c r="D3795" t="s">
        <v>8823</v>
      </c>
      <c r="E3795" t="s">
        <v>8683</v>
      </c>
    </row>
    <row r="3796" spans="1:5" x14ac:dyDescent="0.2">
      <c r="A3796">
        <v>3796</v>
      </c>
      <c r="B3796" t="s">
        <v>1119</v>
      </c>
      <c r="C3796" t="s">
        <v>8824</v>
      </c>
      <c r="D3796" t="s">
        <v>8825</v>
      </c>
      <c r="E3796" t="s">
        <v>4630</v>
      </c>
    </row>
    <row r="3797" spans="1:5" x14ac:dyDescent="0.2">
      <c r="A3797">
        <v>3797</v>
      </c>
      <c r="B3797" t="s">
        <v>1119</v>
      </c>
      <c r="C3797" t="s">
        <v>8826</v>
      </c>
      <c r="D3797" t="s">
        <v>8827</v>
      </c>
      <c r="E3797" t="s">
        <v>4630</v>
      </c>
    </row>
    <row r="3798" spans="1:5" x14ac:dyDescent="0.2">
      <c r="A3798">
        <v>3798</v>
      </c>
      <c r="B3798" t="s">
        <v>1119</v>
      </c>
      <c r="C3798" t="s">
        <v>8828</v>
      </c>
      <c r="D3798" t="s">
        <v>8829</v>
      </c>
      <c r="E3798" t="s">
        <v>4630</v>
      </c>
    </row>
    <row r="3799" spans="1:5" x14ac:dyDescent="0.2">
      <c r="A3799">
        <v>3799</v>
      </c>
      <c r="B3799" t="s">
        <v>1119</v>
      </c>
      <c r="C3799" t="s">
        <v>8830</v>
      </c>
      <c r="D3799" t="s">
        <v>8831</v>
      </c>
      <c r="E3799" t="s">
        <v>4630</v>
      </c>
    </row>
    <row r="3800" spans="1:5" x14ac:dyDescent="0.2">
      <c r="A3800">
        <v>3800</v>
      </c>
      <c r="B3800" t="s">
        <v>1119</v>
      </c>
      <c r="C3800" t="s">
        <v>8832</v>
      </c>
      <c r="D3800" t="s">
        <v>8833</v>
      </c>
      <c r="E3800" t="s">
        <v>8683</v>
      </c>
    </row>
    <row r="3801" spans="1:5" x14ac:dyDescent="0.2">
      <c r="A3801">
        <v>3801</v>
      </c>
      <c r="B3801" t="s">
        <v>1119</v>
      </c>
      <c r="C3801" t="s">
        <v>8834</v>
      </c>
      <c r="D3801" t="s">
        <v>8835</v>
      </c>
      <c r="E3801" t="s">
        <v>8683</v>
      </c>
    </row>
    <row r="3802" spans="1:5" x14ac:dyDescent="0.2">
      <c r="A3802">
        <v>3802</v>
      </c>
      <c r="B3802" t="s">
        <v>1119</v>
      </c>
      <c r="C3802" t="s">
        <v>8836</v>
      </c>
      <c r="D3802" t="s">
        <v>8837</v>
      </c>
      <c r="E3802" t="s">
        <v>4630</v>
      </c>
    </row>
    <row r="3803" spans="1:5" x14ac:dyDescent="0.2">
      <c r="A3803">
        <v>3803</v>
      </c>
      <c r="B3803" t="s">
        <v>1119</v>
      </c>
      <c r="C3803" t="s">
        <v>8838</v>
      </c>
      <c r="D3803" t="s">
        <v>8839</v>
      </c>
      <c r="E3803" t="s">
        <v>4630</v>
      </c>
    </row>
    <row r="3804" spans="1:5" x14ac:dyDescent="0.2">
      <c r="A3804">
        <v>3804</v>
      </c>
      <c r="B3804" t="s">
        <v>1119</v>
      </c>
      <c r="C3804" t="s">
        <v>8840</v>
      </c>
      <c r="D3804" t="s">
        <v>8841</v>
      </c>
      <c r="E3804" t="s">
        <v>4630</v>
      </c>
    </row>
    <row r="3805" spans="1:5" x14ac:dyDescent="0.2">
      <c r="A3805">
        <v>3805</v>
      </c>
      <c r="B3805" t="s">
        <v>1119</v>
      </c>
      <c r="C3805" t="s">
        <v>8842</v>
      </c>
      <c r="D3805" t="s">
        <v>8843</v>
      </c>
      <c r="E3805" t="s">
        <v>4630</v>
      </c>
    </row>
    <row r="3806" spans="1:5" x14ac:dyDescent="0.2">
      <c r="A3806">
        <v>3806</v>
      </c>
      <c r="B3806" t="s">
        <v>1119</v>
      </c>
      <c r="C3806" t="s">
        <v>8844</v>
      </c>
      <c r="D3806" t="s">
        <v>8845</v>
      </c>
      <c r="E3806" t="s">
        <v>4630</v>
      </c>
    </row>
    <row r="3807" spans="1:5" x14ac:dyDescent="0.2">
      <c r="A3807">
        <v>3807</v>
      </c>
      <c r="B3807" t="s">
        <v>1119</v>
      </c>
      <c r="C3807" t="s">
        <v>8846</v>
      </c>
      <c r="D3807" t="s">
        <v>8847</v>
      </c>
      <c r="E3807" t="s">
        <v>8709</v>
      </c>
    </row>
    <row r="3808" spans="1:5" x14ac:dyDescent="0.2">
      <c r="A3808">
        <v>3808</v>
      </c>
      <c r="B3808" t="s">
        <v>1119</v>
      </c>
      <c r="C3808" t="s">
        <v>8848</v>
      </c>
      <c r="D3808" t="s">
        <v>8849</v>
      </c>
      <c r="E3808" t="s">
        <v>4630</v>
      </c>
    </row>
    <row r="3809" spans="1:5" x14ac:dyDescent="0.2">
      <c r="A3809">
        <v>3809</v>
      </c>
      <c r="B3809" t="s">
        <v>1119</v>
      </c>
      <c r="C3809" t="s">
        <v>8850</v>
      </c>
      <c r="D3809" t="s">
        <v>8851</v>
      </c>
      <c r="E3809" t="s">
        <v>3322</v>
      </c>
    </row>
    <row r="3810" spans="1:5" x14ac:dyDescent="0.2">
      <c r="A3810">
        <v>3810</v>
      </c>
      <c r="B3810" t="s">
        <v>1119</v>
      </c>
      <c r="C3810" t="s">
        <v>8852</v>
      </c>
      <c r="D3810" t="s">
        <v>8853</v>
      </c>
      <c r="E3810" t="s">
        <v>8688</v>
      </c>
    </row>
    <row r="3811" spans="1:5" x14ac:dyDescent="0.2">
      <c r="A3811">
        <v>3811</v>
      </c>
      <c r="B3811" t="s">
        <v>939</v>
      </c>
      <c r="C3811" t="s">
        <v>8854</v>
      </c>
      <c r="D3811" t="s">
        <v>2887</v>
      </c>
      <c r="E3811" t="s">
        <v>1719</v>
      </c>
    </row>
    <row r="3812" spans="1:5" x14ac:dyDescent="0.2">
      <c r="A3812">
        <v>3812</v>
      </c>
      <c r="B3812" t="s">
        <v>939</v>
      </c>
      <c r="C3812" t="s">
        <v>8855</v>
      </c>
      <c r="D3812" t="s">
        <v>2929</v>
      </c>
      <c r="E3812" t="s">
        <v>1719</v>
      </c>
    </row>
    <row r="3813" spans="1:5" x14ac:dyDescent="0.2">
      <c r="A3813">
        <v>3813</v>
      </c>
      <c r="B3813" t="s">
        <v>939</v>
      </c>
      <c r="C3813" t="s">
        <v>8856</v>
      </c>
      <c r="D3813" t="s">
        <v>3069</v>
      </c>
      <c r="E3813" t="s">
        <v>1719</v>
      </c>
    </row>
    <row r="3814" spans="1:5" x14ac:dyDescent="0.2">
      <c r="A3814">
        <v>3814</v>
      </c>
      <c r="B3814" t="s">
        <v>939</v>
      </c>
      <c r="C3814" t="s">
        <v>8857</v>
      </c>
      <c r="D3814" t="s">
        <v>3074</v>
      </c>
      <c r="E3814" t="s">
        <v>1719</v>
      </c>
    </row>
    <row r="3815" spans="1:5" x14ac:dyDescent="0.2">
      <c r="A3815">
        <v>3815</v>
      </c>
      <c r="B3815" t="s">
        <v>939</v>
      </c>
      <c r="C3815" t="s">
        <v>8858</v>
      </c>
      <c r="D3815" t="s">
        <v>8859</v>
      </c>
      <c r="E3815" t="s">
        <v>8860</v>
      </c>
    </row>
    <row r="3816" spans="1:5" x14ac:dyDescent="0.2">
      <c r="A3816">
        <v>3816</v>
      </c>
      <c r="B3816" t="s">
        <v>939</v>
      </c>
      <c r="C3816" t="s">
        <v>8858</v>
      </c>
      <c r="D3816" t="s">
        <v>8861</v>
      </c>
      <c r="E3816" t="s">
        <v>8860</v>
      </c>
    </row>
    <row r="3817" spans="1:5" x14ac:dyDescent="0.2">
      <c r="A3817">
        <v>3817</v>
      </c>
      <c r="B3817" t="s">
        <v>1121</v>
      </c>
      <c r="C3817" t="s">
        <v>8862</v>
      </c>
      <c r="D3817" t="s">
        <v>8863</v>
      </c>
      <c r="E3817" t="s">
        <v>8864</v>
      </c>
    </row>
    <row r="3818" spans="1:5" x14ac:dyDescent="0.2">
      <c r="A3818">
        <v>3818</v>
      </c>
      <c r="B3818" t="s">
        <v>1121</v>
      </c>
      <c r="C3818" t="s">
        <v>8865</v>
      </c>
      <c r="D3818" t="s">
        <v>8866</v>
      </c>
      <c r="E3818" t="s">
        <v>8864</v>
      </c>
    </row>
    <row r="3819" spans="1:5" x14ac:dyDescent="0.2">
      <c r="A3819">
        <v>3819</v>
      </c>
      <c r="B3819" t="s">
        <v>1121</v>
      </c>
      <c r="C3819" t="s">
        <v>8867</v>
      </c>
      <c r="D3819" t="s">
        <v>8868</v>
      </c>
      <c r="E3819" t="s">
        <v>8864</v>
      </c>
    </row>
    <row r="3820" spans="1:5" x14ac:dyDescent="0.2">
      <c r="A3820">
        <v>3820</v>
      </c>
      <c r="B3820" t="s">
        <v>945</v>
      </c>
      <c r="C3820" t="s">
        <v>8869</v>
      </c>
      <c r="D3820" t="s">
        <v>8870</v>
      </c>
      <c r="E3820" t="s">
        <v>1970</v>
      </c>
    </row>
    <row r="3821" spans="1:5" x14ac:dyDescent="0.2">
      <c r="A3821">
        <v>3821</v>
      </c>
      <c r="B3821" t="s">
        <v>945</v>
      </c>
      <c r="C3821" t="s">
        <v>8871</v>
      </c>
      <c r="D3821" t="s">
        <v>8872</v>
      </c>
      <c r="E3821" t="s">
        <v>2113</v>
      </c>
    </row>
    <row r="3822" spans="1:5" x14ac:dyDescent="0.2">
      <c r="A3822">
        <v>3822</v>
      </c>
      <c r="B3822" t="s">
        <v>945</v>
      </c>
      <c r="C3822" t="s">
        <v>8873</v>
      </c>
      <c r="D3822" t="s">
        <v>8874</v>
      </c>
      <c r="E3822" t="s">
        <v>1970</v>
      </c>
    </row>
    <row r="3823" spans="1:5" x14ac:dyDescent="0.2">
      <c r="A3823">
        <v>3823</v>
      </c>
      <c r="B3823" t="s">
        <v>945</v>
      </c>
      <c r="C3823" t="s">
        <v>8875</v>
      </c>
      <c r="D3823" t="s">
        <v>8876</v>
      </c>
      <c r="E3823" t="s">
        <v>1970</v>
      </c>
    </row>
    <row r="3824" spans="1:5" x14ac:dyDescent="0.2">
      <c r="A3824">
        <v>3824</v>
      </c>
      <c r="B3824" t="s">
        <v>945</v>
      </c>
      <c r="C3824" t="s">
        <v>8877</v>
      </c>
      <c r="D3824" t="s">
        <v>8878</v>
      </c>
      <c r="E3824" t="s">
        <v>1970</v>
      </c>
    </row>
    <row r="3825" spans="1:5" x14ac:dyDescent="0.2">
      <c r="A3825">
        <v>3825</v>
      </c>
      <c r="B3825" t="s">
        <v>945</v>
      </c>
      <c r="C3825" t="s">
        <v>8879</v>
      </c>
      <c r="D3825" t="s">
        <v>8880</v>
      </c>
      <c r="E3825" t="s">
        <v>1970</v>
      </c>
    </row>
    <row r="3826" spans="1:5" x14ac:dyDescent="0.2">
      <c r="A3826">
        <v>3826</v>
      </c>
      <c r="B3826" t="s">
        <v>945</v>
      </c>
      <c r="C3826" t="s">
        <v>8881</v>
      </c>
      <c r="D3826" t="s">
        <v>8882</v>
      </c>
      <c r="E3826" t="s">
        <v>1970</v>
      </c>
    </row>
    <row r="3827" spans="1:5" x14ac:dyDescent="0.2">
      <c r="A3827">
        <v>3827</v>
      </c>
      <c r="B3827" t="s">
        <v>945</v>
      </c>
      <c r="C3827" t="s">
        <v>8883</v>
      </c>
      <c r="D3827" t="s">
        <v>8884</v>
      </c>
      <c r="E3827" t="s">
        <v>1970</v>
      </c>
    </row>
    <row r="3828" spans="1:5" x14ac:dyDescent="0.2">
      <c r="A3828">
        <v>3828</v>
      </c>
      <c r="B3828" t="s">
        <v>945</v>
      </c>
      <c r="C3828" t="s">
        <v>8885</v>
      </c>
      <c r="D3828" t="s">
        <v>8886</v>
      </c>
      <c r="E3828" t="s">
        <v>2113</v>
      </c>
    </row>
    <row r="3829" spans="1:5" x14ac:dyDescent="0.2">
      <c r="A3829">
        <v>3829</v>
      </c>
      <c r="B3829" t="s">
        <v>945</v>
      </c>
      <c r="C3829" t="s">
        <v>8887</v>
      </c>
      <c r="D3829" t="s">
        <v>8888</v>
      </c>
      <c r="E3829" t="s">
        <v>1970</v>
      </c>
    </row>
    <row r="3830" spans="1:5" x14ac:dyDescent="0.2">
      <c r="A3830">
        <v>3830</v>
      </c>
      <c r="B3830" t="s">
        <v>945</v>
      </c>
      <c r="C3830" t="s">
        <v>8889</v>
      </c>
      <c r="D3830" t="s">
        <v>8890</v>
      </c>
      <c r="E3830" t="s">
        <v>1970</v>
      </c>
    </row>
    <row r="3831" spans="1:5" x14ac:dyDescent="0.2">
      <c r="A3831">
        <v>3831</v>
      </c>
      <c r="B3831" t="s">
        <v>945</v>
      </c>
      <c r="C3831" t="s">
        <v>8891</v>
      </c>
      <c r="D3831" t="s">
        <v>8892</v>
      </c>
      <c r="E3831" t="s">
        <v>1970</v>
      </c>
    </row>
    <row r="3832" spans="1:5" x14ac:dyDescent="0.2">
      <c r="A3832">
        <v>3832</v>
      </c>
      <c r="B3832" t="s">
        <v>945</v>
      </c>
      <c r="C3832" t="s">
        <v>8893</v>
      </c>
      <c r="D3832" t="s">
        <v>8894</v>
      </c>
      <c r="E3832" t="s">
        <v>1970</v>
      </c>
    </row>
    <row r="3833" spans="1:5" x14ac:dyDescent="0.2">
      <c r="A3833">
        <v>3833</v>
      </c>
      <c r="B3833" t="s">
        <v>945</v>
      </c>
      <c r="C3833" t="s">
        <v>8895</v>
      </c>
      <c r="D3833" t="s">
        <v>8896</v>
      </c>
      <c r="E3833" t="s">
        <v>1970</v>
      </c>
    </row>
    <row r="3834" spans="1:5" x14ac:dyDescent="0.2">
      <c r="A3834">
        <v>3834</v>
      </c>
      <c r="B3834" t="s">
        <v>945</v>
      </c>
      <c r="C3834" t="s">
        <v>8897</v>
      </c>
      <c r="D3834" t="s">
        <v>8898</v>
      </c>
      <c r="E3834" t="s">
        <v>1970</v>
      </c>
    </row>
    <row r="3835" spans="1:5" x14ac:dyDescent="0.2">
      <c r="A3835">
        <v>3835</v>
      </c>
      <c r="B3835" t="s">
        <v>945</v>
      </c>
      <c r="C3835" t="s">
        <v>8899</v>
      </c>
      <c r="D3835" t="s">
        <v>8900</v>
      </c>
      <c r="E3835" t="s">
        <v>1970</v>
      </c>
    </row>
    <row r="3836" spans="1:5" x14ac:dyDescent="0.2">
      <c r="A3836">
        <v>3836</v>
      </c>
      <c r="B3836" t="s">
        <v>947</v>
      </c>
      <c r="C3836" t="s">
        <v>8901</v>
      </c>
      <c r="D3836" t="s">
        <v>8902</v>
      </c>
      <c r="E3836" t="s">
        <v>8903</v>
      </c>
    </row>
    <row r="3837" spans="1:5" x14ac:dyDescent="0.2">
      <c r="A3837">
        <v>3837</v>
      </c>
      <c r="B3837" t="s">
        <v>947</v>
      </c>
      <c r="C3837" t="s">
        <v>8904</v>
      </c>
      <c r="D3837" t="s">
        <v>8905</v>
      </c>
      <c r="E3837" t="s">
        <v>8903</v>
      </c>
    </row>
    <row r="3838" spans="1:5" x14ac:dyDescent="0.2">
      <c r="A3838">
        <v>3838</v>
      </c>
      <c r="B3838" t="s">
        <v>947</v>
      </c>
      <c r="C3838" t="s">
        <v>8906</v>
      </c>
      <c r="D3838" t="s">
        <v>8907</v>
      </c>
      <c r="E3838" t="s">
        <v>8903</v>
      </c>
    </row>
    <row r="3839" spans="1:5" x14ac:dyDescent="0.2">
      <c r="A3839">
        <v>3839</v>
      </c>
      <c r="B3839" t="s">
        <v>947</v>
      </c>
      <c r="C3839" t="s">
        <v>8908</v>
      </c>
      <c r="D3839" t="s">
        <v>8909</v>
      </c>
      <c r="E3839" t="s">
        <v>8903</v>
      </c>
    </row>
    <row r="3840" spans="1:5" x14ac:dyDescent="0.2">
      <c r="A3840">
        <v>3840</v>
      </c>
      <c r="B3840" t="s">
        <v>947</v>
      </c>
      <c r="C3840" t="s">
        <v>8910</v>
      </c>
      <c r="D3840" t="s">
        <v>8911</v>
      </c>
      <c r="E3840" t="s">
        <v>8903</v>
      </c>
    </row>
    <row r="3841" spans="1:5" x14ac:dyDescent="0.2">
      <c r="A3841">
        <v>3841</v>
      </c>
      <c r="B3841" t="s">
        <v>947</v>
      </c>
      <c r="C3841" t="s">
        <v>8912</v>
      </c>
      <c r="D3841" t="s">
        <v>8913</v>
      </c>
      <c r="E3841" t="s">
        <v>8903</v>
      </c>
    </row>
    <row r="3842" spans="1:5" x14ac:dyDescent="0.2">
      <c r="A3842">
        <v>3842</v>
      </c>
      <c r="B3842" t="s">
        <v>947</v>
      </c>
      <c r="C3842" t="s">
        <v>8914</v>
      </c>
      <c r="D3842" t="s">
        <v>8915</v>
      </c>
      <c r="E3842" t="s">
        <v>8903</v>
      </c>
    </row>
    <row r="3843" spans="1:5" x14ac:dyDescent="0.2">
      <c r="A3843">
        <v>3843</v>
      </c>
      <c r="B3843" t="s">
        <v>947</v>
      </c>
      <c r="C3843" t="s">
        <v>8916</v>
      </c>
      <c r="D3843" t="s">
        <v>8917</v>
      </c>
      <c r="E3843" t="s">
        <v>8903</v>
      </c>
    </row>
    <row r="3844" spans="1:5" x14ac:dyDescent="0.2">
      <c r="A3844">
        <v>3844</v>
      </c>
      <c r="B3844" t="s">
        <v>947</v>
      </c>
      <c r="C3844" t="s">
        <v>8918</v>
      </c>
      <c r="D3844" t="s">
        <v>8919</v>
      </c>
      <c r="E3844" t="s">
        <v>8903</v>
      </c>
    </row>
    <row r="3845" spans="1:5" x14ac:dyDescent="0.2">
      <c r="A3845">
        <v>3845</v>
      </c>
      <c r="B3845" t="s">
        <v>947</v>
      </c>
      <c r="C3845" t="s">
        <v>8920</v>
      </c>
      <c r="D3845" t="s">
        <v>8921</v>
      </c>
      <c r="E3845" t="s">
        <v>8903</v>
      </c>
    </row>
    <row r="3846" spans="1:5" x14ac:dyDescent="0.2">
      <c r="A3846">
        <v>3846</v>
      </c>
      <c r="B3846" t="s">
        <v>947</v>
      </c>
      <c r="C3846" t="s">
        <v>8922</v>
      </c>
      <c r="D3846" t="s">
        <v>8923</v>
      </c>
      <c r="E3846" t="s">
        <v>8903</v>
      </c>
    </row>
    <row r="3847" spans="1:5" x14ac:dyDescent="0.2">
      <c r="A3847">
        <v>3847</v>
      </c>
      <c r="B3847" t="s">
        <v>953</v>
      </c>
      <c r="C3847" t="s">
        <v>8924</v>
      </c>
      <c r="D3847" t="s">
        <v>8925</v>
      </c>
      <c r="E3847" t="s">
        <v>1970</v>
      </c>
    </row>
    <row r="3848" spans="1:5" x14ac:dyDescent="0.2">
      <c r="A3848">
        <v>3848</v>
      </c>
      <c r="B3848" t="s">
        <v>953</v>
      </c>
      <c r="C3848" t="s">
        <v>8926</v>
      </c>
      <c r="D3848" t="s">
        <v>8927</v>
      </c>
      <c r="E3848" t="s">
        <v>1970</v>
      </c>
    </row>
    <row r="3849" spans="1:5" x14ac:dyDescent="0.2">
      <c r="A3849">
        <v>3849</v>
      </c>
      <c r="B3849" t="s">
        <v>953</v>
      </c>
      <c r="C3849" t="s">
        <v>8928</v>
      </c>
      <c r="D3849" t="s">
        <v>2513</v>
      </c>
      <c r="E3849" t="s">
        <v>1970</v>
      </c>
    </row>
    <row r="3850" spans="1:5" x14ac:dyDescent="0.2">
      <c r="A3850">
        <v>3850</v>
      </c>
      <c r="B3850" t="s">
        <v>953</v>
      </c>
      <c r="C3850" t="s">
        <v>8929</v>
      </c>
      <c r="D3850" t="s">
        <v>3878</v>
      </c>
      <c r="E3850" t="s">
        <v>1970</v>
      </c>
    </row>
    <row r="3851" spans="1:5" x14ac:dyDescent="0.2">
      <c r="A3851">
        <v>3851</v>
      </c>
      <c r="B3851" t="s">
        <v>953</v>
      </c>
      <c r="C3851" t="s">
        <v>8930</v>
      </c>
      <c r="D3851" t="s">
        <v>2025</v>
      </c>
      <c r="E3851" t="s">
        <v>1970</v>
      </c>
    </row>
    <row r="3852" spans="1:5" x14ac:dyDescent="0.2">
      <c r="A3852">
        <v>3852</v>
      </c>
      <c r="B3852" t="s">
        <v>953</v>
      </c>
      <c r="C3852" t="s">
        <v>8931</v>
      </c>
      <c r="D3852" t="s">
        <v>3887</v>
      </c>
      <c r="E3852" t="s">
        <v>1970</v>
      </c>
    </row>
    <row r="3853" spans="1:5" x14ac:dyDescent="0.2">
      <c r="A3853">
        <v>3853</v>
      </c>
      <c r="B3853" t="s">
        <v>955</v>
      </c>
      <c r="C3853" t="s">
        <v>8932</v>
      </c>
      <c r="D3853" t="s">
        <v>8933</v>
      </c>
      <c r="E3853" t="s">
        <v>1790</v>
      </c>
    </row>
    <row r="3854" spans="1:5" x14ac:dyDescent="0.2">
      <c r="A3854">
        <v>3854</v>
      </c>
      <c r="B3854" t="s">
        <v>955</v>
      </c>
      <c r="C3854" t="s">
        <v>8934</v>
      </c>
      <c r="D3854" t="s">
        <v>8935</v>
      </c>
      <c r="E3854" t="s">
        <v>1790</v>
      </c>
    </row>
    <row r="3855" spans="1:5" x14ac:dyDescent="0.2">
      <c r="A3855">
        <v>3855</v>
      </c>
      <c r="B3855" t="s">
        <v>955</v>
      </c>
      <c r="C3855" t="s">
        <v>8936</v>
      </c>
      <c r="D3855" t="s">
        <v>8937</v>
      </c>
      <c r="E3855" t="s">
        <v>1790</v>
      </c>
    </row>
    <row r="3856" spans="1:5" x14ac:dyDescent="0.2">
      <c r="A3856">
        <v>3856</v>
      </c>
      <c r="B3856" t="s">
        <v>955</v>
      </c>
      <c r="C3856" t="s">
        <v>8938</v>
      </c>
      <c r="D3856" t="s">
        <v>8939</v>
      </c>
      <c r="E3856" t="s">
        <v>1790</v>
      </c>
    </row>
    <row r="3857" spans="1:5" x14ac:dyDescent="0.2">
      <c r="A3857">
        <v>3857</v>
      </c>
      <c r="B3857" t="s">
        <v>955</v>
      </c>
      <c r="C3857" t="s">
        <v>8940</v>
      </c>
      <c r="D3857" t="s">
        <v>8941</v>
      </c>
      <c r="E3857" t="s">
        <v>1790</v>
      </c>
    </row>
    <row r="3858" spans="1:5" x14ac:dyDescent="0.2">
      <c r="A3858">
        <v>3858</v>
      </c>
      <c r="B3858" t="s">
        <v>955</v>
      </c>
      <c r="C3858" t="s">
        <v>8942</v>
      </c>
      <c r="D3858" t="s">
        <v>8943</v>
      </c>
      <c r="E3858" t="s">
        <v>1790</v>
      </c>
    </row>
    <row r="3859" spans="1:5" x14ac:dyDescent="0.2">
      <c r="A3859">
        <v>3859</v>
      </c>
      <c r="B3859" t="s">
        <v>955</v>
      </c>
      <c r="C3859" t="s">
        <v>8944</v>
      </c>
      <c r="D3859" t="s">
        <v>8945</v>
      </c>
      <c r="E3859" t="s">
        <v>1790</v>
      </c>
    </row>
    <row r="3860" spans="1:5" x14ac:dyDescent="0.2">
      <c r="A3860">
        <v>3860</v>
      </c>
      <c r="B3860" t="s">
        <v>955</v>
      </c>
      <c r="C3860" t="s">
        <v>8946</v>
      </c>
      <c r="D3860" t="s">
        <v>8947</v>
      </c>
      <c r="E3860" t="s">
        <v>1790</v>
      </c>
    </row>
    <row r="3861" spans="1:5" x14ac:dyDescent="0.2">
      <c r="A3861">
        <v>3861</v>
      </c>
      <c r="B3861" t="s">
        <v>955</v>
      </c>
      <c r="C3861" t="s">
        <v>8948</v>
      </c>
      <c r="D3861" t="s">
        <v>8949</v>
      </c>
      <c r="E3861" t="s">
        <v>1790</v>
      </c>
    </row>
    <row r="3862" spans="1:5" x14ac:dyDescent="0.2">
      <c r="A3862">
        <v>3862</v>
      </c>
      <c r="B3862" t="s">
        <v>955</v>
      </c>
      <c r="C3862" t="s">
        <v>8950</v>
      </c>
      <c r="D3862" t="s">
        <v>8951</v>
      </c>
      <c r="E3862" t="s">
        <v>1790</v>
      </c>
    </row>
    <row r="3863" spans="1:5" x14ac:dyDescent="0.2">
      <c r="A3863">
        <v>3863</v>
      </c>
      <c r="B3863" t="s">
        <v>955</v>
      </c>
      <c r="C3863" t="s">
        <v>8952</v>
      </c>
      <c r="D3863" t="s">
        <v>8953</v>
      </c>
      <c r="E3863" t="s">
        <v>1790</v>
      </c>
    </row>
    <row r="3864" spans="1:5" x14ac:dyDescent="0.2">
      <c r="A3864">
        <v>3864</v>
      </c>
      <c r="B3864" t="s">
        <v>957</v>
      </c>
      <c r="C3864" t="s">
        <v>8954</v>
      </c>
      <c r="D3864" t="s">
        <v>8955</v>
      </c>
      <c r="E3864" t="s">
        <v>2164</v>
      </c>
    </row>
    <row r="3865" spans="1:5" x14ac:dyDescent="0.2">
      <c r="A3865">
        <v>3865</v>
      </c>
      <c r="B3865" t="s">
        <v>957</v>
      </c>
      <c r="C3865" t="s">
        <v>8956</v>
      </c>
      <c r="D3865" t="s">
        <v>8957</v>
      </c>
      <c r="E3865" t="s">
        <v>2164</v>
      </c>
    </row>
    <row r="3866" spans="1:5" x14ac:dyDescent="0.2">
      <c r="A3866">
        <v>3866</v>
      </c>
      <c r="B3866" t="s">
        <v>957</v>
      </c>
      <c r="C3866" t="s">
        <v>8958</v>
      </c>
      <c r="D3866" t="s">
        <v>8959</v>
      </c>
      <c r="E3866" t="s">
        <v>2164</v>
      </c>
    </row>
    <row r="3867" spans="1:5" x14ac:dyDescent="0.2">
      <c r="A3867">
        <v>3867</v>
      </c>
      <c r="B3867" t="s">
        <v>957</v>
      </c>
      <c r="C3867" t="s">
        <v>8960</v>
      </c>
      <c r="D3867" t="s">
        <v>8961</v>
      </c>
      <c r="E3867" t="s">
        <v>2164</v>
      </c>
    </row>
    <row r="3868" spans="1:5" x14ac:dyDescent="0.2">
      <c r="A3868">
        <v>3868</v>
      </c>
      <c r="B3868" t="s">
        <v>957</v>
      </c>
      <c r="C3868" t="s">
        <v>8962</v>
      </c>
      <c r="D3868" t="s">
        <v>8963</v>
      </c>
      <c r="E3868" t="s">
        <v>2164</v>
      </c>
    </row>
    <row r="3869" spans="1:5" x14ac:dyDescent="0.2">
      <c r="A3869">
        <v>3869</v>
      </c>
      <c r="B3869" t="s">
        <v>957</v>
      </c>
      <c r="C3869" t="s">
        <v>8964</v>
      </c>
      <c r="D3869" t="s">
        <v>8965</v>
      </c>
      <c r="E3869" t="s">
        <v>2164</v>
      </c>
    </row>
    <row r="3870" spans="1:5" x14ac:dyDescent="0.2">
      <c r="A3870">
        <v>3870</v>
      </c>
      <c r="B3870" t="s">
        <v>957</v>
      </c>
      <c r="C3870" t="s">
        <v>8966</v>
      </c>
      <c r="D3870" t="s">
        <v>8967</v>
      </c>
      <c r="E3870" t="s">
        <v>2164</v>
      </c>
    </row>
    <row r="3871" spans="1:5" x14ac:dyDescent="0.2">
      <c r="A3871">
        <v>3871</v>
      </c>
      <c r="B3871" t="s">
        <v>957</v>
      </c>
      <c r="C3871" t="s">
        <v>8968</v>
      </c>
      <c r="D3871" t="s">
        <v>1571</v>
      </c>
      <c r="E3871" t="s">
        <v>2164</v>
      </c>
    </row>
    <row r="3872" spans="1:5" x14ac:dyDescent="0.2">
      <c r="A3872">
        <v>3872</v>
      </c>
      <c r="B3872" t="s">
        <v>957</v>
      </c>
      <c r="C3872" t="s">
        <v>8969</v>
      </c>
      <c r="D3872" t="s">
        <v>8970</v>
      </c>
      <c r="E3872" t="s">
        <v>2164</v>
      </c>
    </row>
    <row r="3873" spans="1:5" x14ac:dyDescent="0.2">
      <c r="A3873">
        <v>3873</v>
      </c>
      <c r="B3873" t="s">
        <v>959</v>
      </c>
      <c r="C3873" t="s">
        <v>8971</v>
      </c>
      <c r="D3873" t="s">
        <v>8972</v>
      </c>
      <c r="E3873" t="s">
        <v>1719</v>
      </c>
    </row>
    <row r="3874" spans="1:5" x14ac:dyDescent="0.2">
      <c r="A3874">
        <v>3874</v>
      </c>
      <c r="B3874" t="s">
        <v>959</v>
      </c>
      <c r="C3874" t="s">
        <v>8973</v>
      </c>
      <c r="D3874" t="s">
        <v>8974</v>
      </c>
      <c r="E3874" t="s">
        <v>1719</v>
      </c>
    </row>
    <row r="3875" spans="1:5" x14ac:dyDescent="0.2">
      <c r="A3875">
        <v>3875</v>
      </c>
      <c r="B3875" t="s">
        <v>961</v>
      </c>
      <c r="C3875" t="s">
        <v>8975</v>
      </c>
      <c r="D3875" t="s">
        <v>8976</v>
      </c>
      <c r="E3875" t="s">
        <v>1719</v>
      </c>
    </row>
    <row r="3876" spans="1:5" x14ac:dyDescent="0.2">
      <c r="A3876">
        <v>3876</v>
      </c>
      <c r="B3876" t="s">
        <v>961</v>
      </c>
      <c r="C3876" t="s">
        <v>8977</v>
      </c>
      <c r="D3876" t="s">
        <v>8978</v>
      </c>
      <c r="E3876" t="s">
        <v>1719</v>
      </c>
    </row>
    <row r="3877" spans="1:5" x14ac:dyDescent="0.2">
      <c r="A3877">
        <v>3877</v>
      </c>
      <c r="B3877" t="s">
        <v>961</v>
      </c>
      <c r="C3877" t="s">
        <v>8979</v>
      </c>
      <c r="D3877" t="s">
        <v>8980</v>
      </c>
      <c r="E3877" t="s">
        <v>1719</v>
      </c>
    </row>
    <row r="3878" spans="1:5" x14ac:dyDescent="0.2">
      <c r="A3878">
        <v>3878</v>
      </c>
      <c r="B3878" t="s">
        <v>961</v>
      </c>
      <c r="C3878" t="s">
        <v>8981</v>
      </c>
      <c r="D3878" t="s">
        <v>8982</v>
      </c>
      <c r="E3878" t="s">
        <v>1719</v>
      </c>
    </row>
    <row r="3879" spans="1:5" x14ac:dyDescent="0.2">
      <c r="A3879">
        <v>3879</v>
      </c>
      <c r="B3879" t="s">
        <v>961</v>
      </c>
      <c r="C3879" t="s">
        <v>8983</v>
      </c>
      <c r="D3879" t="s">
        <v>8984</v>
      </c>
      <c r="E3879" t="s">
        <v>1719</v>
      </c>
    </row>
    <row r="3880" spans="1:5" x14ac:dyDescent="0.2">
      <c r="A3880">
        <v>3880</v>
      </c>
      <c r="B3880" t="s">
        <v>961</v>
      </c>
      <c r="C3880" t="s">
        <v>8985</v>
      </c>
      <c r="D3880" t="s">
        <v>8986</v>
      </c>
      <c r="E3880" t="s">
        <v>1719</v>
      </c>
    </row>
    <row r="3881" spans="1:5" x14ac:dyDescent="0.2">
      <c r="A3881">
        <v>3881</v>
      </c>
      <c r="B3881" t="s">
        <v>961</v>
      </c>
      <c r="C3881" t="s">
        <v>8987</v>
      </c>
      <c r="D3881" t="s">
        <v>8988</v>
      </c>
      <c r="E3881" t="s">
        <v>1719</v>
      </c>
    </row>
    <row r="3882" spans="1:5" x14ac:dyDescent="0.2">
      <c r="A3882">
        <v>3882</v>
      </c>
      <c r="B3882" t="s">
        <v>961</v>
      </c>
      <c r="C3882" t="s">
        <v>8989</v>
      </c>
      <c r="D3882" t="s">
        <v>4032</v>
      </c>
      <c r="E3882" t="s">
        <v>1719</v>
      </c>
    </row>
    <row r="3883" spans="1:5" x14ac:dyDescent="0.2">
      <c r="A3883">
        <v>3883</v>
      </c>
      <c r="B3883" t="s">
        <v>961</v>
      </c>
      <c r="C3883" t="s">
        <v>8990</v>
      </c>
      <c r="D3883" t="s">
        <v>8991</v>
      </c>
      <c r="E3883" t="s">
        <v>1719</v>
      </c>
    </row>
    <row r="3884" spans="1:5" x14ac:dyDescent="0.2">
      <c r="A3884">
        <v>3884</v>
      </c>
      <c r="B3884" t="s">
        <v>961</v>
      </c>
      <c r="C3884" t="s">
        <v>8992</v>
      </c>
      <c r="D3884" t="s">
        <v>8993</v>
      </c>
      <c r="E3884" t="s">
        <v>1719</v>
      </c>
    </row>
    <row r="3885" spans="1:5" x14ac:dyDescent="0.2">
      <c r="A3885">
        <v>3885</v>
      </c>
      <c r="B3885" t="s">
        <v>961</v>
      </c>
      <c r="C3885" t="s">
        <v>8994</v>
      </c>
      <c r="D3885" t="s">
        <v>8995</v>
      </c>
      <c r="E3885" t="s">
        <v>1719</v>
      </c>
    </row>
    <row r="3886" spans="1:5" x14ac:dyDescent="0.2">
      <c r="A3886">
        <v>3886</v>
      </c>
      <c r="B3886" t="s">
        <v>961</v>
      </c>
      <c r="C3886" t="s">
        <v>8996</v>
      </c>
      <c r="D3886" t="s">
        <v>8997</v>
      </c>
      <c r="E3886" t="s">
        <v>1719</v>
      </c>
    </row>
    <row r="3887" spans="1:5" x14ac:dyDescent="0.2">
      <c r="A3887">
        <v>3887</v>
      </c>
      <c r="B3887" t="s">
        <v>961</v>
      </c>
      <c r="C3887" t="s">
        <v>8998</v>
      </c>
      <c r="D3887" t="s">
        <v>8999</v>
      </c>
      <c r="E3887" t="s">
        <v>1719</v>
      </c>
    </row>
    <row r="3888" spans="1:5" x14ac:dyDescent="0.2">
      <c r="A3888">
        <v>3888</v>
      </c>
      <c r="B3888" t="s">
        <v>963</v>
      </c>
      <c r="C3888" t="s">
        <v>9000</v>
      </c>
      <c r="D3888" t="s">
        <v>9001</v>
      </c>
      <c r="E3888" t="s">
        <v>2087</v>
      </c>
    </row>
    <row r="3889" spans="1:5" x14ac:dyDescent="0.2">
      <c r="A3889">
        <v>3889</v>
      </c>
      <c r="B3889" t="s">
        <v>963</v>
      </c>
      <c r="C3889" t="s">
        <v>9002</v>
      </c>
      <c r="D3889" t="s">
        <v>9003</v>
      </c>
      <c r="E3889" t="s">
        <v>2087</v>
      </c>
    </row>
    <row r="3890" spans="1:5" x14ac:dyDescent="0.2">
      <c r="A3890">
        <v>3890</v>
      </c>
      <c r="B3890" t="s">
        <v>963</v>
      </c>
      <c r="C3890" t="s">
        <v>9004</v>
      </c>
      <c r="D3890" t="s">
        <v>9005</v>
      </c>
      <c r="E3890" t="s">
        <v>2087</v>
      </c>
    </row>
    <row r="3891" spans="1:5" x14ac:dyDescent="0.2">
      <c r="A3891">
        <v>3891</v>
      </c>
      <c r="B3891" t="s">
        <v>963</v>
      </c>
      <c r="C3891" t="s">
        <v>9006</v>
      </c>
      <c r="D3891" t="s">
        <v>9007</v>
      </c>
      <c r="E3891" t="s">
        <v>2087</v>
      </c>
    </row>
    <row r="3892" spans="1:5" x14ac:dyDescent="0.2">
      <c r="A3892">
        <v>3892</v>
      </c>
      <c r="B3892" t="s">
        <v>963</v>
      </c>
      <c r="C3892" t="s">
        <v>9008</v>
      </c>
      <c r="D3892" t="s">
        <v>9009</v>
      </c>
      <c r="E3892" t="s">
        <v>2087</v>
      </c>
    </row>
    <row r="3893" spans="1:5" x14ac:dyDescent="0.2">
      <c r="A3893">
        <v>3893</v>
      </c>
      <c r="B3893" t="s">
        <v>963</v>
      </c>
      <c r="C3893" t="s">
        <v>9010</v>
      </c>
      <c r="D3893" t="s">
        <v>9011</v>
      </c>
      <c r="E3893" t="s">
        <v>2087</v>
      </c>
    </row>
    <row r="3894" spans="1:5" x14ac:dyDescent="0.2">
      <c r="A3894">
        <v>3894</v>
      </c>
      <c r="B3894" t="s">
        <v>963</v>
      </c>
      <c r="C3894" t="s">
        <v>9012</v>
      </c>
      <c r="D3894" t="s">
        <v>9013</v>
      </c>
      <c r="E3894" t="s">
        <v>2087</v>
      </c>
    </row>
    <row r="3895" spans="1:5" x14ac:dyDescent="0.2">
      <c r="A3895">
        <v>3895</v>
      </c>
      <c r="B3895" t="s">
        <v>963</v>
      </c>
      <c r="C3895" t="s">
        <v>9014</v>
      </c>
      <c r="D3895" t="s">
        <v>9015</v>
      </c>
      <c r="E3895" t="s">
        <v>2087</v>
      </c>
    </row>
    <row r="3896" spans="1:5" x14ac:dyDescent="0.2">
      <c r="A3896">
        <v>3896</v>
      </c>
      <c r="B3896" t="s">
        <v>963</v>
      </c>
      <c r="C3896" t="s">
        <v>9016</v>
      </c>
      <c r="D3896" t="s">
        <v>9017</v>
      </c>
      <c r="E3896" t="s">
        <v>2087</v>
      </c>
    </row>
    <row r="3897" spans="1:5" x14ac:dyDescent="0.2">
      <c r="A3897">
        <v>3897</v>
      </c>
      <c r="B3897" t="s">
        <v>963</v>
      </c>
      <c r="C3897" t="s">
        <v>9018</v>
      </c>
      <c r="D3897" t="s">
        <v>9019</v>
      </c>
      <c r="E3897" t="s">
        <v>2087</v>
      </c>
    </row>
    <row r="3898" spans="1:5" x14ac:dyDescent="0.2">
      <c r="A3898">
        <v>3898</v>
      </c>
      <c r="B3898" t="s">
        <v>963</v>
      </c>
      <c r="C3898" t="s">
        <v>9020</v>
      </c>
      <c r="D3898" t="s">
        <v>9021</v>
      </c>
      <c r="E3898" t="s">
        <v>2087</v>
      </c>
    </row>
    <row r="3899" spans="1:5" x14ac:dyDescent="0.2">
      <c r="A3899">
        <v>3899</v>
      </c>
      <c r="B3899" t="s">
        <v>963</v>
      </c>
      <c r="C3899" t="s">
        <v>9022</v>
      </c>
      <c r="D3899" t="s">
        <v>9023</v>
      </c>
      <c r="E3899" t="s">
        <v>2087</v>
      </c>
    </row>
    <row r="3900" spans="1:5" x14ac:dyDescent="0.2">
      <c r="A3900">
        <v>3900</v>
      </c>
      <c r="B3900" t="s">
        <v>963</v>
      </c>
      <c r="C3900" t="s">
        <v>9024</v>
      </c>
      <c r="D3900" t="s">
        <v>9025</v>
      </c>
      <c r="E3900" t="s">
        <v>2087</v>
      </c>
    </row>
    <row r="3901" spans="1:5" x14ac:dyDescent="0.2">
      <c r="A3901">
        <v>3901</v>
      </c>
      <c r="B3901" t="s">
        <v>963</v>
      </c>
      <c r="C3901" t="s">
        <v>9026</v>
      </c>
      <c r="D3901" t="s">
        <v>9027</v>
      </c>
      <c r="E3901" t="s">
        <v>2087</v>
      </c>
    </row>
    <row r="3902" spans="1:5" x14ac:dyDescent="0.2">
      <c r="A3902">
        <v>3902</v>
      </c>
      <c r="B3902" t="s">
        <v>965</v>
      </c>
      <c r="C3902" t="s">
        <v>9028</v>
      </c>
      <c r="D3902" t="s">
        <v>9029</v>
      </c>
      <c r="E3902" t="s">
        <v>2046</v>
      </c>
    </row>
    <row r="3903" spans="1:5" x14ac:dyDescent="0.2">
      <c r="A3903">
        <v>3903</v>
      </c>
      <c r="B3903" t="s">
        <v>965</v>
      </c>
      <c r="C3903" t="s">
        <v>9030</v>
      </c>
      <c r="D3903" t="s">
        <v>9031</v>
      </c>
      <c r="E3903" t="s">
        <v>1790</v>
      </c>
    </row>
    <row r="3904" spans="1:5" x14ac:dyDescent="0.2">
      <c r="A3904">
        <v>3904</v>
      </c>
      <c r="B3904" t="s">
        <v>965</v>
      </c>
      <c r="C3904" t="s">
        <v>9032</v>
      </c>
      <c r="D3904" t="s">
        <v>9033</v>
      </c>
      <c r="E3904" t="s">
        <v>1790</v>
      </c>
    </row>
    <row r="3905" spans="1:5" x14ac:dyDescent="0.2">
      <c r="A3905">
        <v>3905</v>
      </c>
      <c r="B3905" t="s">
        <v>965</v>
      </c>
      <c r="C3905" t="s">
        <v>9034</v>
      </c>
      <c r="D3905" t="s">
        <v>9035</v>
      </c>
      <c r="E3905" t="s">
        <v>1790</v>
      </c>
    </row>
    <row r="3906" spans="1:5" x14ac:dyDescent="0.2">
      <c r="A3906">
        <v>3906</v>
      </c>
      <c r="B3906" t="s">
        <v>965</v>
      </c>
      <c r="C3906" t="s">
        <v>9036</v>
      </c>
      <c r="D3906" t="s">
        <v>9037</v>
      </c>
      <c r="E3906" t="s">
        <v>1790</v>
      </c>
    </row>
    <row r="3907" spans="1:5" x14ac:dyDescent="0.2">
      <c r="A3907">
        <v>3907</v>
      </c>
      <c r="B3907" t="s">
        <v>965</v>
      </c>
      <c r="C3907" t="s">
        <v>9038</v>
      </c>
      <c r="D3907" t="s">
        <v>9039</v>
      </c>
      <c r="E3907" t="s">
        <v>1790</v>
      </c>
    </row>
    <row r="3908" spans="1:5" x14ac:dyDescent="0.2">
      <c r="A3908">
        <v>3908</v>
      </c>
      <c r="B3908" t="s">
        <v>965</v>
      </c>
      <c r="C3908" t="s">
        <v>9040</v>
      </c>
      <c r="D3908" t="s">
        <v>9041</v>
      </c>
      <c r="E3908" t="s">
        <v>1790</v>
      </c>
    </row>
    <row r="3909" spans="1:5" x14ac:dyDescent="0.2">
      <c r="A3909">
        <v>3909</v>
      </c>
      <c r="B3909" t="s">
        <v>965</v>
      </c>
      <c r="C3909" t="s">
        <v>9042</v>
      </c>
      <c r="D3909" t="s">
        <v>9043</v>
      </c>
      <c r="E3909" t="s">
        <v>5165</v>
      </c>
    </row>
    <row r="3910" spans="1:5" x14ac:dyDescent="0.2">
      <c r="A3910">
        <v>3910</v>
      </c>
      <c r="B3910" t="s">
        <v>965</v>
      </c>
      <c r="C3910" t="s">
        <v>9044</v>
      </c>
      <c r="D3910" t="s">
        <v>9045</v>
      </c>
      <c r="E3910" t="s">
        <v>1790</v>
      </c>
    </row>
    <row r="3911" spans="1:5" x14ac:dyDescent="0.2">
      <c r="A3911">
        <v>3911</v>
      </c>
      <c r="B3911" t="s">
        <v>965</v>
      </c>
      <c r="C3911" t="s">
        <v>9046</v>
      </c>
      <c r="D3911" t="s">
        <v>9047</v>
      </c>
      <c r="E3911" t="s">
        <v>1790</v>
      </c>
    </row>
    <row r="3912" spans="1:5" x14ac:dyDescent="0.2">
      <c r="A3912">
        <v>3912</v>
      </c>
      <c r="B3912" t="s">
        <v>965</v>
      </c>
      <c r="C3912" t="s">
        <v>9048</v>
      </c>
      <c r="D3912" t="s">
        <v>9049</v>
      </c>
      <c r="E3912" t="s">
        <v>1790</v>
      </c>
    </row>
    <row r="3913" spans="1:5" x14ac:dyDescent="0.2">
      <c r="A3913">
        <v>3913</v>
      </c>
      <c r="B3913" t="s">
        <v>965</v>
      </c>
      <c r="C3913" t="s">
        <v>9050</v>
      </c>
      <c r="D3913" t="s">
        <v>9051</v>
      </c>
      <c r="E3913" t="s">
        <v>1790</v>
      </c>
    </row>
    <row r="3914" spans="1:5" x14ac:dyDescent="0.2">
      <c r="A3914">
        <v>3914</v>
      </c>
      <c r="B3914" t="s">
        <v>965</v>
      </c>
      <c r="C3914" t="s">
        <v>9052</v>
      </c>
      <c r="D3914" t="s">
        <v>9053</v>
      </c>
      <c r="E3914" t="s">
        <v>1790</v>
      </c>
    </row>
    <row r="3915" spans="1:5" x14ac:dyDescent="0.2">
      <c r="A3915">
        <v>3915</v>
      </c>
      <c r="B3915" t="s">
        <v>965</v>
      </c>
      <c r="C3915" t="s">
        <v>9054</v>
      </c>
      <c r="D3915" t="s">
        <v>9055</v>
      </c>
      <c r="E3915" t="s">
        <v>1790</v>
      </c>
    </row>
    <row r="3916" spans="1:5" x14ac:dyDescent="0.2">
      <c r="A3916">
        <v>3916</v>
      </c>
      <c r="B3916" t="s">
        <v>965</v>
      </c>
      <c r="C3916" t="s">
        <v>9056</v>
      </c>
      <c r="D3916" t="s">
        <v>9057</v>
      </c>
      <c r="E3916" t="s">
        <v>1790</v>
      </c>
    </row>
    <row r="3917" spans="1:5" x14ac:dyDescent="0.2">
      <c r="A3917">
        <v>3917</v>
      </c>
      <c r="B3917" t="s">
        <v>965</v>
      </c>
      <c r="C3917" t="s">
        <v>9058</v>
      </c>
      <c r="D3917" t="s">
        <v>9059</v>
      </c>
      <c r="E3917" t="s">
        <v>1790</v>
      </c>
    </row>
    <row r="3918" spans="1:5" x14ac:dyDescent="0.2">
      <c r="A3918">
        <v>3918</v>
      </c>
      <c r="B3918" t="s">
        <v>965</v>
      </c>
      <c r="C3918" t="s">
        <v>9060</v>
      </c>
      <c r="D3918" t="s">
        <v>9061</v>
      </c>
      <c r="E3918" t="s">
        <v>1790</v>
      </c>
    </row>
    <row r="3919" spans="1:5" x14ac:dyDescent="0.2">
      <c r="A3919">
        <v>3919</v>
      </c>
      <c r="B3919" t="s">
        <v>965</v>
      </c>
      <c r="C3919" t="s">
        <v>9062</v>
      </c>
      <c r="D3919" t="s">
        <v>9063</v>
      </c>
      <c r="E3919" t="s">
        <v>1790</v>
      </c>
    </row>
    <row r="3920" spans="1:5" x14ac:dyDescent="0.2">
      <c r="A3920">
        <v>3920</v>
      </c>
      <c r="B3920" t="s">
        <v>965</v>
      </c>
      <c r="C3920" t="s">
        <v>9064</v>
      </c>
      <c r="D3920" t="s">
        <v>9065</v>
      </c>
      <c r="E3920" t="s">
        <v>1790</v>
      </c>
    </row>
    <row r="3921" spans="1:5" x14ac:dyDescent="0.2">
      <c r="A3921">
        <v>3921</v>
      </c>
      <c r="B3921" t="s">
        <v>965</v>
      </c>
      <c r="C3921" t="s">
        <v>9066</v>
      </c>
      <c r="D3921" t="s">
        <v>9067</v>
      </c>
      <c r="E3921" t="s">
        <v>1790</v>
      </c>
    </row>
    <row r="3922" spans="1:5" x14ac:dyDescent="0.2">
      <c r="A3922">
        <v>3922</v>
      </c>
      <c r="B3922" t="s">
        <v>965</v>
      </c>
      <c r="C3922" t="s">
        <v>9068</v>
      </c>
      <c r="D3922" t="s">
        <v>9069</v>
      </c>
      <c r="E3922" t="s">
        <v>1790</v>
      </c>
    </row>
    <row r="3923" spans="1:5" x14ac:dyDescent="0.2">
      <c r="A3923">
        <v>3923</v>
      </c>
      <c r="B3923" t="s">
        <v>965</v>
      </c>
      <c r="C3923" t="s">
        <v>9070</v>
      </c>
      <c r="D3923" t="s">
        <v>9071</v>
      </c>
      <c r="E3923" t="s">
        <v>1790</v>
      </c>
    </row>
    <row r="3924" spans="1:5" x14ac:dyDescent="0.2">
      <c r="A3924">
        <v>3924</v>
      </c>
      <c r="B3924" t="s">
        <v>965</v>
      </c>
      <c r="C3924" t="s">
        <v>9072</v>
      </c>
      <c r="D3924" t="s">
        <v>9073</v>
      </c>
      <c r="E3924" t="s">
        <v>1790</v>
      </c>
    </row>
    <row r="3925" spans="1:5" x14ac:dyDescent="0.2">
      <c r="A3925">
        <v>3925</v>
      </c>
      <c r="B3925" t="s">
        <v>965</v>
      </c>
      <c r="C3925" t="s">
        <v>9074</v>
      </c>
      <c r="D3925" t="s">
        <v>9075</v>
      </c>
      <c r="E3925" t="s">
        <v>1790</v>
      </c>
    </row>
    <row r="3926" spans="1:5" x14ac:dyDescent="0.2">
      <c r="A3926">
        <v>3926</v>
      </c>
      <c r="B3926" t="s">
        <v>965</v>
      </c>
      <c r="C3926" t="s">
        <v>9076</v>
      </c>
      <c r="D3926" t="s">
        <v>9077</v>
      </c>
      <c r="E3926" t="s">
        <v>1790</v>
      </c>
    </row>
    <row r="3927" spans="1:5" x14ac:dyDescent="0.2">
      <c r="A3927">
        <v>3927</v>
      </c>
      <c r="B3927" t="s">
        <v>965</v>
      </c>
      <c r="C3927" t="s">
        <v>9078</v>
      </c>
      <c r="D3927" t="s">
        <v>9079</v>
      </c>
      <c r="E3927" t="s">
        <v>1790</v>
      </c>
    </row>
    <row r="3928" spans="1:5" x14ac:dyDescent="0.2">
      <c r="A3928">
        <v>3928</v>
      </c>
      <c r="B3928" t="s">
        <v>965</v>
      </c>
      <c r="C3928" t="s">
        <v>9080</v>
      </c>
      <c r="D3928" t="s">
        <v>9081</v>
      </c>
      <c r="E3928" t="s">
        <v>1790</v>
      </c>
    </row>
    <row r="3929" spans="1:5" x14ac:dyDescent="0.2">
      <c r="A3929">
        <v>3929</v>
      </c>
      <c r="B3929" t="s">
        <v>965</v>
      </c>
      <c r="C3929" t="s">
        <v>9082</v>
      </c>
      <c r="D3929" t="s">
        <v>9083</v>
      </c>
      <c r="E3929" t="s">
        <v>5165</v>
      </c>
    </row>
    <row r="3930" spans="1:5" x14ac:dyDescent="0.2">
      <c r="A3930">
        <v>3930</v>
      </c>
      <c r="B3930" t="s">
        <v>965</v>
      </c>
      <c r="C3930" t="s">
        <v>9084</v>
      </c>
      <c r="D3930" t="s">
        <v>9085</v>
      </c>
      <c r="E3930" t="s">
        <v>1790</v>
      </c>
    </row>
    <row r="3931" spans="1:5" x14ac:dyDescent="0.2">
      <c r="A3931">
        <v>3931</v>
      </c>
      <c r="B3931" t="s">
        <v>965</v>
      </c>
      <c r="C3931" t="s">
        <v>9086</v>
      </c>
      <c r="D3931" t="s">
        <v>9087</v>
      </c>
      <c r="E3931" t="s">
        <v>1790</v>
      </c>
    </row>
    <row r="3932" spans="1:5" x14ac:dyDescent="0.2">
      <c r="A3932">
        <v>3932</v>
      </c>
      <c r="B3932" t="s">
        <v>965</v>
      </c>
      <c r="C3932" t="s">
        <v>9088</v>
      </c>
      <c r="D3932" t="s">
        <v>9089</v>
      </c>
      <c r="E3932" t="s">
        <v>1790</v>
      </c>
    </row>
    <row r="3933" spans="1:5" x14ac:dyDescent="0.2">
      <c r="A3933">
        <v>3933</v>
      </c>
      <c r="B3933" t="s">
        <v>965</v>
      </c>
      <c r="C3933" t="s">
        <v>9090</v>
      </c>
      <c r="D3933" t="s">
        <v>9091</v>
      </c>
      <c r="E3933" t="s">
        <v>1790</v>
      </c>
    </row>
    <row r="3934" spans="1:5" x14ac:dyDescent="0.2">
      <c r="A3934">
        <v>3934</v>
      </c>
      <c r="B3934" t="s">
        <v>967</v>
      </c>
      <c r="C3934" t="s">
        <v>9092</v>
      </c>
      <c r="D3934" t="s">
        <v>9093</v>
      </c>
      <c r="E3934" t="s">
        <v>1790</v>
      </c>
    </row>
    <row r="3935" spans="1:5" x14ac:dyDescent="0.2">
      <c r="A3935">
        <v>3935</v>
      </c>
      <c r="B3935" t="s">
        <v>967</v>
      </c>
      <c r="C3935" t="s">
        <v>9094</v>
      </c>
      <c r="D3935" t="s">
        <v>9095</v>
      </c>
      <c r="E3935" t="s">
        <v>1790</v>
      </c>
    </row>
    <row r="3936" spans="1:5" x14ac:dyDescent="0.2">
      <c r="A3936">
        <v>3936</v>
      </c>
      <c r="B3936" t="s">
        <v>967</v>
      </c>
      <c r="C3936" t="s">
        <v>9096</v>
      </c>
      <c r="D3936" t="s">
        <v>9097</v>
      </c>
      <c r="E3936" t="s">
        <v>1790</v>
      </c>
    </row>
    <row r="3937" spans="1:5" x14ac:dyDescent="0.2">
      <c r="A3937">
        <v>3937</v>
      </c>
      <c r="B3937" t="s">
        <v>967</v>
      </c>
      <c r="C3937" t="s">
        <v>9098</v>
      </c>
      <c r="D3937" t="s">
        <v>9099</v>
      </c>
      <c r="E3937" t="s">
        <v>1790</v>
      </c>
    </row>
    <row r="3938" spans="1:5" x14ac:dyDescent="0.2">
      <c r="A3938">
        <v>3938</v>
      </c>
      <c r="B3938" t="s">
        <v>967</v>
      </c>
      <c r="C3938" t="s">
        <v>9092</v>
      </c>
      <c r="D3938" t="s">
        <v>9100</v>
      </c>
      <c r="E3938" t="s">
        <v>1790</v>
      </c>
    </row>
    <row r="3939" spans="1:5" x14ac:dyDescent="0.2">
      <c r="A3939">
        <v>3939</v>
      </c>
      <c r="B3939" t="s">
        <v>967</v>
      </c>
      <c r="C3939" t="s">
        <v>9094</v>
      </c>
      <c r="D3939" t="s">
        <v>9101</v>
      </c>
      <c r="E3939" t="s">
        <v>1790</v>
      </c>
    </row>
    <row r="3940" spans="1:5" x14ac:dyDescent="0.2">
      <c r="A3940">
        <v>3940</v>
      </c>
      <c r="B3940" t="s">
        <v>967</v>
      </c>
      <c r="C3940" t="s">
        <v>9096</v>
      </c>
      <c r="D3940" t="s">
        <v>9102</v>
      </c>
      <c r="E3940" t="s">
        <v>1790</v>
      </c>
    </row>
    <row r="3941" spans="1:5" x14ac:dyDescent="0.2">
      <c r="A3941">
        <v>3941</v>
      </c>
      <c r="B3941" t="s">
        <v>967</v>
      </c>
      <c r="C3941" t="s">
        <v>9098</v>
      </c>
      <c r="D3941" t="s">
        <v>9103</v>
      </c>
      <c r="E3941" t="s">
        <v>1790</v>
      </c>
    </row>
    <row r="3942" spans="1:5" x14ac:dyDescent="0.2">
      <c r="A3942">
        <v>3942</v>
      </c>
      <c r="B3942" t="s">
        <v>967</v>
      </c>
      <c r="C3942" t="s">
        <v>9094</v>
      </c>
      <c r="D3942" t="s">
        <v>9104</v>
      </c>
      <c r="E3942" t="s">
        <v>1790</v>
      </c>
    </row>
    <row r="3943" spans="1:5" x14ac:dyDescent="0.2">
      <c r="A3943">
        <v>3943</v>
      </c>
      <c r="B3943" t="s">
        <v>967</v>
      </c>
      <c r="C3943" t="s">
        <v>9105</v>
      </c>
      <c r="D3943" t="s">
        <v>9106</v>
      </c>
      <c r="E3943" t="s">
        <v>1790</v>
      </c>
    </row>
    <row r="3944" spans="1:5" x14ac:dyDescent="0.2">
      <c r="A3944">
        <v>3944</v>
      </c>
      <c r="B3944" t="s">
        <v>967</v>
      </c>
      <c r="C3944" t="s">
        <v>9107</v>
      </c>
      <c r="D3944" t="s">
        <v>9108</v>
      </c>
      <c r="E3944" t="s">
        <v>1790</v>
      </c>
    </row>
    <row r="3945" spans="1:5" x14ac:dyDescent="0.2">
      <c r="A3945">
        <v>3945</v>
      </c>
      <c r="B3945" t="s">
        <v>967</v>
      </c>
      <c r="C3945" t="s">
        <v>9109</v>
      </c>
      <c r="D3945" t="s">
        <v>9110</v>
      </c>
      <c r="E3945" t="s">
        <v>1790</v>
      </c>
    </row>
    <row r="3946" spans="1:5" x14ac:dyDescent="0.2">
      <c r="A3946">
        <v>3946</v>
      </c>
      <c r="B3946" t="s">
        <v>967</v>
      </c>
      <c r="C3946" t="s">
        <v>9109</v>
      </c>
      <c r="D3946" t="s">
        <v>9111</v>
      </c>
      <c r="E3946" t="s">
        <v>1790</v>
      </c>
    </row>
    <row r="3947" spans="1:5" x14ac:dyDescent="0.2">
      <c r="A3947">
        <v>3947</v>
      </c>
      <c r="B3947" t="s">
        <v>967</v>
      </c>
      <c r="C3947" t="s">
        <v>9107</v>
      </c>
      <c r="D3947" t="s">
        <v>9112</v>
      </c>
      <c r="E3947" t="s">
        <v>1790</v>
      </c>
    </row>
    <row r="3948" spans="1:5" x14ac:dyDescent="0.2">
      <c r="A3948">
        <v>3948</v>
      </c>
      <c r="B3948" t="s">
        <v>967</v>
      </c>
      <c r="C3948" t="s">
        <v>9109</v>
      </c>
      <c r="D3948" t="s">
        <v>9113</v>
      </c>
      <c r="E3948" t="s">
        <v>1790</v>
      </c>
    </row>
    <row r="3949" spans="1:5" x14ac:dyDescent="0.2">
      <c r="A3949">
        <v>3949</v>
      </c>
      <c r="B3949" t="s">
        <v>967</v>
      </c>
      <c r="C3949" t="s">
        <v>9114</v>
      </c>
      <c r="D3949" t="s">
        <v>9115</v>
      </c>
      <c r="E3949" t="s">
        <v>1790</v>
      </c>
    </row>
    <row r="3950" spans="1:5" x14ac:dyDescent="0.2">
      <c r="A3950">
        <v>3950</v>
      </c>
      <c r="B3950" t="s">
        <v>967</v>
      </c>
      <c r="C3950" t="s">
        <v>9116</v>
      </c>
      <c r="D3950" t="s">
        <v>9117</v>
      </c>
      <c r="E3950" t="s">
        <v>1790</v>
      </c>
    </row>
    <row r="3951" spans="1:5" x14ac:dyDescent="0.2">
      <c r="A3951">
        <v>3951</v>
      </c>
      <c r="B3951" t="s">
        <v>967</v>
      </c>
      <c r="C3951" t="s">
        <v>9118</v>
      </c>
      <c r="D3951" t="s">
        <v>9119</v>
      </c>
      <c r="E3951" t="s">
        <v>1790</v>
      </c>
    </row>
    <row r="3952" spans="1:5" x14ac:dyDescent="0.2">
      <c r="A3952">
        <v>3952</v>
      </c>
      <c r="B3952" t="s">
        <v>967</v>
      </c>
      <c r="C3952" t="s">
        <v>9116</v>
      </c>
      <c r="D3952" t="s">
        <v>9120</v>
      </c>
      <c r="E3952" t="s">
        <v>1790</v>
      </c>
    </row>
    <row r="3953" spans="1:5" x14ac:dyDescent="0.2">
      <c r="A3953">
        <v>3953</v>
      </c>
      <c r="B3953" t="s">
        <v>967</v>
      </c>
      <c r="C3953" t="s">
        <v>9118</v>
      </c>
      <c r="D3953" t="s">
        <v>9121</v>
      </c>
      <c r="E3953" t="s">
        <v>1790</v>
      </c>
    </row>
    <row r="3954" spans="1:5" x14ac:dyDescent="0.2">
      <c r="A3954">
        <v>3954</v>
      </c>
      <c r="B3954" t="s">
        <v>967</v>
      </c>
      <c r="C3954" t="s">
        <v>9114</v>
      </c>
      <c r="D3954" t="s">
        <v>9122</v>
      </c>
      <c r="E3954" t="s">
        <v>1790</v>
      </c>
    </row>
    <row r="3955" spans="1:5" x14ac:dyDescent="0.2">
      <c r="A3955">
        <v>3955</v>
      </c>
      <c r="B3955" t="s">
        <v>967</v>
      </c>
      <c r="C3955" t="s">
        <v>9123</v>
      </c>
      <c r="D3955" t="s">
        <v>9124</v>
      </c>
      <c r="E3955" t="s">
        <v>1790</v>
      </c>
    </row>
    <row r="3956" spans="1:5" x14ac:dyDescent="0.2">
      <c r="A3956">
        <v>3956</v>
      </c>
      <c r="B3956" t="s">
        <v>967</v>
      </c>
      <c r="C3956" t="s">
        <v>9125</v>
      </c>
      <c r="D3956" t="s">
        <v>9126</v>
      </c>
      <c r="E3956" t="s">
        <v>1790</v>
      </c>
    </row>
    <row r="3957" spans="1:5" x14ac:dyDescent="0.2">
      <c r="A3957">
        <v>3957</v>
      </c>
      <c r="B3957" t="s">
        <v>967</v>
      </c>
      <c r="C3957" t="s">
        <v>9127</v>
      </c>
      <c r="D3957" t="s">
        <v>9128</v>
      </c>
      <c r="E3957" t="s">
        <v>1790</v>
      </c>
    </row>
    <row r="3958" spans="1:5" x14ac:dyDescent="0.2">
      <c r="A3958">
        <v>3958</v>
      </c>
      <c r="B3958" t="s">
        <v>967</v>
      </c>
      <c r="C3958" t="s">
        <v>9127</v>
      </c>
      <c r="D3958" t="s">
        <v>9129</v>
      </c>
      <c r="E3958" t="s">
        <v>1790</v>
      </c>
    </row>
    <row r="3959" spans="1:5" x14ac:dyDescent="0.2">
      <c r="A3959">
        <v>3959</v>
      </c>
      <c r="B3959" t="s">
        <v>967</v>
      </c>
      <c r="C3959" t="s">
        <v>9130</v>
      </c>
      <c r="D3959" t="s">
        <v>9131</v>
      </c>
      <c r="E3959" t="s">
        <v>1790</v>
      </c>
    </row>
    <row r="3960" spans="1:5" x14ac:dyDescent="0.2">
      <c r="A3960">
        <v>3960</v>
      </c>
      <c r="B3960" t="s">
        <v>967</v>
      </c>
      <c r="C3960" t="s">
        <v>9132</v>
      </c>
      <c r="D3960" t="s">
        <v>9133</v>
      </c>
      <c r="E3960" t="s">
        <v>1790</v>
      </c>
    </row>
    <row r="3961" spans="1:5" x14ac:dyDescent="0.2">
      <c r="A3961">
        <v>3961</v>
      </c>
      <c r="B3961" t="s">
        <v>967</v>
      </c>
      <c r="C3961" t="s">
        <v>9130</v>
      </c>
      <c r="D3961" t="s">
        <v>9134</v>
      </c>
      <c r="E3961" t="s">
        <v>1790</v>
      </c>
    </row>
    <row r="3962" spans="1:5" x14ac:dyDescent="0.2">
      <c r="A3962">
        <v>3962</v>
      </c>
      <c r="B3962" t="s">
        <v>967</v>
      </c>
      <c r="C3962" t="s">
        <v>9132</v>
      </c>
      <c r="D3962" t="s">
        <v>9135</v>
      </c>
      <c r="E3962" t="s">
        <v>1790</v>
      </c>
    </row>
    <row r="3963" spans="1:5" x14ac:dyDescent="0.2">
      <c r="A3963">
        <v>3963</v>
      </c>
      <c r="B3963" t="s">
        <v>967</v>
      </c>
      <c r="C3963" t="s">
        <v>9130</v>
      </c>
      <c r="D3963" t="s">
        <v>9136</v>
      </c>
      <c r="E3963" t="s">
        <v>1790</v>
      </c>
    </row>
    <row r="3964" spans="1:5" x14ac:dyDescent="0.2">
      <c r="A3964">
        <v>3964</v>
      </c>
      <c r="B3964" t="s">
        <v>967</v>
      </c>
      <c r="C3964" t="s">
        <v>9132</v>
      </c>
      <c r="D3964" t="s">
        <v>9137</v>
      </c>
      <c r="E3964" t="s">
        <v>1790</v>
      </c>
    </row>
    <row r="3965" spans="1:5" x14ac:dyDescent="0.2">
      <c r="A3965">
        <v>3965</v>
      </c>
      <c r="B3965" t="s">
        <v>967</v>
      </c>
      <c r="C3965" t="s">
        <v>9123</v>
      </c>
      <c r="D3965" t="s">
        <v>9138</v>
      </c>
      <c r="E3965" t="s">
        <v>1790</v>
      </c>
    </row>
    <row r="3966" spans="1:5" x14ac:dyDescent="0.2">
      <c r="A3966">
        <v>3966</v>
      </c>
      <c r="B3966" t="s">
        <v>967</v>
      </c>
      <c r="C3966" t="s">
        <v>9139</v>
      </c>
      <c r="D3966" t="s">
        <v>9140</v>
      </c>
      <c r="E3966" t="s">
        <v>1790</v>
      </c>
    </row>
    <row r="3967" spans="1:5" x14ac:dyDescent="0.2">
      <c r="A3967">
        <v>3967</v>
      </c>
      <c r="B3967" t="s">
        <v>967</v>
      </c>
      <c r="C3967" t="s">
        <v>9125</v>
      </c>
      <c r="D3967" t="s">
        <v>9141</v>
      </c>
      <c r="E3967" t="s">
        <v>1790</v>
      </c>
    </row>
    <row r="3968" spans="1:5" x14ac:dyDescent="0.2">
      <c r="A3968">
        <v>3968</v>
      </c>
      <c r="B3968" t="s">
        <v>967</v>
      </c>
      <c r="C3968" t="s">
        <v>9139</v>
      </c>
      <c r="D3968" t="s">
        <v>9142</v>
      </c>
      <c r="E3968" t="s">
        <v>1790</v>
      </c>
    </row>
    <row r="3969" spans="1:5" x14ac:dyDescent="0.2">
      <c r="A3969">
        <v>3969</v>
      </c>
      <c r="B3969" t="s">
        <v>967</v>
      </c>
      <c r="C3969" t="s">
        <v>9125</v>
      </c>
      <c r="D3969" t="s">
        <v>9143</v>
      </c>
      <c r="E3969" t="s">
        <v>1790</v>
      </c>
    </row>
    <row r="3970" spans="1:5" x14ac:dyDescent="0.2">
      <c r="A3970">
        <v>3970</v>
      </c>
      <c r="B3970" t="s">
        <v>967</v>
      </c>
      <c r="C3970" t="s">
        <v>9144</v>
      </c>
      <c r="D3970" t="s">
        <v>9145</v>
      </c>
      <c r="E3970" t="s">
        <v>1790</v>
      </c>
    </row>
    <row r="3971" spans="1:5" x14ac:dyDescent="0.2">
      <c r="A3971">
        <v>3971</v>
      </c>
      <c r="B3971" t="s">
        <v>967</v>
      </c>
      <c r="C3971" t="s">
        <v>9144</v>
      </c>
      <c r="D3971" t="s">
        <v>9146</v>
      </c>
      <c r="E3971" t="s">
        <v>1790</v>
      </c>
    </row>
    <row r="3972" spans="1:5" x14ac:dyDescent="0.2">
      <c r="A3972">
        <v>3972</v>
      </c>
      <c r="B3972" t="s">
        <v>967</v>
      </c>
      <c r="C3972" t="s">
        <v>9147</v>
      </c>
      <c r="D3972" t="s">
        <v>9148</v>
      </c>
      <c r="E3972" t="s">
        <v>1790</v>
      </c>
    </row>
    <row r="3973" spans="1:5" x14ac:dyDescent="0.2">
      <c r="A3973">
        <v>3973</v>
      </c>
      <c r="B3973" t="s">
        <v>967</v>
      </c>
      <c r="C3973" t="s">
        <v>9149</v>
      </c>
      <c r="D3973" t="s">
        <v>9150</v>
      </c>
      <c r="E3973" t="s">
        <v>1790</v>
      </c>
    </row>
    <row r="3974" spans="1:5" x14ac:dyDescent="0.2">
      <c r="A3974">
        <v>3974</v>
      </c>
      <c r="B3974" t="s">
        <v>967</v>
      </c>
      <c r="C3974" t="s">
        <v>9147</v>
      </c>
      <c r="D3974" t="s">
        <v>9151</v>
      </c>
      <c r="E3974" t="s">
        <v>1790</v>
      </c>
    </row>
    <row r="3975" spans="1:5" x14ac:dyDescent="0.2">
      <c r="A3975">
        <v>3975</v>
      </c>
      <c r="B3975" t="s">
        <v>967</v>
      </c>
      <c r="C3975" t="s">
        <v>9149</v>
      </c>
      <c r="D3975" t="s">
        <v>9152</v>
      </c>
      <c r="E3975" t="s">
        <v>1790</v>
      </c>
    </row>
    <row r="3976" spans="1:5" x14ac:dyDescent="0.2">
      <c r="A3976">
        <v>3976</v>
      </c>
      <c r="B3976" t="s">
        <v>967</v>
      </c>
      <c r="C3976" t="s">
        <v>9105</v>
      </c>
      <c r="D3976" t="s">
        <v>9153</v>
      </c>
      <c r="E3976" t="s">
        <v>1790</v>
      </c>
    </row>
    <row r="3977" spans="1:5" x14ac:dyDescent="0.2">
      <c r="A3977">
        <v>3977</v>
      </c>
      <c r="B3977" t="s">
        <v>967</v>
      </c>
      <c r="C3977" t="s">
        <v>9154</v>
      </c>
      <c r="D3977" t="s">
        <v>9155</v>
      </c>
      <c r="E3977" t="s">
        <v>1790</v>
      </c>
    </row>
    <row r="3978" spans="1:5" x14ac:dyDescent="0.2">
      <c r="A3978">
        <v>3978</v>
      </c>
      <c r="B3978" t="s">
        <v>967</v>
      </c>
      <c r="C3978" t="s">
        <v>9154</v>
      </c>
      <c r="D3978" t="s">
        <v>9156</v>
      </c>
      <c r="E3978" t="s">
        <v>1790</v>
      </c>
    </row>
    <row r="3979" spans="1:5" x14ac:dyDescent="0.2">
      <c r="A3979">
        <v>3979</v>
      </c>
      <c r="B3979" t="s">
        <v>967</v>
      </c>
      <c r="C3979" t="s">
        <v>9157</v>
      </c>
      <c r="D3979" t="s">
        <v>9158</v>
      </c>
      <c r="E3979" t="s">
        <v>1790</v>
      </c>
    </row>
    <row r="3980" spans="1:5" x14ac:dyDescent="0.2">
      <c r="A3980">
        <v>3980</v>
      </c>
      <c r="B3980" t="s">
        <v>967</v>
      </c>
      <c r="C3980" t="s">
        <v>9157</v>
      </c>
      <c r="D3980" t="s">
        <v>9159</v>
      </c>
      <c r="E3980" t="s">
        <v>1790</v>
      </c>
    </row>
    <row r="3981" spans="1:5" x14ac:dyDescent="0.2">
      <c r="A3981">
        <v>3981</v>
      </c>
      <c r="B3981" t="s">
        <v>967</v>
      </c>
      <c r="C3981" t="s">
        <v>9160</v>
      </c>
      <c r="D3981" t="s">
        <v>9161</v>
      </c>
      <c r="E3981" t="s">
        <v>1790</v>
      </c>
    </row>
    <row r="3982" spans="1:5" x14ac:dyDescent="0.2">
      <c r="A3982">
        <v>3982</v>
      </c>
      <c r="B3982" t="s">
        <v>967</v>
      </c>
      <c r="C3982" t="s">
        <v>9160</v>
      </c>
      <c r="D3982" t="s">
        <v>9162</v>
      </c>
      <c r="E3982" t="s">
        <v>1790</v>
      </c>
    </row>
    <row r="3983" spans="1:5" x14ac:dyDescent="0.2">
      <c r="A3983">
        <v>3983</v>
      </c>
      <c r="B3983" t="s">
        <v>967</v>
      </c>
      <c r="C3983" t="s">
        <v>9157</v>
      </c>
      <c r="D3983" t="s">
        <v>9163</v>
      </c>
      <c r="E3983" t="s">
        <v>1790</v>
      </c>
    </row>
    <row r="3984" spans="1:5" x14ac:dyDescent="0.2">
      <c r="A3984">
        <v>3984</v>
      </c>
      <c r="B3984" t="s">
        <v>967</v>
      </c>
      <c r="C3984" t="s">
        <v>9164</v>
      </c>
      <c r="D3984" t="s">
        <v>9165</v>
      </c>
      <c r="E3984" t="s">
        <v>1790</v>
      </c>
    </row>
    <row r="3985" spans="1:5" x14ac:dyDescent="0.2">
      <c r="A3985">
        <v>3985</v>
      </c>
      <c r="B3985" t="s">
        <v>967</v>
      </c>
      <c r="C3985" t="s">
        <v>9164</v>
      </c>
      <c r="D3985" t="s">
        <v>9166</v>
      </c>
      <c r="E3985" t="s">
        <v>1790</v>
      </c>
    </row>
    <row r="3986" spans="1:5" x14ac:dyDescent="0.2">
      <c r="A3986">
        <v>3986</v>
      </c>
      <c r="B3986" t="s">
        <v>967</v>
      </c>
      <c r="C3986" t="s">
        <v>9164</v>
      </c>
      <c r="D3986" t="s">
        <v>9167</v>
      </c>
      <c r="E3986" t="s">
        <v>1790</v>
      </c>
    </row>
    <row r="3987" spans="1:5" x14ac:dyDescent="0.2">
      <c r="A3987">
        <v>3987</v>
      </c>
      <c r="B3987" t="s">
        <v>967</v>
      </c>
      <c r="C3987" t="s">
        <v>9168</v>
      </c>
      <c r="D3987" t="s">
        <v>9169</v>
      </c>
      <c r="E3987" t="s">
        <v>1790</v>
      </c>
    </row>
    <row r="3988" spans="1:5" x14ac:dyDescent="0.2">
      <c r="A3988">
        <v>3988</v>
      </c>
      <c r="B3988" t="s">
        <v>967</v>
      </c>
      <c r="C3988" t="s">
        <v>9168</v>
      </c>
      <c r="D3988" t="s">
        <v>9019</v>
      </c>
      <c r="E3988" t="s">
        <v>1790</v>
      </c>
    </row>
    <row r="3989" spans="1:5" x14ac:dyDescent="0.2">
      <c r="A3989">
        <v>3989</v>
      </c>
      <c r="B3989" t="s">
        <v>967</v>
      </c>
      <c r="C3989" t="s">
        <v>9168</v>
      </c>
      <c r="D3989" t="s">
        <v>9170</v>
      </c>
      <c r="E3989" t="s">
        <v>1790</v>
      </c>
    </row>
    <row r="3990" spans="1:5" x14ac:dyDescent="0.2">
      <c r="A3990">
        <v>3990</v>
      </c>
      <c r="B3990" t="s">
        <v>967</v>
      </c>
      <c r="C3990" t="s">
        <v>9171</v>
      </c>
      <c r="D3990" t="s">
        <v>9172</v>
      </c>
      <c r="E3990" t="s">
        <v>1790</v>
      </c>
    </row>
    <row r="3991" spans="1:5" x14ac:dyDescent="0.2">
      <c r="A3991">
        <v>3991</v>
      </c>
      <c r="B3991" t="s">
        <v>969</v>
      </c>
      <c r="C3991" t="s">
        <v>9173</v>
      </c>
      <c r="D3991" t="s">
        <v>4191</v>
      </c>
      <c r="E3991" t="s">
        <v>1719</v>
      </c>
    </row>
    <row r="3992" spans="1:5" x14ac:dyDescent="0.2">
      <c r="A3992">
        <v>3992</v>
      </c>
      <c r="B3992" t="s">
        <v>969</v>
      </c>
      <c r="C3992" t="s">
        <v>9174</v>
      </c>
      <c r="D3992" t="s">
        <v>4193</v>
      </c>
      <c r="E3992" t="s">
        <v>1719</v>
      </c>
    </row>
    <row r="3993" spans="1:5" x14ac:dyDescent="0.2">
      <c r="A3993">
        <v>3993</v>
      </c>
      <c r="B3993" t="s">
        <v>969</v>
      </c>
      <c r="C3993" t="s">
        <v>9175</v>
      </c>
      <c r="D3993" t="s">
        <v>2736</v>
      </c>
      <c r="E3993" t="s">
        <v>1719</v>
      </c>
    </row>
    <row r="3994" spans="1:5" x14ac:dyDescent="0.2">
      <c r="A3994">
        <v>3994</v>
      </c>
      <c r="B3994" t="s">
        <v>969</v>
      </c>
      <c r="C3994" t="s">
        <v>9176</v>
      </c>
      <c r="D3994" t="s">
        <v>9177</v>
      </c>
      <c r="E3994" t="s">
        <v>9178</v>
      </c>
    </row>
    <row r="3995" spans="1:5" x14ac:dyDescent="0.2">
      <c r="A3995">
        <v>3995</v>
      </c>
      <c r="B3995" t="s">
        <v>971</v>
      </c>
      <c r="C3995" t="s">
        <v>9179</v>
      </c>
      <c r="D3995" t="s">
        <v>9180</v>
      </c>
      <c r="E3995" t="s">
        <v>1790</v>
      </c>
    </row>
    <row r="3996" spans="1:5" x14ac:dyDescent="0.2">
      <c r="A3996">
        <v>3996</v>
      </c>
      <c r="B3996" t="s">
        <v>971</v>
      </c>
      <c r="C3996" t="s">
        <v>9181</v>
      </c>
      <c r="D3996" t="s">
        <v>9182</v>
      </c>
      <c r="E3996" t="s">
        <v>1790</v>
      </c>
    </row>
    <row r="3997" spans="1:5" x14ac:dyDescent="0.2">
      <c r="A3997">
        <v>3997</v>
      </c>
      <c r="B3997" t="s">
        <v>971</v>
      </c>
      <c r="C3997" t="s">
        <v>9183</v>
      </c>
      <c r="D3997" t="s">
        <v>9184</v>
      </c>
      <c r="E3997" t="s">
        <v>1790</v>
      </c>
    </row>
    <row r="3998" spans="1:5" x14ac:dyDescent="0.2">
      <c r="A3998">
        <v>3998</v>
      </c>
      <c r="B3998" t="s">
        <v>971</v>
      </c>
      <c r="C3998" t="s">
        <v>9185</v>
      </c>
      <c r="D3998" t="s">
        <v>9186</v>
      </c>
      <c r="E3998" t="s">
        <v>1790</v>
      </c>
    </row>
    <row r="3999" spans="1:5" x14ac:dyDescent="0.2">
      <c r="A3999">
        <v>3999</v>
      </c>
      <c r="B3999" t="s">
        <v>971</v>
      </c>
      <c r="C3999" t="s">
        <v>9187</v>
      </c>
      <c r="D3999" t="s">
        <v>9188</v>
      </c>
      <c r="E3999" t="s">
        <v>1790</v>
      </c>
    </row>
    <row r="4000" spans="1:5" x14ac:dyDescent="0.2">
      <c r="A4000">
        <v>4000</v>
      </c>
      <c r="B4000" t="s">
        <v>975</v>
      </c>
      <c r="C4000" t="s">
        <v>9189</v>
      </c>
      <c r="D4000" t="s">
        <v>9190</v>
      </c>
      <c r="E4000" t="s">
        <v>2087</v>
      </c>
    </row>
    <row r="4001" spans="1:5" x14ac:dyDescent="0.2">
      <c r="A4001">
        <v>4001</v>
      </c>
      <c r="B4001" t="s">
        <v>975</v>
      </c>
      <c r="C4001" t="s">
        <v>9191</v>
      </c>
      <c r="D4001" t="s">
        <v>9192</v>
      </c>
      <c r="E4001" t="s">
        <v>2087</v>
      </c>
    </row>
    <row r="4002" spans="1:5" x14ac:dyDescent="0.2">
      <c r="A4002">
        <v>4002</v>
      </c>
      <c r="B4002" t="s">
        <v>975</v>
      </c>
      <c r="C4002" t="s">
        <v>9193</v>
      </c>
      <c r="D4002" t="s">
        <v>9194</v>
      </c>
      <c r="E4002" t="s">
        <v>2087</v>
      </c>
    </row>
    <row r="4003" spans="1:5" x14ac:dyDescent="0.2">
      <c r="A4003">
        <v>4003</v>
      </c>
      <c r="B4003" t="s">
        <v>975</v>
      </c>
      <c r="C4003" t="s">
        <v>9195</v>
      </c>
      <c r="D4003" t="s">
        <v>9196</v>
      </c>
      <c r="E4003" t="s">
        <v>2087</v>
      </c>
    </row>
    <row r="4004" spans="1:5" x14ac:dyDescent="0.2">
      <c r="A4004">
        <v>4004</v>
      </c>
      <c r="B4004" t="s">
        <v>975</v>
      </c>
      <c r="C4004" t="s">
        <v>9197</v>
      </c>
      <c r="D4004" t="s">
        <v>9198</v>
      </c>
      <c r="E4004" t="s">
        <v>2087</v>
      </c>
    </row>
    <row r="4005" spans="1:5" x14ac:dyDescent="0.2">
      <c r="A4005">
        <v>4005</v>
      </c>
      <c r="B4005" t="s">
        <v>975</v>
      </c>
      <c r="C4005" t="s">
        <v>9199</v>
      </c>
      <c r="D4005" t="s">
        <v>9200</v>
      </c>
      <c r="E4005" t="s">
        <v>2087</v>
      </c>
    </row>
    <row r="4006" spans="1:5" x14ac:dyDescent="0.2">
      <c r="A4006">
        <v>4006</v>
      </c>
      <c r="B4006" t="s">
        <v>975</v>
      </c>
      <c r="C4006" t="s">
        <v>9201</v>
      </c>
      <c r="D4006" t="s">
        <v>9202</v>
      </c>
      <c r="E4006" t="s">
        <v>2087</v>
      </c>
    </row>
    <row r="4007" spans="1:5" x14ac:dyDescent="0.2">
      <c r="A4007">
        <v>4007</v>
      </c>
      <c r="B4007" t="s">
        <v>975</v>
      </c>
      <c r="C4007" t="s">
        <v>9203</v>
      </c>
      <c r="D4007" t="s">
        <v>9204</v>
      </c>
      <c r="E4007" t="s">
        <v>2087</v>
      </c>
    </row>
    <row r="4008" spans="1:5" x14ac:dyDescent="0.2">
      <c r="A4008">
        <v>4008</v>
      </c>
      <c r="B4008" t="s">
        <v>977</v>
      </c>
      <c r="C4008" t="s">
        <v>9205</v>
      </c>
      <c r="D4008" t="s">
        <v>9206</v>
      </c>
      <c r="E4008" t="s">
        <v>3162</v>
      </c>
    </row>
    <row r="4009" spans="1:5" x14ac:dyDescent="0.2">
      <c r="A4009">
        <v>4009</v>
      </c>
      <c r="B4009" t="s">
        <v>977</v>
      </c>
      <c r="C4009" t="s">
        <v>9207</v>
      </c>
      <c r="D4009" t="s">
        <v>9208</v>
      </c>
      <c r="E4009" t="s">
        <v>3162</v>
      </c>
    </row>
    <row r="4010" spans="1:5" x14ac:dyDescent="0.2">
      <c r="A4010">
        <v>4010</v>
      </c>
      <c r="B4010" t="s">
        <v>977</v>
      </c>
      <c r="C4010" t="s">
        <v>9209</v>
      </c>
      <c r="D4010" t="s">
        <v>9210</v>
      </c>
      <c r="E4010" t="s">
        <v>3162</v>
      </c>
    </row>
    <row r="4011" spans="1:5" x14ac:dyDescent="0.2">
      <c r="A4011">
        <v>4011</v>
      </c>
      <c r="B4011" t="s">
        <v>977</v>
      </c>
      <c r="C4011" t="s">
        <v>9211</v>
      </c>
      <c r="D4011" t="s">
        <v>9212</v>
      </c>
      <c r="E4011" t="s">
        <v>3162</v>
      </c>
    </row>
    <row r="4012" spans="1:5" x14ac:dyDescent="0.2">
      <c r="A4012">
        <v>4012</v>
      </c>
      <c r="B4012" t="s">
        <v>977</v>
      </c>
      <c r="C4012" t="s">
        <v>9213</v>
      </c>
      <c r="D4012" t="s">
        <v>9214</v>
      </c>
      <c r="E4012" t="s">
        <v>3162</v>
      </c>
    </row>
    <row r="4013" spans="1:5" x14ac:dyDescent="0.2">
      <c r="A4013">
        <v>4013</v>
      </c>
      <c r="B4013" t="s">
        <v>977</v>
      </c>
      <c r="C4013" t="s">
        <v>9215</v>
      </c>
      <c r="D4013" t="s">
        <v>9216</v>
      </c>
      <c r="E4013" t="s">
        <v>3162</v>
      </c>
    </row>
    <row r="4014" spans="1:5" x14ac:dyDescent="0.2">
      <c r="A4014">
        <v>4014</v>
      </c>
      <c r="B4014" t="s">
        <v>977</v>
      </c>
      <c r="C4014" t="s">
        <v>9217</v>
      </c>
      <c r="D4014" t="s">
        <v>9218</v>
      </c>
      <c r="E4014" t="s">
        <v>3162</v>
      </c>
    </row>
    <row r="4015" spans="1:5" x14ac:dyDescent="0.2">
      <c r="A4015">
        <v>4015</v>
      </c>
      <c r="B4015" t="s">
        <v>977</v>
      </c>
      <c r="C4015" t="s">
        <v>9219</v>
      </c>
      <c r="D4015" t="s">
        <v>9220</v>
      </c>
      <c r="E4015" t="s">
        <v>3162</v>
      </c>
    </row>
    <row r="4016" spans="1:5" x14ac:dyDescent="0.2">
      <c r="A4016">
        <v>4016</v>
      </c>
      <c r="B4016" t="s">
        <v>977</v>
      </c>
      <c r="C4016" t="s">
        <v>9221</v>
      </c>
      <c r="D4016" t="s">
        <v>9222</v>
      </c>
      <c r="E4016" t="s">
        <v>3162</v>
      </c>
    </row>
    <row r="4017" spans="1:5" x14ac:dyDescent="0.2">
      <c r="A4017">
        <v>4017</v>
      </c>
      <c r="B4017" t="s">
        <v>977</v>
      </c>
      <c r="C4017" t="s">
        <v>9223</v>
      </c>
      <c r="D4017" t="s">
        <v>9224</v>
      </c>
      <c r="E4017" t="s">
        <v>3162</v>
      </c>
    </row>
    <row r="4018" spans="1:5" x14ac:dyDescent="0.2">
      <c r="A4018">
        <v>4018</v>
      </c>
      <c r="B4018" t="s">
        <v>977</v>
      </c>
      <c r="C4018" t="s">
        <v>9225</v>
      </c>
      <c r="D4018" t="s">
        <v>9226</v>
      </c>
      <c r="E4018" t="s">
        <v>3162</v>
      </c>
    </row>
    <row r="4019" spans="1:5" x14ac:dyDescent="0.2">
      <c r="A4019">
        <v>4019</v>
      </c>
      <c r="B4019" t="s">
        <v>977</v>
      </c>
      <c r="C4019" t="s">
        <v>9227</v>
      </c>
      <c r="D4019" t="s">
        <v>9228</v>
      </c>
      <c r="E4019" t="s">
        <v>3162</v>
      </c>
    </row>
    <row r="4020" spans="1:5" x14ac:dyDescent="0.2">
      <c r="A4020">
        <v>4020</v>
      </c>
      <c r="B4020" t="s">
        <v>977</v>
      </c>
      <c r="C4020" t="s">
        <v>9229</v>
      </c>
      <c r="D4020" t="s">
        <v>9230</v>
      </c>
      <c r="E4020" t="s">
        <v>3162</v>
      </c>
    </row>
    <row r="4021" spans="1:5" x14ac:dyDescent="0.2">
      <c r="A4021">
        <v>4021</v>
      </c>
      <c r="B4021" t="s">
        <v>977</v>
      </c>
      <c r="C4021" t="s">
        <v>9231</v>
      </c>
      <c r="D4021" t="s">
        <v>9232</v>
      </c>
      <c r="E4021" t="s">
        <v>3162</v>
      </c>
    </row>
    <row r="4022" spans="1:5" x14ac:dyDescent="0.2">
      <c r="A4022">
        <v>4022</v>
      </c>
      <c r="B4022" t="s">
        <v>977</v>
      </c>
      <c r="C4022" t="s">
        <v>9233</v>
      </c>
      <c r="D4022" t="s">
        <v>9234</v>
      </c>
      <c r="E4022" t="s">
        <v>3162</v>
      </c>
    </row>
    <row r="4023" spans="1:5" x14ac:dyDescent="0.2">
      <c r="A4023">
        <v>4023</v>
      </c>
      <c r="B4023" t="s">
        <v>977</v>
      </c>
      <c r="C4023" t="s">
        <v>9235</v>
      </c>
      <c r="D4023" t="s">
        <v>9236</v>
      </c>
      <c r="E4023" t="s">
        <v>3162</v>
      </c>
    </row>
    <row r="4024" spans="1:5" x14ac:dyDescent="0.2">
      <c r="A4024">
        <v>4024</v>
      </c>
      <c r="B4024" t="s">
        <v>977</v>
      </c>
      <c r="C4024" t="s">
        <v>9237</v>
      </c>
      <c r="D4024" t="s">
        <v>9238</v>
      </c>
      <c r="E4024" t="s">
        <v>3162</v>
      </c>
    </row>
    <row r="4025" spans="1:5" x14ac:dyDescent="0.2">
      <c r="A4025">
        <v>4025</v>
      </c>
      <c r="B4025" t="s">
        <v>977</v>
      </c>
      <c r="C4025" t="s">
        <v>9239</v>
      </c>
      <c r="D4025" t="s">
        <v>9240</v>
      </c>
      <c r="E4025" t="s">
        <v>3162</v>
      </c>
    </row>
    <row r="4026" spans="1:5" x14ac:dyDescent="0.2">
      <c r="A4026">
        <v>4026</v>
      </c>
      <c r="B4026" t="s">
        <v>977</v>
      </c>
      <c r="C4026" t="s">
        <v>9241</v>
      </c>
      <c r="D4026" t="s">
        <v>9242</v>
      </c>
      <c r="E4026" t="s">
        <v>3162</v>
      </c>
    </row>
    <row r="4027" spans="1:5" x14ac:dyDescent="0.2">
      <c r="A4027">
        <v>4027</v>
      </c>
      <c r="B4027" t="s">
        <v>977</v>
      </c>
      <c r="C4027" t="s">
        <v>9243</v>
      </c>
      <c r="D4027" t="s">
        <v>9244</v>
      </c>
      <c r="E4027" t="s">
        <v>3162</v>
      </c>
    </row>
    <row r="4028" spans="1:5" x14ac:dyDescent="0.2">
      <c r="A4028">
        <v>4028</v>
      </c>
      <c r="B4028" t="s">
        <v>977</v>
      </c>
      <c r="C4028" t="s">
        <v>9245</v>
      </c>
      <c r="D4028" t="s">
        <v>9246</v>
      </c>
      <c r="E4028" t="s">
        <v>3162</v>
      </c>
    </row>
    <row r="4029" spans="1:5" x14ac:dyDescent="0.2">
      <c r="A4029">
        <v>4029</v>
      </c>
      <c r="B4029" t="s">
        <v>977</v>
      </c>
      <c r="C4029" t="s">
        <v>9247</v>
      </c>
      <c r="D4029" t="s">
        <v>9248</v>
      </c>
      <c r="E4029" t="s">
        <v>3162</v>
      </c>
    </row>
    <row r="4030" spans="1:5" x14ac:dyDescent="0.2">
      <c r="A4030">
        <v>4030</v>
      </c>
      <c r="B4030" t="s">
        <v>977</v>
      </c>
      <c r="C4030" t="s">
        <v>9249</v>
      </c>
      <c r="D4030" t="s">
        <v>9250</v>
      </c>
      <c r="E4030" t="s">
        <v>3162</v>
      </c>
    </row>
    <row r="4031" spans="1:5" x14ac:dyDescent="0.2">
      <c r="A4031">
        <v>4031</v>
      </c>
      <c r="B4031" t="s">
        <v>977</v>
      </c>
      <c r="C4031" t="s">
        <v>9251</v>
      </c>
      <c r="D4031" t="s">
        <v>9252</v>
      </c>
      <c r="E4031" t="s">
        <v>3162</v>
      </c>
    </row>
    <row r="4032" spans="1:5" x14ac:dyDescent="0.2">
      <c r="A4032">
        <v>4032</v>
      </c>
      <c r="B4032" t="s">
        <v>977</v>
      </c>
      <c r="C4032" t="s">
        <v>9253</v>
      </c>
      <c r="D4032" t="s">
        <v>9254</v>
      </c>
      <c r="E4032" t="s">
        <v>3162</v>
      </c>
    </row>
    <row r="4033" spans="1:5" x14ac:dyDescent="0.2">
      <c r="A4033">
        <v>4033</v>
      </c>
      <c r="B4033" t="s">
        <v>977</v>
      </c>
      <c r="C4033" t="s">
        <v>9255</v>
      </c>
      <c r="D4033" t="s">
        <v>9256</v>
      </c>
      <c r="E4033" t="s">
        <v>3162</v>
      </c>
    </row>
    <row r="4034" spans="1:5" x14ac:dyDescent="0.2">
      <c r="A4034">
        <v>4034</v>
      </c>
      <c r="B4034" t="s">
        <v>977</v>
      </c>
      <c r="C4034" t="s">
        <v>9257</v>
      </c>
      <c r="D4034" t="s">
        <v>9258</v>
      </c>
      <c r="E4034" t="s">
        <v>3162</v>
      </c>
    </row>
    <row r="4035" spans="1:5" x14ac:dyDescent="0.2">
      <c r="A4035">
        <v>4035</v>
      </c>
      <c r="B4035" t="s">
        <v>977</v>
      </c>
      <c r="C4035" t="s">
        <v>9259</v>
      </c>
      <c r="D4035" t="s">
        <v>9260</v>
      </c>
      <c r="E4035" t="s">
        <v>3162</v>
      </c>
    </row>
    <row r="4036" spans="1:5" x14ac:dyDescent="0.2">
      <c r="A4036">
        <v>4036</v>
      </c>
      <c r="B4036" t="s">
        <v>977</v>
      </c>
      <c r="C4036" t="s">
        <v>9261</v>
      </c>
      <c r="D4036" t="s">
        <v>9262</v>
      </c>
      <c r="E4036" t="s">
        <v>3162</v>
      </c>
    </row>
    <row r="4037" spans="1:5" x14ac:dyDescent="0.2">
      <c r="A4037">
        <v>4037</v>
      </c>
      <c r="B4037" t="s">
        <v>977</v>
      </c>
      <c r="C4037" t="s">
        <v>9263</v>
      </c>
      <c r="D4037" t="s">
        <v>9264</v>
      </c>
      <c r="E4037" t="s">
        <v>3162</v>
      </c>
    </row>
    <row r="4038" spans="1:5" x14ac:dyDescent="0.2">
      <c r="A4038">
        <v>4038</v>
      </c>
      <c r="B4038" t="s">
        <v>977</v>
      </c>
      <c r="C4038" t="s">
        <v>9265</v>
      </c>
      <c r="D4038" t="s">
        <v>9266</v>
      </c>
      <c r="E4038" t="s">
        <v>3162</v>
      </c>
    </row>
    <row r="4039" spans="1:5" x14ac:dyDescent="0.2">
      <c r="A4039">
        <v>4039</v>
      </c>
      <c r="B4039" t="s">
        <v>977</v>
      </c>
      <c r="C4039" t="s">
        <v>9267</v>
      </c>
      <c r="D4039" t="s">
        <v>9268</v>
      </c>
      <c r="E4039" t="s">
        <v>3162</v>
      </c>
    </row>
    <row r="4040" spans="1:5" x14ac:dyDescent="0.2">
      <c r="A4040">
        <v>4040</v>
      </c>
      <c r="B4040" t="s">
        <v>977</v>
      </c>
      <c r="C4040" t="s">
        <v>9269</v>
      </c>
      <c r="D4040" t="s">
        <v>9270</v>
      </c>
      <c r="E4040" t="s">
        <v>3162</v>
      </c>
    </row>
    <row r="4041" spans="1:5" x14ac:dyDescent="0.2">
      <c r="A4041">
        <v>4041</v>
      </c>
      <c r="B4041" t="s">
        <v>977</v>
      </c>
      <c r="C4041" t="s">
        <v>9271</v>
      </c>
      <c r="D4041" t="s">
        <v>9272</v>
      </c>
      <c r="E4041" t="s">
        <v>3162</v>
      </c>
    </row>
    <row r="4042" spans="1:5" x14ac:dyDescent="0.2">
      <c r="A4042">
        <v>4042</v>
      </c>
      <c r="B4042" t="s">
        <v>977</v>
      </c>
      <c r="C4042" t="s">
        <v>9273</v>
      </c>
      <c r="D4042" t="s">
        <v>9274</v>
      </c>
      <c r="E4042" t="s">
        <v>3162</v>
      </c>
    </row>
    <row r="4043" spans="1:5" x14ac:dyDescent="0.2">
      <c r="A4043">
        <v>4043</v>
      </c>
      <c r="B4043" t="s">
        <v>977</v>
      </c>
      <c r="C4043" t="s">
        <v>9275</v>
      </c>
      <c r="D4043" t="s">
        <v>9276</v>
      </c>
      <c r="E4043" t="s">
        <v>3162</v>
      </c>
    </row>
    <row r="4044" spans="1:5" x14ac:dyDescent="0.2">
      <c r="A4044">
        <v>4044</v>
      </c>
      <c r="B4044" t="s">
        <v>977</v>
      </c>
      <c r="C4044" t="s">
        <v>9277</v>
      </c>
      <c r="D4044" t="s">
        <v>9278</v>
      </c>
      <c r="E4044" t="s">
        <v>3162</v>
      </c>
    </row>
    <row r="4045" spans="1:5" x14ac:dyDescent="0.2">
      <c r="A4045">
        <v>4045</v>
      </c>
      <c r="B4045" t="s">
        <v>977</v>
      </c>
      <c r="C4045" t="s">
        <v>9279</v>
      </c>
      <c r="D4045" t="s">
        <v>9280</v>
      </c>
      <c r="E4045" t="s">
        <v>3162</v>
      </c>
    </row>
    <row r="4046" spans="1:5" x14ac:dyDescent="0.2">
      <c r="A4046">
        <v>4046</v>
      </c>
      <c r="B4046" t="s">
        <v>977</v>
      </c>
      <c r="C4046" t="s">
        <v>9281</v>
      </c>
      <c r="D4046" t="s">
        <v>9282</v>
      </c>
      <c r="E4046" t="s">
        <v>3162</v>
      </c>
    </row>
    <row r="4047" spans="1:5" x14ac:dyDescent="0.2">
      <c r="A4047">
        <v>4047</v>
      </c>
      <c r="B4047" t="s">
        <v>977</v>
      </c>
      <c r="C4047" t="s">
        <v>9283</v>
      </c>
      <c r="D4047" t="s">
        <v>9284</v>
      </c>
      <c r="E4047" t="s">
        <v>3162</v>
      </c>
    </row>
    <row r="4048" spans="1:5" x14ac:dyDescent="0.2">
      <c r="A4048">
        <v>4048</v>
      </c>
      <c r="B4048" t="s">
        <v>977</v>
      </c>
      <c r="C4048" t="s">
        <v>9285</v>
      </c>
      <c r="D4048" t="s">
        <v>9286</v>
      </c>
      <c r="E4048" t="s">
        <v>3162</v>
      </c>
    </row>
    <row r="4049" spans="1:5" x14ac:dyDescent="0.2">
      <c r="A4049">
        <v>4049</v>
      </c>
      <c r="B4049" t="s">
        <v>977</v>
      </c>
      <c r="C4049" t="s">
        <v>9287</v>
      </c>
      <c r="D4049" t="s">
        <v>9288</v>
      </c>
      <c r="E4049" t="s">
        <v>3162</v>
      </c>
    </row>
    <row r="4050" spans="1:5" x14ac:dyDescent="0.2">
      <c r="A4050">
        <v>4050</v>
      </c>
      <c r="B4050" t="s">
        <v>977</v>
      </c>
      <c r="C4050" t="s">
        <v>9289</v>
      </c>
      <c r="D4050" t="s">
        <v>9290</v>
      </c>
      <c r="E4050" t="s">
        <v>3162</v>
      </c>
    </row>
    <row r="4051" spans="1:5" x14ac:dyDescent="0.2">
      <c r="A4051">
        <v>4051</v>
      </c>
      <c r="B4051" t="s">
        <v>977</v>
      </c>
      <c r="C4051" t="s">
        <v>9291</v>
      </c>
      <c r="D4051" t="s">
        <v>9292</v>
      </c>
      <c r="E4051" t="s">
        <v>3162</v>
      </c>
    </row>
    <row r="4052" spans="1:5" x14ac:dyDescent="0.2">
      <c r="A4052">
        <v>4052</v>
      </c>
      <c r="B4052" t="s">
        <v>977</v>
      </c>
      <c r="C4052" t="s">
        <v>9293</v>
      </c>
      <c r="D4052" t="s">
        <v>9294</v>
      </c>
      <c r="E4052" t="s">
        <v>3162</v>
      </c>
    </row>
    <row r="4053" spans="1:5" x14ac:dyDescent="0.2">
      <c r="A4053">
        <v>4053</v>
      </c>
      <c r="B4053" t="s">
        <v>977</v>
      </c>
      <c r="C4053" t="s">
        <v>9295</v>
      </c>
      <c r="D4053" t="s">
        <v>9296</v>
      </c>
      <c r="E4053" t="s">
        <v>3162</v>
      </c>
    </row>
    <row r="4054" spans="1:5" x14ac:dyDescent="0.2">
      <c r="A4054">
        <v>4054</v>
      </c>
      <c r="B4054" t="s">
        <v>977</v>
      </c>
      <c r="C4054" t="s">
        <v>9297</v>
      </c>
      <c r="D4054" t="s">
        <v>9298</v>
      </c>
      <c r="E4054" t="s">
        <v>3162</v>
      </c>
    </row>
    <row r="4055" spans="1:5" x14ac:dyDescent="0.2">
      <c r="A4055">
        <v>4055</v>
      </c>
      <c r="B4055" t="s">
        <v>977</v>
      </c>
      <c r="C4055" t="s">
        <v>9299</v>
      </c>
      <c r="D4055" t="s">
        <v>9300</v>
      </c>
      <c r="E4055" t="s">
        <v>3162</v>
      </c>
    </row>
    <row r="4056" spans="1:5" x14ac:dyDescent="0.2">
      <c r="A4056">
        <v>4056</v>
      </c>
      <c r="B4056" t="s">
        <v>977</v>
      </c>
      <c r="C4056" t="s">
        <v>9301</v>
      </c>
      <c r="D4056" t="s">
        <v>9302</v>
      </c>
      <c r="E4056" t="s">
        <v>3162</v>
      </c>
    </row>
    <row r="4057" spans="1:5" x14ac:dyDescent="0.2">
      <c r="A4057">
        <v>4057</v>
      </c>
      <c r="B4057" t="s">
        <v>977</v>
      </c>
      <c r="C4057" t="s">
        <v>9303</v>
      </c>
      <c r="D4057" t="s">
        <v>9304</v>
      </c>
      <c r="E4057" t="s">
        <v>3162</v>
      </c>
    </row>
    <row r="4058" spans="1:5" x14ac:dyDescent="0.2">
      <c r="A4058">
        <v>4058</v>
      </c>
      <c r="B4058" t="s">
        <v>977</v>
      </c>
      <c r="C4058" t="s">
        <v>9305</v>
      </c>
      <c r="D4058" t="s">
        <v>9306</v>
      </c>
      <c r="E4058" t="s">
        <v>3162</v>
      </c>
    </row>
    <row r="4059" spans="1:5" x14ac:dyDescent="0.2">
      <c r="A4059">
        <v>4059</v>
      </c>
      <c r="B4059" t="s">
        <v>977</v>
      </c>
      <c r="C4059" t="s">
        <v>9307</v>
      </c>
      <c r="D4059" t="s">
        <v>9308</v>
      </c>
      <c r="E4059" t="s">
        <v>3162</v>
      </c>
    </row>
    <row r="4060" spans="1:5" x14ac:dyDescent="0.2">
      <c r="A4060">
        <v>4060</v>
      </c>
      <c r="B4060" t="s">
        <v>977</v>
      </c>
      <c r="C4060" t="s">
        <v>9309</v>
      </c>
      <c r="D4060" t="s">
        <v>9310</v>
      </c>
      <c r="E4060" t="s">
        <v>3162</v>
      </c>
    </row>
    <row r="4061" spans="1:5" x14ac:dyDescent="0.2">
      <c r="A4061">
        <v>4061</v>
      </c>
      <c r="B4061" t="s">
        <v>977</v>
      </c>
      <c r="C4061" t="s">
        <v>9311</v>
      </c>
      <c r="D4061" t="s">
        <v>9312</v>
      </c>
      <c r="E4061" t="s">
        <v>3162</v>
      </c>
    </row>
    <row r="4062" spans="1:5" x14ac:dyDescent="0.2">
      <c r="A4062">
        <v>4062</v>
      </c>
      <c r="B4062" t="s">
        <v>977</v>
      </c>
      <c r="C4062" t="s">
        <v>9313</v>
      </c>
      <c r="D4062" t="s">
        <v>9314</v>
      </c>
      <c r="E4062" t="s">
        <v>3162</v>
      </c>
    </row>
    <row r="4063" spans="1:5" x14ac:dyDescent="0.2">
      <c r="A4063">
        <v>4063</v>
      </c>
      <c r="B4063" t="s">
        <v>977</v>
      </c>
      <c r="C4063" t="s">
        <v>9315</v>
      </c>
      <c r="D4063" t="s">
        <v>9316</v>
      </c>
      <c r="E4063" t="s">
        <v>3162</v>
      </c>
    </row>
    <row r="4064" spans="1:5" x14ac:dyDescent="0.2">
      <c r="A4064">
        <v>4064</v>
      </c>
      <c r="B4064" t="s">
        <v>977</v>
      </c>
      <c r="C4064" t="s">
        <v>9317</v>
      </c>
      <c r="D4064" t="s">
        <v>9318</v>
      </c>
      <c r="E4064" t="s">
        <v>3162</v>
      </c>
    </row>
    <row r="4065" spans="1:5" x14ac:dyDescent="0.2">
      <c r="A4065">
        <v>4065</v>
      </c>
      <c r="B4065" t="s">
        <v>977</v>
      </c>
      <c r="C4065" t="s">
        <v>9319</v>
      </c>
      <c r="D4065" t="s">
        <v>9320</v>
      </c>
      <c r="E4065" t="s">
        <v>3162</v>
      </c>
    </row>
    <row r="4066" spans="1:5" x14ac:dyDescent="0.2">
      <c r="A4066">
        <v>4066</v>
      </c>
      <c r="B4066" t="s">
        <v>977</v>
      </c>
      <c r="C4066" t="s">
        <v>9321</v>
      </c>
      <c r="D4066" t="s">
        <v>9322</v>
      </c>
      <c r="E4066" t="s">
        <v>3162</v>
      </c>
    </row>
    <row r="4067" spans="1:5" x14ac:dyDescent="0.2">
      <c r="A4067">
        <v>4067</v>
      </c>
      <c r="B4067" t="s">
        <v>977</v>
      </c>
      <c r="C4067" t="s">
        <v>9323</v>
      </c>
      <c r="D4067" t="s">
        <v>9324</v>
      </c>
      <c r="E4067" t="s">
        <v>3162</v>
      </c>
    </row>
    <row r="4068" spans="1:5" x14ac:dyDescent="0.2">
      <c r="A4068">
        <v>4068</v>
      </c>
      <c r="B4068" t="s">
        <v>977</v>
      </c>
      <c r="C4068" t="s">
        <v>9325</v>
      </c>
      <c r="D4068" t="s">
        <v>9326</v>
      </c>
      <c r="E4068" t="s">
        <v>3162</v>
      </c>
    </row>
    <row r="4069" spans="1:5" x14ac:dyDescent="0.2">
      <c r="A4069">
        <v>4069</v>
      </c>
      <c r="B4069" t="s">
        <v>977</v>
      </c>
      <c r="C4069" t="s">
        <v>9327</v>
      </c>
      <c r="D4069" t="s">
        <v>9328</v>
      </c>
      <c r="E4069" t="s">
        <v>3162</v>
      </c>
    </row>
    <row r="4070" spans="1:5" x14ac:dyDescent="0.2">
      <c r="A4070">
        <v>4070</v>
      </c>
      <c r="B4070" t="s">
        <v>977</v>
      </c>
      <c r="C4070" t="s">
        <v>9329</v>
      </c>
      <c r="D4070" t="s">
        <v>9330</v>
      </c>
      <c r="E4070" t="s">
        <v>3162</v>
      </c>
    </row>
    <row r="4071" spans="1:5" x14ac:dyDescent="0.2">
      <c r="A4071">
        <v>4071</v>
      </c>
      <c r="B4071" t="s">
        <v>977</v>
      </c>
      <c r="C4071" t="s">
        <v>9331</v>
      </c>
      <c r="D4071" t="s">
        <v>9332</v>
      </c>
      <c r="E4071" t="s">
        <v>3162</v>
      </c>
    </row>
    <row r="4072" spans="1:5" x14ac:dyDescent="0.2">
      <c r="A4072">
        <v>4072</v>
      </c>
      <c r="B4072" t="s">
        <v>977</v>
      </c>
      <c r="C4072" t="s">
        <v>9333</v>
      </c>
      <c r="D4072" t="s">
        <v>9334</v>
      </c>
      <c r="E4072" t="s">
        <v>3162</v>
      </c>
    </row>
    <row r="4073" spans="1:5" x14ac:dyDescent="0.2">
      <c r="A4073">
        <v>4073</v>
      </c>
      <c r="B4073" t="s">
        <v>977</v>
      </c>
      <c r="C4073" t="s">
        <v>9335</v>
      </c>
      <c r="D4073" t="s">
        <v>9336</v>
      </c>
      <c r="E4073" t="s">
        <v>3162</v>
      </c>
    </row>
    <row r="4074" spans="1:5" x14ac:dyDescent="0.2">
      <c r="A4074">
        <v>4074</v>
      </c>
      <c r="B4074" t="s">
        <v>977</v>
      </c>
      <c r="C4074" t="s">
        <v>9337</v>
      </c>
      <c r="D4074" t="s">
        <v>9338</v>
      </c>
      <c r="E4074" t="s">
        <v>3162</v>
      </c>
    </row>
    <row r="4075" spans="1:5" x14ac:dyDescent="0.2">
      <c r="A4075">
        <v>4075</v>
      </c>
      <c r="B4075" t="s">
        <v>977</v>
      </c>
      <c r="C4075" t="s">
        <v>9339</v>
      </c>
      <c r="D4075" t="s">
        <v>9340</v>
      </c>
      <c r="E4075" t="s">
        <v>3162</v>
      </c>
    </row>
    <row r="4076" spans="1:5" x14ac:dyDescent="0.2">
      <c r="A4076">
        <v>4076</v>
      </c>
      <c r="B4076" t="s">
        <v>977</v>
      </c>
      <c r="C4076" t="s">
        <v>9341</v>
      </c>
      <c r="D4076" t="s">
        <v>9342</v>
      </c>
      <c r="E4076" t="s">
        <v>3162</v>
      </c>
    </row>
    <row r="4077" spans="1:5" x14ac:dyDescent="0.2">
      <c r="A4077">
        <v>4077</v>
      </c>
      <c r="B4077" t="s">
        <v>977</v>
      </c>
      <c r="C4077" t="s">
        <v>9343</v>
      </c>
      <c r="D4077" t="s">
        <v>9344</v>
      </c>
      <c r="E4077" t="s">
        <v>3162</v>
      </c>
    </row>
    <row r="4078" spans="1:5" x14ac:dyDescent="0.2">
      <c r="A4078">
        <v>4078</v>
      </c>
      <c r="B4078" t="s">
        <v>977</v>
      </c>
      <c r="C4078" t="s">
        <v>9345</v>
      </c>
      <c r="D4078" t="s">
        <v>9346</v>
      </c>
      <c r="E4078" t="s">
        <v>3162</v>
      </c>
    </row>
    <row r="4079" spans="1:5" x14ac:dyDescent="0.2">
      <c r="A4079">
        <v>4079</v>
      </c>
      <c r="B4079" t="s">
        <v>977</v>
      </c>
      <c r="C4079" t="s">
        <v>9347</v>
      </c>
      <c r="D4079" t="s">
        <v>9348</v>
      </c>
      <c r="E4079" t="s">
        <v>3162</v>
      </c>
    </row>
    <row r="4080" spans="1:5" x14ac:dyDescent="0.2">
      <c r="A4080">
        <v>4080</v>
      </c>
      <c r="B4080" t="s">
        <v>977</v>
      </c>
      <c r="C4080" t="s">
        <v>9349</v>
      </c>
      <c r="D4080" t="s">
        <v>9350</v>
      </c>
      <c r="E4080" t="s">
        <v>3162</v>
      </c>
    </row>
    <row r="4081" spans="1:5" x14ac:dyDescent="0.2">
      <c r="A4081">
        <v>4081</v>
      </c>
      <c r="B4081" t="s">
        <v>977</v>
      </c>
      <c r="C4081" t="s">
        <v>9351</v>
      </c>
      <c r="D4081" t="s">
        <v>9352</v>
      </c>
      <c r="E4081" t="s">
        <v>3162</v>
      </c>
    </row>
    <row r="4082" spans="1:5" x14ac:dyDescent="0.2">
      <c r="A4082">
        <v>4082</v>
      </c>
      <c r="B4082" t="s">
        <v>977</v>
      </c>
      <c r="C4082" t="s">
        <v>9353</v>
      </c>
      <c r="D4082" t="s">
        <v>9354</v>
      </c>
      <c r="E4082" t="s">
        <v>3162</v>
      </c>
    </row>
    <row r="4083" spans="1:5" x14ac:dyDescent="0.2">
      <c r="A4083">
        <v>4083</v>
      </c>
      <c r="B4083" t="s">
        <v>977</v>
      </c>
      <c r="C4083" t="s">
        <v>9355</v>
      </c>
      <c r="D4083" t="s">
        <v>9356</v>
      </c>
      <c r="E4083" t="s">
        <v>3162</v>
      </c>
    </row>
    <row r="4084" spans="1:5" x14ac:dyDescent="0.2">
      <c r="A4084">
        <v>4084</v>
      </c>
      <c r="B4084" t="s">
        <v>977</v>
      </c>
      <c r="C4084" t="s">
        <v>9357</v>
      </c>
      <c r="D4084" t="s">
        <v>9358</v>
      </c>
      <c r="E4084" t="s">
        <v>3162</v>
      </c>
    </row>
    <row r="4085" spans="1:5" x14ac:dyDescent="0.2">
      <c r="A4085">
        <v>4085</v>
      </c>
      <c r="B4085" t="s">
        <v>977</v>
      </c>
      <c r="C4085" t="s">
        <v>9359</v>
      </c>
      <c r="D4085" t="s">
        <v>9360</v>
      </c>
      <c r="E4085" t="s">
        <v>3162</v>
      </c>
    </row>
    <row r="4086" spans="1:5" x14ac:dyDescent="0.2">
      <c r="A4086">
        <v>4086</v>
      </c>
      <c r="B4086" t="s">
        <v>977</v>
      </c>
      <c r="C4086" t="s">
        <v>9361</v>
      </c>
      <c r="D4086" t="s">
        <v>9362</v>
      </c>
      <c r="E4086" t="s">
        <v>3162</v>
      </c>
    </row>
    <row r="4087" spans="1:5" x14ac:dyDescent="0.2">
      <c r="A4087">
        <v>4087</v>
      </c>
      <c r="B4087" t="s">
        <v>977</v>
      </c>
      <c r="C4087" t="s">
        <v>9363</v>
      </c>
      <c r="D4087" t="s">
        <v>9364</v>
      </c>
      <c r="E4087" t="s">
        <v>3162</v>
      </c>
    </row>
    <row r="4088" spans="1:5" x14ac:dyDescent="0.2">
      <c r="A4088">
        <v>4088</v>
      </c>
      <c r="B4088" t="s">
        <v>977</v>
      </c>
      <c r="C4088" t="s">
        <v>9365</v>
      </c>
      <c r="D4088" t="s">
        <v>9366</v>
      </c>
      <c r="E4088" t="s">
        <v>3162</v>
      </c>
    </row>
    <row r="4089" spans="1:5" x14ac:dyDescent="0.2">
      <c r="A4089">
        <v>4089</v>
      </c>
      <c r="B4089" t="s">
        <v>977</v>
      </c>
      <c r="C4089" t="s">
        <v>9367</v>
      </c>
      <c r="D4089" t="s">
        <v>9368</v>
      </c>
      <c r="E4089" t="s">
        <v>3162</v>
      </c>
    </row>
    <row r="4090" spans="1:5" x14ac:dyDescent="0.2">
      <c r="A4090">
        <v>4090</v>
      </c>
      <c r="B4090" t="s">
        <v>977</v>
      </c>
      <c r="C4090" t="s">
        <v>9369</v>
      </c>
      <c r="D4090" t="s">
        <v>9370</v>
      </c>
      <c r="E4090" t="s">
        <v>3162</v>
      </c>
    </row>
    <row r="4091" spans="1:5" x14ac:dyDescent="0.2">
      <c r="A4091">
        <v>4091</v>
      </c>
      <c r="B4091" t="s">
        <v>977</v>
      </c>
      <c r="C4091" t="s">
        <v>9371</v>
      </c>
      <c r="D4091" t="s">
        <v>9372</v>
      </c>
      <c r="E4091" t="s">
        <v>3162</v>
      </c>
    </row>
    <row r="4092" spans="1:5" x14ac:dyDescent="0.2">
      <c r="A4092">
        <v>4092</v>
      </c>
      <c r="B4092" t="s">
        <v>977</v>
      </c>
      <c r="C4092" t="s">
        <v>9373</v>
      </c>
      <c r="D4092" t="s">
        <v>9374</v>
      </c>
      <c r="E4092" t="s">
        <v>3162</v>
      </c>
    </row>
    <row r="4093" spans="1:5" x14ac:dyDescent="0.2">
      <c r="A4093">
        <v>4093</v>
      </c>
      <c r="B4093" t="s">
        <v>977</v>
      </c>
      <c r="C4093" t="s">
        <v>9375</v>
      </c>
      <c r="D4093" t="s">
        <v>9376</v>
      </c>
      <c r="E4093" t="s">
        <v>3162</v>
      </c>
    </row>
    <row r="4094" spans="1:5" x14ac:dyDescent="0.2">
      <c r="A4094">
        <v>4094</v>
      </c>
      <c r="B4094" t="s">
        <v>977</v>
      </c>
      <c r="C4094" t="s">
        <v>9377</v>
      </c>
      <c r="D4094" t="s">
        <v>9378</v>
      </c>
      <c r="E4094" t="s">
        <v>3162</v>
      </c>
    </row>
    <row r="4095" spans="1:5" x14ac:dyDescent="0.2">
      <c r="A4095">
        <v>4095</v>
      </c>
      <c r="B4095" t="s">
        <v>977</v>
      </c>
      <c r="C4095" t="s">
        <v>9379</v>
      </c>
      <c r="D4095" t="s">
        <v>9380</v>
      </c>
      <c r="E4095" t="s">
        <v>3162</v>
      </c>
    </row>
    <row r="4096" spans="1:5" x14ac:dyDescent="0.2">
      <c r="A4096">
        <v>4096</v>
      </c>
      <c r="B4096" t="s">
        <v>977</v>
      </c>
      <c r="C4096" t="s">
        <v>9381</v>
      </c>
      <c r="D4096" t="s">
        <v>9382</v>
      </c>
      <c r="E4096" t="s">
        <v>3162</v>
      </c>
    </row>
    <row r="4097" spans="1:5" x14ac:dyDescent="0.2">
      <c r="A4097">
        <v>4097</v>
      </c>
      <c r="B4097" t="s">
        <v>977</v>
      </c>
      <c r="C4097" t="s">
        <v>9383</v>
      </c>
      <c r="D4097" t="s">
        <v>9384</v>
      </c>
      <c r="E4097" t="s">
        <v>3162</v>
      </c>
    </row>
    <row r="4098" spans="1:5" x14ac:dyDescent="0.2">
      <c r="A4098">
        <v>4098</v>
      </c>
      <c r="B4098" t="s">
        <v>977</v>
      </c>
      <c r="C4098" t="s">
        <v>9385</v>
      </c>
      <c r="D4098" t="s">
        <v>9386</v>
      </c>
      <c r="E4098" t="s">
        <v>3162</v>
      </c>
    </row>
    <row r="4099" spans="1:5" x14ac:dyDescent="0.2">
      <c r="A4099">
        <v>4099</v>
      </c>
      <c r="B4099" t="s">
        <v>977</v>
      </c>
      <c r="C4099" t="s">
        <v>9387</v>
      </c>
      <c r="D4099" t="s">
        <v>9388</v>
      </c>
      <c r="E4099" t="s">
        <v>3162</v>
      </c>
    </row>
    <row r="4100" spans="1:5" x14ac:dyDescent="0.2">
      <c r="A4100">
        <v>4100</v>
      </c>
      <c r="B4100" t="s">
        <v>977</v>
      </c>
      <c r="C4100" t="s">
        <v>9389</v>
      </c>
      <c r="D4100" t="s">
        <v>9390</v>
      </c>
      <c r="E4100" t="s">
        <v>3162</v>
      </c>
    </row>
    <row r="4101" spans="1:5" x14ac:dyDescent="0.2">
      <c r="A4101">
        <v>4101</v>
      </c>
      <c r="B4101" t="s">
        <v>977</v>
      </c>
      <c r="C4101" t="s">
        <v>9391</v>
      </c>
      <c r="D4101" t="s">
        <v>9392</v>
      </c>
      <c r="E4101" t="s">
        <v>3162</v>
      </c>
    </row>
    <row r="4102" spans="1:5" x14ac:dyDescent="0.2">
      <c r="A4102">
        <v>4102</v>
      </c>
      <c r="B4102" t="s">
        <v>977</v>
      </c>
      <c r="C4102" t="s">
        <v>9393</v>
      </c>
      <c r="D4102" t="s">
        <v>9394</v>
      </c>
      <c r="E4102" t="s">
        <v>3162</v>
      </c>
    </row>
    <row r="4103" spans="1:5" x14ac:dyDescent="0.2">
      <c r="A4103">
        <v>4103</v>
      </c>
      <c r="B4103" t="s">
        <v>977</v>
      </c>
      <c r="C4103" t="s">
        <v>9395</v>
      </c>
      <c r="D4103" t="s">
        <v>9396</v>
      </c>
      <c r="E4103" t="s">
        <v>3162</v>
      </c>
    </row>
    <row r="4104" spans="1:5" x14ac:dyDescent="0.2">
      <c r="A4104">
        <v>4104</v>
      </c>
      <c r="B4104" t="s">
        <v>977</v>
      </c>
      <c r="C4104" t="s">
        <v>9397</v>
      </c>
      <c r="D4104" t="s">
        <v>9398</v>
      </c>
      <c r="E4104" t="s">
        <v>3162</v>
      </c>
    </row>
    <row r="4105" spans="1:5" x14ac:dyDescent="0.2">
      <c r="A4105">
        <v>4105</v>
      </c>
      <c r="B4105" t="s">
        <v>977</v>
      </c>
      <c r="C4105" t="s">
        <v>9399</v>
      </c>
      <c r="D4105" t="s">
        <v>9400</v>
      </c>
      <c r="E4105" t="s">
        <v>3162</v>
      </c>
    </row>
    <row r="4106" spans="1:5" x14ac:dyDescent="0.2">
      <c r="A4106">
        <v>4106</v>
      </c>
      <c r="B4106" t="s">
        <v>977</v>
      </c>
      <c r="C4106" t="s">
        <v>9401</v>
      </c>
      <c r="D4106" t="s">
        <v>9402</v>
      </c>
      <c r="E4106" t="s">
        <v>3162</v>
      </c>
    </row>
    <row r="4107" spans="1:5" x14ac:dyDescent="0.2">
      <c r="A4107">
        <v>4107</v>
      </c>
      <c r="B4107" t="s">
        <v>977</v>
      </c>
      <c r="C4107" t="s">
        <v>9403</v>
      </c>
      <c r="D4107" t="s">
        <v>9404</v>
      </c>
      <c r="E4107" t="s">
        <v>3162</v>
      </c>
    </row>
    <row r="4108" spans="1:5" x14ac:dyDescent="0.2">
      <c r="A4108">
        <v>4108</v>
      </c>
      <c r="B4108" t="s">
        <v>977</v>
      </c>
      <c r="C4108" t="s">
        <v>9405</v>
      </c>
      <c r="D4108" t="s">
        <v>9406</v>
      </c>
      <c r="E4108" t="s">
        <v>3162</v>
      </c>
    </row>
    <row r="4109" spans="1:5" x14ac:dyDescent="0.2">
      <c r="A4109">
        <v>4109</v>
      </c>
      <c r="B4109" t="s">
        <v>977</v>
      </c>
      <c r="C4109" t="s">
        <v>9407</v>
      </c>
      <c r="D4109" t="s">
        <v>9408</v>
      </c>
      <c r="E4109" t="s">
        <v>3162</v>
      </c>
    </row>
    <row r="4110" spans="1:5" x14ac:dyDescent="0.2">
      <c r="A4110">
        <v>4110</v>
      </c>
      <c r="B4110" t="s">
        <v>977</v>
      </c>
      <c r="C4110" t="s">
        <v>9409</v>
      </c>
      <c r="D4110" t="s">
        <v>9410</v>
      </c>
      <c r="E4110" t="s">
        <v>3162</v>
      </c>
    </row>
    <row r="4111" spans="1:5" x14ac:dyDescent="0.2">
      <c r="A4111">
        <v>4111</v>
      </c>
      <c r="B4111" t="s">
        <v>977</v>
      </c>
      <c r="C4111" t="s">
        <v>9411</v>
      </c>
      <c r="D4111" t="s">
        <v>9412</v>
      </c>
      <c r="E4111" t="s">
        <v>3162</v>
      </c>
    </row>
    <row r="4112" spans="1:5" x14ac:dyDescent="0.2">
      <c r="A4112">
        <v>4112</v>
      </c>
      <c r="B4112" t="s">
        <v>977</v>
      </c>
      <c r="C4112" t="s">
        <v>9413</v>
      </c>
      <c r="D4112" t="s">
        <v>9414</v>
      </c>
      <c r="E4112" t="s">
        <v>3162</v>
      </c>
    </row>
    <row r="4113" spans="1:5" x14ac:dyDescent="0.2">
      <c r="A4113">
        <v>4113</v>
      </c>
      <c r="B4113" t="s">
        <v>977</v>
      </c>
      <c r="C4113" t="s">
        <v>9415</v>
      </c>
      <c r="D4113" t="s">
        <v>9416</v>
      </c>
      <c r="E4113" t="s">
        <v>3162</v>
      </c>
    </row>
    <row r="4114" spans="1:5" x14ac:dyDescent="0.2">
      <c r="A4114">
        <v>4114</v>
      </c>
      <c r="B4114" t="s">
        <v>977</v>
      </c>
      <c r="C4114" t="s">
        <v>9417</v>
      </c>
      <c r="D4114" t="s">
        <v>9418</v>
      </c>
      <c r="E4114" t="s">
        <v>3162</v>
      </c>
    </row>
    <row r="4115" spans="1:5" x14ac:dyDescent="0.2">
      <c r="A4115">
        <v>4115</v>
      </c>
      <c r="B4115" t="s">
        <v>977</v>
      </c>
      <c r="C4115" t="s">
        <v>9419</v>
      </c>
      <c r="D4115" t="s">
        <v>9420</v>
      </c>
      <c r="E4115" t="s">
        <v>3162</v>
      </c>
    </row>
    <row r="4116" spans="1:5" x14ac:dyDescent="0.2">
      <c r="A4116">
        <v>4116</v>
      </c>
      <c r="B4116" t="s">
        <v>977</v>
      </c>
      <c r="C4116" t="s">
        <v>9421</v>
      </c>
      <c r="D4116" t="s">
        <v>9422</v>
      </c>
      <c r="E4116" t="s">
        <v>3162</v>
      </c>
    </row>
    <row r="4117" spans="1:5" x14ac:dyDescent="0.2">
      <c r="A4117">
        <v>4117</v>
      </c>
      <c r="B4117" t="s">
        <v>977</v>
      </c>
      <c r="C4117" t="s">
        <v>9423</v>
      </c>
      <c r="D4117" t="s">
        <v>9424</v>
      </c>
      <c r="E4117" t="s">
        <v>3162</v>
      </c>
    </row>
    <row r="4118" spans="1:5" x14ac:dyDescent="0.2">
      <c r="A4118">
        <v>4118</v>
      </c>
      <c r="B4118" t="s">
        <v>977</v>
      </c>
      <c r="C4118" t="s">
        <v>9425</v>
      </c>
      <c r="D4118" t="s">
        <v>9426</v>
      </c>
      <c r="E4118" t="s">
        <v>3162</v>
      </c>
    </row>
    <row r="4119" spans="1:5" x14ac:dyDescent="0.2">
      <c r="A4119">
        <v>4119</v>
      </c>
      <c r="B4119" t="s">
        <v>977</v>
      </c>
      <c r="C4119" t="s">
        <v>9427</v>
      </c>
      <c r="D4119" t="s">
        <v>9428</v>
      </c>
      <c r="E4119" t="s">
        <v>3162</v>
      </c>
    </row>
    <row r="4120" spans="1:5" x14ac:dyDescent="0.2">
      <c r="A4120">
        <v>4120</v>
      </c>
      <c r="B4120" t="s">
        <v>977</v>
      </c>
      <c r="C4120" t="s">
        <v>9429</v>
      </c>
      <c r="D4120" t="s">
        <v>9430</v>
      </c>
      <c r="E4120" t="s">
        <v>3162</v>
      </c>
    </row>
    <row r="4121" spans="1:5" x14ac:dyDescent="0.2">
      <c r="A4121">
        <v>4121</v>
      </c>
      <c r="B4121" t="s">
        <v>977</v>
      </c>
      <c r="C4121" t="s">
        <v>9431</v>
      </c>
      <c r="D4121" t="s">
        <v>9432</v>
      </c>
      <c r="E4121" t="s">
        <v>3162</v>
      </c>
    </row>
    <row r="4122" spans="1:5" x14ac:dyDescent="0.2">
      <c r="A4122">
        <v>4122</v>
      </c>
      <c r="B4122" t="s">
        <v>977</v>
      </c>
      <c r="C4122" t="s">
        <v>9433</v>
      </c>
      <c r="D4122" t="s">
        <v>9434</v>
      </c>
      <c r="E4122" t="s">
        <v>3162</v>
      </c>
    </row>
    <row r="4123" spans="1:5" x14ac:dyDescent="0.2">
      <c r="A4123">
        <v>4123</v>
      </c>
      <c r="B4123" t="s">
        <v>977</v>
      </c>
      <c r="C4123" t="s">
        <v>9435</v>
      </c>
      <c r="D4123" t="s">
        <v>9436</v>
      </c>
      <c r="E4123" t="s">
        <v>3162</v>
      </c>
    </row>
    <row r="4124" spans="1:5" x14ac:dyDescent="0.2">
      <c r="A4124">
        <v>4124</v>
      </c>
      <c r="B4124" t="s">
        <v>977</v>
      </c>
      <c r="C4124" t="s">
        <v>9437</v>
      </c>
      <c r="D4124" t="s">
        <v>9438</v>
      </c>
      <c r="E4124" t="s">
        <v>3162</v>
      </c>
    </row>
    <row r="4125" spans="1:5" x14ac:dyDescent="0.2">
      <c r="A4125">
        <v>4125</v>
      </c>
      <c r="B4125" t="s">
        <v>977</v>
      </c>
      <c r="C4125" t="s">
        <v>9439</v>
      </c>
      <c r="D4125" t="s">
        <v>9440</v>
      </c>
      <c r="E4125" t="s">
        <v>3162</v>
      </c>
    </row>
    <row r="4126" spans="1:5" x14ac:dyDescent="0.2">
      <c r="A4126">
        <v>4126</v>
      </c>
      <c r="B4126" t="s">
        <v>977</v>
      </c>
      <c r="C4126" t="s">
        <v>9441</v>
      </c>
      <c r="D4126" t="s">
        <v>9442</v>
      </c>
      <c r="E4126" t="s">
        <v>3162</v>
      </c>
    </row>
    <row r="4127" spans="1:5" x14ac:dyDescent="0.2">
      <c r="A4127">
        <v>4127</v>
      </c>
      <c r="B4127" t="s">
        <v>977</v>
      </c>
      <c r="C4127" t="s">
        <v>9443</v>
      </c>
      <c r="D4127" t="s">
        <v>9444</v>
      </c>
      <c r="E4127" t="s">
        <v>3162</v>
      </c>
    </row>
    <row r="4128" spans="1:5" x14ac:dyDescent="0.2">
      <c r="A4128">
        <v>4128</v>
      </c>
      <c r="B4128" t="s">
        <v>977</v>
      </c>
      <c r="C4128" t="s">
        <v>9445</v>
      </c>
      <c r="D4128" t="s">
        <v>9446</v>
      </c>
      <c r="E4128" t="s">
        <v>3162</v>
      </c>
    </row>
    <row r="4129" spans="1:5" x14ac:dyDescent="0.2">
      <c r="A4129">
        <v>4129</v>
      </c>
      <c r="B4129" t="s">
        <v>977</v>
      </c>
      <c r="C4129" t="s">
        <v>9447</v>
      </c>
      <c r="D4129" t="s">
        <v>9448</v>
      </c>
      <c r="E4129" t="s">
        <v>3162</v>
      </c>
    </row>
    <row r="4130" spans="1:5" x14ac:dyDescent="0.2">
      <c r="A4130">
        <v>4130</v>
      </c>
      <c r="B4130" t="s">
        <v>977</v>
      </c>
      <c r="C4130" t="s">
        <v>9449</v>
      </c>
      <c r="D4130" t="s">
        <v>9450</v>
      </c>
      <c r="E4130" t="s">
        <v>3162</v>
      </c>
    </row>
    <row r="4131" spans="1:5" x14ac:dyDescent="0.2">
      <c r="A4131">
        <v>4131</v>
      </c>
      <c r="B4131" t="s">
        <v>977</v>
      </c>
      <c r="C4131" t="s">
        <v>9451</v>
      </c>
      <c r="D4131" t="s">
        <v>9452</v>
      </c>
      <c r="E4131" t="s">
        <v>3162</v>
      </c>
    </row>
    <row r="4132" spans="1:5" x14ac:dyDescent="0.2">
      <c r="A4132">
        <v>4132</v>
      </c>
      <c r="B4132" t="s">
        <v>977</v>
      </c>
      <c r="C4132" t="s">
        <v>9453</v>
      </c>
      <c r="D4132" t="s">
        <v>9454</v>
      </c>
      <c r="E4132" t="s">
        <v>3162</v>
      </c>
    </row>
    <row r="4133" spans="1:5" x14ac:dyDescent="0.2">
      <c r="A4133">
        <v>4133</v>
      </c>
      <c r="B4133" t="s">
        <v>977</v>
      </c>
      <c r="C4133" t="s">
        <v>9455</v>
      </c>
      <c r="D4133" t="s">
        <v>9456</v>
      </c>
      <c r="E4133" t="s">
        <v>3162</v>
      </c>
    </row>
    <row r="4134" spans="1:5" x14ac:dyDescent="0.2">
      <c r="A4134">
        <v>4134</v>
      </c>
      <c r="B4134" t="s">
        <v>977</v>
      </c>
      <c r="C4134" t="s">
        <v>9457</v>
      </c>
      <c r="D4134" t="s">
        <v>9458</v>
      </c>
      <c r="E4134" t="s">
        <v>3162</v>
      </c>
    </row>
    <row r="4135" spans="1:5" x14ac:dyDescent="0.2">
      <c r="A4135">
        <v>4135</v>
      </c>
      <c r="B4135" t="s">
        <v>977</v>
      </c>
      <c r="C4135" t="s">
        <v>9459</v>
      </c>
      <c r="D4135" t="s">
        <v>9460</v>
      </c>
      <c r="E4135" t="s">
        <v>3162</v>
      </c>
    </row>
    <row r="4136" spans="1:5" x14ac:dyDescent="0.2">
      <c r="A4136">
        <v>4136</v>
      </c>
      <c r="B4136" t="s">
        <v>977</v>
      </c>
      <c r="C4136" t="s">
        <v>9461</v>
      </c>
      <c r="D4136" t="s">
        <v>9462</v>
      </c>
      <c r="E4136" t="s">
        <v>3162</v>
      </c>
    </row>
    <row r="4137" spans="1:5" x14ac:dyDescent="0.2">
      <c r="A4137">
        <v>4137</v>
      </c>
      <c r="B4137" t="s">
        <v>977</v>
      </c>
      <c r="C4137" t="s">
        <v>9463</v>
      </c>
      <c r="D4137" t="s">
        <v>9464</v>
      </c>
      <c r="E4137" t="s">
        <v>3162</v>
      </c>
    </row>
    <row r="4138" spans="1:5" x14ac:dyDescent="0.2">
      <c r="A4138">
        <v>4138</v>
      </c>
      <c r="B4138" t="s">
        <v>977</v>
      </c>
      <c r="C4138" t="s">
        <v>9465</v>
      </c>
      <c r="D4138" t="s">
        <v>9466</v>
      </c>
      <c r="E4138" t="s">
        <v>3162</v>
      </c>
    </row>
    <row r="4139" spans="1:5" x14ac:dyDescent="0.2">
      <c r="A4139">
        <v>4139</v>
      </c>
      <c r="B4139" t="s">
        <v>977</v>
      </c>
      <c r="C4139" t="s">
        <v>9467</v>
      </c>
      <c r="D4139" t="s">
        <v>9468</v>
      </c>
      <c r="E4139" t="s">
        <v>3162</v>
      </c>
    </row>
    <row r="4140" spans="1:5" x14ac:dyDescent="0.2">
      <c r="A4140">
        <v>4140</v>
      </c>
      <c r="B4140" t="s">
        <v>977</v>
      </c>
      <c r="C4140" t="s">
        <v>9469</v>
      </c>
      <c r="D4140" t="s">
        <v>9470</v>
      </c>
      <c r="E4140" t="s">
        <v>3162</v>
      </c>
    </row>
    <row r="4141" spans="1:5" x14ac:dyDescent="0.2">
      <c r="A4141">
        <v>4141</v>
      </c>
      <c r="B4141" t="s">
        <v>977</v>
      </c>
      <c r="C4141" t="s">
        <v>9471</v>
      </c>
      <c r="D4141" t="s">
        <v>9472</v>
      </c>
      <c r="E4141" t="s">
        <v>3162</v>
      </c>
    </row>
    <row r="4142" spans="1:5" x14ac:dyDescent="0.2">
      <c r="A4142">
        <v>4142</v>
      </c>
      <c r="B4142" t="s">
        <v>977</v>
      </c>
      <c r="C4142" t="s">
        <v>9473</v>
      </c>
      <c r="D4142" t="s">
        <v>9474</v>
      </c>
      <c r="E4142" t="s">
        <v>3162</v>
      </c>
    </row>
    <row r="4143" spans="1:5" x14ac:dyDescent="0.2">
      <c r="A4143">
        <v>4143</v>
      </c>
      <c r="B4143" t="s">
        <v>977</v>
      </c>
      <c r="C4143" t="s">
        <v>9475</v>
      </c>
      <c r="D4143" t="s">
        <v>9476</v>
      </c>
      <c r="E4143" t="s">
        <v>3162</v>
      </c>
    </row>
    <row r="4144" spans="1:5" x14ac:dyDescent="0.2">
      <c r="A4144">
        <v>4144</v>
      </c>
      <c r="B4144" t="s">
        <v>977</v>
      </c>
      <c r="C4144" t="s">
        <v>9477</v>
      </c>
      <c r="D4144" t="s">
        <v>9478</v>
      </c>
      <c r="E4144" t="s">
        <v>3162</v>
      </c>
    </row>
    <row r="4145" spans="1:5" x14ac:dyDescent="0.2">
      <c r="A4145">
        <v>4145</v>
      </c>
      <c r="B4145" t="s">
        <v>977</v>
      </c>
      <c r="C4145" t="s">
        <v>9479</v>
      </c>
      <c r="D4145" t="s">
        <v>9480</v>
      </c>
      <c r="E4145" t="s">
        <v>3162</v>
      </c>
    </row>
    <row r="4146" spans="1:5" x14ac:dyDescent="0.2">
      <c r="A4146">
        <v>4146</v>
      </c>
      <c r="B4146" t="s">
        <v>977</v>
      </c>
      <c r="C4146" t="s">
        <v>9481</v>
      </c>
      <c r="D4146" t="s">
        <v>9482</v>
      </c>
      <c r="E4146" t="s">
        <v>3162</v>
      </c>
    </row>
    <row r="4147" spans="1:5" x14ac:dyDescent="0.2">
      <c r="A4147">
        <v>4147</v>
      </c>
      <c r="B4147" t="s">
        <v>977</v>
      </c>
      <c r="C4147" t="s">
        <v>9483</v>
      </c>
      <c r="D4147" t="s">
        <v>9484</v>
      </c>
      <c r="E4147" t="s">
        <v>3162</v>
      </c>
    </row>
    <row r="4148" spans="1:5" x14ac:dyDescent="0.2">
      <c r="A4148">
        <v>4148</v>
      </c>
      <c r="B4148" t="s">
        <v>977</v>
      </c>
      <c r="C4148" t="s">
        <v>9485</v>
      </c>
      <c r="D4148" t="s">
        <v>9486</v>
      </c>
      <c r="E4148" t="s">
        <v>3162</v>
      </c>
    </row>
    <row r="4149" spans="1:5" x14ac:dyDescent="0.2">
      <c r="A4149">
        <v>4149</v>
      </c>
      <c r="B4149" t="s">
        <v>977</v>
      </c>
      <c r="C4149" t="s">
        <v>9487</v>
      </c>
      <c r="D4149" t="s">
        <v>9488</v>
      </c>
      <c r="E4149" t="s">
        <v>3162</v>
      </c>
    </row>
    <row r="4150" spans="1:5" x14ac:dyDescent="0.2">
      <c r="A4150">
        <v>4150</v>
      </c>
      <c r="B4150" t="s">
        <v>977</v>
      </c>
      <c r="C4150" t="s">
        <v>9489</v>
      </c>
      <c r="D4150" t="s">
        <v>9490</v>
      </c>
      <c r="E4150" t="s">
        <v>3162</v>
      </c>
    </row>
    <row r="4151" spans="1:5" x14ac:dyDescent="0.2">
      <c r="A4151">
        <v>4151</v>
      </c>
      <c r="B4151" t="s">
        <v>977</v>
      </c>
      <c r="C4151" t="s">
        <v>9491</v>
      </c>
      <c r="D4151" t="s">
        <v>9492</v>
      </c>
      <c r="E4151" t="s">
        <v>3162</v>
      </c>
    </row>
    <row r="4152" spans="1:5" x14ac:dyDescent="0.2">
      <c r="A4152">
        <v>4152</v>
      </c>
      <c r="B4152" t="s">
        <v>977</v>
      </c>
      <c r="C4152" t="s">
        <v>9493</v>
      </c>
      <c r="D4152" t="s">
        <v>9494</v>
      </c>
      <c r="E4152" t="s">
        <v>3162</v>
      </c>
    </row>
    <row r="4153" spans="1:5" x14ac:dyDescent="0.2">
      <c r="A4153">
        <v>4153</v>
      </c>
      <c r="B4153" t="s">
        <v>977</v>
      </c>
      <c r="C4153" t="s">
        <v>9495</v>
      </c>
      <c r="D4153" t="s">
        <v>9496</v>
      </c>
      <c r="E4153" t="s">
        <v>3162</v>
      </c>
    </row>
    <row r="4154" spans="1:5" x14ac:dyDescent="0.2">
      <c r="A4154">
        <v>4154</v>
      </c>
      <c r="B4154" t="s">
        <v>977</v>
      </c>
      <c r="C4154" t="s">
        <v>9497</v>
      </c>
      <c r="D4154" t="s">
        <v>9498</v>
      </c>
      <c r="E4154" t="s">
        <v>3162</v>
      </c>
    </row>
    <row r="4155" spans="1:5" x14ac:dyDescent="0.2">
      <c r="A4155">
        <v>4155</v>
      </c>
      <c r="B4155" t="s">
        <v>977</v>
      </c>
      <c r="C4155" t="s">
        <v>9499</v>
      </c>
      <c r="D4155" t="s">
        <v>9500</v>
      </c>
      <c r="E4155" t="s">
        <v>3162</v>
      </c>
    </row>
    <row r="4156" spans="1:5" x14ac:dyDescent="0.2">
      <c r="A4156">
        <v>4156</v>
      </c>
      <c r="B4156" t="s">
        <v>977</v>
      </c>
      <c r="C4156" t="s">
        <v>9501</v>
      </c>
      <c r="D4156" t="s">
        <v>9502</v>
      </c>
      <c r="E4156" t="s">
        <v>3162</v>
      </c>
    </row>
    <row r="4157" spans="1:5" x14ac:dyDescent="0.2">
      <c r="A4157">
        <v>4157</v>
      </c>
      <c r="B4157" t="s">
        <v>977</v>
      </c>
      <c r="C4157" t="s">
        <v>9503</v>
      </c>
      <c r="D4157" t="s">
        <v>9504</v>
      </c>
      <c r="E4157" t="s">
        <v>3162</v>
      </c>
    </row>
    <row r="4158" spans="1:5" x14ac:dyDescent="0.2">
      <c r="A4158">
        <v>4158</v>
      </c>
      <c r="B4158" t="s">
        <v>977</v>
      </c>
      <c r="C4158" t="s">
        <v>9505</v>
      </c>
      <c r="D4158" t="s">
        <v>9506</v>
      </c>
      <c r="E4158" t="s">
        <v>3162</v>
      </c>
    </row>
    <row r="4159" spans="1:5" x14ac:dyDescent="0.2">
      <c r="A4159">
        <v>4159</v>
      </c>
      <c r="B4159" t="s">
        <v>977</v>
      </c>
      <c r="C4159" t="s">
        <v>9507</v>
      </c>
      <c r="D4159" t="s">
        <v>9508</v>
      </c>
      <c r="E4159" t="s">
        <v>3162</v>
      </c>
    </row>
    <row r="4160" spans="1:5" x14ac:dyDescent="0.2">
      <c r="A4160">
        <v>4160</v>
      </c>
      <c r="B4160" t="s">
        <v>977</v>
      </c>
      <c r="C4160" t="s">
        <v>9509</v>
      </c>
      <c r="D4160" t="s">
        <v>9510</v>
      </c>
      <c r="E4160" t="s">
        <v>3162</v>
      </c>
    </row>
    <row r="4161" spans="1:5" x14ac:dyDescent="0.2">
      <c r="A4161">
        <v>4161</v>
      </c>
      <c r="B4161" t="s">
        <v>977</v>
      </c>
      <c r="C4161" t="s">
        <v>9511</v>
      </c>
      <c r="D4161" t="s">
        <v>9512</v>
      </c>
      <c r="E4161" t="s">
        <v>3162</v>
      </c>
    </row>
    <row r="4162" spans="1:5" x14ac:dyDescent="0.2">
      <c r="A4162">
        <v>4162</v>
      </c>
      <c r="B4162" t="s">
        <v>977</v>
      </c>
      <c r="C4162" t="s">
        <v>9513</v>
      </c>
      <c r="D4162" t="s">
        <v>9514</v>
      </c>
      <c r="E4162" t="s">
        <v>3162</v>
      </c>
    </row>
    <row r="4163" spans="1:5" x14ac:dyDescent="0.2">
      <c r="A4163">
        <v>4163</v>
      </c>
      <c r="B4163" t="s">
        <v>977</v>
      </c>
      <c r="C4163" t="s">
        <v>9515</v>
      </c>
      <c r="D4163" t="s">
        <v>9516</v>
      </c>
      <c r="E4163" t="s">
        <v>3162</v>
      </c>
    </row>
    <row r="4164" spans="1:5" x14ac:dyDescent="0.2">
      <c r="A4164">
        <v>4164</v>
      </c>
      <c r="B4164" t="s">
        <v>977</v>
      </c>
      <c r="C4164" t="s">
        <v>9517</v>
      </c>
      <c r="D4164" t="s">
        <v>9518</v>
      </c>
      <c r="E4164" t="s">
        <v>3162</v>
      </c>
    </row>
    <row r="4165" spans="1:5" x14ac:dyDescent="0.2">
      <c r="A4165">
        <v>4165</v>
      </c>
      <c r="B4165" t="s">
        <v>977</v>
      </c>
      <c r="C4165" t="s">
        <v>9519</v>
      </c>
      <c r="D4165" t="s">
        <v>9520</v>
      </c>
      <c r="E4165" t="s">
        <v>3162</v>
      </c>
    </row>
    <row r="4166" spans="1:5" x14ac:dyDescent="0.2">
      <c r="A4166">
        <v>4166</v>
      </c>
      <c r="B4166" t="s">
        <v>977</v>
      </c>
      <c r="C4166" t="s">
        <v>9521</v>
      </c>
      <c r="D4166" t="s">
        <v>9522</v>
      </c>
      <c r="E4166" t="s">
        <v>3162</v>
      </c>
    </row>
    <row r="4167" spans="1:5" x14ac:dyDescent="0.2">
      <c r="A4167">
        <v>4167</v>
      </c>
      <c r="B4167" t="s">
        <v>977</v>
      </c>
      <c r="C4167" t="s">
        <v>9523</v>
      </c>
      <c r="D4167" t="s">
        <v>9524</v>
      </c>
      <c r="E4167" t="s">
        <v>3162</v>
      </c>
    </row>
    <row r="4168" spans="1:5" x14ac:dyDescent="0.2">
      <c r="A4168">
        <v>4168</v>
      </c>
      <c r="B4168" t="s">
        <v>977</v>
      </c>
      <c r="C4168" t="s">
        <v>9525</v>
      </c>
      <c r="D4168" t="s">
        <v>9526</v>
      </c>
      <c r="E4168" t="s">
        <v>3162</v>
      </c>
    </row>
    <row r="4169" spans="1:5" x14ac:dyDescent="0.2">
      <c r="A4169">
        <v>4169</v>
      </c>
      <c r="B4169" t="s">
        <v>977</v>
      </c>
      <c r="C4169" t="s">
        <v>9527</v>
      </c>
      <c r="D4169" t="s">
        <v>9528</v>
      </c>
      <c r="E4169" t="s">
        <v>3162</v>
      </c>
    </row>
    <row r="4170" spans="1:5" x14ac:dyDescent="0.2">
      <c r="A4170">
        <v>4170</v>
      </c>
      <c r="B4170" t="s">
        <v>977</v>
      </c>
      <c r="C4170" t="s">
        <v>9529</v>
      </c>
      <c r="D4170" t="s">
        <v>9530</v>
      </c>
      <c r="E4170" t="s">
        <v>3162</v>
      </c>
    </row>
    <row r="4171" spans="1:5" x14ac:dyDescent="0.2">
      <c r="A4171">
        <v>4171</v>
      </c>
      <c r="B4171" t="s">
        <v>977</v>
      </c>
      <c r="C4171" t="s">
        <v>9531</v>
      </c>
      <c r="D4171" t="s">
        <v>9532</v>
      </c>
      <c r="E4171" t="s">
        <v>3162</v>
      </c>
    </row>
    <row r="4172" spans="1:5" x14ac:dyDescent="0.2">
      <c r="A4172">
        <v>4172</v>
      </c>
      <c r="B4172" t="s">
        <v>977</v>
      </c>
      <c r="C4172" t="s">
        <v>9533</v>
      </c>
      <c r="D4172" t="s">
        <v>9534</v>
      </c>
      <c r="E4172" t="s">
        <v>3162</v>
      </c>
    </row>
    <row r="4173" spans="1:5" x14ac:dyDescent="0.2">
      <c r="A4173">
        <v>4173</v>
      </c>
      <c r="B4173" t="s">
        <v>977</v>
      </c>
      <c r="C4173" t="s">
        <v>9535</v>
      </c>
      <c r="D4173" t="s">
        <v>9536</v>
      </c>
      <c r="E4173" t="s">
        <v>3162</v>
      </c>
    </row>
    <row r="4174" spans="1:5" x14ac:dyDescent="0.2">
      <c r="A4174">
        <v>4174</v>
      </c>
      <c r="B4174" t="s">
        <v>977</v>
      </c>
      <c r="C4174" t="s">
        <v>9537</v>
      </c>
      <c r="D4174" t="s">
        <v>9538</v>
      </c>
      <c r="E4174" t="s">
        <v>3162</v>
      </c>
    </row>
    <row r="4175" spans="1:5" x14ac:dyDescent="0.2">
      <c r="A4175">
        <v>4175</v>
      </c>
      <c r="B4175" t="s">
        <v>977</v>
      </c>
      <c r="C4175" t="s">
        <v>9539</v>
      </c>
      <c r="D4175" t="s">
        <v>9540</v>
      </c>
      <c r="E4175" t="s">
        <v>3162</v>
      </c>
    </row>
    <row r="4176" spans="1:5" x14ac:dyDescent="0.2">
      <c r="A4176">
        <v>4176</v>
      </c>
      <c r="B4176" t="s">
        <v>977</v>
      </c>
      <c r="C4176" t="s">
        <v>9541</v>
      </c>
      <c r="D4176" t="s">
        <v>9542</v>
      </c>
      <c r="E4176" t="s">
        <v>3162</v>
      </c>
    </row>
    <row r="4177" spans="1:5" x14ac:dyDescent="0.2">
      <c r="A4177">
        <v>4177</v>
      </c>
      <c r="B4177" t="s">
        <v>977</v>
      </c>
      <c r="C4177" t="s">
        <v>9543</v>
      </c>
      <c r="D4177" t="s">
        <v>9544</v>
      </c>
      <c r="E4177" t="s">
        <v>3162</v>
      </c>
    </row>
    <row r="4178" spans="1:5" x14ac:dyDescent="0.2">
      <c r="A4178">
        <v>4178</v>
      </c>
      <c r="B4178" t="s">
        <v>977</v>
      </c>
      <c r="C4178" t="s">
        <v>9545</v>
      </c>
      <c r="D4178" t="s">
        <v>9546</v>
      </c>
      <c r="E4178" t="s">
        <v>3162</v>
      </c>
    </row>
    <row r="4179" spans="1:5" x14ac:dyDescent="0.2">
      <c r="A4179">
        <v>4179</v>
      </c>
      <c r="B4179" t="s">
        <v>977</v>
      </c>
      <c r="C4179" t="s">
        <v>9547</v>
      </c>
      <c r="D4179" t="s">
        <v>9548</v>
      </c>
      <c r="E4179" t="s">
        <v>3162</v>
      </c>
    </row>
    <row r="4180" spans="1:5" x14ac:dyDescent="0.2">
      <c r="A4180">
        <v>4180</v>
      </c>
      <c r="B4180" t="s">
        <v>977</v>
      </c>
      <c r="C4180" t="s">
        <v>9549</v>
      </c>
      <c r="D4180" t="s">
        <v>9550</v>
      </c>
      <c r="E4180" t="s">
        <v>3162</v>
      </c>
    </row>
    <row r="4181" spans="1:5" x14ac:dyDescent="0.2">
      <c r="A4181">
        <v>4181</v>
      </c>
      <c r="B4181" t="s">
        <v>977</v>
      </c>
      <c r="C4181" t="s">
        <v>9551</v>
      </c>
      <c r="D4181" t="s">
        <v>9552</v>
      </c>
      <c r="E4181" t="s">
        <v>3162</v>
      </c>
    </row>
    <row r="4182" spans="1:5" x14ac:dyDescent="0.2">
      <c r="A4182">
        <v>4182</v>
      </c>
      <c r="B4182" t="s">
        <v>977</v>
      </c>
      <c r="C4182" t="s">
        <v>9553</v>
      </c>
      <c r="D4182" t="s">
        <v>9554</v>
      </c>
      <c r="E4182" t="s">
        <v>3162</v>
      </c>
    </row>
    <row r="4183" spans="1:5" x14ac:dyDescent="0.2">
      <c r="A4183">
        <v>4183</v>
      </c>
      <c r="B4183" t="s">
        <v>977</v>
      </c>
      <c r="C4183" t="s">
        <v>9555</v>
      </c>
      <c r="D4183" t="s">
        <v>9556</v>
      </c>
      <c r="E4183" t="s">
        <v>3162</v>
      </c>
    </row>
    <row r="4184" spans="1:5" x14ac:dyDescent="0.2">
      <c r="A4184">
        <v>4184</v>
      </c>
      <c r="B4184" t="s">
        <v>977</v>
      </c>
      <c r="C4184" t="s">
        <v>9557</v>
      </c>
      <c r="D4184" t="s">
        <v>9558</v>
      </c>
      <c r="E4184" t="s">
        <v>3162</v>
      </c>
    </row>
    <row r="4185" spans="1:5" x14ac:dyDescent="0.2">
      <c r="A4185">
        <v>4185</v>
      </c>
      <c r="B4185" t="s">
        <v>977</v>
      </c>
      <c r="C4185" t="s">
        <v>9559</v>
      </c>
      <c r="D4185" t="s">
        <v>9560</v>
      </c>
      <c r="E4185" t="s">
        <v>3162</v>
      </c>
    </row>
    <row r="4186" spans="1:5" x14ac:dyDescent="0.2">
      <c r="A4186">
        <v>4186</v>
      </c>
      <c r="B4186" t="s">
        <v>977</v>
      </c>
      <c r="C4186" t="s">
        <v>9561</v>
      </c>
      <c r="D4186" t="s">
        <v>9562</v>
      </c>
      <c r="E4186" t="s">
        <v>3162</v>
      </c>
    </row>
    <row r="4187" spans="1:5" x14ac:dyDescent="0.2">
      <c r="A4187">
        <v>4187</v>
      </c>
      <c r="B4187" t="s">
        <v>977</v>
      </c>
      <c r="C4187" t="s">
        <v>9563</v>
      </c>
      <c r="D4187" t="s">
        <v>9564</v>
      </c>
      <c r="E4187" t="s">
        <v>3162</v>
      </c>
    </row>
    <row r="4188" spans="1:5" x14ac:dyDescent="0.2">
      <c r="A4188">
        <v>4188</v>
      </c>
      <c r="B4188" t="s">
        <v>977</v>
      </c>
      <c r="C4188" t="s">
        <v>9565</v>
      </c>
      <c r="D4188" t="s">
        <v>9566</v>
      </c>
      <c r="E4188" t="s">
        <v>3162</v>
      </c>
    </row>
    <row r="4189" spans="1:5" x14ac:dyDescent="0.2">
      <c r="A4189">
        <v>4189</v>
      </c>
      <c r="B4189" t="s">
        <v>977</v>
      </c>
      <c r="C4189" t="s">
        <v>9567</v>
      </c>
      <c r="D4189" t="s">
        <v>9568</v>
      </c>
      <c r="E4189" t="s">
        <v>3162</v>
      </c>
    </row>
    <row r="4190" spans="1:5" x14ac:dyDescent="0.2">
      <c r="A4190">
        <v>4190</v>
      </c>
      <c r="B4190" t="s">
        <v>977</v>
      </c>
      <c r="C4190" t="s">
        <v>9569</v>
      </c>
      <c r="D4190" t="s">
        <v>9570</v>
      </c>
      <c r="E4190" t="s">
        <v>3162</v>
      </c>
    </row>
    <row r="4191" spans="1:5" x14ac:dyDescent="0.2">
      <c r="A4191">
        <v>4191</v>
      </c>
      <c r="B4191" t="s">
        <v>977</v>
      </c>
      <c r="C4191" t="s">
        <v>9571</v>
      </c>
      <c r="D4191" t="s">
        <v>9572</v>
      </c>
      <c r="E4191" t="s">
        <v>3162</v>
      </c>
    </row>
    <row r="4192" spans="1:5" x14ac:dyDescent="0.2">
      <c r="A4192">
        <v>4192</v>
      </c>
      <c r="B4192" t="s">
        <v>977</v>
      </c>
      <c r="C4192" t="s">
        <v>9573</v>
      </c>
      <c r="D4192" t="s">
        <v>9574</v>
      </c>
      <c r="E4192" t="s">
        <v>3162</v>
      </c>
    </row>
    <row r="4193" spans="1:5" x14ac:dyDescent="0.2">
      <c r="A4193">
        <v>4193</v>
      </c>
      <c r="B4193" t="s">
        <v>977</v>
      </c>
      <c r="C4193" t="s">
        <v>9575</v>
      </c>
      <c r="D4193" t="s">
        <v>9576</v>
      </c>
      <c r="E4193" t="s">
        <v>3162</v>
      </c>
    </row>
    <row r="4194" spans="1:5" x14ac:dyDescent="0.2">
      <c r="A4194">
        <v>4194</v>
      </c>
      <c r="B4194" t="s">
        <v>977</v>
      </c>
      <c r="C4194" t="s">
        <v>9577</v>
      </c>
      <c r="D4194" t="s">
        <v>9578</v>
      </c>
      <c r="E4194" t="s">
        <v>3162</v>
      </c>
    </row>
    <row r="4195" spans="1:5" x14ac:dyDescent="0.2">
      <c r="A4195">
        <v>4195</v>
      </c>
      <c r="B4195" t="s">
        <v>977</v>
      </c>
      <c r="C4195" t="s">
        <v>9579</v>
      </c>
      <c r="D4195" t="s">
        <v>9580</v>
      </c>
      <c r="E4195" t="s">
        <v>3162</v>
      </c>
    </row>
    <row r="4196" spans="1:5" x14ac:dyDescent="0.2">
      <c r="A4196">
        <v>4196</v>
      </c>
      <c r="B4196" t="s">
        <v>977</v>
      </c>
      <c r="C4196" t="s">
        <v>9581</v>
      </c>
      <c r="D4196" t="s">
        <v>9582</v>
      </c>
      <c r="E4196" t="s">
        <v>3162</v>
      </c>
    </row>
    <row r="4197" spans="1:5" x14ac:dyDescent="0.2">
      <c r="A4197">
        <v>4197</v>
      </c>
      <c r="B4197" t="s">
        <v>977</v>
      </c>
      <c r="C4197" t="s">
        <v>9583</v>
      </c>
      <c r="D4197" t="s">
        <v>9584</v>
      </c>
      <c r="E4197" t="s">
        <v>3162</v>
      </c>
    </row>
    <row r="4198" spans="1:5" x14ac:dyDescent="0.2">
      <c r="A4198">
        <v>4198</v>
      </c>
      <c r="B4198" t="s">
        <v>977</v>
      </c>
      <c r="C4198" t="s">
        <v>9585</v>
      </c>
      <c r="D4198" t="s">
        <v>9586</v>
      </c>
      <c r="E4198" t="s">
        <v>3162</v>
      </c>
    </row>
    <row r="4199" spans="1:5" x14ac:dyDescent="0.2">
      <c r="A4199">
        <v>4199</v>
      </c>
      <c r="B4199" t="s">
        <v>977</v>
      </c>
      <c r="C4199" t="s">
        <v>9587</v>
      </c>
      <c r="D4199" t="s">
        <v>9588</v>
      </c>
      <c r="E4199" t="s">
        <v>3162</v>
      </c>
    </row>
    <row r="4200" spans="1:5" x14ac:dyDescent="0.2">
      <c r="A4200">
        <v>4200</v>
      </c>
      <c r="B4200" t="s">
        <v>977</v>
      </c>
      <c r="C4200" t="s">
        <v>9589</v>
      </c>
      <c r="D4200" t="s">
        <v>9590</v>
      </c>
      <c r="E4200" t="s">
        <v>3162</v>
      </c>
    </row>
    <row r="4201" spans="1:5" x14ac:dyDescent="0.2">
      <c r="A4201">
        <v>4201</v>
      </c>
      <c r="B4201" t="s">
        <v>977</v>
      </c>
      <c r="C4201" t="s">
        <v>9591</v>
      </c>
      <c r="D4201" t="s">
        <v>9592</v>
      </c>
      <c r="E4201" t="s">
        <v>3162</v>
      </c>
    </row>
    <row r="4202" spans="1:5" x14ac:dyDescent="0.2">
      <c r="A4202">
        <v>4202</v>
      </c>
      <c r="B4202" t="s">
        <v>977</v>
      </c>
      <c r="C4202" t="s">
        <v>9593</v>
      </c>
      <c r="D4202" t="s">
        <v>9594</v>
      </c>
      <c r="E4202" t="s">
        <v>3162</v>
      </c>
    </row>
    <row r="4203" spans="1:5" x14ac:dyDescent="0.2">
      <c r="A4203">
        <v>4203</v>
      </c>
      <c r="B4203" t="s">
        <v>977</v>
      </c>
      <c r="C4203" t="s">
        <v>9595</v>
      </c>
      <c r="D4203" t="s">
        <v>9596</v>
      </c>
      <c r="E4203" t="s">
        <v>3162</v>
      </c>
    </row>
    <row r="4204" spans="1:5" x14ac:dyDescent="0.2">
      <c r="A4204">
        <v>4204</v>
      </c>
      <c r="B4204" t="s">
        <v>977</v>
      </c>
      <c r="C4204" t="s">
        <v>9597</v>
      </c>
      <c r="D4204" t="s">
        <v>9598</v>
      </c>
      <c r="E4204" t="s">
        <v>3162</v>
      </c>
    </row>
    <row r="4205" spans="1:5" x14ac:dyDescent="0.2">
      <c r="A4205">
        <v>4205</v>
      </c>
      <c r="B4205" t="s">
        <v>977</v>
      </c>
      <c r="C4205" t="s">
        <v>9599</v>
      </c>
      <c r="D4205" t="s">
        <v>9600</v>
      </c>
      <c r="E4205" t="s">
        <v>3162</v>
      </c>
    </row>
    <row r="4206" spans="1:5" x14ac:dyDescent="0.2">
      <c r="A4206">
        <v>4206</v>
      </c>
      <c r="B4206" t="s">
        <v>977</v>
      </c>
      <c r="C4206" t="s">
        <v>9601</v>
      </c>
      <c r="D4206" t="s">
        <v>9602</v>
      </c>
      <c r="E4206" t="s">
        <v>3162</v>
      </c>
    </row>
    <row r="4207" spans="1:5" x14ac:dyDescent="0.2">
      <c r="A4207">
        <v>4207</v>
      </c>
      <c r="B4207" t="s">
        <v>977</v>
      </c>
      <c r="C4207" t="s">
        <v>9603</v>
      </c>
      <c r="D4207" t="s">
        <v>9604</v>
      </c>
      <c r="E4207" t="s">
        <v>3162</v>
      </c>
    </row>
    <row r="4208" spans="1:5" x14ac:dyDescent="0.2">
      <c r="A4208">
        <v>4208</v>
      </c>
      <c r="B4208" t="s">
        <v>977</v>
      </c>
      <c r="C4208" t="s">
        <v>9605</v>
      </c>
      <c r="D4208" t="s">
        <v>9606</v>
      </c>
      <c r="E4208" t="s">
        <v>3162</v>
      </c>
    </row>
    <row r="4209" spans="1:5" x14ac:dyDescent="0.2">
      <c r="A4209">
        <v>4209</v>
      </c>
      <c r="B4209" t="s">
        <v>977</v>
      </c>
      <c r="C4209" t="s">
        <v>9607</v>
      </c>
      <c r="D4209" t="s">
        <v>9608</v>
      </c>
      <c r="E4209" t="s">
        <v>3162</v>
      </c>
    </row>
    <row r="4210" spans="1:5" x14ac:dyDescent="0.2">
      <c r="A4210">
        <v>4210</v>
      </c>
      <c r="B4210" t="s">
        <v>977</v>
      </c>
      <c r="C4210" t="s">
        <v>9609</v>
      </c>
      <c r="D4210" t="s">
        <v>9610</v>
      </c>
      <c r="E4210" t="s">
        <v>3162</v>
      </c>
    </row>
    <row r="4211" spans="1:5" x14ac:dyDescent="0.2">
      <c r="A4211">
        <v>4211</v>
      </c>
      <c r="B4211" t="s">
        <v>977</v>
      </c>
      <c r="C4211" t="s">
        <v>9611</v>
      </c>
      <c r="D4211" t="s">
        <v>9612</v>
      </c>
      <c r="E4211" t="s">
        <v>3162</v>
      </c>
    </row>
    <row r="4212" spans="1:5" x14ac:dyDescent="0.2">
      <c r="A4212">
        <v>4212</v>
      </c>
      <c r="B4212" t="s">
        <v>977</v>
      </c>
      <c r="C4212" t="s">
        <v>9613</v>
      </c>
      <c r="D4212" t="s">
        <v>9614</v>
      </c>
      <c r="E4212" t="s">
        <v>3162</v>
      </c>
    </row>
    <row r="4213" spans="1:5" x14ac:dyDescent="0.2">
      <c r="A4213">
        <v>4213</v>
      </c>
      <c r="B4213" t="s">
        <v>977</v>
      </c>
      <c r="C4213" t="s">
        <v>9615</v>
      </c>
      <c r="D4213" t="s">
        <v>9616</v>
      </c>
      <c r="E4213" t="s">
        <v>3162</v>
      </c>
    </row>
    <row r="4214" spans="1:5" x14ac:dyDescent="0.2">
      <c r="A4214">
        <v>4214</v>
      </c>
      <c r="B4214" t="s">
        <v>977</v>
      </c>
      <c r="C4214" t="s">
        <v>9617</v>
      </c>
      <c r="D4214" t="s">
        <v>9618</v>
      </c>
      <c r="E4214" t="s">
        <v>3162</v>
      </c>
    </row>
    <row r="4215" spans="1:5" x14ac:dyDescent="0.2">
      <c r="A4215">
        <v>4215</v>
      </c>
      <c r="B4215" t="s">
        <v>977</v>
      </c>
      <c r="C4215" t="s">
        <v>9619</v>
      </c>
      <c r="D4215" t="s">
        <v>9620</v>
      </c>
      <c r="E4215" t="s">
        <v>3162</v>
      </c>
    </row>
    <row r="4216" spans="1:5" x14ac:dyDescent="0.2">
      <c r="A4216">
        <v>4216</v>
      </c>
      <c r="B4216" t="s">
        <v>977</v>
      </c>
      <c r="C4216" t="s">
        <v>9621</v>
      </c>
      <c r="D4216" t="s">
        <v>9622</v>
      </c>
      <c r="E4216" t="s">
        <v>3162</v>
      </c>
    </row>
    <row r="4217" spans="1:5" x14ac:dyDescent="0.2">
      <c r="A4217">
        <v>4217</v>
      </c>
      <c r="B4217" t="s">
        <v>979</v>
      </c>
      <c r="C4217" t="s">
        <v>9623</v>
      </c>
      <c r="D4217" t="s">
        <v>9624</v>
      </c>
      <c r="E4217" t="s">
        <v>7831</v>
      </c>
    </row>
    <row r="4218" spans="1:5" x14ac:dyDescent="0.2">
      <c r="A4218">
        <v>4218</v>
      </c>
      <c r="B4218" t="s">
        <v>979</v>
      </c>
      <c r="C4218" t="s">
        <v>9625</v>
      </c>
      <c r="D4218" t="s">
        <v>2720</v>
      </c>
      <c r="E4218" t="s">
        <v>1719</v>
      </c>
    </row>
    <row r="4219" spans="1:5" x14ac:dyDescent="0.2">
      <c r="A4219">
        <v>4219</v>
      </c>
      <c r="B4219" t="s">
        <v>979</v>
      </c>
      <c r="C4219" t="s">
        <v>9626</v>
      </c>
      <c r="D4219" t="s">
        <v>8907</v>
      </c>
      <c r="E4219" t="s">
        <v>1719</v>
      </c>
    </row>
    <row r="4220" spans="1:5" x14ac:dyDescent="0.2">
      <c r="A4220">
        <v>4220</v>
      </c>
      <c r="B4220" t="s">
        <v>979</v>
      </c>
      <c r="C4220" t="s">
        <v>9627</v>
      </c>
      <c r="D4220" t="s">
        <v>9628</v>
      </c>
      <c r="E4220" t="s">
        <v>1719</v>
      </c>
    </row>
    <row r="4221" spans="1:5" x14ac:dyDescent="0.2">
      <c r="A4221">
        <v>4221</v>
      </c>
      <c r="B4221" t="s">
        <v>979</v>
      </c>
      <c r="C4221" t="s">
        <v>9629</v>
      </c>
      <c r="D4221" t="s">
        <v>9630</v>
      </c>
      <c r="E4221" t="s">
        <v>1719</v>
      </c>
    </row>
    <row r="4222" spans="1:5" x14ac:dyDescent="0.2">
      <c r="A4222">
        <v>4222</v>
      </c>
      <c r="B4222" t="s">
        <v>979</v>
      </c>
      <c r="C4222" t="s">
        <v>9631</v>
      </c>
      <c r="D4222" t="s">
        <v>9632</v>
      </c>
      <c r="E4222" t="s">
        <v>1719</v>
      </c>
    </row>
    <row r="4223" spans="1:5" x14ac:dyDescent="0.2">
      <c r="A4223">
        <v>4223</v>
      </c>
      <c r="B4223" t="s">
        <v>979</v>
      </c>
      <c r="C4223" t="s">
        <v>9633</v>
      </c>
      <c r="D4223" t="s">
        <v>9634</v>
      </c>
      <c r="E4223" t="s">
        <v>1719</v>
      </c>
    </row>
    <row r="4224" spans="1:5" x14ac:dyDescent="0.2">
      <c r="A4224">
        <v>4224</v>
      </c>
      <c r="B4224" t="s">
        <v>979</v>
      </c>
      <c r="C4224" t="s">
        <v>9635</v>
      </c>
      <c r="D4224" t="s">
        <v>9636</v>
      </c>
      <c r="E4224" t="s">
        <v>1719</v>
      </c>
    </row>
    <row r="4225" spans="1:5" x14ac:dyDescent="0.2">
      <c r="A4225">
        <v>4225</v>
      </c>
      <c r="B4225" t="s">
        <v>979</v>
      </c>
      <c r="C4225" t="s">
        <v>9637</v>
      </c>
      <c r="D4225" t="s">
        <v>9638</v>
      </c>
      <c r="E4225" t="s">
        <v>1719</v>
      </c>
    </row>
    <row r="4226" spans="1:5" x14ac:dyDescent="0.2">
      <c r="A4226">
        <v>4226</v>
      </c>
      <c r="B4226" t="s">
        <v>979</v>
      </c>
      <c r="C4226" t="s">
        <v>9639</v>
      </c>
      <c r="D4226" t="s">
        <v>4197</v>
      </c>
      <c r="E4226" t="s">
        <v>1719</v>
      </c>
    </row>
    <row r="4227" spans="1:5" x14ac:dyDescent="0.2">
      <c r="A4227">
        <v>4227</v>
      </c>
      <c r="B4227" t="s">
        <v>981</v>
      </c>
      <c r="C4227" t="s">
        <v>9640</v>
      </c>
      <c r="D4227" t="s">
        <v>9641</v>
      </c>
      <c r="E4227" t="s">
        <v>2087</v>
      </c>
    </row>
    <row r="4228" spans="1:5" x14ac:dyDescent="0.2">
      <c r="A4228">
        <v>4228</v>
      </c>
      <c r="B4228" t="s">
        <v>981</v>
      </c>
      <c r="C4228" t="s">
        <v>9642</v>
      </c>
      <c r="D4228" t="s">
        <v>9643</v>
      </c>
      <c r="E4228" t="s">
        <v>2087</v>
      </c>
    </row>
    <row r="4229" spans="1:5" x14ac:dyDescent="0.2">
      <c r="A4229">
        <v>4229</v>
      </c>
      <c r="B4229" t="s">
        <v>981</v>
      </c>
      <c r="C4229" t="s">
        <v>9644</v>
      </c>
      <c r="D4229" t="s">
        <v>9645</v>
      </c>
      <c r="E4229" t="s">
        <v>2087</v>
      </c>
    </row>
    <row r="4230" spans="1:5" x14ac:dyDescent="0.2">
      <c r="A4230">
        <v>4230</v>
      </c>
      <c r="B4230" t="s">
        <v>981</v>
      </c>
      <c r="C4230" t="s">
        <v>9646</v>
      </c>
      <c r="D4230" t="s">
        <v>5469</v>
      </c>
      <c r="E4230" t="s">
        <v>2087</v>
      </c>
    </row>
    <row r="4231" spans="1:5" x14ac:dyDescent="0.2">
      <c r="A4231">
        <v>4231</v>
      </c>
      <c r="B4231" t="s">
        <v>981</v>
      </c>
      <c r="C4231" t="s">
        <v>9647</v>
      </c>
      <c r="D4231" t="s">
        <v>9648</v>
      </c>
      <c r="E4231" t="s">
        <v>2087</v>
      </c>
    </row>
    <row r="4232" spans="1:5" x14ac:dyDescent="0.2">
      <c r="A4232">
        <v>4232</v>
      </c>
      <c r="B4232" t="s">
        <v>981</v>
      </c>
      <c r="C4232" t="s">
        <v>9649</v>
      </c>
      <c r="D4232" t="s">
        <v>9650</v>
      </c>
      <c r="E4232" t="s">
        <v>2087</v>
      </c>
    </row>
    <row r="4233" spans="1:5" x14ac:dyDescent="0.2">
      <c r="A4233">
        <v>4233</v>
      </c>
      <c r="B4233" t="s">
        <v>981</v>
      </c>
      <c r="C4233" t="s">
        <v>9651</v>
      </c>
      <c r="D4233" t="s">
        <v>9652</v>
      </c>
      <c r="E4233" t="s">
        <v>2087</v>
      </c>
    </row>
    <row r="4234" spans="1:5" x14ac:dyDescent="0.2">
      <c r="A4234">
        <v>4234</v>
      </c>
      <c r="B4234" t="s">
        <v>981</v>
      </c>
      <c r="C4234" t="s">
        <v>9653</v>
      </c>
      <c r="D4234" t="s">
        <v>9654</v>
      </c>
      <c r="E4234" t="s">
        <v>2087</v>
      </c>
    </row>
    <row r="4235" spans="1:5" x14ac:dyDescent="0.2">
      <c r="A4235">
        <v>4235</v>
      </c>
      <c r="B4235" t="s">
        <v>981</v>
      </c>
      <c r="C4235" t="s">
        <v>9655</v>
      </c>
      <c r="D4235" t="s">
        <v>9656</v>
      </c>
      <c r="E4235" t="s">
        <v>2087</v>
      </c>
    </row>
    <row r="4236" spans="1:5" x14ac:dyDescent="0.2">
      <c r="A4236">
        <v>4236</v>
      </c>
      <c r="B4236" t="s">
        <v>981</v>
      </c>
      <c r="C4236" t="s">
        <v>9657</v>
      </c>
      <c r="D4236" t="s">
        <v>9658</v>
      </c>
      <c r="E4236" t="s">
        <v>2087</v>
      </c>
    </row>
    <row r="4237" spans="1:5" x14ac:dyDescent="0.2">
      <c r="A4237">
        <v>4237</v>
      </c>
      <c r="B4237" t="s">
        <v>981</v>
      </c>
      <c r="C4237" t="s">
        <v>9659</v>
      </c>
      <c r="D4237" t="s">
        <v>9660</v>
      </c>
      <c r="E4237" t="s">
        <v>2087</v>
      </c>
    </row>
    <row r="4238" spans="1:5" x14ac:dyDescent="0.2">
      <c r="A4238">
        <v>4238</v>
      </c>
      <c r="B4238" t="s">
        <v>981</v>
      </c>
      <c r="C4238" t="s">
        <v>9661</v>
      </c>
      <c r="D4238" t="s">
        <v>9662</v>
      </c>
      <c r="E4238" t="s">
        <v>2087</v>
      </c>
    </row>
    <row r="4239" spans="1:5" x14ac:dyDescent="0.2">
      <c r="A4239">
        <v>4239</v>
      </c>
      <c r="B4239" t="s">
        <v>981</v>
      </c>
      <c r="C4239" t="s">
        <v>9663</v>
      </c>
      <c r="D4239" t="s">
        <v>9664</v>
      </c>
      <c r="E4239" t="s">
        <v>2087</v>
      </c>
    </row>
    <row r="4240" spans="1:5" x14ac:dyDescent="0.2">
      <c r="A4240">
        <v>4240</v>
      </c>
      <c r="B4240" t="s">
        <v>981</v>
      </c>
      <c r="C4240" t="s">
        <v>9665</v>
      </c>
      <c r="D4240" t="s">
        <v>9666</v>
      </c>
      <c r="E4240" t="s">
        <v>2087</v>
      </c>
    </row>
    <row r="4241" spans="1:5" x14ac:dyDescent="0.2">
      <c r="A4241">
        <v>4241</v>
      </c>
      <c r="B4241" t="s">
        <v>981</v>
      </c>
      <c r="C4241" t="s">
        <v>9667</v>
      </c>
      <c r="D4241" t="s">
        <v>9668</v>
      </c>
      <c r="E4241" t="s">
        <v>2087</v>
      </c>
    </row>
    <row r="4242" spans="1:5" x14ac:dyDescent="0.2">
      <c r="A4242">
        <v>4242</v>
      </c>
      <c r="B4242" t="s">
        <v>981</v>
      </c>
      <c r="C4242" t="s">
        <v>9669</v>
      </c>
      <c r="D4242" t="s">
        <v>9670</v>
      </c>
      <c r="E4242" t="s">
        <v>2087</v>
      </c>
    </row>
    <row r="4243" spans="1:5" x14ac:dyDescent="0.2">
      <c r="A4243">
        <v>4243</v>
      </c>
      <c r="B4243" t="s">
        <v>981</v>
      </c>
      <c r="C4243" t="s">
        <v>9671</v>
      </c>
      <c r="D4243" t="s">
        <v>9672</v>
      </c>
      <c r="E4243" t="s">
        <v>2087</v>
      </c>
    </row>
    <row r="4244" spans="1:5" x14ac:dyDescent="0.2">
      <c r="A4244">
        <v>4244</v>
      </c>
      <c r="B4244" t="s">
        <v>981</v>
      </c>
      <c r="C4244" t="s">
        <v>9673</v>
      </c>
      <c r="D4244" t="s">
        <v>9674</v>
      </c>
      <c r="E4244" t="s">
        <v>2087</v>
      </c>
    </row>
    <row r="4245" spans="1:5" x14ac:dyDescent="0.2">
      <c r="A4245">
        <v>4245</v>
      </c>
      <c r="B4245" t="s">
        <v>983</v>
      </c>
      <c r="C4245" t="s">
        <v>9675</v>
      </c>
      <c r="D4245" t="s">
        <v>9676</v>
      </c>
      <c r="E4245" t="s">
        <v>1719</v>
      </c>
    </row>
    <row r="4246" spans="1:5" x14ac:dyDescent="0.2">
      <c r="A4246">
        <v>4246</v>
      </c>
      <c r="B4246" t="s">
        <v>983</v>
      </c>
      <c r="C4246" t="s">
        <v>9677</v>
      </c>
      <c r="D4246" t="s">
        <v>9678</v>
      </c>
      <c r="E4246" t="s">
        <v>1719</v>
      </c>
    </row>
    <row r="4247" spans="1:5" x14ac:dyDescent="0.2">
      <c r="A4247">
        <v>4247</v>
      </c>
      <c r="B4247" t="s">
        <v>983</v>
      </c>
      <c r="C4247" t="s">
        <v>9679</v>
      </c>
      <c r="D4247" t="s">
        <v>9680</v>
      </c>
      <c r="E4247" t="s">
        <v>1719</v>
      </c>
    </row>
    <row r="4248" spans="1:5" x14ac:dyDescent="0.2">
      <c r="A4248">
        <v>4248</v>
      </c>
      <c r="B4248" t="s">
        <v>983</v>
      </c>
      <c r="C4248" t="s">
        <v>9679</v>
      </c>
      <c r="D4248" t="s">
        <v>9681</v>
      </c>
      <c r="E4248" t="s">
        <v>1719</v>
      </c>
    </row>
    <row r="4249" spans="1:5" x14ac:dyDescent="0.2">
      <c r="A4249">
        <v>4249</v>
      </c>
      <c r="B4249" t="s">
        <v>983</v>
      </c>
      <c r="C4249" t="s">
        <v>9679</v>
      </c>
      <c r="D4249" t="s">
        <v>9682</v>
      </c>
      <c r="E4249" t="s">
        <v>1719</v>
      </c>
    </row>
    <row r="4250" spans="1:5" x14ac:dyDescent="0.2">
      <c r="A4250">
        <v>4250</v>
      </c>
      <c r="B4250" t="s">
        <v>983</v>
      </c>
      <c r="C4250" t="s">
        <v>9679</v>
      </c>
      <c r="D4250" t="s">
        <v>9683</v>
      </c>
      <c r="E4250" t="s">
        <v>1719</v>
      </c>
    </row>
    <row r="4251" spans="1:5" x14ac:dyDescent="0.2">
      <c r="A4251">
        <v>4251</v>
      </c>
      <c r="B4251" t="s">
        <v>983</v>
      </c>
      <c r="C4251" t="s">
        <v>9679</v>
      </c>
      <c r="D4251" t="s">
        <v>9684</v>
      </c>
      <c r="E4251" t="s">
        <v>1719</v>
      </c>
    </row>
    <row r="4252" spans="1:5" x14ac:dyDescent="0.2">
      <c r="A4252">
        <v>4252</v>
      </c>
      <c r="B4252" t="s">
        <v>983</v>
      </c>
      <c r="C4252" t="s">
        <v>9679</v>
      </c>
      <c r="D4252" t="s">
        <v>9685</v>
      </c>
      <c r="E4252" t="s">
        <v>1719</v>
      </c>
    </row>
    <row r="4253" spans="1:5" x14ac:dyDescent="0.2">
      <c r="A4253">
        <v>4253</v>
      </c>
      <c r="B4253" t="s">
        <v>983</v>
      </c>
      <c r="C4253" t="s">
        <v>9679</v>
      </c>
      <c r="D4253" t="s">
        <v>9686</v>
      </c>
      <c r="E4253" t="s">
        <v>1719</v>
      </c>
    </row>
    <row r="4254" spans="1:5" x14ac:dyDescent="0.2">
      <c r="A4254">
        <v>4254</v>
      </c>
      <c r="B4254" t="s">
        <v>983</v>
      </c>
      <c r="C4254" t="s">
        <v>9687</v>
      </c>
      <c r="D4254" t="s">
        <v>9688</v>
      </c>
      <c r="E4254" t="s">
        <v>1719</v>
      </c>
    </row>
    <row r="4255" spans="1:5" x14ac:dyDescent="0.2">
      <c r="A4255">
        <v>4255</v>
      </c>
      <c r="B4255" t="s">
        <v>983</v>
      </c>
      <c r="C4255" t="s">
        <v>9689</v>
      </c>
      <c r="D4255" t="s">
        <v>9690</v>
      </c>
      <c r="E4255" t="s">
        <v>1719</v>
      </c>
    </row>
    <row r="4256" spans="1:5" x14ac:dyDescent="0.2">
      <c r="A4256">
        <v>4256</v>
      </c>
      <c r="B4256" t="s">
        <v>983</v>
      </c>
      <c r="C4256" t="s">
        <v>9687</v>
      </c>
      <c r="D4256" t="s">
        <v>9691</v>
      </c>
      <c r="E4256" t="s">
        <v>1719</v>
      </c>
    </row>
    <row r="4257" spans="1:5" x14ac:dyDescent="0.2">
      <c r="A4257">
        <v>4257</v>
      </c>
      <c r="B4257" t="s">
        <v>983</v>
      </c>
      <c r="C4257" t="s">
        <v>9687</v>
      </c>
      <c r="D4257" t="s">
        <v>9692</v>
      </c>
      <c r="E4257" t="s">
        <v>1719</v>
      </c>
    </row>
    <row r="4258" spans="1:5" x14ac:dyDescent="0.2">
      <c r="A4258">
        <v>4258</v>
      </c>
      <c r="B4258" t="s">
        <v>983</v>
      </c>
      <c r="C4258" t="s">
        <v>9693</v>
      </c>
      <c r="D4258" t="s">
        <v>9694</v>
      </c>
      <c r="E4258" t="s">
        <v>1719</v>
      </c>
    </row>
    <row r="4259" spans="1:5" x14ac:dyDescent="0.2">
      <c r="A4259">
        <v>4259</v>
      </c>
      <c r="B4259" t="s">
        <v>983</v>
      </c>
      <c r="C4259" t="s">
        <v>9677</v>
      </c>
      <c r="D4259" t="s">
        <v>9695</v>
      </c>
      <c r="E4259" t="s">
        <v>1719</v>
      </c>
    </row>
    <row r="4260" spans="1:5" x14ac:dyDescent="0.2">
      <c r="A4260">
        <v>4260</v>
      </c>
      <c r="B4260" t="s">
        <v>983</v>
      </c>
      <c r="C4260" t="s">
        <v>9693</v>
      </c>
      <c r="D4260" t="s">
        <v>9696</v>
      </c>
      <c r="E4260" t="s">
        <v>1719</v>
      </c>
    </row>
    <row r="4261" spans="1:5" x14ac:dyDescent="0.2">
      <c r="A4261">
        <v>4261</v>
      </c>
      <c r="B4261" t="s">
        <v>983</v>
      </c>
      <c r="C4261" t="s">
        <v>9693</v>
      </c>
      <c r="D4261" t="s">
        <v>9697</v>
      </c>
      <c r="E4261" t="s">
        <v>1719</v>
      </c>
    </row>
    <row r="4262" spans="1:5" x14ac:dyDescent="0.2">
      <c r="A4262">
        <v>4262</v>
      </c>
      <c r="B4262" t="s">
        <v>983</v>
      </c>
      <c r="C4262" t="s">
        <v>9677</v>
      </c>
      <c r="D4262" t="s">
        <v>9698</v>
      </c>
      <c r="E4262" t="s">
        <v>1719</v>
      </c>
    </row>
    <row r="4263" spans="1:5" x14ac:dyDescent="0.2">
      <c r="A4263">
        <v>4263</v>
      </c>
      <c r="B4263" t="s">
        <v>983</v>
      </c>
      <c r="C4263" t="s">
        <v>9677</v>
      </c>
      <c r="D4263" t="s">
        <v>9699</v>
      </c>
      <c r="E4263" t="s">
        <v>1719</v>
      </c>
    </row>
    <row r="4264" spans="1:5" x14ac:dyDescent="0.2">
      <c r="A4264">
        <v>4264</v>
      </c>
      <c r="B4264" t="s">
        <v>983</v>
      </c>
      <c r="C4264" t="s">
        <v>9700</v>
      </c>
      <c r="D4264" t="s">
        <v>9701</v>
      </c>
      <c r="E4264" t="s">
        <v>1719</v>
      </c>
    </row>
    <row r="4265" spans="1:5" x14ac:dyDescent="0.2">
      <c r="A4265">
        <v>4265</v>
      </c>
      <c r="B4265" t="s">
        <v>983</v>
      </c>
      <c r="C4265" t="s">
        <v>9700</v>
      </c>
      <c r="D4265" t="s">
        <v>9702</v>
      </c>
      <c r="E4265" t="s">
        <v>1719</v>
      </c>
    </row>
    <row r="4266" spans="1:5" x14ac:dyDescent="0.2">
      <c r="A4266">
        <v>4266</v>
      </c>
      <c r="B4266" t="s">
        <v>983</v>
      </c>
      <c r="C4266" t="s">
        <v>9700</v>
      </c>
      <c r="D4266" t="s">
        <v>9703</v>
      </c>
      <c r="E4266" t="s">
        <v>1719</v>
      </c>
    </row>
    <row r="4267" spans="1:5" x14ac:dyDescent="0.2">
      <c r="A4267">
        <v>4267</v>
      </c>
      <c r="B4267" t="s">
        <v>983</v>
      </c>
      <c r="C4267" t="s">
        <v>9677</v>
      </c>
      <c r="D4267" t="s">
        <v>9704</v>
      </c>
      <c r="E4267" t="s">
        <v>1719</v>
      </c>
    </row>
    <row r="4268" spans="1:5" x14ac:dyDescent="0.2">
      <c r="A4268">
        <v>4268</v>
      </c>
      <c r="B4268" t="s">
        <v>983</v>
      </c>
      <c r="C4268" t="s">
        <v>9693</v>
      </c>
      <c r="D4268" t="s">
        <v>9705</v>
      </c>
      <c r="E4268" t="s">
        <v>1719</v>
      </c>
    </row>
    <row r="4269" spans="1:5" x14ac:dyDescent="0.2">
      <c r="A4269">
        <v>4269</v>
      </c>
      <c r="B4269" t="s">
        <v>983</v>
      </c>
      <c r="C4269" t="s">
        <v>9700</v>
      </c>
      <c r="D4269" t="s">
        <v>9706</v>
      </c>
      <c r="E4269" t="s">
        <v>1719</v>
      </c>
    </row>
    <row r="4270" spans="1:5" x14ac:dyDescent="0.2">
      <c r="A4270">
        <v>4270</v>
      </c>
      <c r="B4270" t="s">
        <v>983</v>
      </c>
      <c r="C4270" t="s">
        <v>9693</v>
      </c>
      <c r="D4270" t="s">
        <v>9707</v>
      </c>
      <c r="E4270" t="s">
        <v>1719</v>
      </c>
    </row>
    <row r="4271" spans="1:5" x14ac:dyDescent="0.2">
      <c r="A4271">
        <v>4271</v>
      </c>
      <c r="B4271" t="s">
        <v>983</v>
      </c>
      <c r="C4271" t="s">
        <v>9677</v>
      </c>
      <c r="D4271" t="s">
        <v>9708</v>
      </c>
      <c r="E4271" t="s">
        <v>1719</v>
      </c>
    </row>
    <row r="4272" spans="1:5" x14ac:dyDescent="0.2">
      <c r="A4272">
        <v>4272</v>
      </c>
      <c r="B4272" t="s">
        <v>983</v>
      </c>
      <c r="C4272" t="s">
        <v>9689</v>
      </c>
      <c r="D4272" t="s">
        <v>9709</v>
      </c>
      <c r="E4272" t="s">
        <v>1719</v>
      </c>
    </row>
    <row r="4273" spans="1:5" x14ac:dyDescent="0.2">
      <c r="A4273">
        <v>4273</v>
      </c>
      <c r="B4273" t="s">
        <v>983</v>
      </c>
      <c r="C4273" t="s">
        <v>9687</v>
      </c>
      <c r="D4273" t="s">
        <v>9710</v>
      </c>
      <c r="E4273" t="s">
        <v>1719</v>
      </c>
    </row>
    <row r="4274" spans="1:5" x14ac:dyDescent="0.2">
      <c r="A4274">
        <v>4274</v>
      </c>
      <c r="B4274" t="s">
        <v>983</v>
      </c>
      <c r="C4274" t="s">
        <v>9687</v>
      </c>
      <c r="D4274" t="s">
        <v>9711</v>
      </c>
      <c r="E4274" t="s">
        <v>1719</v>
      </c>
    </row>
    <row r="4275" spans="1:5" x14ac:dyDescent="0.2">
      <c r="A4275">
        <v>4275</v>
      </c>
      <c r="B4275" t="s">
        <v>983</v>
      </c>
      <c r="C4275" t="s">
        <v>9687</v>
      </c>
      <c r="D4275" t="s">
        <v>9712</v>
      </c>
      <c r="E4275" t="s">
        <v>1719</v>
      </c>
    </row>
    <row r="4276" spans="1:5" x14ac:dyDescent="0.2">
      <c r="A4276">
        <v>4276</v>
      </c>
      <c r="B4276" t="s">
        <v>983</v>
      </c>
      <c r="C4276" t="s">
        <v>9687</v>
      </c>
      <c r="D4276" t="s">
        <v>9713</v>
      </c>
      <c r="E4276" t="s">
        <v>1719</v>
      </c>
    </row>
    <row r="4277" spans="1:5" x14ac:dyDescent="0.2">
      <c r="A4277">
        <v>4277</v>
      </c>
      <c r="B4277" t="s">
        <v>983</v>
      </c>
      <c r="C4277" t="s">
        <v>9675</v>
      </c>
      <c r="D4277" t="s">
        <v>9714</v>
      </c>
      <c r="E4277" t="s">
        <v>1719</v>
      </c>
    </row>
    <row r="4278" spans="1:5" x14ac:dyDescent="0.2">
      <c r="A4278">
        <v>4278</v>
      </c>
      <c r="B4278" t="s">
        <v>983</v>
      </c>
      <c r="C4278" t="s">
        <v>9675</v>
      </c>
      <c r="D4278" t="s">
        <v>9715</v>
      </c>
      <c r="E4278" t="s">
        <v>1719</v>
      </c>
    </row>
    <row r="4279" spans="1:5" x14ac:dyDescent="0.2">
      <c r="A4279">
        <v>4279</v>
      </c>
      <c r="B4279" t="s">
        <v>983</v>
      </c>
      <c r="C4279" t="s">
        <v>9716</v>
      </c>
      <c r="D4279" t="s">
        <v>9717</v>
      </c>
      <c r="E4279" t="s">
        <v>1719</v>
      </c>
    </row>
    <row r="4280" spans="1:5" x14ac:dyDescent="0.2">
      <c r="A4280">
        <v>4280</v>
      </c>
      <c r="B4280" t="s">
        <v>983</v>
      </c>
      <c r="C4280" t="s">
        <v>9700</v>
      </c>
      <c r="D4280" t="s">
        <v>9718</v>
      </c>
      <c r="E4280" t="s">
        <v>1719</v>
      </c>
    </row>
    <row r="4281" spans="1:5" x14ac:dyDescent="0.2">
      <c r="A4281">
        <v>4281</v>
      </c>
      <c r="B4281" t="s">
        <v>983</v>
      </c>
      <c r="C4281" t="s">
        <v>9675</v>
      </c>
      <c r="D4281" t="s">
        <v>9719</v>
      </c>
      <c r="E4281" t="s">
        <v>1719</v>
      </c>
    </row>
    <row r="4282" spans="1:5" x14ac:dyDescent="0.2">
      <c r="A4282">
        <v>4282</v>
      </c>
      <c r="B4282" t="s">
        <v>983</v>
      </c>
      <c r="C4282" t="s">
        <v>9677</v>
      </c>
      <c r="D4282" t="s">
        <v>9720</v>
      </c>
      <c r="E4282" t="s">
        <v>1719</v>
      </c>
    </row>
    <row r="4283" spans="1:5" x14ac:dyDescent="0.2">
      <c r="A4283">
        <v>4283</v>
      </c>
      <c r="B4283" t="s">
        <v>983</v>
      </c>
      <c r="C4283" t="s">
        <v>9721</v>
      </c>
      <c r="D4283" t="s">
        <v>9722</v>
      </c>
      <c r="E4283" t="s">
        <v>1719</v>
      </c>
    </row>
    <row r="4284" spans="1:5" x14ac:dyDescent="0.2">
      <c r="A4284">
        <v>4284</v>
      </c>
      <c r="B4284" t="s">
        <v>983</v>
      </c>
      <c r="C4284" t="s">
        <v>9677</v>
      </c>
      <c r="D4284" t="s">
        <v>9723</v>
      </c>
      <c r="E4284" t="s">
        <v>1719</v>
      </c>
    </row>
    <row r="4285" spans="1:5" x14ac:dyDescent="0.2">
      <c r="A4285">
        <v>4285</v>
      </c>
      <c r="B4285" t="s">
        <v>983</v>
      </c>
      <c r="C4285" t="s">
        <v>9675</v>
      </c>
      <c r="D4285" t="s">
        <v>9724</v>
      </c>
      <c r="E4285" t="s">
        <v>1719</v>
      </c>
    </row>
    <row r="4286" spans="1:5" x14ac:dyDescent="0.2">
      <c r="A4286">
        <v>4286</v>
      </c>
      <c r="B4286" t="s">
        <v>983</v>
      </c>
      <c r="C4286" t="s">
        <v>9700</v>
      </c>
      <c r="D4286" t="s">
        <v>9725</v>
      </c>
      <c r="E4286" t="s">
        <v>1719</v>
      </c>
    </row>
    <row r="4287" spans="1:5" x14ac:dyDescent="0.2">
      <c r="A4287">
        <v>4287</v>
      </c>
      <c r="B4287" t="s">
        <v>983</v>
      </c>
      <c r="C4287" t="s">
        <v>9675</v>
      </c>
      <c r="D4287" t="s">
        <v>9726</v>
      </c>
      <c r="E4287" t="s">
        <v>1719</v>
      </c>
    </row>
    <row r="4288" spans="1:5" x14ac:dyDescent="0.2">
      <c r="A4288">
        <v>4288</v>
      </c>
      <c r="B4288" t="s">
        <v>983</v>
      </c>
      <c r="C4288" t="s">
        <v>9675</v>
      </c>
      <c r="D4288" t="s">
        <v>2732</v>
      </c>
      <c r="E4288" t="s">
        <v>1719</v>
      </c>
    </row>
    <row r="4289" spans="1:5" x14ac:dyDescent="0.2">
      <c r="A4289">
        <v>4289</v>
      </c>
      <c r="B4289" t="s">
        <v>983</v>
      </c>
      <c r="C4289" t="s">
        <v>9700</v>
      </c>
      <c r="D4289" t="s">
        <v>9727</v>
      </c>
      <c r="E4289" t="s">
        <v>1719</v>
      </c>
    </row>
    <row r="4290" spans="1:5" x14ac:dyDescent="0.2">
      <c r="A4290">
        <v>4290</v>
      </c>
      <c r="B4290" t="s">
        <v>983</v>
      </c>
      <c r="C4290" t="s">
        <v>9693</v>
      </c>
      <c r="D4290" t="s">
        <v>9728</v>
      </c>
      <c r="E4290" t="s">
        <v>1719</v>
      </c>
    </row>
    <row r="4291" spans="1:5" x14ac:dyDescent="0.2">
      <c r="A4291">
        <v>4291</v>
      </c>
      <c r="B4291" t="s">
        <v>983</v>
      </c>
      <c r="C4291" t="s">
        <v>9693</v>
      </c>
      <c r="D4291" t="s">
        <v>9729</v>
      </c>
      <c r="E4291" t="s">
        <v>1719</v>
      </c>
    </row>
    <row r="4292" spans="1:5" x14ac:dyDescent="0.2">
      <c r="A4292">
        <v>4292</v>
      </c>
      <c r="B4292" t="s">
        <v>983</v>
      </c>
      <c r="C4292" t="s">
        <v>9700</v>
      </c>
      <c r="D4292" t="s">
        <v>9730</v>
      </c>
      <c r="E4292" t="s">
        <v>1719</v>
      </c>
    </row>
    <row r="4293" spans="1:5" x14ac:dyDescent="0.2">
      <c r="A4293">
        <v>4293</v>
      </c>
      <c r="B4293" t="s">
        <v>983</v>
      </c>
      <c r="C4293" t="s">
        <v>9675</v>
      </c>
      <c r="D4293" t="s">
        <v>9731</v>
      </c>
      <c r="E4293" t="s">
        <v>1719</v>
      </c>
    </row>
    <row r="4294" spans="1:5" x14ac:dyDescent="0.2">
      <c r="A4294">
        <v>4294</v>
      </c>
      <c r="B4294" t="s">
        <v>983</v>
      </c>
      <c r="C4294" t="s">
        <v>9677</v>
      </c>
      <c r="D4294" t="s">
        <v>9732</v>
      </c>
      <c r="E4294" t="s">
        <v>1719</v>
      </c>
    </row>
    <row r="4295" spans="1:5" x14ac:dyDescent="0.2">
      <c r="A4295">
        <v>4295</v>
      </c>
      <c r="B4295" t="s">
        <v>983</v>
      </c>
      <c r="C4295" t="s">
        <v>9689</v>
      </c>
      <c r="D4295" t="s">
        <v>9733</v>
      </c>
      <c r="E4295" t="s">
        <v>1719</v>
      </c>
    </row>
    <row r="4296" spans="1:5" x14ac:dyDescent="0.2">
      <c r="A4296">
        <v>4296</v>
      </c>
      <c r="B4296" t="s">
        <v>983</v>
      </c>
      <c r="C4296" t="s">
        <v>9716</v>
      </c>
      <c r="D4296" t="s">
        <v>9734</v>
      </c>
      <c r="E4296" t="s">
        <v>1719</v>
      </c>
    </row>
    <row r="4297" spans="1:5" x14ac:dyDescent="0.2">
      <c r="A4297">
        <v>4297</v>
      </c>
      <c r="B4297" t="s">
        <v>983</v>
      </c>
      <c r="C4297" t="s">
        <v>9679</v>
      </c>
      <c r="D4297" t="s">
        <v>9735</v>
      </c>
      <c r="E4297" t="s">
        <v>1719</v>
      </c>
    </row>
    <row r="4298" spans="1:5" x14ac:dyDescent="0.2">
      <c r="A4298">
        <v>4298</v>
      </c>
      <c r="B4298" t="s">
        <v>983</v>
      </c>
      <c r="C4298" t="s">
        <v>9693</v>
      </c>
      <c r="D4298" t="s">
        <v>9736</v>
      </c>
      <c r="E4298" t="s">
        <v>1719</v>
      </c>
    </row>
    <row r="4299" spans="1:5" x14ac:dyDescent="0.2">
      <c r="A4299">
        <v>4299</v>
      </c>
      <c r="B4299" t="s">
        <v>983</v>
      </c>
      <c r="C4299" t="s">
        <v>9693</v>
      </c>
      <c r="D4299" t="s">
        <v>9737</v>
      </c>
      <c r="E4299" t="s">
        <v>1719</v>
      </c>
    </row>
    <row r="4300" spans="1:5" x14ac:dyDescent="0.2">
      <c r="A4300">
        <v>4300</v>
      </c>
      <c r="B4300" t="s">
        <v>983</v>
      </c>
      <c r="C4300" t="s">
        <v>9679</v>
      </c>
      <c r="D4300" t="s">
        <v>9738</v>
      </c>
      <c r="E4300" t="s">
        <v>1719</v>
      </c>
    </row>
    <row r="4301" spans="1:5" x14ac:dyDescent="0.2">
      <c r="A4301">
        <v>4301</v>
      </c>
      <c r="B4301" t="s">
        <v>983</v>
      </c>
      <c r="C4301" t="s">
        <v>9689</v>
      </c>
      <c r="D4301" t="s">
        <v>9739</v>
      </c>
      <c r="E4301" t="s">
        <v>1719</v>
      </c>
    </row>
    <row r="4302" spans="1:5" x14ac:dyDescent="0.2">
      <c r="A4302">
        <v>4302</v>
      </c>
      <c r="B4302" t="s">
        <v>983</v>
      </c>
      <c r="C4302" t="s">
        <v>9687</v>
      </c>
      <c r="D4302" t="s">
        <v>9740</v>
      </c>
      <c r="E4302" t="s">
        <v>1719</v>
      </c>
    </row>
    <row r="4303" spans="1:5" x14ac:dyDescent="0.2">
      <c r="A4303">
        <v>4303</v>
      </c>
      <c r="B4303" t="s">
        <v>983</v>
      </c>
      <c r="C4303" t="s">
        <v>9721</v>
      </c>
      <c r="D4303" t="s">
        <v>9741</v>
      </c>
      <c r="E4303" t="s">
        <v>1719</v>
      </c>
    </row>
    <row r="4304" spans="1:5" x14ac:dyDescent="0.2">
      <c r="A4304">
        <v>4304</v>
      </c>
      <c r="B4304" t="s">
        <v>983</v>
      </c>
      <c r="C4304" t="s">
        <v>9677</v>
      </c>
      <c r="D4304" t="s">
        <v>9742</v>
      </c>
      <c r="E4304" t="s">
        <v>1719</v>
      </c>
    </row>
    <row r="4305" spans="1:5" x14ac:dyDescent="0.2">
      <c r="A4305">
        <v>4305</v>
      </c>
      <c r="B4305" t="s">
        <v>983</v>
      </c>
      <c r="C4305" t="s">
        <v>9693</v>
      </c>
      <c r="D4305" t="s">
        <v>9743</v>
      </c>
      <c r="E4305" t="s">
        <v>1719</v>
      </c>
    </row>
    <row r="4306" spans="1:5" x14ac:dyDescent="0.2">
      <c r="A4306">
        <v>4306</v>
      </c>
      <c r="B4306" t="s">
        <v>983</v>
      </c>
      <c r="C4306" t="s">
        <v>9700</v>
      </c>
      <c r="D4306" t="s">
        <v>9744</v>
      </c>
      <c r="E4306" t="s">
        <v>1719</v>
      </c>
    </row>
    <row r="4307" spans="1:5" x14ac:dyDescent="0.2">
      <c r="A4307">
        <v>4307</v>
      </c>
      <c r="B4307" t="s">
        <v>983</v>
      </c>
      <c r="C4307" t="s">
        <v>9675</v>
      </c>
      <c r="D4307" t="s">
        <v>9745</v>
      </c>
      <c r="E4307" t="s">
        <v>1719</v>
      </c>
    </row>
    <row r="4308" spans="1:5" x14ac:dyDescent="0.2">
      <c r="A4308">
        <v>4308</v>
      </c>
      <c r="B4308" t="s">
        <v>987</v>
      </c>
      <c r="C4308" t="s">
        <v>9746</v>
      </c>
      <c r="D4308" t="s">
        <v>9747</v>
      </c>
      <c r="E4308" t="s">
        <v>2113</v>
      </c>
    </row>
    <row r="4309" spans="1:5" x14ac:dyDescent="0.2">
      <c r="A4309">
        <v>4309</v>
      </c>
      <c r="B4309" t="s">
        <v>987</v>
      </c>
      <c r="C4309" t="s">
        <v>9748</v>
      </c>
      <c r="D4309" t="s">
        <v>9749</v>
      </c>
      <c r="E4309" t="s">
        <v>2113</v>
      </c>
    </row>
    <row r="4310" spans="1:5" x14ac:dyDescent="0.2">
      <c r="A4310">
        <v>4310</v>
      </c>
      <c r="B4310" t="s">
        <v>987</v>
      </c>
      <c r="C4310" t="s">
        <v>9750</v>
      </c>
      <c r="D4310" t="s">
        <v>9751</v>
      </c>
      <c r="E4310" t="s">
        <v>2113</v>
      </c>
    </row>
    <row r="4311" spans="1:5" x14ac:dyDescent="0.2">
      <c r="A4311">
        <v>4311</v>
      </c>
      <c r="B4311" t="s">
        <v>987</v>
      </c>
      <c r="C4311" t="s">
        <v>9752</v>
      </c>
      <c r="D4311" t="s">
        <v>9753</v>
      </c>
      <c r="E4311" t="s">
        <v>2113</v>
      </c>
    </row>
    <row r="4312" spans="1:5" x14ac:dyDescent="0.2">
      <c r="A4312">
        <v>4312</v>
      </c>
      <c r="B4312" t="s">
        <v>987</v>
      </c>
      <c r="C4312" t="s">
        <v>9754</v>
      </c>
      <c r="D4312" t="s">
        <v>9755</v>
      </c>
      <c r="E4312" t="s">
        <v>2113</v>
      </c>
    </row>
    <row r="4313" spans="1:5" x14ac:dyDescent="0.2">
      <c r="A4313">
        <v>4313</v>
      </c>
      <c r="B4313" t="s">
        <v>987</v>
      </c>
      <c r="C4313" t="s">
        <v>9756</v>
      </c>
      <c r="D4313" t="s">
        <v>9757</v>
      </c>
      <c r="E4313" t="s">
        <v>2113</v>
      </c>
    </row>
    <row r="4314" spans="1:5" x14ac:dyDescent="0.2">
      <c r="A4314">
        <v>4314</v>
      </c>
      <c r="B4314" t="s">
        <v>987</v>
      </c>
      <c r="C4314" t="s">
        <v>9758</v>
      </c>
      <c r="D4314" t="s">
        <v>9759</v>
      </c>
      <c r="E4314" t="s">
        <v>2113</v>
      </c>
    </row>
    <row r="4315" spans="1:5" x14ac:dyDescent="0.2">
      <c r="A4315">
        <v>4315</v>
      </c>
      <c r="B4315" t="s">
        <v>987</v>
      </c>
      <c r="C4315" t="s">
        <v>9760</v>
      </c>
      <c r="D4315" t="s">
        <v>9761</v>
      </c>
      <c r="E4315" t="s">
        <v>2113</v>
      </c>
    </row>
    <row r="4316" spans="1:5" x14ac:dyDescent="0.2">
      <c r="A4316">
        <v>4316</v>
      </c>
      <c r="B4316" t="s">
        <v>987</v>
      </c>
      <c r="C4316" t="s">
        <v>9762</v>
      </c>
      <c r="D4316" t="s">
        <v>9763</v>
      </c>
      <c r="E4316" t="s">
        <v>2113</v>
      </c>
    </row>
    <row r="4317" spans="1:5" x14ac:dyDescent="0.2">
      <c r="A4317">
        <v>4317</v>
      </c>
      <c r="B4317" t="s">
        <v>987</v>
      </c>
      <c r="C4317" t="s">
        <v>9764</v>
      </c>
      <c r="D4317" t="s">
        <v>9765</v>
      </c>
      <c r="E4317" t="s">
        <v>2113</v>
      </c>
    </row>
    <row r="4318" spans="1:5" x14ac:dyDescent="0.2">
      <c r="A4318">
        <v>4318</v>
      </c>
      <c r="B4318" t="s">
        <v>989</v>
      </c>
      <c r="C4318" t="s">
        <v>9766</v>
      </c>
      <c r="D4318" t="s">
        <v>9767</v>
      </c>
      <c r="E4318" t="s">
        <v>1719</v>
      </c>
    </row>
    <row r="4319" spans="1:5" x14ac:dyDescent="0.2">
      <c r="A4319">
        <v>4319</v>
      </c>
      <c r="B4319" t="s">
        <v>989</v>
      </c>
      <c r="C4319" t="s">
        <v>9768</v>
      </c>
      <c r="D4319" t="s">
        <v>9769</v>
      </c>
      <c r="E4319" t="s">
        <v>1719</v>
      </c>
    </row>
    <row r="4320" spans="1:5" x14ac:dyDescent="0.2">
      <c r="A4320">
        <v>4320</v>
      </c>
      <c r="B4320" t="s">
        <v>989</v>
      </c>
      <c r="C4320" t="s">
        <v>9770</v>
      </c>
      <c r="D4320" t="s">
        <v>9771</v>
      </c>
      <c r="E4320" t="s">
        <v>1719</v>
      </c>
    </row>
    <row r="4321" spans="1:5" x14ac:dyDescent="0.2">
      <c r="A4321">
        <v>4321</v>
      </c>
      <c r="B4321" t="s">
        <v>989</v>
      </c>
      <c r="C4321" t="s">
        <v>9768</v>
      </c>
      <c r="D4321" t="s">
        <v>9772</v>
      </c>
      <c r="E4321" t="s">
        <v>1719</v>
      </c>
    </row>
    <row r="4322" spans="1:5" x14ac:dyDescent="0.2">
      <c r="A4322">
        <v>4322</v>
      </c>
      <c r="B4322" t="s">
        <v>989</v>
      </c>
      <c r="C4322" t="s">
        <v>9773</v>
      </c>
      <c r="D4322" t="s">
        <v>9774</v>
      </c>
      <c r="E4322" t="s">
        <v>1719</v>
      </c>
    </row>
    <row r="4323" spans="1:5" x14ac:dyDescent="0.2">
      <c r="A4323">
        <v>4323</v>
      </c>
      <c r="B4323" t="s">
        <v>989</v>
      </c>
      <c r="C4323" t="s">
        <v>9775</v>
      </c>
      <c r="D4323" t="s">
        <v>9776</v>
      </c>
      <c r="E4323" t="s">
        <v>9777</v>
      </c>
    </row>
    <row r="4324" spans="1:5" x14ac:dyDescent="0.2">
      <c r="A4324">
        <v>4324</v>
      </c>
      <c r="B4324" t="s">
        <v>989</v>
      </c>
      <c r="C4324" t="s">
        <v>9778</v>
      </c>
      <c r="D4324" t="s">
        <v>9779</v>
      </c>
      <c r="E4324" t="s">
        <v>1719</v>
      </c>
    </row>
    <row r="4325" spans="1:5" x14ac:dyDescent="0.2">
      <c r="A4325">
        <v>4325</v>
      </c>
      <c r="B4325" t="s">
        <v>989</v>
      </c>
      <c r="C4325" t="s">
        <v>9780</v>
      </c>
      <c r="D4325" t="s">
        <v>9781</v>
      </c>
      <c r="E4325" t="s">
        <v>9777</v>
      </c>
    </row>
    <row r="4326" spans="1:5" x14ac:dyDescent="0.2">
      <c r="A4326">
        <v>4326</v>
      </c>
      <c r="B4326" t="s">
        <v>989</v>
      </c>
      <c r="C4326" t="s">
        <v>9782</v>
      </c>
      <c r="D4326" t="s">
        <v>9783</v>
      </c>
      <c r="E4326" t="s">
        <v>1719</v>
      </c>
    </row>
    <row r="4327" spans="1:5" x14ac:dyDescent="0.2">
      <c r="A4327">
        <v>4327</v>
      </c>
      <c r="B4327" t="s">
        <v>989</v>
      </c>
      <c r="C4327" t="s">
        <v>9784</v>
      </c>
      <c r="D4327" t="s">
        <v>9785</v>
      </c>
      <c r="E4327" t="s">
        <v>9777</v>
      </c>
    </row>
    <row r="4328" spans="1:5" x14ac:dyDescent="0.2">
      <c r="A4328">
        <v>4328</v>
      </c>
      <c r="B4328" t="s">
        <v>989</v>
      </c>
      <c r="C4328" t="s">
        <v>9786</v>
      </c>
      <c r="D4328" t="s">
        <v>9787</v>
      </c>
      <c r="E4328" t="s">
        <v>1719</v>
      </c>
    </row>
    <row r="4329" spans="1:5" x14ac:dyDescent="0.2">
      <c r="A4329">
        <v>4329</v>
      </c>
      <c r="B4329" t="s">
        <v>989</v>
      </c>
      <c r="C4329" t="s">
        <v>9788</v>
      </c>
      <c r="D4329" t="s">
        <v>9789</v>
      </c>
      <c r="E4329" t="s">
        <v>1719</v>
      </c>
    </row>
    <row r="4330" spans="1:5" x14ac:dyDescent="0.2">
      <c r="A4330">
        <v>4330</v>
      </c>
      <c r="B4330" t="s">
        <v>989</v>
      </c>
      <c r="C4330" t="s">
        <v>9790</v>
      </c>
      <c r="D4330" t="s">
        <v>9791</v>
      </c>
      <c r="E4330" t="s">
        <v>1719</v>
      </c>
    </row>
    <row r="4331" spans="1:5" x14ac:dyDescent="0.2">
      <c r="A4331">
        <v>4331</v>
      </c>
      <c r="B4331" t="s">
        <v>989</v>
      </c>
      <c r="C4331" t="s">
        <v>9792</v>
      </c>
      <c r="D4331" t="s">
        <v>9793</v>
      </c>
      <c r="E4331" t="s">
        <v>1719</v>
      </c>
    </row>
    <row r="4332" spans="1:5" x14ac:dyDescent="0.2">
      <c r="A4332">
        <v>4332</v>
      </c>
      <c r="B4332" t="s">
        <v>989</v>
      </c>
      <c r="C4332" t="s">
        <v>9794</v>
      </c>
      <c r="D4332" t="s">
        <v>9795</v>
      </c>
      <c r="E4332" t="s">
        <v>1719</v>
      </c>
    </row>
    <row r="4333" spans="1:5" x14ac:dyDescent="0.2">
      <c r="A4333">
        <v>4333</v>
      </c>
      <c r="B4333" t="s">
        <v>989</v>
      </c>
      <c r="C4333" t="s">
        <v>9796</v>
      </c>
      <c r="D4333" t="s">
        <v>9797</v>
      </c>
      <c r="E4333" t="s">
        <v>9777</v>
      </c>
    </row>
    <row r="4334" spans="1:5" x14ac:dyDescent="0.2">
      <c r="A4334">
        <v>4334</v>
      </c>
      <c r="B4334" t="s">
        <v>989</v>
      </c>
      <c r="C4334" t="s">
        <v>9798</v>
      </c>
      <c r="D4334" t="s">
        <v>9799</v>
      </c>
      <c r="E4334" t="s">
        <v>9777</v>
      </c>
    </row>
    <row r="4335" spans="1:5" x14ac:dyDescent="0.2">
      <c r="A4335">
        <v>4335</v>
      </c>
      <c r="B4335" t="s">
        <v>989</v>
      </c>
      <c r="C4335" t="s">
        <v>9800</v>
      </c>
      <c r="D4335" t="s">
        <v>9799</v>
      </c>
      <c r="E4335" t="s">
        <v>1719</v>
      </c>
    </row>
    <row r="4336" spans="1:5" x14ac:dyDescent="0.2">
      <c r="A4336">
        <v>4336</v>
      </c>
      <c r="B4336" t="s">
        <v>989</v>
      </c>
      <c r="C4336" t="s">
        <v>9801</v>
      </c>
      <c r="D4336" t="s">
        <v>9802</v>
      </c>
      <c r="E4336" t="s">
        <v>1719</v>
      </c>
    </row>
    <row r="4337" spans="1:5" x14ac:dyDescent="0.2">
      <c r="A4337">
        <v>4337</v>
      </c>
      <c r="B4337" t="s">
        <v>989</v>
      </c>
      <c r="C4337" t="s">
        <v>9801</v>
      </c>
      <c r="D4337" t="s">
        <v>9803</v>
      </c>
      <c r="E4337" t="s">
        <v>1719</v>
      </c>
    </row>
    <row r="4338" spans="1:5" x14ac:dyDescent="0.2">
      <c r="A4338">
        <v>4338</v>
      </c>
      <c r="B4338" t="s">
        <v>989</v>
      </c>
      <c r="C4338" t="s">
        <v>9804</v>
      </c>
      <c r="D4338" t="s">
        <v>9805</v>
      </c>
      <c r="E4338" t="s">
        <v>9777</v>
      </c>
    </row>
    <row r="4339" spans="1:5" x14ac:dyDescent="0.2">
      <c r="A4339">
        <v>4339</v>
      </c>
      <c r="B4339" t="s">
        <v>989</v>
      </c>
      <c r="C4339" t="s">
        <v>9806</v>
      </c>
      <c r="D4339" t="s">
        <v>9807</v>
      </c>
      <c r="E4339" t="s">
        <v>9777</v>
      </c>
    </row>
    <row r="4340" spans="1:5" x14ac:dyDescent="0.2">
      <c r="A4340">
        <v>4340</v>
      </c>
      <c r="B4340" t="s">
        <v>989</v>
      </c>
      <c r="C4340" t="s">
        <v>9808</v>
      </c>
      <c r="D4340" t="s">
        <v>9809</v>
      </c>
      <c r="E4340" t="s">
        <v>9777</v>
      </c>
    </row>
    <row r="4341" spans="1:5" x14ac:dyDescent="0.2">
      <c r="A4341">
        <v>4341</v>
      </c>
      <c r="B4341" t="s">
        <v>989</v>
      </c>
      <c r="C4341" t="s">
        <v>9810</v>
      </c>
      <c r="D4341" t="s">
        <v>9811</v>
      </c>
      <c r="E4341" t="s">
        <v>9812</v>
      </c>
    </row>
    <row r="4342" spans="1:5" x14ac:dyDescent="0.2">
      <c r="A4342">
        <v>4342</v>
      </c>
      <c r="B4342" t="s">
        <v>989</v>
      </c>
      <c r="C4342" t="s">
        <v>9813</v>
      </c>
      <c r="D4342" t="s">
        <v>9814</v>
      </c>
      <c r="E4342" t="s">
        <v>1719</v>
      </c>
    </row>
    <row r="4343" spans="1:5" x14ac:dyDescent="0.2">
      <c r="A4343">
        <v>4343</v>
      </c>
      <c r="B4343" t="s">
        <v>989</v>
      </c>
      <c r="C4343" t="s">
        <v>9815</v>
      </c>
      <c r="D4343" t="s">
        <v>9816</v>
      </c>
      <c r="E4343" t="s">
        <v>1719</v>
      </c>
    </row>
    <row r="4344" spans="1:5" x14ac:dyDescent="0.2">
      <c r="A4344">
        <v>4344</v>
      </c>
      <c r="B4344" t="s">
        <v>989</v>
      </c>
      <c r="C4344" t="s">
        <v>9817</v>
      </c>
      <c r="D4344" t="s">
        <v>9818</v>
      </c>
      <c r="E4344" t="s">
        <v>1719</v>
      </c>
    </row>
    <row r="4345" spans="1:5" x14ac:dyDescent="0.2">
      <c r="A4345">
        <v>4345</v>
      </c>
      <c r="B4345" t="s">
        <v>989</v>
      </c>
      <c r="C4345" t="s">
        <v>9819</v>
      </c>
      <c r="D4345" t="s">
        <v>9820</v>
      </c>
      <c r="E4345" t="s">
        <v>1719</v>
      </c>
    </row>
    <row r="4346" spans="1:5" x14ac:dyDescent="0.2">
      <c r="A4346">
        <v>4346</v>
      </c>
      <c r="B4346" t="s">
        <v>989</v>
      </c>
      <c r="C4346" t="s">
        <v>9821</v>
      </c>
      <c r="D4346" t="s">
        <v>2050</v>
      </c>
      <c r="E4346" t="s">
        <v>1719</v>
      </c>
    </row>
    <row r="4347" spans="1:5" x14ac:dyDescent="0.2">
      <c r="A4347">
        <v>4347</v>
      </c>
      <c r="B4347" t="s">
        <v>989</v>
      </c>
      <c r="C4347" t="s">
        <v>9822</v>
      </c>
      <c r="D4347" t="s">
        <v>9823</v>
      </c>
      <c r="E4347" t="s">
        <v>9777</v>
      </c>
    </row>
    <row r="4348" spans="1:5" x14ac:dyDescent="0.2">
      <c r="A4348">
        <v>4348</v>
      </c>
      <c r="B4348" t="s">
        <v>989</v>
      </c>
      <c r="C4348" t="s">
        <v>9824</v>
      </c>
      <c r="D4348" t="s">
        <v>9825</v>
      </c>
      <c r="E4348" t="s">
        <v>9777</v>
      </c>
    </row>
    <row r="4349" spans="1:5" x14ac:dyDescent="0.2">
      <c r="A4349">
        <v>4349</v>
      </c>
      <c r="B4349" t="s">
        <v>989</v>
      </c>
      <c r="C4349" t="s">
        <v>9826</v>
      </c>
      <c r="D4349" t="s">
        <v>9827</v>
      </c>
      <c r="E4349" t="s">
        <v>9777</v>
      </c>
    </row>
    <row r="4350" spans="1:5" x14ac:dyDescent="0.2">
      <c r="A4350">
        <v>4350</v>
      </c>
      <c r="B4350" t="s">
        <v>989</v>
      </c>
      <c r="C4350" t="s">
        <v>9828</v>
      </c>
      <c r="D4350" t="s">
        <v>9829</v>
      </c>
      <c r="E4350" t="s">
        <v>1719</v>
      </c>
    </row>
    <row r="4351" spans="1:5" x14ac:dyDescent="0.2">
      <c r="A4351">
        <v>4351</v>
      </c>
      <c r="B4351" t="s">
        <v>989</v>
      </c>
      <c r="C4351" t="s">
        <v>9830</v>
      </c>
      <c r="D4351" t="s">
        <v>9831</v>
      </c>
      <c r="E4351" t="s">
        <v>1719</v>
      </c>
    </row>
    <row r="4352" spans="1:5" x14ac:dyDescent="0.2">
      <c r="A4352">
        <v>4352</v>
      </c>
      <c r="B4352" t="s">
        <v>989</v>
      </c>
      <c r="C4352" t="s">
        <v>9832</v>
      </c>
      <c r="D4352" t="s">
        <v>7791</v>
      </c>
      <c r="E4352" t="s">
        <v>1719</v>
      </c>
    </row>
    <row r="4353" spans="1:5" x14ac:dyDescent="0.2">
      <c r="A4353">
        <v>4353</v>
      </c>
      <c r="B4353" t="s">
        <v>989</v>
      </c>
      <c r="C4353" t="s">
        <v>9833</v>
      </c>
      <c r="D4353" t="s">
        <v>9834</v>
      </c>
      <c r="E4353" t="s">
        <v>1719</v>
      </c>
    </row>
    <row r="4354" spans="1:5" x14ac:dyDescent="0.2">
      <c r="A4354">
        <v>4354</v>
      </c>
      <c r="B4354" t="s">
        <v>989</v>
      </c>
      <c r="C4354" t="s">
        <v>9828</v>
      </c>
      <c r="D4354" t="s">
        <v>9835</v>
      </c>
      <c r="E4354" t="s">
        <v>1719</v>
      </c>
    </row>
    <row r="4355" spans="1:5" x14ac:dyDescent="0.2">
      <c r="A4355">
        <v>4355</v>
      </c>
      <c r="B4355" t="s">
        <v>989</v>
      </c>
      <c r="C4355" t="s">
        <v>9836</v>
      </c>
      <c r="D4355" t="s">
        <v>9837</v>
      </c>
      <c r="E4355" t="s">
        <v>1719</v>
      </c>
    </row>
    <row r="4356" spans="1:5" x14ac:dyDescent="0.2">
      <c r="A4356">
        <v>4356</v>
      </c>
      <c r="B4356" t="s">
        <v>989</v>
      </c>
      <c r="C4356" t="s">
        <v>9838</v>
      </c>
      <c r="D4356" t="s">
        <v>9839</v>
      </c>
      <c r="E4356" t="s">
        <v>1719</v>
      </c>
    </row>
    <row r="4357" spans="1:5" x14ac:dyDescent="0.2">
      <c r="A4357">
        <v>4357</v>
      </c>
      <c r="B4357" t="s">
        <v>989</v>
      </c>
      <c r="C4357" t="s">
        <v>9840</v>
      </c>
      <c r="D4357" t="s">
        <v>9841</v>
      </c>
      <c r="E4357" t="s">
        <v>9777</v>
      </c>
    </row>
    <row r="4358" spans="1:5" x14ac:dyDescent="0.2">
      <c r="A4358">
        <v>4358</v>
      </c>
      <c r="B4358" t="s">
        <v>989</v>
      </c>
      <c r="C4358" t="s">
        <v>9842</v>
      </c>
      <c r="D4358" t="s">
        <v>9843</v>
      </c>
      <c r="E4358" t="s">
        <v>1719</v>
      </c>
    </row>
    <row r="4359" spans="1:5" x14ac:dyDescent="0.2">
      <c r="A4359">
        <v>4359</v>
      </c>
      <c r="B4359" t="s">
        <v>989</v>
      </c>
      <c r="C4359" t="s">
        <v>9844</v>
      </c>
      <c r="D4359" t="s">
        <v>2060</v>
      </c>
      <c r="E4359" t="s">
        <v>1719</v>
      </c>
    </row>
    <row r="4360" spans="1:5" x14ac:dyDescent="0.2">
      <c r="A4360">
        <v>4360</v>
      </c>
      <c r="B4360" t="s">
        <v>989</v>
      </c>
      <c r="C4360" t="s">
        <v>9845</v>
      </c>
      <c r="D4360" t="s">
        <v>2060</v>
      </c>
      <c r="E4360" t="s">
        <v>9777</v>
      </c>
    </row>
    <row r="4361" spans="1:5" x14ac:dyDescent="0.2">
      <c r="A4361">
        <v>4361</v>
      </c>
      <c r="B4361" t="s">
        <v>989</v>
      </c>
      <c r="C4361" t="s">
        <v>9846</v>
      </c>
      <c r="D4361" t="s">
        <v>9847</v>
      </c>
      <c r="E4361" t="s">
        <v>1719</v>
      </c>
    </row>
    <row r="4362" spans="1:5" x14ac:dyDescent="0.2">
      <c r="A4362">
        <v>4362</v>
      </c>
      <c r="B4362" t="s">
        <v>989</v>
      </c>
      <c r="C4362" t="s">
        <v>9848</v>
      </c>
      <c r="D4362" t="s">
        <v>7795</v>
      </c>
      <c r="E4362" t="s">
        <v>1719</v>
      </c>
    </row>
    <row r="4363" spans="1:5" x14ac:dyDescent="0.2">
      <c r="A4363">
        <v>4363</v>
      </c>
      <c r="B4363" t="s">
        <v>989</v>
      </c>
      <c r="C4363" t="s">
        <v>9849</v>
      </c>
      <c r="D4363" t="s">
        <v>9850</v>
      </c>
      <c r="E4363" t="s">
        <v>1719</v>
      </c>
    </row>
    <row r="4364" spans="1:5" x14ac:dyDescent="0.2">
      <c r="A4364">
        <v>4364</v>
      </c>
      <c r="B4364" t="s">
        <v>989</v>
      </c>
      <c r="C4364" t="s">
        <v>9851</v>
      </c>
      <c r="D4364" t="s">
        <v>9852</v>
      </c>
      <c r="E4364" t="s">
        <v>1719</v>
      </c>
    </row>
    <row r="4365" spans="1:5" x14ac:dyDescent="0.2">
      <c r="A4365">
        <v>4365</v>
      </c>
      <c r="B4365" t="s">
        <v>989</v>
      </c>
      <c r="C4365" t="s">
        <v>9853</v>
      </c>
      <c r="D4365" t="s">
        <v>9854</v>
      </c>
      <c r="E4365" t="s">
        <v>1719</v>
      </c>
    </row>
    <row r="4366" spans="1:5" x14ac:dyDescent="0.2">
      <c r="A4366">
        <v>4366</v>
      </c>
      <c r="B4366" t="s">
        <v>989</v>
      </c>
      <c r="C4366" t="s">
        <v>9855</v>
      </c>
      <c r="D4366" t="s">
        <v>9856</v>
      </c>
      <c r="E4366" t="s">
        <v>9777</v>
      </c>
    </row>
    <row r="4367" spans="1:5" x14ac:dyDescent="0.2">
      <c r="A4367">
        <v>4367</v>
      </c>
      <c r="B4367" t="s">
        <v>989</v>
      </c>
      <c r="C4367" t="s">
        <v>9857</v>
      </c>
      <c r="D4367" t="s">
        <v>9858</v>
      </c>
      <c r="E4367" t="s">
        <v>9812</v>
      </c>
    </row>
    <row r="4368" spans="1:5" x14ac:dyDescent="0.2">
      <c r="A4368">
        <v>4368</v>
      </c>
      <c r="B4368" t="s">
        <v>989</v>
      </c>
      <c r="C4368" t="s">
        <v>9859</v>
      </c>
      <c r="D4368" t="s">
        <v>9860</v>
      </c>
      <c r="E4368" t="s">
        <v>1719</v>
      </c>
    </row>
    <row r="4369" spans="1:5" x14ac:dyDescent="0.2">
      <c r="A4369">
        <v>4369</v>
      </c>
      <c r="B4369" t="s">
        <v>989</v>
      </c>
      <c r="C4369" t="s">
        <v>9861</v>
      </c>
      <c r="D4369" t="s">
        <v>9862</v>
      </c>
      <c r="E4369" t="s">
        <v>9777</v>
      </c>
    </row>
    <row r="4370" spans="1:5" x14ac:dyDescent="0.2">
      <c r="A4370">
        <v>4370</v>
      </c>
      <c r="B4370" t="s">
        <v>989</v>
      </c>
      <c r="C4370" t="s">
        <v>9863</v>
      </c>
      <c r="D4370" t="s">
        <v>9864</v>
      </c>
      <c r="E4370" t="s">
        <v>1719</v>
      </c>
    </row>
    <row r="4371" spans="1:5" x14ac:dyDescent="0.2">
      <c r="A4371">
        <v>4371</v>
      </c>
      <c r="B4371" t="s">
        <v>989</v>
      </c>
      <c r="C4371" t="s">
        <v>9865</v>
      </c>
      <c r="D4371" t="s">
        <v>9866</v>
      </c>
      <c r="E4371" t="s">
        <v>1719</v>
      </c>
    </row>
    <row r="4372" spans="1:5" x14ac:dyDescent="0.2">
      <c r="A4372">
        <v>4372</v>
      </c>
      <c r="B4372" t="s">
        <v>989</v>
      </c>
      <c r="C4372" t="s">
        <v>9867</v>
      </c>
      <c r="D4372" t="s">
        <v>9868</v>
      </c>
      <c r="E4372" t="s">
        <v>9777</v>
      </c>
    </row>
    <row r="4373" spans="1:5" x14ac:dyDescent="0.2">
      <c r="A4373">
        <v>4373</v>
      </c>
      <c r="B4373" t="s">
        <v>989</v>
      </c>
      <c r="C4373" t="s">
        <v>9865</v>
      </c>
      <c r="D4373" t="s">
        <v>9869</v>
      </c>
      <c r="E4373" t="s">
        <v>1719</v>
      </c>
    </row>
    <row r="4374" spans="1:5" x14ac:dyDescent="0.2">
      <c r="A4374">
        <v>4374</v>
      </c>
      <c r="B4374" t="s">
        <v>989</v>
      </c>
      <c r="C4374" t="s">
        <v>9867</v>
      </c>
      <c r="D4374" t="s">
        <v>9870</v>
      </c>
      <c r="E4374" t="s">
        <v>9777</v>
      </c>
    </row>
    <row r="4375" spans="1:5" x14ac:dyDescent="0.2">
      <c r="A4375">
        <v>4375</v>
      </c>
      <c r="B4375" t="s">
        <v>989</v>
      </c>
      <c r="C4375" t="s">
        <v>9871</v>
      </c>
      <c r="D4375" t="s">
        <v>9872</v>
      </c>
      <c r="E4375" t="s">
        <v>1719</v>
      </c>
    </row>
    <row r="4376" spans="1:5" x14ac:dyDescent="0.2">
      <c r="A4376">
        <v>4376</v>
      </c>
      <c r="B4376" t="s">
        <v>989</v>
      </c>
      <c r="C4376" t="s">
        <v>9873</v>
      </c>
      <c r="D4376" t="s">
        <v>9874</v>
      </c>
      <c r="E4376" t="s">
        <v>1719</v>
      </c>
    </row>
    <row r="4377" spans="1:5" x14ac:dyDescent="0.2">
      <c r="A4377">
        <v>4377</v>
      </c>
      <c r="B4377" t="s">
        <v>989</v>
      </c>
      <c r="C4377" t="s">
        <v>9822</v>
      </c>
      <c r="D4377" t="s">
        <v>9875</v>
      </c>
      <c r="E4377" t="s">
        <v>9777</v>
      </c>
    </row>
    <row r="4378" spans="1:5" x14ac:dyDescent="0.2">
      <c r="A4378">
        <v>4378</v>
      </c>
      <c r="B4378" t="s">
        <v>989</v>
      </c>
      <c r="C4378" t="s">
        <v>9876</v>
      </c>
      <c r="D4378" t="s">
        <v>9877</v>
      </c>
      <c r="E4378" t="s">
        <v>1719</v>
      </c>
    </row>
    <row r="4379" spans="1:5" x14ac:dyDescent="0.2">
      <c r="A4379">
        <v>4379</v>
      </c>
      <c r="B4379" t="s">
        <v>989</v>
      </c>
      <c r="C4379" t="s">
        <v>9878</v>
      </c>
      <c r="D4379" t="s">
        <v>9879</v>
      </c>
      <c r="E4379" t="s">
        <v>1719</v>
      </c>
    </row>
    <row r="4380" spans="1:5" x14ac:dyDescent="0.2">
      <c r="A4380">
        <v>4380</v>
      </c>
      <c r="B4380" t="s">
        <v>989</v>
      </c>
      <c r="C4380" t="s">
        <v>9880</v>
      </c>
      <c r="D4380" t="s">
        <v>9881</v>
      </c>
      <c r="E4380" t="s">
        <v>1719</v>
      </c>
    </row>
    <row r="4381" spans="1:5" x14ac:dyDescent="0.2">
      <c r="A4381">
        <v>4381</v>
      </c>
      <c r="B4381" t="s">
        <v>989</v>
      </c>
      <c r="C4381" t="s">
        <v>9882</v>
      </c>
      <c r="D4381" t="s">
        <v>9883</v>
      </c>
      <c r="E4381" t="s">
        <v>1719</v>
      </c>
    </row>
    <row r="4382" spans="1:5" x14ac:dyDescent="0.2">
      <c r="A4382">
        <v>4382</v>
      </c>
      <c r="B4382" t="s">
        <v>989</v>
      </c>
      <c r="C4382" t="s">
        <v>9884</v>
      </c>
      <c r="D4382" t="s">
        <v>9885</v>
      </c>
      <c r="E4382" t="s">
        <v>1719</v>
      </c>
    </row>
    <row r="4383" spans="1:5" x14ac:dyDescent="0.2">
      <c r="A4383">
        <v>4383</v>
      </c>
      <c r="B4383" t="s">
        <v>989</v>
      </c>
      <c r="C4383" t="s">
        <v>9886</v>
      </c>
      <c r="D4383" t="s">
        <v>9887</v>
      </c>
      <c r="E4383" t="s">
        <v>1719</v>
      </c>
    </row>
    <row r="4384" spans="1:5" x14ac:dyDescent="0.2">
      <c r="A4384">
        <v>4384</v>
      </c>
      <c r="B4384" t="s">
        <v>989</v>
      </c>
      <c r="C4384" t="s">
        <v>9888</v>
      </c>
      <c r="D4384" t="s">
        <v>9889</v>
      </c>
      <c r="E4384" t="s">
        <v>1719</v>
      </c>
    </row>
    <row r="4385" spans="1:5" x14ac:dyDescent="0.2">
      <c r="A4385">
        <v>4385</v>
      </c>
      <c r="B4385" t="s">
        <v>989</v>
      </c>
      <c r="C4385" t="s">
        <v>9890</v>
      </c>
      <c r="D4385" t="s">
        <v>9891</v>
      </c>
      <c r="E4385" t="s">
        <v>1719</v>
      </c>
    </row>
    <row r="4386" spans="1:5" x14ac:dyDescent="0.2">
      <c r="A4386">
        <v>4386</v>
      </c>
      <c r="B4386" t="s">
        <v>989</v>
      </c>
      <c r="C4386" t="s">
        <v>9892</v>
      </c>
      <c r="D4386" t="s">
        <v>2587</v>
      </c>
      <c r="E4386" t="s">
        <v>1719</v>
      </c>
    </row>
    <row r="4387" spans="1:5" x14ac:dyDescent="0.2">
      <c r="A4387">
        <v>4387</v>
      </c>
      <c r="B4387" t="s">
        <v>989</v>
      </c>
      <c r="C4387" t="s">
        <v>9893</v>
      </c>
      <c r="D4387" t="s">
        <v>9894</v>
      </c>
      <c r="E4387" t="s">
        <v>1719</v>
      </c>
    </row>
    <row r="4388" spans="1:5" x14ac:dyDescent="0.2">
      <c r="A4388">
        <v>4388</v>
      </c>
      <c r="B4388" t="s">
        <v>989</v>
      </c>
      <c r="C4388" t="s">
        <v>9895</v>
      </c>
      <c r="D4388" t="s">
        <v>9896</v>
      </c>
      <c r="E4388" t="s">
        <v>9777</v>
      </c>
    </row>
    <row r="4389" spans="1:5" x14ac:dyDescent="0.2">
      <c r="A4389">
        <v>4389</v>
      </c>
      <c r="B4389" t="s">
        <v>989</v>
      </c>
      <c r="C4389" t="s">
        <v>9895</v>
      </c>
      <c r="D4389" t="s">
        <v>9897</v>
      </c>
      <c r="E4389" t="s">
        <v>9777</v>
      </c>
    </row>
    <row r="4390" spans="1:5" x14ac:dyDescent="0.2">
      <c r="A4390">
        <v>4390</v>
      </c>
      <c r="B4390" t="s">
        <v>989</v>
      </c>
      <c r="C4390" t="s">
        <v>9898</v>
      </c>
      <c r="D4390" t="s">
        <v>9899</v>
      </c>
      <c r="E4390" t="s">
        <v>1719</v>
      </c>
    </row>
    <row r="4391" spans="1:5" x14ac:dyDescent="0.2">
      <c r="A4391">
        <v>4391</v>
      </c>
      <c r="B4391" t="s">
        <v>989</v>
      </c>
      <c r="C4391" t="s">
        <v>9893</v>
      </c>
      <c r="D4391" t="s">
        <v>9900</v>
      </c>
      <c r="E4391" t="s">
        <v>1719</v>
      </c>
    </row>
    <row r="4392" spans="1:5" x14ac:dyDescent="0.2">
      <c r="A4392">
        <v>4392</v>
      </c>
      <c r="B4392" t="s">
        <v>989</v>
      </c>
      <c r="C4392" t="s">
        <v>9792</v>
      </c>
      <c r="D4392" t="s">
        <v>9901</v>
      </c>
      <c r="E4392" t="s">
        <v>1719</v>
      </c>
    </row>
    <row r="4393" spans="1:5" x14ac:dyDescent="0.2">
      <c r="A4393">
        <v>4393</v>
      </c>
      <c r="B4393" t="s">
        <v>989</v>
      </c>
      <c r="C4393" t="s">
        <v>9902</v>
      </c>
      <c r="D4393" t="s">
        <v>9903</v>
      </c>
      <c r="E4393" t="s">
        <v>1719</v>
      </c>
    </row>
    <row r="4394" spans="1:5" x14ac:dyDescent="0.2">
      <c r="A4394">
        <v>4394</v>
      </c>
      <c r="B4394" t="s">
        <v>989</v>
      </c>
      <c r="C4394" t="s">
        <v>9904</v>
      </c>
      <c r="D4394" t="s">
        <v>9905</v>
      </c>
      <c r="E4394" t="s">
        <v>1719</v>
      </c>
    </row>
    <row r="4395" spans="1:5" x14ac:dyDescent="0.2">
      <c r="A4395">
        <v>4395</v>
      </c>
      <c r="B4395" t="s">
        <v>989</v>
      </c>
      <c r="C4395" t="s">
        <v>9788</v>
      </c>
      <c r="D4395" t="s">
        <v>9906</v>
      </c>
      <c r="E4395" t="s">
        <v>1719</v>
      </c>
    </row>
    <row r="4396" spans="1:5" x14ac:dyDescent="0.2">
      <c r="A4396">
        <v>4396</v>
      </c>
      <c r="B4396" t="s">
        <v>989</v>
      </c>
      <c r="C4396" t="s">
        <v>9790</v>
      </c>
      <c r="D4396" t="s">
        <v>9907</v>
      </c>
      <c r="E4396" t="s">
        <v>1719</v>
      </c>
    </row>
    <row r="4397" spans="1:5" x14ac:dyDescent="0.2">
      <c r="A4397">
        <v>4397</v>
      </c>
      <c r="B4397" t="s">
        <v>989</v>
      </c>
      <c r="C4397" t="s">
        <v>9808</v>
      </c>
      <c r="D4397" t="s">
        <v>9908</v>
      </c>
      <c r="E4397" t="s">
        <v>9777</v>
      </c>
    </row>
    <row r="4398" spans="1:5" x14ac:dyDescent="0.2">
      <c r="A4398">
        <v>4398</v>
      </c>
      <c r="B4398" t="s">
        <v>989</v>
      </c>
      <c r="C4398" t="s">
        <v>9826</v>
      </c>
      <c r="D4398" t="s">
        <v>9909</v>
      </c>
      <c r="E4398" t="s">
        <v>9777</v>
      </c>
    </row>
    <row r="4399" spans="1:5" x14ac:dyDescent="0.2">
      <c r="A4399">
        <v>4399</v>
      </c>
      <c r="B4399" t="s">
        <v>989</v>
      </c>
      <c r="C4399" t="s">
        <v>9830</v>
      </c>
      <c r="D4399" t="s">
        <v>9910</v>
      </c>
      <c r="E4399" t="s">
        <v>1719</v>
      </c>
    </row>
    <row r="4400" spans="1:5" x14ac:dyDescent="0.2">
      <c r="A4400">
        <v>4400</v>
      </c>
      <c r="B4400" t="s">
        <v>989</v>
      </c>
      <c r="C4400" t="s">
        <v>9840</v>
      </c>
      <c r="D4400" t="s">
        <v>9911</v>
      </c>
      <c r="E4400" t="s">
        <v>9777</v>
      </c>
    </row>
    <row r="4401" spans="1:5" x14ac:dyDescent="0.2">
      <c r="A4401">
        <v>4401</v>
      </c>
      <c r="B4401" t="s">
        <v>989</v>
      </c>
      <c r="C4401" t="s">
        <v>9766</v>
      </c>
      <c r="D4401" t="s">
        <v>9912</v>
      </c>
      <c r="E4401" t="s">
        <v>1719</v>
      </c>
    </row>
    <row r="4402" spans="1:5" x14ac:dyDescent="0.2">
      <c r="A4402">
        <v>4402</v>
      </c>
      <c r="B4402" t="s">
        <v>989</v>
      </c>
      <c r="C4402" t="s">
        <v>9851</v>
      </c>
      <c r="D4402" t="s">
        <v>9913</v>
      </c>
      <c r="E4402" t="s">
        <v>1719</v>
      </c>
    </row>
    <row r="4403" spans="1:5" x14ac:dyDescent="0.2">
      <c r="A4403">
        <v>4403</v>
      </c>
      <c r="B4403" t="s">
        <v>989</v>
      </c>
      <c r="C4403" t="s">
        <v>9849</v>
      </c>
      <c r="D4403" t="s">
        <v>9914</v>
      </c>
      <c r="E4403" t="s">
        <v>1719</v>
      </c>
    </row>
    <row r="4404" spans="1:5" x14ac:dyDescent="0.2">
      <c r="A4404">
        <v>4404</v>
      </c>
      <c r="B4404" t="s">
        <v>989</v>
      </c>
      <c r="C4404" t="s">
        <v>9871</v>
      </c>
      <c r="D4404" t="s">
        <v>9915</v>
      </c>
      <c r="E4404" t="s">
        <v>1719</v>
      </c>
    </row>
    <row r="4405" spans="1:5" x14ac:dyDescent="0.2">
      <c r="A4405">
        <v>4405</v>
      </c>
      <c r="B4405" t="s">
        <v>989</v>
      </c>
      <c r="C4405" t="s">
        <v>9876</v>
      </c>
      <c r="D4405" t="s">
        <v>9916</v>
      </c>
      <c r="E4405" t="s">
        <v>1719</v>
      </c>
    </row>
    <row r="4406" spans="1:5" x14ac:dyDescent="0.2">
      <c r="A4406">
        <v>4406</v>
      </c>
      <c r="B4406" t="s">
        <v>989</v>
      </c>
      <c r="C4406" t="s">
        <v>9888</v>
      </c>
      <c r="D4406" t="s">
        <v>9917</v>
      </c>
      <c r="E4406" t="s">
        <v>1719</v>
      </c>
    </row>
    <row r="4407" spans="1:5" x14ac:dyDescent="0.2">
      <c r="A4407">
        <v>4407</v>
      </c>
      <c r="B4407" t="s">
        <v>989</v>
      </c>
      <c r="C4407" t="s">
        <v>9778</v>
      </c>
      <c r="D4407" t="s">
        <v>9918</v>
      </c>
      <c r="E4407" t="s">
        <v>1719</v>
      </c>
    </row>
    <row r="4408" spans="1:5" x14ac:dyDescent="0.2">
      <c r="A4408">
        <v>4408</v>
      </c>
      <c r="B4408" t="s">
        <v>989</v>
      </c>
      <c r="C4408" t="s">
        <v>9919</v>
      </c>
      <c r="D4408" t="s">
        <v>9920</v>
      </c>
      <c r="E4408" t="s">
        <v>1719</v>
      </c>
    </row>
    <row r="4409" spans="1:5" x14ac:dyDescent="0.2">
      <c r="A4409">
        <v>4409</v>
      </c>
      <c r="B4409" t="s">
        <v>994</v>
      </c>
      <c r="C4409" t="s">
        <v>9921</v>
      </c>
      <c r="D4409" t="s">
        <v>9922</v>
      </c>
      <c r="E4409" t="s">
        <v>1790</v>
      </c>
    </row>
    <row r="4410" spans="1:5" x14ac:dyDescent="0.2">
      <c r="A4410">
        <v>4410</v>
      </c>
      <c r="B4410" t="s">
        <v>994</v>
      </c>
      <c r="C4410" t="s">
        <v>9923</v>
      </c>
      <c r="D4410" t="s">
        <v>9924</v>
      </c>
      <c r="E4410" t="s">
        <v>1790</v>
      </c>
    </row>
    <row r="4411" spans="1:5" x14ac:dyDescent="0.2">
      <c r="A4411">
        <v>4411</v>
      </c>
      <c r="B4411" t="s">
        <v>994</v>
      </c>
      <c r="C4411" t="s">
        <v>9923</v>
      </c>
      <c r="D4411" t="s">
        <v>9925</v>
      </c>
      <c r="E4411" t="s">
        <v>1790</v>
      </c>
    </row>
    <row r="4412" spans="1:5" x14ac:dyDescent="0.2">
      <c r="A4412">
        <v>4412</v>
      </c>
      <c r="B4412" t="s">
        <v>994</v>
      </c>
      <c r="C4412" t="s">
        <v>9926</v>
      </c>
      <c r="D4412" t="s">
        <v>9927</v>
      </c>
      <c r="E4412" t="s">
        <v>1790</v>
      </c>
    </row>
    <row r="4413" spans="1:5" x14ac:dyDescent="0.2">
      <c r="A4413">
        <v>4413</v>
      </c>
      <c r="B4413" t="s">
        <v>994</v>
      </c>
      <c r="C4413" t="s">
        <v>9926</v>
      </c>
      <c r="D4413" t="s">
        <v>9928</v>
      </c>
      <c r="E4413" t="s">
        <v>1790</v>
      </c>
    </row>
    <row r="4414" spans="1:5" x14ac:dyDescent="0.2">
      <c r="A4414">
        <v>4414</v>
      </c>
      <c r="B4414" t="s">
        <v>994</v>
      </c>
      <c r="C4414" t="s">
        <v>9929</v>
      </c>
      <c r="D4414" t="s">
        <v>9930</v>
      </c>
      <c r="E4414" t="s">
        <v>1790</v>
      </c>
    </row>
    <row r="4415" spans="1:5" x14ac:dyDescent="0.2">
      <c r="A4415">
        <v>4415</v>
      </c>
      <c r="B4415" t="s">
        <v>994</v>
      </c>
      <c r="C4415" t="s">
        <v>9931</v>
      </c>
      <c r="D4415" t="s">
        <v>9932</v>
      </c>
      <c r="E4415" t="s">
        <v>1719</v>
      </c>
    </row>
    <row r="4416" spans="1:5" x14ac:dyDescent="0.2">
      <c r="A4416">
        <v>4416</v>
      </c>
      <c r="B4416" t="s">
        <v>994</v>
      </c>
      <c r="C4416" t="s">
        <v>9933</v>
      </c>
      <c r="D4416" t="s">
        <v>9934</v>
      </c>
      <c r="E4416" t="s">
        <v>1719</v>
      </c>
    </row>
    <row r="4417" spans="1:5" x14ac:dyDescent="0.2">
      <c r="A4417">
        <v>4417</v>
      </c>
      <c r="B4417" t="s">
        <v>994</v>
      </c>
      <c r="C4417" t="s">
        <v>9935</v>
      </c>
      <c r="D4417" t="s">
        <v>9936</v>
      </c>
      <c r="E4417" t="s">
        <v>1719</v>
      </c>
    </row>
    <row r="4418" spans="1:5" x14ac:dyDescent="0.2">
      <c r="A4418">
        <v>4418</v>
      </c>
      <c r="B4418" t="s">
        <v>994</v>
      </c>
      <c r="C4418" t="s">
        <v>9937</v>
      </c>
      <c r="D4418" t="s">
        <v>9938</v>
      </c>
      <c r="E4418" t="s">
        <v>1790</v>
      </c>
    </row>
    <row r="4419" spans="1:5" x14ac:dyDescent="0.2">
      <c r="A4419">
        <v>4419</v>
      </c>
      <c r="B4419" t="s">
        <v>994</v>
      </c>
      <c r="C4419" t="s">
        <v>9939</v>
      </c>
      <c r="D4419" t="s">
        <v>9940</v>
      </c>
      <c r="E4419" t="s">
        <v>1790</v>
      </c>
    </row>
    <row r="4420" spans="1:5" x14ac:dyDescent="0.2">
      <c r="A4420">
        <v>4420</v>
      </c>
      <c r="B4420" t="s">
        <v>994</v>
      </c>
      <c r="C4420" t="s">
        <v>9921</v>
      </c>
      <c r="D4420" t="s">
        <v>9941</v>
      </c>
      <c r="E4420" t="s">
        <v>1790</v>
      </c>
    </row>
    <row r="4421" spans="1:5" x14ac:dyDescent="0.2">
      <c r="A4421">
        <v>4421</v>
      </c>
      <c r="B4421" t="s">
        <v>994</v>
      </c>
      <c r="C4421" t="s">
        <v>9942</v>
      </c>
      <c r="D4421" t="s">
        <v>9943</v>
      </c>
      <c r="E4421" t="s">
        <v>1790</v>
      </c>
    </row>
    <row r="4422" spans="1:5" x14ac:dyDescent="0.2">
      <c r="A4422">
        <v>4422</v>
      </c>
      <c r="B4422" t="s">
        <v>994</v>
      </c>
      <c r="C4422" t="s">
        <v>9937</v>
      </c>
      <c r="D4422" t="s">
        <v>9944</v>
      </c>
      <c r="E4422" t="s">
        <v>1790</v>
      </c>
    </row>
    <row r="4423" spans="1:5" x14ac:dyDescent="0.2">
      <c r="A4423">
        <v>4423</v>
      </c>
      <c r="B4423" t="s">
        <v>994</v>
      </c>
      <c r="C4423" t="s">
        <v>9945</v>
      </c>
      <c r="D4423" t="s">
        <v>9946</v>
      </c>
      <c r="E4423" t="s">
        <v>1790</v>
      </c>
    </row>
    <row r="4424" spans="1:5" x14ac:dyDescent="0.2">
      <c r="A4424">
        <v>4424</v>
      </c>
      <c r="B4424" t="s">
        <v>994</v>
      </c>
      <c r="C4424" t="s">
        <v>9945</v>
      </c>
      <c r="D4424" t="s">
        <v>9947</v>
      </c>
      <c r="E4424" t="s">
        <v>1790</v>
      </c>
    </row>
    <row r="4425" spans="1:5" x14ac:dyDescent="0.2">
      <c r="A4425">
        <v>4425</v>
      </c>
      <c r="B4425" t="s">
        <v>994</v>
      </c>
      <c r="C4425" t="s">
        <v>9948</v>
      </c>
      <c r="D4425" t="s">
        <v>9949</v>
      </c>
      <c r="E4425" t="s">
        <v>1790</v>
      </c>
    </row>
    <row r="4426" spans="1:5" x14ac:dyDescent="0.2">
      <c r="A4426">
        <v>4426</v>
      </c>
      <c r="B4426" t="s">
        <v>994</v>
      </c>
      <c r="C4426" t="s">
        <v>9950</v>
      </c>
      <c r="D4426" t="s">
        <v>9951</v>
      </c>
      <c r="E4426" t="s">
        <v>1790</v>
      </c>
    </row>
    <row r="4427" spans="1:5" x14ac:dyDescent="0.2">
      <c r="A4427">
        <v>4427</v>
      </c>
      <c r="B4427" t="s">
        <v>994</v>
      </c>
      <c r="C4427" t="s">
        <v>9952</v>
      </c>
      <c r="D4427" t="s">
        <v>9953</v>
      </c>
      <c r="E4427" t="s">
        <v>1790</v>
      </c>
    </row>
    <row r="4428" spans="1:5" x14ac:dyDescent="0.2">
      <c r="A4428">
        <v>4428</v>
      </c>
      <c r="B4428" t="s">
        <v>994</v>
      </c>
      <c r="C4428" t="s">
        <v>9954</v>
      </c>
      <c r="D4428" t="s">
        <v>9955</v>
      </c>
      <c r="E4428" t="s">
        <v>1719</v>
      </c>
    </row>
    <row r="4429" spans="1:5" x14ac:dyDescent="0.2">
      <c r="A4429">
        <v>4429</v>
      </c>
      <c r="B4429" t="s">
        <v>994</v>
      </c>
      <c r="C4429" t="s">
        <v>9952</v>
      </c>
      <c r="D4429" t="s">
        <v>9956</v>
      </c>
      <c r="E4429" t="s">
        <v>1790</v>
      </c>
    </row>
    <row r="4430" spans="1:5" x14ac:dyDescent="0.2">
      <c r="A4430">
        <v>4430</v>
      </c>
      <c r="B4430" t="s">
        <v>994</v>
      </c>
      <c r="C4430" t="s">
        <v>9957</v>
      </c>
      <c r="D4430" t="s">
        <v>9958</v>
      </c>
      <c r="E4430" t="s">
        <v>1790</v>
      </c>
    </row>
    <row r="4431" spans="1:5" x14ac:dyDescent="0.2">
      <c r="A4431">
        <v>4431</v>
      </c>
      <c r="B4431" t="s">
        <v>994</v>
      </c>
      <c r="C4431" t="s">
        <v>9957</v>
      </c>
      <c r="D4431" t="s">
        <v>9959</v>
      </c>
      <c r="E4431" t="s">
        <v>1790</v>
      </c>
    </row>
    <row r="4432" spans="1:5" x14ac:dyDescent="0.2">
      <c r="A4432">
        <v>4432</v>
      </c>
      <c r="B4432" t="s">
        <v>994</v>
      </c>
      <c r="C4432" t="s">
        <v>9950</v>
      </c>
      <c r="D4432" t="s">
        <v>9960</v>
      </c>
      <c r="E4432" t="s">
        <v>1790</v>
      </c>
    </row>
    <row r="4433" spans="1:5" x14ac:dyDescent="0.2">
      <c r="A4433">
        <v>4433</v>
      </c>
      <c r="B4433" t="s">
        <v>994</v>
      </c>
      <c r="C4433" t="s">
        <v>9939</v>
      </c>
      <c r="D4433" t="s">
        <v>9961</v>
      </c>
      <c r="E4433" t="s">
        <v>1790</v>
      </c>
    </row>
    <row r="4434" spans="1:5" x14ac:dyDescent="0.2">
      <c r="A4434">
        <v>4434</v>
      </c>
      <c r="B4434" t="s">
        <v>994</v>
      </c>
      <c r="C4434" t="s">
        <v>9962</v>
      </c>
      <c r="D4434" t="s">
        <v>9963</v>
      </c>
      <c r="E4434" t="s">
        <v>1790</v>
      </c>
    </row>
    <row r="4435" spans="1:5" x14ac:dyDescent="0.2">
      <c r="A4435">
        <v>4435</v>
      </c>
      <c r="B4435" t="s">
        <v>994</v>
      </c>
      <c r="C4435" t="s">
        <v>9962</v>
      </c>
      <c r="D4435" t="s">
        <v>9964</v>
      </c>
      <c r="E4435" t="s">
        <v>1790</v>
      </c>
    </row>
    <row r="4436" spans="1:5" x14ac:dyDescent="0.2">
      <c r="A4436">
        <v>4436</v>
      </c>
      <c r="B4436" t="s">
        <v>994</v>
      </c>
      <c r="C4436" t="s">
        <v>9965</v>
      </c>
      <c r="D4436" t="s">
        <v>9966</v>
      </c>
      <c r="E4436" t="s">
        <v>1719</v>
      </c>
    </row>
    <row r="4437" spans="1:5" x14ac:dyDescent="0.2">
      <c r="A4437">
        <v>4437</v>
      </c>
      <c r="B4437" t="s">
        <v>994</v>
      </c>
      <c r="C4437" t="s">
        <v>9948</v>
      </c>
      <c r="D4437" t="s">
        <v>9967</v>
      </c>
      <c r="E4437" t="s">
        <v>1790</v>
      </c>
    </row>
    <row r="4438" spans="1:5" x14ac:dyDescent="0.2">
      <c r="A4438">
        <v>4438</v>
      </c>
      <c r="B4438" t="s">
        <v>994</v>
      </c>
      <c r="C4438" t="s">
        <v>9968</v>
      </c>
      <c r="D4438" t="s">
        <v>9969</v>
      </c>
      <c r="E4438" t="s">
        <v>1790</v>
      </c>
    </row>
    <row r="4439" spans="1:5" x14ac:dyDescent="0.2">
      <c r="A4439">
        <v>4439</v>
      </c>
      <c r="B4439" t="s">
        <v>994</v>
      </c>
      <c r="C4439" t="s">
        <v>9965</v>
      </c>
      <c r="D4439" t="s">
        <v>9970</v>
      </c>
      <c r="E4439" t="s">
        <v>1719</v>
      </c>
    </row>
    <row r="4440" spans="1:5" x14ac:dyDescent="0.2">
      <c r="A4440">
        <v>4440</v>
      </c>
      <c r="B4440" t="s">
        <v>994</v>
      </c>
      <c r="C4440" t="s">
        <v>9971</v>
      </c>
      <c r="D4440" t="s">
        <v>9972</v>
      </c>
      <c r="E4440" t="s">
        <v>1790</v>
      </c>
    </row>
    <row r="4441" spans="1:5" x14ac:dyDescent="0.2">
      <c r="A4441">
        <v>4441</v>
      </c>
      <c r="B4441" t="s">
        <v>994</v>
      </c>
      <c r="C4441" t="s">
        <v>9968</v>
      </c>
      <c r="D4441" t="s">
        <v>9973</v>
      </c>
      <c r="E4441" t="s">
        <v>1790</v>
      </c>
    </row>
    <row r="4442" spans="1:5" x14ac:dyDescent="0.2">
      <c r="A4442">
        <v>4442</v>
      </c>
      <c r="B4442" t="s">
        <v>994</v>
      </c>
      <c r="C4442" t="s">
        <v>9971</v>
      </c>
      <c r="D4442" t="s">
        <v>9974</v>
      </c>
      <c r="E4442" t="s">
        <v>1790</v>
      </c>
    </row>
    <row r="4443" spans="1:5" x14ac:dyDescent="0.2">
      <c r="A4443">
        <v>4443</v>
      </c>
      <c r="B4443" t="s">
        <v>994</v>
      </c>
      <c r="C4443" t="s">
        <v>9931</v>
      </c>
      <c r="D4443" t="s">
        <v>9975</v>
      </c>
      <c r="E4443" t="s">
        <v>1719</v>
      </c>
    </row>
    <row r="4444" spans="1:5" x14ac:dyDescent="0.2">
      <c r="A4444">
        <v>4444</v>
      </c>
      <c r="B4444" t="s">
        <v>994</v>
      </c>
      <c r="C4444" t="s">
        <v>9976</v>
      </c>
      <c r="D4444" t="s">
        <v>9977</v>
      </c>
      <c r="E4444" t="s">
        <v>1790</v>
      </c>
    </row>
    <row r="4445" spans="1:5" x14ac:dyDescent="0.2">
      <c r="A4445">
        <v>4445</v>
      </c>
      <c r="B4445" t="s">
        <v>994</v>
      </c>
      <c r="C4445" t="s">
        <v>9976</v>
      </c>
      <c r="D4445" t="s">
        <v>9978</v>
      </c>
      <c r="E4445" t="s">
        <v>1790</v>
      </c>
    </row>
    <row r="4446" spans="1:5" x14ac:dyDescent="0.2">
      <c r="A4446">
        <v>4446</v>
      </c>
      <c r="B4446" t="s">
        <v>994</v>
      </c>
      <c r="C4446" t="s">
        <v>9979</v>
      </c>
      <c r="D4446" t="s">
        <v>9980</v>
      </c>
      <c r="E4446" t="s">
        <v>1790</v>
      </c>
    </row>
    <row r="4447" spans="1:5" x14ac:dyDescent="0.2">
      <c r="A4447">
        <v>4447</v>
      </c>
      <c r="B4447" t="s">
        <v>994</v>
      </c>
      <c r="C4447" t="s">
        <v>9981</v>
      </c>
      <c r="D4447" t="s">
        <v>9982</v>
      </c>
      <c r="E4447" t="s">
        <v>1790</v>
      </c>
    </row>
    <row r="4448" spans="1:5" x14ac:dyDescent="0.2">
      <c r="A4448">
        <v>4448</v>
      </c>
      <c r="B4448" t="s">
        <v>994</v>
      </c>
      <c r="C4448" t="s">
        <v>9979</v>
      </c>
      <c r="D4448" t="s">
        <v>9983</v>
      </c>
      <c r="E4448" t="s">
        <v>1790</v>
      </c>
    </row>
    <row r="4449" spans="1:5" x14ac:dyDescent="0.2">
      <c r="A4449">
        <v>4449</v>
      </c>
      <c r="B4449" t="s">
        <v>994</v>
      </c>
      <c r="C4449" t="s">
        <v>9981</v>
      </c>
      <c r="D4449" t="s">
        <v>9984</v>
      </c>
      <c r="E4449" t="s">
        <v>1790</v>
      </c>
    </row>
    <row r="4450" spans="1:5" x14ac:dyDescent="0.2">
      <c r="A4450">
        <v>4450</v>
      </c>
      <c r="B4450" t="s">
        <v>994</v>
      </c>
      <c r="C4450" t="s">
        <v>9985</v>
      </c>
      <c r="D4450" t="s">
        <v>9986</v>
      </c>
      <c r="E4450" t="s">
        <v>1790</v>
      </c>
    </row>
    <row r="4451" spans="1:5" x14ac:dyDescent="0.2">
      <c r="A4451">
        <v>4451</v>
      </c>
      <c r="B4451" t="s">
        <v>994</v>
      </c>
      <c r="C4451" t="s">
        <v>9985</v>
      </c>
      <c r="D4451" t="s">
        <v>9987</v>
      </c>
      <c r="E4451" t="s">
        <v>1790</v>
      </c>
    </row>
    <row r="4452" spans="1:5" x14ac:dyDescent="0.2">
      <c r="A4452">
        <v>4452</v>
      </c>
      <c r="B4452" t="s">
        <v>994</v>
      </c>
      <c r="C4452" t="s">
        <v>9988</v>
      </c>
      <c r="D4452" t="s">
        <v>9989</v>
      </c>
      <c r="E4452" t="s">
        <v>1790</v>
      </c>
    </row>
    <row r="4453" spans="1:5" x14ac:dyDescent="0.2">
      <c r="A4453">
        <v>4453</v>
      </c>
      <c r="B4453" t="s">
        <v>994</v>
      </c>
      <c r="C4453" t="s">
        <v>9988</v>
      </c>
      <c r="D4453" t="s">
        <v>9990</v>
      </c>
      <c r="E4453" t="s">
        <v>1790</v>
      </c>
    </row>
    <row r="4454" spans="1:5" x14ac:dyDescent="0.2">
      <c r="A4454">
        <v>4454</v>
      </c>
      <c r="B4454" t="s">
        <v>994</v>
      </c>
      <c r="C4454" t="s">
        <v>9954</v>
      </c>
      <c r="D4454" t="s">
        <v>9991</v>
      </c>
      <c r="E4454" t="s">
        <v>1719</v>
      </c>
    </row>
    <row r="4455" spans="1:5" x14ac:dyDescent="0.2">
      <c r="A4455">
        <v>4455</v>
      </c>
      <c r="B4455" t="s">
        <v>994</v>
      </c>
      <c r="C4455" t="s">
        <v>9929</v>
      </c>
      <c r="D4455" t="s">
        <v>9992</v>
      </c>
      <c r="E4455" t="s">
        <v>1790</v>
      </c>
    </row>
    <row r="4456" spans="1:5" x14ac:dyDescent="0.2">
      <c r="A4456">
        <v>4456</v>
      </c>
      <c r="B4456" t="s">
        <v>994</v>
      </c>
      <c r="C4456" t="s">
        <v>9993</v>
      </c>
      <c r="D4456" t="s">
        <v>9994</v>
      </c>
      <c r="E4456" t="s">
        <v>1790</v>
      </c>
    </row>
    <row r="4457" spans="1:5" x14ac:dyDescent="0.2">
      <c r="A4457">
        <v>4457</v>
      </c>
      <c r="B4457" t="s">
        <v>994</v>
      </c>
      <c r="C4457" t="s">
        <v>9993</v>
      </c>
      <c r="D4457" t="s">
        <v>9995</v>
      </c>
      <c r="E4457" t="s">
        <v>1790</v>
      </c>
    </row>
    <row r="4458" spans="1:5" x14ac:dyDescent="0.2">
      <c r="A4458">
        <v>4458</v>
      </c>
      <c r="B4458" t="s">
        <v>994</v>
      </c>
      <c r="C4458" t="s">
        <v>9996</v>
      </c>
      <c r="D4458" t="s">
        <v>9997</v>
      </c>
      <c r="E4458" t="s">
        <v>1790</v>
      </c>
    </row>
    <row r="4459" spans="1:5" x14ac:dyDescent="0.2">
      <c r="A4459">
        <v>4459</v>
      </c>
      <c r="B4459" t="s">
        <v>994</v>
      </c>
      <c r="C4459" t="s">
        <v>9996</v>
      </c>
      <c r="D4459" t="s">
        <v>9998</v>
      </c>
      <c r="E4459" t="s">
        <v>1790</v>
      </c>
    </row>
    <row r="4460" spans="1:5" x14ac:dyDescent="0.2">
      <c r="A4460">
        <v>4460</v>
      </c>
      <c r="B4460" t="s">
        <v>994</v>
      </c>
      <c r="C4460" t="s">
        <v>9942</v>
      </c>
      <c r="D4460" t="s">
        <v>9999</v>
      </c>
      <c r="E4460" t="s">
        <v>1790</v>
      </c>
    </row>
    <row r="4461" spans="1:5" x14ac:dyDescent="0.2">
      <c r="A4461">
        <v>4461</v>
      </c>
      <c r="B4461" t="s">
        <v>994</v>
      </c>
      <c r="C4461" t="s">
        <v>9933</v>
      </c>
      <c r="D4461" t="s">
        <v>10000</v>
      </c>
      <c r="E4461" t="s">
        <v>1719</v>
      </c>
    </row>
    <row r="4462" spans="1:5" x14ac:dyDescent="0.2">
      <c r="A4462">
        <v>4462</v>
      </c>
      <c r="B4462" t="s">
        <v>994</v>
      </c>
      <c r="C4462" t="s">
        <v>10001</v>
      </c>
      <c r="D4462" t="s">
        <v>10002</v>
      </c>
      <c r="E4462" t="s">
        <v>1790</v>
      </c>
    </row>
    <row r="4463" spans="1:5" x14ac:dyDescent="0.2">
      <c r="A4463">
        <v>4463</v>
      </c>
      <c r="B4463" t="s">
        <v>994</v>
      </c>
      <c r="C4463" t="s">
        <v>10001</v>
      </c>
      <c r="D4463" t="s">
        <v>10003</v>
      </c>
      <c r="E4463" t="s">
        <v>1790</v>
      </c>
    </row>
    <row r="4464" spans="1:5" x14ac:dyDescent="0.2">
      <c r="A4464">
        <v>4464</v>
      </c>
      <c r="B4464" t="s">
        <v>994</v>
      </c>
      <c r="C4464" t="s">
        <v>9935</v>
      </c>
      <c r="D4464" t="s">
        <v>10004</v>
      </c>
      <c r="E4464" t="s">
        <v>1719</v>
      </c>
    </row>
    <row r="4465" spans="1:5" x14ac:dyDescent="0.2">
      <c r="A4465">
        <v>4465</v>
      </c>
      <c r="B4465" t="s">
        <v>994</v>
      </c>
      <c r="C4465" t="s">
        <v>10005</v>
      </c>
      <c r="D4465" t="s">
        <v>10006</v>
      </c>
      <c r="E4465" t="s">
        <v>1719</v>
      </c>
    </row>
    <row r="4466" spans="1:5" x14ac:dyDescent="0.2">
      <c r="A4466">
        <v>4466</v>
      </c>
      <c r="B4466" t="s">
        <v>994</v>
      </c>
      <c r="C4466" t="s">
        <v>10007</v>
      </c>
      <c r="D4466" t="s">
        <v>10008</v>
      </c>
      <c r="E4466" t="s">
        <v>1719</v>
      </c>
    </row>
    <row r="4467" spans="1:5" x14ac:dyDescent="0.2">
      <c r="A4467">
        <v>4467</v>
      </c>
      <c r="B4467" t="s">
        <v>994</v>
      </c>
      <c r="C4467" t="s">
        <v>10009</v>
      </c>
      <c r="D4467" t="s">
        <v>10010</v>
      </c>
      <c r="E4467" t="s">
        <v>1790</v>
      </c>
    </row>
    <row r="4468" spans="1:5" x14ac:dyDescent="0.2">
      <c r="A4468">
        <v>4468</v>
      </c>
      <c r="B4468" t="s">
        <v>994</v>
      </c>
      <c r="C4468" t="s">
        <v>10009</v>
      </c>
      <c r="D4468" t="s">
        <v>10011</v>
      </c>
      <c r="E4468" t="s">
        <v>1790</v>
      </c>
    </row>
    <row r="4469" spans="1:5" x14ac:dyDescent="0.2">
      <c r="A4469">
        <v>4469</v>
      </c>
      <c r="B4469" t="s">
        <v>994</v>
      </c>
      <c r="C4469" t="s">
        <v>10012</v>
      </c>
      <c r="D4469" t="s">
        <v>10013</v>
      </c>
      <c r="E4469" t="s">
        <v>1719</v>
      </c>
    </row>
    <row r="4470" spans="1:5" x14ac:dyDescent="0.2">
      <c r="A4470">
        <v>4470</v>
      </c>
      <c r="B4470" t="s">
        <v>994</v>
      </c>
      <c r="C4470" t="s">
        <v>10005</v>
      </c>
      <c r="D4470" t="s">
        <v>10014</v>
      </c>
      <c r="E4470" t="s">
        <v>1719</v>
      </c>
    </row>
    <row r="4471" spans="1:5" x14ac:dyDescent="0.2">
      <c r="A4471">
        <v>4471</v>
      </c>
      <c r="B4471" t="s">
        <v>994</v>
      </c>
      <c r="C4471" t="s">
        <v>10007</v>
      </c>
      <c r="D4471" t="s">
        <v>10015</v>
      </c>
      <c r="E4471" t="s">
        <v>1719</v>
      </c>
    </row>
    <row r="4472" spans="1:5" x14ac:dyDescent="0.2">
      <c r="A4472">
        <v>4472</v>
      </c>
      <c r="B4472" t="s">
        <v>994</v>
      </c>
      <c r="C4472" t="s">
        <v>10012</v>
      </c>
      <c r="D4472" t="s">
        <v>10016</v>
      </c>
      <c r="E4472" t="s">
        <v>1719</v>
      </c>
    </row>
    <row r="4473" spans="1:5" x14ac:dyDescent="0.2">
      <c r="A4473">
        <v>4473</v>
      </c>
      <c r="B4473" t="s">
        <v>994</v>
      </c>
      <c r="C4473" t="s">
        <v>10017</v>
      </c>
      <c r="D4473" t="s">
        <v>10018</v>
      </c>
      <c r="E4473" t="s">
        <v>1790</v>
      </c>
    </row>
    <row r="4474" spans="1:5" x14ac:dyDescent="0.2">
      <c r="A4474">
        <v>4474</v>
      </c>
      <c r="B4474" t="s">
        <v>994</v>
      </c>
      <c r="C4474" t="s">
        <v>10017</v>
      </c>
      <c r="D4474" t="s">
        <v>10019</v>
      </c>
      <c r="E4474" t="s">
        <v>1790</v>
      </c>
    </row>
    <row r="4475" spans="1:5" x14ac:dyDescent="0.2">
      <c r="A4475">
        <v>4475</v>
      </c>
      <c r="B4475" t="s">
        <v>994</v>
      </c>
      <c r="C4475" t="s">
        <v>10020</v>
      </c>
      <c r="D4475" t="s">
        <v>10021</v>
      </c>
      <c r="E4475" t="s">
        <v>1719</v>
      </c>
    </row>
    <row r="4476" spans="1:5" x14ac:dyDescent="0.2">
      <c r="A4476">
        <v>4476</v>
      </c>
      <c r="B4476" t="s">
        <v>994</v>
      </c>
      <c r="C4476" t="s">
        <v>10020</v>
      </c>
      <c r="D4476" t="s">
        <v>10022</v>
      </c>
      <c r="E4476" t="s">
        <v>1719</v>
      </c>
    </row>
    <row r="4477" spans="1:5" x14ac:dyDescent="0.2">
      <c r="A4477">
        <v>4477</v>
      </c>
      <c r="B4477" t="s">
        <v>996</v>
      </c>
      <c r="C4477" t="s">
        <v>10023</v>
      </c>
      <c r="D4477" t="s">
        <v>10024</v>
      </c>
      <c r="E4477" t="s">
        <v>2113</v>
      </c>
    </row>
    <row r="4478" spans="1:5" x14ac:dyDescent="0.2">
      <c r="A4478">
        <v>4478</v>
      </c>
      <c r="B4478" t="s">
        <v>996</v>
      </c>
      <c r="C4478" t="s">
        <v>10025</v>
      </c>
      <c r="D4478" t="s">
        <v>10026</v>
      </c>
      <c r="E4478" t="s">
        <v>2113</v>
      </c>
    </row>
    <row r="4479" spans="1:5" x14ac:dyDescent="0.2">
      <c r="A4479">
        <v>4479</v>
      </c>
      <c r="B4479" t="s">
        <v>996</v>
      </c>
      <c r="C4479" t="s">
        <v>10027</v>
      </c>
      <c r="D4479" t="s">
        <v>10028</v>
      </c>
      <c r="E4479" t="s">
        <v>2113</v>
      </c>
    </row>
    <row r="4480" spans="1:5" x14ac:dyDescent="0.2">
      <c r="A4480">
        <v>4480</v>
      </c>
      <c r="B4480" t="s">
        <v>996</v>
      </c>
      <c r="C4480" t="s">
        <v>10029</v>
      </c>
      <c r="D4480" t="s">
        <v>10030</v>
      </c>
      <c r="E4480" t="s">
        <v>2113</v>
      </c>
    </row>
    <row r="4481" spans="1:5" x14ac:dyDescent="0.2">
      <c r="A4481">
        <v>4481</v>
      </c>
      <c r="B4481" t="s">
        <v>996</v>
      </c>
      <c r="C4481" t="s">
        <v>10031</v>
      </c>
      <c r="D4481" t="s">
        <v>10032</v>
      </c>
      <c r="E4481" t="s">
        <v>2113</v>
      </c>
    </row>
    <row r="4482" spans="1:5" x14ac:dyDescent="0.2">
      <c r="A4482">
        <v>4482</v>
      </c>
      <c r="B4482" t="s">
        <v>996</v>
      </c>
      <c r="C4482" t="s">
        <v>10033</v>
      </c>
      <c r="D4482" t="s">
        <v>10034</v>
      </c>
      <c r="E4482" t="s">
        <v>2113</v>
      </c>
    </row>
    <row r="4483" spans="1:5" x14ac:dyDescent="0.2">
      <c r="A4483">
        <v>4483</v>
      </c>
      <c r="B4483" t="s">
        <v>996</v>
      </c>
      <c r="C4483" t="s">
        <v>10035</v>
      </c>
      <c r="D4483" t="s">
        <v>10036</v>
      </c>
      <c r="E4483" t="s">
        <v>2113</v>
      </c>
    </row>
    <row r="4484" spans="1:5" x14ac:dyDescent="0.2">
      <c r="A4484">
        <v>4484</v>
      </c>
      <c r="B4484" t="s">
        <v>996</v>
      </c>
      <c r="C4484" t="s">
        <v>10037</v>
      </c>
      <c r="D4484" t="s">
        <v>2373</v>
      </c>
      <c r="E4484" t="s">
        <v>2113</v>
      </c>
    </row>
    <row r="4485" spans="1:5" x14ac:dyDescent="0.2">
      <c r="A4485">
        <v>4485</v>
      </c>
      <c r="B4485" t="s">
        <v>996</v>
      </c>
      <c r="C4485" t="s">
        <v>10035</v>
      </c>
      <c r="D4485" t="s">
        <v>10038</v>
      </c>
      <c r="E4485" t="s">
        <v>2113</v>
      </c>
    </row>
    <row r="4486" spans="1:5" x14ac:dyDescent="0.2">
      <c r="A4486">
        <v>4486</v>
      </c>
      <c r="B4486" t="s">
        <v>996</v>
      </c>
      <c r="C4486" t="s">
        <v>10039</v>
      </c>
      <c r="D4486" t="s">
        <v>10040</v>
      </c>
      <c r="E4486" t="s">
        <v>2113</v>
      </c>
    </row>
    <row r="4487" spans="1:5" x14ac:dyDescent="0.2">
      <c r="A4487">
        <v>4487</v>
      </c>
      <c r="B4487" t="s">
        <v>996</v>
      </c>
      <c r="C4487" t="s">
        <v>10041</v>
      </c>
      <c r="D4487" t="s">
        <v>10042</v>
      </c>
      <c r="E4487" t="s">
        <v>2113</v>
      </c>
    </row>
    <row r="4488" spans="1:5" x14ac:dyDescent="0.2">
      <c r="A4488">
        <v>4488</v>
      </c>
      <c r="B4488" t="s">
        <v>996</v>
      </c>
      <c r="C4488" t="s">
        <v>10029</v>
      </c>
      <c r="D4488" t="s">
        <v>10043</v>
      </c>
      <c r="E4488" t="s">
        <v>2113</v>
      </c>
    </row>
    <row r="4489" spans="1:5" x14ac:dyDescent="0.2">
      <c r="A4489">
        <v>4489</v>
      </c>
      <c r="B4489" t="s">
        <v>996</v>
      </c>
      <c r="C4489" t="s">
        <v>10025</v>
      </c>
      <c r="D4489" t="s">
        <v>10044</v>
      </c>
      <c r="E4489" t="s">
        <v>2113</v>
      </c>
    </row>
    <row r="4490" spans="1:5" x14ac:dyDescent="0.2">
      <c r="A4490">
        <v>4490</v>
      </c>
      <c r="B4490" t="s">
        <v>996</v>
      </c>
      <c r="C4490" t="s">
        <v>10045</v>
      </c>
      <c r="D4490" t="s">
        <v>10046</v>
      </c>
      <c r="E4490" t="s">
        <v>2113</v>
      </c>
    </row>
    <row r="4491" spans="1:5" x14ac:dyDescent="0.2">
      <c r="A4491">
        <v>4491</v>
      </c>
      <c r="B4491" t="s">
        <v>996</v>
      </c>
      <c r="C4491" t="s">
        <v>10047</v>
      </c>
      <c r="D4491" t="s">
        <v>10048</v>
      </c>
      <c r="E4491" t="s">
        <v>2113</v>
      </c>
    </row>
    <row r="4492" spans="1:5" x14ac:dyDescent="0.2">
      <c r="A4492">
        <v>4492</v>
      </c>
      <c r="B4492" t="s">
        <v>996</v>
      </c>
      <c r="C4492" t="s">
        <v>10049</v>
      </c>
      <c r="D4492" t="s">
        <v>10050</v>
      </c>
      <c r="E4492" t="s">
        <v>2113</v>
      </c>
    </row>
    <row r="4493" spans="1:5" x14ac:dyDescent="0.2">
      <c r="A4493">
        <v>4493</v>
      </c>
      <c r="B4493" t="s">
        <v>996</v>
      </c>
      <c r="C4493" t="s">
        <v>10051</v>
      </c>
      <c r="D4493" t="s">
        <v>10052</v>
      </c>
      <c r="E4493" t="s">
        <v>2113</v>
      </c>
    </row>
    <row r="4494" spans="1:5" x14ac:dyDescent="0.2">
      <c r="A4494">
        <v>4494</v>
      </c>
      <c r="B4494" t="s">
        <v>996</v>
      </c>
      <c r="C4494" t="s">
        <v>10051</v>
      </c>
      <c r="D4494" t="s">
        <v>10053</v>
      </c>
      <c r="E4494" t="s">
        <v>2113</v>
      </c>
    </row>
    <row r="4495" spans="1:5" x14ac:dyDescent="0.2">
      <c r="A4495">
        <v>4495</v>
      </c>
      <c r="B4495" t="s">
        <v>996</v>
      </c>
      <c r="C4495" t="s">
        <v>10027</v>
      </c>
      <c r="D4495" t="s">
        <v>10054</v>
      </c>
      <c r="E4495" t="s">
        <v>2113</v>
      </c>
    </row>
    <row r="4496" spans="1:5" x14ac:dyDescent="0.2">
      <c r="A4496">
        <v>4496</v>
      </c>
      <c r="B4496" t="s">
        <v>996</v>
      </c>
      <c r="C4496" t="s">
        <v>10055</v>
      </c>
      <c r="D4496" t="s">
        <v>10056</v>
      </c>
      <c r="E4496" t="s">
        <v>2113</v>
      </c>
    </row>
    <row r="4497" spans="1:5" x14ac:dyDescent="0.2">
      <c r="A4497">
        <v>4497</v>
      </c>
      <c r="B4497" t="s">
        <v>996</v>
      </c>
      <c r="C4497" t="s">
        <v>10057</v>
      </c>
      <c r="D4497" t="s">
        <v>10058</v>
      </c>
      <c r="E4497" t="s">
        <v>2113</v>
      </c>
    </row>
    <row r="4498" spans="1:5" x14ac:dyDescent="0.2">
      <c r="A4498">
        <v>4498</v>
      </c>
      <c r="B4498" t="s">
        <v>996</v>
      </c>
      <c r="C4498" t="s">
        <v>10037</v>
      </c>
      <c r="D4498" t="s">
        <v>4193</v>
      </c>
      <c r="E4498" t="s">
        <v>2113</v>
      </c>
    </row>
    <row r="4499" spans="1:5" x14ac:dyDescent="0.2">
      <c r="A4499">
        <v>4499</v>
      </c>
      <c r="B4499" t="s">
        <v>996</v>
      </c>
      <c r="C4499" t="s">
        <v>10023</v>
      </c>
      <c r="D4499" t="s">
        <v>10059</v>
      </c>
      <c r="E4499" t="s">
        <v>2113</v>
      </c>
    </row>
    <row r="4500" spans="1:5" x14ac:dyDescent="0.2">
      <c r="A4500">
        <v>4500</v>
      </c>
      <c r="B4500" t="s">
        <v>996</v>
      </c>
      <c r="C4500" t="s">
        <v>10031</v>
      </c>
      <c r="D4500" t="s">
        <v>10060</v>
      </c>
      <c r="E4500" t="s">
        <v>2113</v>
      </c>
    </row>
    <row r="4501" spans="1:5" x14ac:dyDescent="0.2">
      <c r="A4501">
        <v>4501</v>
      </c>
      <c r="B4501" t="s">
        <v>996</v>
      </c>
      <c r="C4501" t="s">
        <v>10061</v>
      </c>
      <c r="D4501" t="s">
        <v>10062</v>
      </c>
      <c r="E4501" t="s">
        <v>2113</v>
      </c>
    </row>
    <row r="4502" spans="1:5" x14ac:dyDescent="0.2">
      <c r="A4502">
        <v>4502</v>
      </c>
      <c r="B4502" t="s">
        <v>996</v>
      </c>
      <c r="C4502" t="s">
        <v>10055</v>
      </c>
      <c r="D4502" t="s">
        <v>10063</v>
      </c>
      <c r="E4502" t="s">
        <v>2113</v>
      </c>
    </row>
    <row r="4503" spans="1:5" x14ac:dyDescent="0.2">
      <c r="A4503">
        <v>4503</v>
      </c>
      <c r="B4503" t="s">
        <v>996</v>
      </c>
      <c r="C4503" t="s">
        <v>10057</v>
      </c>
      <c r="D4503" t="s">
        <v>10064</v>
      </c>
      <c r="E4503" t="s">
        <v>2113</v>
      </c>
    </row>
    <row r="4504" spans="1:5" x14ac:dyDescent="0.2">
      <c r="A4504">
        <v>4504</v>
      </c>
      <c r="B4504" t="s">
        <v>996</v>
      </c>
      <c r="C4504" t="s">
        <v>10041</v>
      </c>
      <c r="D4504" t="s">
        <v>10065</v>
      </c>
      <c r="E4504" t="s">
        <v>2113</v>
      </c>
    </row>
    <row r="4505" spans="1:5" x14ac:dyDescent="0.2">
      <c r="A4505">
        <v>4505</v>
      </c>
      <c r="B4505" t="s">
        <v>996</v>
      </c>
      <c r="C4505" t="s">
        <v>10061</v>
      </c>
      <c r="D4505" t="s">
        <v>10066</v>
      </c>
      <c r="E4505" t="s">
        <v>2113</v>
      </c>
    </row>
    <row r="4506" spans="1:5" x14ac:dyDescent="0.2">
      <c r="A4506">
        <v>4506</v>
      </c>
      <c r="B4506" t="s">
        <v>996</v>
      </c>
      <c r="C4506" t="s">
        <v>10047</v>
      </c>
      <c r="D4506" t="s">
        <v>10067</v>
      </c>
      <c r="E4506" t="s">
        <v>2113</v>
      </c>
    </row>
    <row r="4507" spans="1:5" x14ac:dyDescent="0.2">
      <c r="A4507">
        <v>4507</v>
      </c>
      <c r="B4507" t="s">
        <v>996</v>
      </c>
      <c r="C4507" t="s">
        <v>10049</v>
      </c>
      <c r="D4507" t="s">
        <v>10068</v>
      </c>
      <c r="E4507" t="s">
        <v>2113</v>
      </c>
    </row>
    <row r="4508" spans="1:5" x14ac:dyDescent="0.2">
      <c r="A4508">
        <v>4508</v>
      </c>
      <c r="B4508" t="s">
        <v>996</v>
      </c>
      <c r="C4508" t="s">
        <v>10045</v>
      </c>
      <c r="D4508" t="s">
        <v>10069</v>
      </c>
      <c r="E4508" t="s">
        <v>2113</v>
      </c>
    </row>
    <row r="4509" spans="1:5" x14ac:dyDescent="0.2">
      <c r="A4509">
        <v>4509</v>
      </c>
      <c r="B4509" t="s">
        <v>996</v>
      </c>
      <c r="C4509" t="s">
        <v>10033</v>
      </c>
      <c r="D4509" t="s">
        <v>10070</v>
      </c>
      <c r="E4509" t="s">
        <v>2113</v>
      </c>
    </row>
    <row r="4510" spans="1:5" x14ac:dyDescent="0.2">
      <c r="A4510">
        <v>4510</v>
      </c>
      <c r="B4510" t="s">
        <v>996</v>
      </c>
      <c r="C4510" t="s">
        <v>10039</v>
      </c>
      <c r="D4510" t="s">
        <v>10071</v>
      </c>
      <c r="E4510" t="s">
        <v>2113</v>
      </c>
    </row>
    <row r="4511" spans="1:5" x14ac:dyDescent="0.2">
      <c r="A4511">
        <v>4511</v>
      </c>
      <c r="B4511" t="s">
        <v>998</v>
      </c>
      <c r="C4511" t="s">
        <v>10072</v>
      </c>
      <c r="D4511" t="s">
        <v>10073</v>
      </c>
      <c r="E4511" t="s">
        <v>1790</v>
      </c>
    </row>
    <row r="4512" spans="1:5" x14ac:dyDescent="0.2">
      <c r="A4512">
        <v>4512</v>
      </c>
      <c r="B4512" t="s">
        <v>998</v>
      </c>
      <c r="C4512" t="s">
        <v>10074</v>
      </c>
      <c r="D4512" t="s">
        <v>10075</v>
      </c>
      <c r="E4512" t="s">
        <v>1790</v>
      </c>
    </row>
    <row r="4513" spans="1:5" x14ac:dyDescent="0.2">
      <c r="A4513">
        <v>4513</v>
      </c>
      <c r="B4513" t="s">
        <v>998</v>
      </c>
      <c r="C4513" t="s">
        <v>10076</v>
      </c>
      <c r="D4513" t="s">
        <v>10077</v>
      </c>
      <c r="E4513" t="s">
        <v>1790</v>
      </c>
    </row>
    <row r="4514" spans="1:5" x14ac:dyDescent="0.2">
      <c r="A4514">
        <v>4514</v>
      </c>
      <c r="B4514" t="s">
        <v>998</v>
      </c>
      <c r="C4514" t="s">
        <v>10078</v>
      </c>
      <c r="D4514" t="s">
        <v>10079</v>
      </c>
      <c r="E4514" t="s">
        <v>1790</v>
      </c>
    </row>
    <row r="4515" spans="1:5" x14ac:dyDescent="0.2">
      <c r="A4515">
        <v>4515</v>
      </c>
      <c r="B4515" t="s">
        <v>998</v>
      </c>
      <c r="C4515" t="s">
        <v>10080</v>
      </c>
      <c r="D4515" t="s">
        <v>10081</v>
      </c>
      <c r="E4515" t="s">
        <v>1790</v>
      </c>
    </row>
    <row r="4516" spans="1:5" x14ac:dyDescent="0.2">
      <c r="A4516">
        <v>4516</v>
      </c>
      <c r="B4516" t="s">
        <v>998</v>
      </c>
      <c r="C4516" t="s">
        <v>10082</v>
      </c>
      <c r="D4516" t="s">
        <v>10083</v>
      </c>
      <c r="E4516" t="s">
        <v>1790</v>
      </c>
    </row>
    <row r="4517" spans="1:5" x14ac:dyDescent="0.2">
      <c r="A4517">
        <v>4517</v>
      </c>
      <c r="B4517" t="s">
        <v>998</v>
      </c>
      <c r="C4517" t="s">
        <v>10084</v>
      </c>
      <c r="D4517" t="s">
        <v>10085</v>
      </c>
      <c r="E4517" t="s">
        <v>1790</v>
      </c>
    </row>
    <row r="4518" spans="1:5" x14ac:dyDescent="0.2">
      <c r="A4518">
        <v>4518</v>
      </c>
      <c r="B4518" t="s">
        <v>998</v>
      </c>
      <c r="C4518" t="s">
        <v>10086</v>
      </c>
      <c r="D4518" t="s">
        <v>10087</v>
      </c>
      <c r="E4518" t="s">
        <v>1790</v>
      </c>
    </row>
    <row r="4519" spans="1:5" x14ac:dyDescent="0.2">
      <c r="A4519">
        <v>4519</v>
      </c>
      <c r="B4519" t="s">
        <v>998</v>
      </c>
      <c r="C4519" t="s">
        <v>10088</v>
      </c>
      <c r="D4519" t="s">
        <v>10089</v>
      </c>
      <c r="E4519" t="s">
        <v>1790</v>
      </c>
    </row>
    <row r="4520" spans="1:5" x14ac:dyDescent="0.2">
      <c r="A4520">
        <v>4520</v>
      </c>
      <c r="B4520" t="s">
        <v>998</v>
      </c>
      <c r="C4520" t="s">
        <v>10090</v>
      </c>
      <c r="D4520" t="s">
        <v>10091</v>
      </c>
      <c r="E4520" t="s">
        <v>1790</v>
      </c>
    </row>
    <row r="4521" spans="1:5" x14ac:dyDescent="0.2">
      <c r="A4521">
        <v>4521</v>
      </c>
      <c r="B4521" t="s">
        <v>1003</v>
      </c>
      <c r="C4521" t="s">
        <v>10092</v>
      </c>
      <c r="D4521" t="s">
        <v>10093</v>
      </c>
      <c r="E4521" t="s">
        <v>1790</v>
      </c>
    </row>
    <row r="4522" spans="1:5" x14ac:dyDescent="0.2">
      <c r="A4522">
        <v>4522</v>
      </c>
      <c r="B4522" t="s">
        <v>1003</v>
      </c>
      <c r="C4522" t="s">
        <v>10094</v>
      </c>
      <c r="D4522" t="s">
        <v>10095</v>
      </c>
      <c r="E4522" t="s">
        <v>1790</v>
      </c>
    </row>
    <row r="4523" spans="1:5" x14ac:dyDescent="0.2">
      <c r="A4523">
        <v>4523</v>
      </c>
      <c r="B4523" t="s">
        <v>1003</v>
      </c>
      <c r="C4523" t="s">
        <v>10096</v>
      </c>
      <c r="D4523" t="s">
        <v>10097</v>
      </c>
      <c r="E4523" t="s">
        <v>1790</v>
      </c>
    </row>
    <row r="4524" spans="1:5" x14ac:dyDescent="0.2">
      <c r="A4524">
        <v>4524</v>
      </c>
      <c r="B4524" t="s">
        <v>1003</v>
      </c>
      <c r="C4524" t="s">
        <v>10098</v>
      </c>
      <c r="D4524" t="s">
        <v>10099</v>
      </c>
      <c r="E4524" t="s">
        <v>1790</v>
      </c>
    </row>
    <row r="4525" spans="1:5" x14ac:dyDescent="0.2">
      <c r="A4525">
        <v>4525</v>
      </c>
      <c r="B4525" t="s">
        <v>1005</v>
      </c>
      <c r="C4525" t="s">
        <v>10100</v>
      </c>
      <c r="D4525" t="s">
        <v>10101</v>
      </c>
      <c r="E4525" t="s">
        <v>1788</v>
      </c>
    </row>
    <row r="4526" spans="1:5" x14ac:dyDescent="0.2">
      <c r="A4526">
        <v>4526</v>
      </c>
      <c r="B4526" t="s">
        <v>1005</v>
      </c>
      <c r="C4526" t="s">
        <v>10102</v>
      </c>
      <c r="D4526" t="s">
        <v>10103</v>
      </c>
      <c r="E4526" t="s">
        <v>1788</v>
      </c>
    </row>
    <row r="4527" spans="1:5" x14ac:dyDescent="0.2">
      <c r="A4527">
        <v>4527</v>
      </c>
      <c r="B4527" t="s">
        <v>1005</v>
      </c>
      <c r="C4527" t="s">
        <v>10104</v>
      </c>
      <c r="D4527" t="s">
        <v>10105</v>
      </c>
      <c r="E4527" t="s">
        <v>1788</v>
      </c>
    </row>
    <row r="4528" spans="1:5" x14ac:dyDescent="0.2">
      <c r="A4528">
        <v>4528</v>
      </c>
      <c r="B4528" t="s">
        <v>1005</v>
      </c>
      <c r="C4528" t="s">
        <v>10106</v>
      </c>
      <c r="D4528" t="s">
        <v>10107</v>
      </c>
      <c r="E4528" t="s">
        <v>1788</v>
      </c>
    </row>
    <row r="4529" spans="1:5" x14ac:dyDescent="0.2">
      <c r="A4529">
        <v>4529</v>
      </c>
      <c r="B4529" t="s">
        <v>1005</v>
      </c>
      <c r="C4529" t="s">
        <v>10108</v>
      </c>
      <c r="D4529" t="s">
        <v>10109</v>
      </c>
      <c r="E4529" t="s">
        <v>1788</v>
      </c>
    </row>
    <row r="4530" spans="1:5" x14ac:dyDescent="0.2">
      <c r="A4530">
        <v>4530</v>
      </c>
      <c r="B4530" t="s">
        <v>1005</v>
      </c>
      <c r="C4530" t="s">
        <v>10110</v>
      </c>
      <c r="D4530" t="s">
        <v>10111</v>
      </c>
      <c r="E4530" t="s">
        <v>1788</v>
      </c>
    </row>
    <row r="4531" spans="1:5" x14ac:dyDescent="0.2">
      <c r="A4531">
        <v>4531</v>
      </c>
      <c r="B4531" t="s">
        <v>1005</v>
      </c>
      <c r="C4531" t="s">
        <v>10112</v>
      </c>
      <c r="D4531" t="s">
        <v>10113</v>
      </c>
      <c r="E4531" t="s">
        <v>1788</v>
      </c>
    </row>
    <row r="4532" spans="1:5" x14ac:dyDescent="0.2">
      <c r="A4532">
        <v>4532</v>
      </c>
      <c r="B4532" t="s">
        <v>1005</v>
      </c>
      <c r="C4532" t="s">
        <v>10114</v>
      </c>
      <c r="D4532" t="s">
        <v>10115</v>
      </c>
      <c r="E4532" t="s">
        <v>1788</v>
      </c>
    </row>
    <row r="4533" spans="1:5" x14ac:dyDescent="0.2">
      <c r="A4533">
        <v>4533</v>
      </c>
      <c r="B4533" t="s">
        <v>1005</v>
      </c>
      <c r="C4533" t="s">
        <v>10116</v>
      </c>
      <c r="D4533" t="s">
        <v>10117</v>
      </c>
      <c r="E4533" t="s">
        <v>1788</v>
      </c>
    </row>
    <row r="4534" spans="1:5" x14ac:dyDescent="0.2">
      <c r="A4534">
        <v>4534</v>
      </c>
      <c r="B4534" t="s">
        <v>1005</v>
      </c>
      <c r="C4534" t="s">
        <v>10118</v>
      </c>
      <c r="D4534" t="s">
        <v>10119</v>
      </c>
      <c r="E4534" t="s">
        <v>1788</v>
      </c>
    </row>
    <row r="4535" spans="1:5" x14ac:dyDescent="0.2">
      <c r="A4535">
        <v>4535</v>
      </c>
      <c r="B4535" t="s">
        <v>1005</v>
      </c>
      <c r="C4535" t="s">
        <v>10120</v>
      </c>
      <c r="D4535" t="s">
        <v>10121</v>
      </c>
      <c r="E4535" t="s">
        <v>1788</v>
      </c>
    </row>
    <row r="4536" spans="1:5" x14ac:dyDescent="0.2">
      <c r="A4536">
        <v>4536</v>
      </c>
      <c r="B4536" t="s">
        <v>1005</v>
      </c>
      <c r="C4536" t="s">
        <v>10122</v>
      </c>
      <c r="D4536" t="s">
        <v>10123</v>
      </c>
      <c r="E4536" t="s">
        <v>1788</v>
      </c>
    </row>
    <row r="4537" spans="1:5" x14ac:dyDescent="0.2">
      <c r="A4537">
        <v>4537</v>
      </c>
      <c r="B4537" t="s">
        <v>1005</v>
      </c>
      <c r="C4537" t="s">
        <v>10124</v>
      </c>
      <c r="D4537" t="s">
        <v>10125</v>
      </c>
      <c r="E4537" t="s">
        <v>1788</v>
      </c>
    </row>
    <row r="4538" spans="1:5" x14ac:dyDescent="0.2">
      <c r="A4538">
        <v>4538</v>
      </c>
      <c r="B4538" t="s">
        <v>1005</v>
      </c>
      <c r="C4538" t="s">
        <v>10126</v>
      </c>
      <c r="D4538" t="s">
        <v>10127</v>
      </c>
      <c r="E4538" t="s">
        <v>1788</v>
      </c>
    </row>
    <row r="4539" spans="1:5" x14ac:dyDescent="0.2">
      <c r="A4539">
        <v>4539</v>
      </c>
      <c r="B4539" t="s">
        <v>1005</v>
      </c>
      <c r="C4539" t="s">
        <v>10128</v>
      </c>
      <c r="D4539" t="s">
        <v>10129</v>
      </c>
      <c r="E4539" t="s">
        <v>1788</v>
      </c>
    </row>
    <row r="4540" spans="1:5" x14ac:dyDescent="0.2">
      <c r="A4540">
        <v>4540</v>
      </c>
      <c r="B4540" t="s">
        <v>1005</v>
      </c>
      <c r="C4540" t="s">
        <v>10130</v>
      </c>
      <c r="D4540" t="s">
        <v>10131</v>
      </c>
      <c r="E4540" t="s">
        <v>1788</v>
      </c>
    </row>
    <row r="4541" spans="1:5" x14ac:dyDescent="0.2">
      <c r="A4541">
        <v>4541</v>
      </c>
      <c r="B4541" t="s">
        <v>1005</v>
      </c>
      <c r="C4541" t="s">
        <v>10132</v>
      </c>
      <c r="D4541" t="s">
        <v>10133</v>
      </c>
      <c r="E4541" t="s">
        <v>1788</v>
      </c>
    </row>
    <row r="4542" spans="1:5" x14ac:dyDescent="0.2">
      <c r="A4542">
        <v>4542</v>
      </c>
      <c r="B4542" t="s">
        <v>1005</v>
      </c>
      <c r="C4542" t="s">
        <v>10134</v>
      </c>
      <c r="D4542" t="s">
        <v>10135</v>
      </c>
      <c r="E4542" t="s">
        <v>1788</v>
      </c>
    </row>
    <row r="4543" spans="1:5" x14ac:dyDescent="0.2">
      <c r="A4543">
        <v>4543</v>
      </c>
      <c r="B4543" t="s">
        <v>1005</v>
      </c>
      <c r="C4543" t="s">
        <v>10136</v>
      </c>
      <c r="D4543" t="s">
        <v>10137</v>
      </c>
      <c r="E4543" t="s">
        <v>1788</v>
      </c>
    </row>
    <row r="4544" spans="1:5" x14ac:dyDescent="0.2">
      <c r="A4544">
        <v>4544</v>
      </c>
      <c r="B4544" t="s">
        <v>1005</v>
      </c>
      <c r="C4544" t="s">
        <v>10138</v>
      </c>
      <c r="D4544" t="s">
        <v>10139</v>
      </c>
      <c r="E4544" t="s">
        <v>1788</v>
      </c>
    </row>
    <row r="4545" spans="1:5" x14ac:dyDescent="0.2">
      <c r="A4545">
        <v>4545</v>
      </c>
      <c r="B4545" t="s">
        <v>1005</v>
      </c>
      <c r="C4545" t="s">
        <v>10140</v>
      </c>
      <c r="D4545" t="s">
        <v>10141</v>
      </c>
      <c r="E4545" t="s">
        <v>1788</v>
      </c>
    </row>
    <row r="4546" spans="1:5" x14ac:dyDescent="0.2">
      <c r="A4546">
        <v>4546</v>
      </c>
      <c r="B4546" t="s">
        <v>1007</v>
      </c>
      <c r="C4546" t="s">
        <v>10142</v>
      </c>
      <c r="D4546" t="s">
        <v>10143</v>
      </c>
      <c r="E4546" t="s">
        <v>2681</v>
      </c>
    </row>
    <row r="4547" spans="1:5" x14ac:dyDescent="0.2">
      <c r="A4547">
        <v>4547</v>
      </c>
      <c r="B4547" t="s">
        <v>1007</v>
      </c>
      <c r="C4547" t="s">
        <v>10144</v>
      </c>
      <c r="D4547" t="s">
        <v>10145</v>
      </c>
      <c r="E4547" t="s">
        <v>2681</v>
      </c>
    </row>
    <row r="4548" spans="1:5" x14ac:dyDescent="0.2">
      <c r="A4548">
        <v>4548</v>
      </c>
      <c r="B4548" t="s">
        <v>1007</v>
      </c>
      <c r="C4548" t="s">
        <v>10146</v>
      </c>
      <c r="D4548" t="s">
        <v>10147</v>
      </c>
      <c r="E4548" t="s">
        <v>2681</v>
      </c>
    </row>
    <row r="4549" spans="1:5" x14ac:dyDescent="0.2">
      <c r="A4549">
        <v>4549</v>
      </c>
      <c r="B4549" t="s">
        <v>1007</v>
      </c>
      <c r="C4549" t="s">
        <v>10148</v>
      </c>
      <c r="D4549" t="s">
        <v>10149</v>
      </c>
      <c r="E4549" t="s">
        <v>2681</v>
      </c>
    </row>
    <row r="4550" spans="1:5" x14ac:dyDescent="0.2">
      <c r="A4550">
        <v>4550</v>
      </c>
      <c r="B4550" t="s">
        <v>1007</v>
      </c>
      <c r="C4550" t="s">
        <v>10150</v>
      </c>
      <c r="D4550" t="s">
        <v>10151</v>
      </c>
      <c r="E4550" t="s">
        <v>2681</v>
      </c>
    </row>
    <row r="4551" spans="1:5" x14ac:dyDescent="0.2">
      <c r="A4551">
        <v>4551</v>
      </c>
      <c r="B4551" t="s">
        <v>1007</v>
      </c>
      <c r="C4551" t="s">
        <v>10152</v>
      </c>
      <c r="D4551" t="s">
        <v>10153</v>
      </c>
      <c r="E4551" t="s">
        <v>2681</v>
      </c>
    </row>
    <row r="4552" spans="1:5" x14ac:dyDescent="0.2">
      <c r="A4552">
        <v>4552</v>
      </c>
      <c r="B4552" t="s">
        <v>1007</v>
      </c>
      <c r="C4552" t="s">
        <v>10152</v>
      </c>
      <c r="D4552" t="s">
        <v>10154</v>
      </c>
      <c r="E4552" t="s">
        <v>2681</v>
      </c>
    </row>
    <row r="4553" spans="1:5" x14ac:dyDescent="0.2">
      <c r="A4553">
        <v>4553</v>
      </c>
      <c r="B4553" t="s">
        <v>1007</v>
      </c>
      <c r="C4553" t="s">
        <v>10155</v>
      </c>
      <c r="D4553" t="s">
        <v>10156</v>
      </c>
      <c r="E4553" t="s">
        <v>2681</v>
      </c>
    </row>
    <row r="4554" spans="1:5" x14ac:dyDescent="0.2">
      <c r="A4554">
        <v>4554</v>
      </c>
      <c r="B4554" t="s">
        <v>1007</v>
      </c>
      <c r="C4554" t="s">
        <v>10155</v>
      </c>
      <c r="D4554" t="s">
        <v>10157</v>
      </c>
      <c r="E4554" t="s">
        <v>2681</v>
      </c>
    </row>
    <row r="4555" spans="1:5" x14ac:dyDescent="0.2">
      <c r="A4555">
        <v>4555</v>
      </c>
      <c r="B4555" t="s">
        <v>1007</v>
      </c>
      <c r="C4555" t="s">
        <v>10158</v>
      </c>
      <c r="D4555" t="s">
        <v>10159</v>
      </c>
      <c r="E4555" t="s">
        <v>2681</v>
      </c>
    </row>
    <row r="4556" spans="1:5" x14ac:dyDescent="0.2">
      <c r="A4556">
        <v>4556</v>
      </c>
      <c r="B4556" t="s">
        <v>1007</v>
      </c>
      <c r="C4556" t="s">
        <v>10160</v>
      </c>
      <c r="D4556" t="s">
        <v>10161</v>
      </c>
      <c r="E4556" t="s">
        <v>2681</v>
      </c>
    </row>
    <row r="4557" spans="1:5" x14ac:dyDescent="0.2">
      <c r="A4557">
        <v>4557</v>
      </c>
      <c r="B4557" t="s">
        <v>1007</v>
      </c>
      <c r="C4557" t="s">
        <v>10162</v>
      </c>
      <c r="D4557" t="s">
        <v>10163</v>
      </c>
      <c r="E4557" t="s">
        <v>2681</v>
      </c>
    </row>
    <row r="4558" spans="1:5" x14ac:dyDescent="0.2">
      <c r="A4558">
        <v>4558</v>
      </c>
      <c r="B4558" t="s">
        <v>1007</v>
      </c>
      <c r="C4558" t="s">
        <v>10162</v>
      </c>
      <c r="D4558" t="s">
        <v>10164</v>
      </c>
      <c r="E4558" t="s">
        <v>2681</v>
      </c>
    </row>
    <row r="4559" spans="1:5" x14ac:dyDescent="0.2">
      <c r="A4559">
        <v>4559</v>
      </c>
      <c r="B4559" t="s">
        <v>1007</v>
      </c>
      <c r="C4559" t="s">
        <v>10162</v>
      </c>
      <c r="D4559" t="s">
        <v>10165</v>
      </c>
      <c r="E4559" t="s">
        <v>2681</v>
      </c>
    </row>
    <row r="4560" spans="1:5" x14ac:dyDescent="0.2">
      <c r="A4560">
        <v>4560</v>
      </c>
      <c r="B4560" t="s">
        <v>1007</v>
      </c>
      <c r="C4560" t="s">
        <v>10162</v>
      </c>
      <c r="D4560" t="s">
        <v>10166</v>
      </c>
      <c r="E4560" t="s">
        <v>2681</v>
      </c>
    </row>
    <row r="4561" spans="1:5" x14ac:dyDescent="0.2">
      <c r="A4561">
        <v>4561</v>
      </c>
      <c r="B4561" t="s">
        <v>1007</v>
      </c>
      <c r="C4561" t="s">
        <v>10167</v>
      </c>
      <c r="D4561" t="s">
        <v>4386</v>
      </c>
      <c r="E4561" t="s">
        <v>2681</v>
      </c>
    </row>
    <row r="4562" spans="1:5" x14ac:dyDescent="0.2">
      <c r="A4562">
        <v>4562</v>
      </c>
      <c r="B4562" t="s">
        <v>1007</v>
      </c>
      <c r="C4562" t="s">
        <v>10168</v>
      </c>
      <c r="D4562" t="s">
        <v>10169</v>
      </c>
      <c r="E4562" t="s">
        <v>2681</v>
      </c>
    </row>
    <row r="4563" spans="1:5" x14ac:dyDescent="0.2">
      <c r="A4563">
        <v>4563</v>
      </c>
      <c r="B4563" t="s">
        <v>1007</v>
      </c>
      <c r="C4563" t="s">
        <v>10170</v>
      </c>
      <c r="D4563" t="s">
        <v>10171</v>
      </c>
      <c r="E4563" t="s">
        <v>2681</v>
      </c>
    </row>
    <row r="4564" spans="1:5" x14ac:dyDescent="0.2">
      <c r="A4564">
        <v>4564</v>
      </c>
      <c r="B4564" t="s">
        <v>1007</v>
      </c>
      <c r="C4564" t="s">
        <v>10172</v>
      </c>
      <c r="D4564" t="s">
        <v>10173</v>
      </c>
      <c r="E4564" t="s">
        <v>2681</v>
      </c>
    </row>
    <row r="4565" spans="1:5" x14ac:dyDescent="0.2">
      <c r="A4565">
        <v>4565</v>
      </c>
      <c r="B4565" t="s">
        <v>1007</v>
      </c>
      <c r="C4565" t="s">
        <v>10174</v>
      </c>
      <c r="D4565" t="s">
        <v>10175</v>
      </c>
      <c r="E4565" t="s">
        <v>2681</v>
      </c>
    </row>
    <row r="4566" spans="1:5" x14ac:dyDescent="0.2">
      <c r="A4566">
        <v>4566</v>
      </c>
      <c r="B4566" t="s">
        <v>1007</v>
      </c>
      <c r="C4566" t="s">
        <v>10176</v>
      </c>
      <c r="D4566" t="s">
        <v>10177</v>
      </c>
      <c r="E4566" t="s">
        <v>2681</v>
      </c>
    </row>
    <row r="4567" spans="1:5" x14ac:dyDescent="0.2">
      <c r="A4567">
        <v>4567</v>
      </c>
      <c r="B4567" t="s">
        <v>1007</v>
      </c>
      <c r="C4567" t="s">
        <v>10178</v>
      </c>
      <c r="D4567" t="s">
        <v>10179</v>
      </c>
      <c r="E4567" t="s">
        <v>2681</v>
      </c>
    </row>
    <row r="4568" spans="1:5" x14ac:dyDescent="0.2">
      <c r="A4568">
        <v>4568</v>
      </c>
      <c r="B4568" t="s">
        <v>1007</v>
      </c>
      <c r="C4568" t="s">
        <v>10180</v>
      </c>
      <c r="D4568" t="s">
        <v>10181</v>
      </c>
      <c r="E4568" t="s">
        <v>2681</v>
      </c>
    </row>
    <row r="4569" spans="1:5" x14ac:dyDescent="0.2">
      <c r="A4569">
        <v>4569</v>
      </c>
      <c r="B4569" t="s">
        <v>1007</v>
      </c>
      <c r="C4569" t="s">
        <v>10182</v>
      </c>
      <c r="D4569" t="s">
        <v>10183</v>
      </c>
      <c r="E4569" t="s">
        <v>2681</v>
      </c>
    </row>
    <row r="4570" spans="1:5" x14ac:dyDescent="0.2">
      <c r="A4570">
        <v>4570</v>
      </c>
      <c r="B4570" t="s">
        <v>1007</v>
      </c>
      <c r="C4570" t="s">
        <v>10184</v>
      </c>
      <c r="D4570" t="s">
        <v>10185</v>
      </c>
      <c r="E4570" t="s">
        <v>2681</v>
      </c>
    </row>
    <row r="4571" spans="1:5" x14ac:dyDescent="0.2">
      <c r="A4571">
        <v>4571</v>
      </c>
      <c r="B4571" t="s">
        <v>1007</v>
      </c>
      <c r="C4571" t="s">
        <v>10186</v>
      </c>
      <c r="D4571" t="s">
        <v>10187</v>
      </c>
      <c r="E4571" t="s">
        <v>2681</v>
      </c>
    </row>
    <row r="4572" spans="1:5" x14ac:dyDescent="0.2">
      <c r="A4572">
        <v>4572</v>
      </c>
      <c r="B4572" t="s">
        <v>1007</v>
      </c>
      <c r="C4572" t="s">
        <v>10188</v>
      </c>
      <c r="D4572" t="s">
        <v>10189</v>
      </c>
      <c r="E4572" t="s">
        <v>2681</v>
      </c>
    </row>
    <row r="4573" spans="1:5" x14ac:dyDescent="0.2">
      <c r="A4573">
        <v>4573</v>
      </c>
      <c r="B4573" t="s">
        <v>1007</v>
      </c>
      <c r="C4573" t="s">
        <v>10190</v>
      </c>
      <c r="D4573" t="s">
        <v>10191</v>
      </c>
      <c r="E4573" t="s">
        <v>2681</v>
      </c>
    </row>
    <row r="4574" spans="1:5" x14ac:dyDescent="0.2">
      <c r="A4574">
        <v>4574</v>
      </c>
      <c r="B4574" t="s">
        <v>1007</v>
      </c>
      <c r="C4574" t="s">
        <v>10192</v>
      </c>
      <c r="D4574" t="s">
        <v>10193</v>
      </c>
      <c r="E4574" t="s">
        <v>2681</v>
      </c>
    </row>
    <row r="4575" spans="1:5" x14ac:dyDescent="0.2">
      <c r="A4575">
        <v>4575</v>
      </c>
      <c r="B4575" t="s">
        <v>1007</v>
      </c>
      <c r="C4575" t="s">
        <v>10190</v>
      </c>
      <c r="D4575" t="s">
        <v>10194</v>
      </c>
      <c r="E4575" t="s">
        <v>2681</v>
      </c>
    </row>
    <row r="4576" spans="1:5" x14ac:dyDescent="0.2">
      <c r="A4576">
        <v>4576</v>
      </c>
      <c r="B4576" t="s">
        <v>1007</v>
      </c>
      <c r="C4576" t="s">
        <v>10195</v>
      </c>
      <c r="D4576" t="s">
        <v>10196</v>
      </c>
      <c r="E4576" t="s">
        <v>2681</v>
      </c>
    </row>
    <row r="4577" spans="1:5" x14ac:dyDescent="0.2">
      <c r="A4577">
        <v>4577</v>
      </c>
      <c r="B4577" t="s">
        <v>1007</v>
      </c>
      <c r="C4577" t="s">
        <v>10197</v>
      </c>
      <c r="D4577" t="s">
        <v>10198</v>
      </c>
      <c r="E4577" t="s">
        <v>2681</v>
      </c>
    </row>
    <row r="4578" spans="1:5" x14ac:dyDescent="0.2">
      <c r="A4578">
        <v>4578</v>
      </c>
      <c r="B4578" t="s">
        <v>1126</v>
      </c>
      <c r="C4578" t="s">
        <v>10199</v>
      </c>
      <c r="D4578" t="s">
        <v>10200</v>
      </c>
      <c r="E4578" t="s">
        <v>1719</v>
      </c>
    </row>
    <row r="4579" spans="1:5" x14ac:dyDescent="0.2">
      <c r="A4579">
        <v>4579</v>
      </c>
      <c r="B4579" t="s">
        <v>1126</v>
      </c>
      <c r="C4579" t="s">
        <v>10201</v>
      </c>
      <c r="D4579" t="s">
        <v>10202</v>
      </c>
      <c r="E4579" t="s">
        <v>1719</v>
      </c>
    </row>
    <row r="4580" spans="1:5" x14ac:dyDescent="0.2">
      <c r="A4580">
        <v>4580</v>
      </c>
      <c r="B4580" t="s">
        <v>1126</v>
      </c>
      <c r="C4580" t="s">
        <v>10203</v>
      </c>
      <c r="D4580" t="s">
        <v>10204</v>
      </c>
      <c r="E4580" t="s">
        <v>1719</v>
      </c>
    </row>
    <row r="4581" spans="1:5" x14ac:dyDescent="0.2">
      <c r="A4581">
        <v>4581</v>
      </c>
      <c r="B4581" t="s">
        <v>1126</v>
      </c>
      <c r="C4581" t="s">
        <v>10205</v>
      </c>
      <c r="D4581" t="s">
        <v>10206</v>
      </c>
      <c r="E4581" t="s">
        <v>1719</v>
      </c>
    </row>
    <row r="4582" spans="1:5" x14ac:dyDescent="0.2">
      <c r="A4582">
        <v>4582</v>
      </c>
      <c r="B4582" t="s">
        <v>1126</v>
      </c>
      <c r="C4582" t="s">
        <v>10207</v>
      </c>
      <c r="D4582" t="s">
        <v>10208</v>
      </c>
      <c r="E4582" t="s">
        <v>1719</v>
      </c>
    </row>
    <row r="4583" spans="1:5" x14ac:dyDescent="0.2">
      <c r="A4583">
        <v>4583</v>
      </c>
      <c r="B4583" t="s">
        <v>1126</v>
      </c>
      <c r="C4583" t="s">
        <v>10209</v>
      </c>
      <c r="D4583" t="s">
        <v>10210</v>
      </c>
      <c r="E4583" t="s">
        <v>1719</v>
      </c>
    </row>
    <row r="4584" spans="1:5" x14ac:dyDescent="0.2">
      <c r="A4584">
        <v>4584</v>
      </c>
      <c r="B4584" t="s">
        <v>1126</v>
      </c>
      <c r="C4584" t="s">
        <v>10211</v>
      </c>
      <c r="D4584" t="s">
        <v>10212</v>
      </c>
      <c r="E4584" t="s">
        <v>1719</v>
      </c>
    </row>
    <row r="4585" spans="1:5" x14ac:dyDescent="0.2">
      <c r="A4585">
        <v>4585</v>
      </c>
      <c r="B4585" t="s">
        <v>1126</v>
      </c>
      <c r="C4585" t="s">
        <v>10213</v>
      </c>
      <c r="D4585" t="s">
        <v>10214</v>
      </c>
      <c r="E4585" t="s">
        <v>1719</v>
      </c>
    </row>
    <row r="4586" spans="1:5" x14ac:dyDescent="0.2">
      <c r="A4586">
        <v>4586</v>
      </c>
      <c r="B4586" t="s">
        <v>1126</v>
      </c>
      <c r="C4586" t="s">
        <v>10215</v>
      </c>
      <c r="D4586" t="s">
        <v>10216</v>
      </c>
      <c r="E4586" t="s">
        <v>1719</v>
      </c>
    </row>
    <row r="4587" spans="1:5" x14ac:dyDescent="0.2">
      <c r="A4587">
        <v>4587</v>
      </c>
      <c r="B4587" t="s">
        <v>1126</v>
      </c>
      <c r="C4587" t="s">
        <v>10217</v>
      </c>
      <c r="D4587" t="s">
        <v>10218</v>
      </c>
      <c r="E4587" t="s">
        <v>1719</v>
      </c>
    </row>
    <row r="4588" spans="1:5" x14ac:dyDescent="0.2">
      <c r="A4588">
        <v>4588</v>
      </c>
      <c r="B4588" t="s">
        <v>1126</v>
      </c>
      <c r="C4588" t="s">
        <v>10219</v>
      </c>
      <c r="D4588" t="s">
        <v>10220</v>
      </c>
      <c r="E4588" t="s">
        <v>1719</v>
      </c>
    </row>
    <row r="4589" spans="1:5" x14ac:dyDescent="0.2">
      <c r="A4589">
        <v>4589</v>
      </c>
      <c r="B4589" t="s">
        <v>1126</v>
      </c>
      <c r="C4589" t="s">
        <v>10221</v>
      </c>
      <c r="D4589" t="s">
        <v>10222</v>
      </c>
      <c r="E4589" t="s">
        <v>1719</v>
      </c>
    </row>
    <row r="4590" spans="1:5" x14ac:dyDescent="0.2">
      <c r="A4590">
        <v>4590</v>
      </c>
      <c r="B4590" t="s">
        <v>1126</v>
      </c>
      <c r="C4590" t="s">
        <v>10223</v>
      </c>
      <c r="D4590" t="s">
        <v>10224</v>
      </c>
      <c r="E4590" t="s">
        <v>1719</v>
      </c>
    </row>
    <row r="4591" spans="1:5" x14ac:dyDescent="0.2">
      <c r="A4591">
        <v>4591</v>
      </c>
      <c r="B4591" t="s">
        <v>1126</v>
      </c>
      <c r="C4591" t="s">
        <v>10225</v>
      </c>
      <c r="D4591" t="s">
        <v>10226</v>
      </c>
      <c r="E4591" t="s">
        <v>1719</v>
      </c>
    </row>
    <row r="4592" spans="1:5" x14ac:dyDescent="0.2">
      <c r="A4592">
        <v>4592</v>
      </c>
      <c r="B4592" t="s">
        <v>1127</v>
      </c>
      <c r="C4592" t="s">
        <v>10227</v>
      </c>
      <c r="D4592" t="s">
        <v>10228</v>
      </c>
      <c r="E4592" t="s">
        <v>1790</v>
      </c>
    </row>
    <row r="4593" spans="1:5" x14ac:dyDescent="0.2">
      <c r="A4593">
        <v>4593</v>
      </c>
      <c r="B4593" t="s">
        <v>1127</v>
      </c>
      <c r="C4593" t="s">
        <v>10229</v>
      </c>
      <c r="D4593" t="s">
        <v>10230</v>
      </c>
      <c r="E4593" t="s">
        <v>2164</v>
      </c>
    </row>
    <row r="4594" spans="1:5" x14ac:dyDescent="0.2">
      <c r="A4594">
        <v>4594</v>
      </c>
      <c r="B4594" t="s">
        <v>1127</v>
      </c>
      <c r="C4594" t="s">
        <v>10231</v>
      </c>
      <c r="D4594" t="s">
        <v>10230</v>
      </c>
      <c r="E4594" t="s">
        <v>1790</v>
      </c>
    </row>
    <row r="4595" spans="1:5" x14ac:dyDescent="0.2">
      <c r="A4595">
        <v>4595</v>
      </c>
      <c r="B4595" t="s">
        <v>1127</v>
      </c>
      <c r="C4595" t="s">
        <v>10232</v>
      </c>
      <c r="D4595" t="s">
        <v>10233</v>
      </c>
      <c r="E4595" t="s">
        <v>1790</v>
      </c>
    </row>
    <row r="4596" spans="1:5" x14ac:dyDescent="0.2">
      <c r="A4596">
        <v>4596</v>
      </c>
      <c r="B4596" t="s">
        <v>1127</v>
      </c>
      <c r="C4596" t="s">
        <v>10234</v>
      </c>
      <c r="D4596" t="s">
        <v>10233</v>
      </c>
      <c r="E4596" t="s">
        <v>2164</v>
      </c>
    </row>
    <row r="4597" spans="1:5" x14ac:dyDescent="0.2">
      <c r="A4597">
        <v>4597</v>
      </c>
      <c r="B4597" t="s">
        <v>1127</v>
      </c>
      <c r="C4597" t="s">
        <v>10235</v>
      </c>
      <c r="D4597" t="s">
        <v>10236</v>
      </c>
      <c r="E4597" t="s">
        <v>1790</v>
      </c>
    </row>
    <row r="4598" spans="1:5" x14ac:dyDescent="0.2">
      <c r="A4598">
        <v>4598</v>
      </c>
      <c r="B4598" t="s">
        <v>1127</v>
      </c>
      <c r="C4598" t="s">
        <v>10237</v>
      </c>
      <c r="D4598" t="s">
        <v>10238</v>
      </c>
      <c r="E4598" t="s">
        <v>1790</v>
      </c>
    </row>
    <row r="4599" spans="1:5" x14ac:dyDescent="0.2">
      <c r="A4599">
        <v>4599</v>
      </c>
      <c r="B4599" t="s">
        <v>1127</v>
      </c>
      <c r="C4599" t="s">
        <v>10239</v>
      </c>
      <c r="D4599" t="s">
        <v>10240</v>
      </c>
      <c r="E4599" t="s">
        <v>2673</v>
      </c>
    </row>
    <row r="4600" spans="1:5" x14ac:dyDescent="0.2">
      <c r="A4600">
        <v>4600</v>
      </c>
      <c r="B4600" t="s">
        <v>1127</v>
      </c>
      <c r="C4600" t="s">
        <v>10241</v>
      </c>
      <c r="D4600" t="s">
        <v>10240</v>
      </c>
      <c r="E4600" t="s">
        <v>1790</v>
      </c>
    </row>
    <row r="4601" spans="1:5" x14ac:dyDescent="0.2">
      <c r="A4601">
        <v>4601</v>
      </c>
      <c r="B4601" t="s">
        <v>1127</v>
      </c>
      <c r="C4601" t="s">
        <v>10242</v>
      </c>
      <c r="D4601" t="s">
        <v>10243</v>
      </c>
      <c r="E4601" t="s">
        <v>2164</v>
      </c>
    </row>
    <row r="4602" spans="1:5" x14ac:dyDescent="0.2">
      <c r="A4602">
        <v>4602</v>
      </c>
      <c r="B4602" t="s">
        <v>1127</v>
      </c>
      <c r="C4602" t="s">
        <v>10244</v>
      </c>
      <c r="D4602" t="s">
        <v>10245</v>
      </c>
      <c r="E4602" t="s">
        <v>1790</v>
      </c>
    </row>
    <row r="4603" spans="1:5" x14ac:dyDescent="0.2">
      <c r="A4603">
        <v>4603</v>
      </c>
      <c r="B4603" t="s">
        <v>1127</v>
      </c>
      <c r="C4603" t="s">
        <v>10246</v>
      </c>
      <c r="D4603" t="s">
        <v>10247</v>
      </c>
      <c r="E4603" t="s">
        <v>1790</v>
      </c>
    </row>
    <row r="4604" spans="1:5" x14ac:dyDescent="0.2">
      <c r="A4604">
        <v>4604</v>
      </c>
      <c r="B4604" t="s">
        <v>1127</v>
      </c>
      <c r="C4604" t="s">
        <v>10248</v>
      </c>
      <c r="D4604" t="s">
        <v>10249</v>
      </c>
      <c r="E4604" t="s">
        <v>1790</v>
      </c>
    </row>
    <row r="4605" spans="1:5" x14ac:dyDescent="0.2">
      <c r="A4605">
        <v>4605</v>
      </c>
      <c r="B4605" t="s">
        <v>1127</v>
      </c>
      <c r="C4605" t="s">
        <v>10250</v>
      </c>
      <c r="D4605" t="s">
        <v>10251</v>
      </c>
      <c r="E4605" t="s">
        <v>1790</v>
      </c>
    </row>
    <row r="4606" spans="1:5" x14ac:dyDescent="0.2">
      <c r="A4606">
        <v>4606</v>
      </c>
      <c r="B4606" t="s">
        <v>1127</v>
      </c>
      <c r="C4606" t="s">
        <v>10252</v>
      </c>
      <c r="D4606" t="s">
        <v>10253</v>
      </c>
      <c r="E4606" t="s">
        <v>2164</v>
      </c>
    </row>
    <row r="4607" spans="1:5" x14ac:dyDescent="0.2">
      <c r="A4607">
        <v>4607</v>
      </c>
      <c r="B4607" t="s">
        <v>1127</v>
      </c>
      <c r="C4607" t="s">
        <v>10254</v>
      </c>
      <c r="D4607" t="s">
        <v>10253</v>
      </c>
      <c r="E4607" t="s">
        <v>1790</v>
      </c>
    </row>
    <row r="4608" spans="1:5" x14ac:dyDescent="0.2">
      <c r="A4608">
        <v>4608</v>
      </c>
      <c r="B4608" t="s">
        <v>1127</v>
      </c>
      <c r="C4608" t="s">
        <v>10255</v>
      </c>
      <c r="D4608" t="s">
        <v>10256</v>
      </c>
      <c r="E4608" t="s">
        <v>2164</v>
      </c>
    </row>
    <row r="4609" spans="1:5" x14ac:dyDescent="0.2">
      <c r="A4609">
        <v>4609</v>
      </c>
      <c r="B4609" t="s">
        <v>1127</v>
      </c>
      <c r="C4609" t="s">
        <v>10257</v>
      </c>
      <c r="D4609" t="s">
        <v>10256</v>
      </c>
      <c r="E4609" t="s">
        <v>1790</v>
      </c>
    </row>
    <row r="4610" spans="1:5" x14ac:dyDescent="0.2">
      <c r="A4610">
        <v>4610</v>
      </c>
      <c r="B4610" t="s">
        <v>1127</v>
      </c>
      <c r="C4610" t="s">
        <v>10258</v>
      </c>
      <c r="D4610" t="s">
        <v>10259</v>
      </c>
      <c r="E4610" t="s">
        <v>2673</v>
      </c>
    </row>
    <row r="4611" spans="1:5" x14ac:dyDescent="0.2">
      <c r="A4611">
        <v>4611</v>
      </c>
      <c r="B4611" t="s">
        <v>1127</v>
      </c>
      <c r="C4611" t="s">
        <v>10260</v>
      </c>
      <c r="D4611" t="s">
        <v>10259</v>
      </c>
      <c r="E4611" t="s">
        <v>1790</v>
      </c>
    </row>
    <row r="4612" spans="1:5" x14ac:dyDescent="0.2">
      <c r="A4612">
        <v>4612</v>
      </c>
      <c r="B4612" t="s">
        <v>1127</v>
      </c>
      <c r="C4612" t="s">
        <v>10261</v>
      </c>
      <c r="D4612" t="s">
        <v>10262</v>
      </c>
      <c r="E4612" t="s">
        <v>1790</v>
      </c>
    </row>
    <row r="4613" spans="1:5" x14ac:dyDescent="0.2">
      <c r="A4613">
        <v>4613</v>
      </c>
      <c r="B4613" t="s">
        <v>1127</v>
      </c>
      <c r="C4613" t="s">
        <v>10263</v>
      </c>
      <c r="D4613" t="s">
        <v>10264</v>
      </c>
      <c r="E4613" t="s">
        <v>1790</v>
      </c>
    </row>
    <row r="4614" spans="1:5" x14ac:dyDescent="0.2">
      <c r="A4614">
        <v>4614</v>
      </c>
      <c r="B4614" t="s">
        <v>1127</v>
      </c>
      <c r="C4614" t="s">
        <v>10265</v>
      </c>
      <c r="D4614" t="s">
        <v>10266</v>
      </c>
      <c r="E4614" t="s">
        <v>1790</v>
      </c>
    </row>
    <row r="4615" spans="1:5" x14ac:dyDescent="0.2">
      <c r="A4615">
        <v>4615</v>
      </c>
      <c r="B4615" t="s">
        <v>1013</v>
      </c>
      <c r="C4615" t="s">
        <v>10267</v>
      </c>
      <c r="D4615" t="s">
        <v>10268</v>
      </c>
      <c r="E4615" t="s">
        <v>2087</v>
      </c>
    </row>
    <row r="4616" spans="1:5" x14ac:dyDescent="0.2">
      <c r="A4616">
        <v>4616</v>
      </c>
      <c r="B4616" t="s">
        <v>1013</v>
      </c>
      <c r="C4616" t="s">
        <v>10269</v>
      </c>
      <c r="D4616" t="s">
        <v>10270</v>
      </c>
      <c r="E4616" t="s">
        <v>3322</v>
      </c>
    </row>
    <row r="4617" spans="1:5" x14ac:dyDescent="0.2">
      <c r="A4617">
        <v>4617</v>
      </c>
      <c r="B4617" t="s">
        <v>1013</v>
      </c>
      <c r="C4617" t="s">
        <v>10271</v>
      </c>
      <c r="D4617" t="s">
        <v>10272</v>
      </c>
      <c r="E4617" t="s">
        <v>2087</v>
      </c>
    </row>
    <row r="4618" spans="1:5" x14ac:dyDescent="0.2">
      <c r="A4618">
        <v>4618</v>
      </c>
      <c r="B4618" t="s">
        <v>1128</v>
      </c>
      <c r="C4618" t="s">
        <v>10273</v>
      </c>
      <c r="D4618" t="s">
        <v>10274</v>
      </c>
      <c r="E4618" t="s">
        <v>2087</v>
      </c>
    </row>
    <row r="4619" spans="1:5" x14ac:dyDescent="0.2">
      <c r="A4619">
        <v>4619</v>
      </c>
      <c r="B4619" t="s">
        <v>1128</v>
      </c>
      <c r="C4619" t="s">
        <v>10275</v>
      </c>
      <c r="D4619" t="s">
        <v>5928</v>
      </c>
      <c r="E4619" t="s">
        <v>2087</v>
      </c>
    </row>
    <row r="4620" spans="1:5" x14ac:dyDescent="0.2">
      <c r="A4620">
        <v>4620</v>
      </c>
      <c r="B4620" t="s">
        <v>1128</v>
      </c>
      <c r="C4620" t="s">
        <v>10276</v>
      </c>
      <c r="D4620" t="s">
        <v>10277</v>
      </c>
      <c r="E4620" t="s">
        <v>2087</v>
      </c>
    </row>
    <row r="4621" spans="1:5" x14ac:dyDescent="0.2">
      <c r="A4621">
        <v>4621</v>
      </c>
      <c r="B4621" t="s">
        <v>1128</v>
      </c>
      <c r="C4621" t="s">
        <v>10278</v>
      </c>
      <c r="D4621" t="s">
        <v>10279</v>
      </c>
      <c r="E4621" t="s">
        <v>2087</v>
      </c>
    </row>
    <row r="4622" spans="1:5" x14ac:dyDescent="0.2">
      <c r="A4622">
        <v>4622</v>
      </c>
      <c r="B4622" t="s">
        <v>1128</v>
      </c>
      <c r="C4622" t="s">
        <v>10280</v>
      </c>
      <c r="D4622" t="s">
        <v>10281</v>
      </c>
      <c r="E4622" t="s">
        <v>2087</v>
      </c>
    </row>
    <row r="4623" spans="1:5" x14ac:dyDescent="0.2">
      <c r="A4623">
        <v>4623</v>
      </c>
      <c r="B4623" t="s">
        <v>1128</v>
      </c>
      <c r="C4623" t="s">
        <v>10282</v>
      </c>
      <c r="D4623" t="s">
        <v>10283</v>
      </c>
      <c r="E4623" t="s">
        <v>2087</v>
      </c>
    </row>
    <row r="4624" spans="1:5" x14ac:dyDescent="0.2">
      <c r="A4624">
        <v>4624</v>
      </c>
      <c r="B4624" t="s">
        <v>1128</v>
      </c>
      <c r="C4624" t="s">
        <v>10284</v>
      </c>
      <c r="D4624" t="s">
        <v>10285</v>
      </c>
      <c r="E4624" t="s">
        <v>2087</v>
      </c>
    </row>
    <row r="4625" spans="1:5" x14ac:dyDescent="0.2">
      <c r="A4625">
        <v>4625</v>
      </c>
      <c r="B4625" t="s">
        <v>1128</v>
      </c>
      <c r="C4625" t="s">
        <v>10286</v>
      </c>
      <c r="D4625" t="s">
        <v>10287</v>
      </c>
      <c r="E4625" t="s">
        <v>2087</v>
      </c>
    </row>
    <row r="4626" spans="1:5" x14ac:dyDescent="0.2">
      <c r="A4626">
        <v>4626</v>
      </c>
      <c r="B4626" t="s">
        <v>1128</v>
      </c>
      <c r="C4626" t="s">
        <v>10288</v>
      </c>
      <c r="D4626" t="s">
        <v>10289</v>
      </c>
      <c r="E4626" t="s">
        <v>2087</v>
      </c>
    </row>
    <row r="4627" spans="1:5" x14ac:dyDescent="0.2">
      <c r="A4627">
        <v>4627</v>
      </c>
      <c r="B4627" t="s">
        <v>1128</v>
      </c>
      <c r="C4627" t="s">
        <v>10290</v>
      </c>
      <c r="D4627" t="s">
        <v>10291</v>
      </c>
      <c r="E4627" t="s">
        <v>2087</v>
      </c>
    </row>
    <row r="4628" spans="1:5" x14ac:dyDescent="0.2">
      <c r="A4628">
        <v>4628</v>
      </c>
      <c r="B4628" t="s">
        <v>1128</v>
      </c>
      <c r="C4628" t="s">
        <v>10292</v>
      </c>
      <c r="D4628" t="s">
        <v>10293</v>
      </c>
      <c r="E4628" t="s">
        <v>2087</v>
      </c>
    </row>
    <row r="4629" spans="1:5" x14ac:dyDescent="0.2">
      <c r="A4629">
        <v>4629</v>
      </c>
      <c r="B4629" t="s">
        <v>1128</v>
      </c>
      <c r="C4629" t="s">
        <v>10294</v>
      </c>
      <c r="D4629" t="s">
        <v>10295</v>
      </c>
      <c r="E4629" t="s">
        <v>2087</v>
      </c>
    </row>
    <row r="4630" spans="1:5" x14ac:dyDescent="0.2">
      <c r="A4630">
        <v>4630</v>
      </c>
      <c r="B4630" t="s">
        <v>1128</v>
      </c>
      <c r="C4630" t="s">
        <v>10296</v>
      </c>
      <c r="D4630" t="s">
        <v>10297</v>
      </c>
      <c r="E4630" t="s">
        <v>2087</v>
      </c>
    </row>
    <row r="4631" spans="1:5" x14ac:dyDescent="0.2">
      <c r="A4631">
        <v>4631</v>
      </c>
      <c r="B4631" t="s">
        <v>1128</v>
      </c>
      <c r="C4631" t="s">
        <v>10298</v>
      </c>
      <c r="D4631" t="s">
        <v>10299</v>
      </c>
      <c r="E4631" t="s">
        <v>2087</v>
      </c>
    </row>
    <row r="4632" spans="1:5" x14ac:dyDescent="0.2">
      <c r="A4632">
        <v>4632</v>
      </c>
      <c r="B4632" t="s">
        <v>1128</v>
      </c>
      <c r="C4632" t="s">
        <v>10300</v>
      </c>
      <c r="D4632" t="s">
        <v>10301</v>
      </c>
      <c r="E4632" t="s">
        <v>2087</v>
      </c>
    </row>
    <row r="4633" spans="1:5" x14ac:dyDescent="0.2">
      <c r="A4633">
        <v>4633</v>
      </c>
      <c r="B4633" t="s">
        <v>1128</v>
      </c>
      <c r="C4633" t="s">
        <v>10302</v>
      </c>
      <c r="D4633" t="s">
        <v>10303</v>
      </c>
      <c r="E4633" t="s">
        <v>2087</v>
      </c>
    </row>
    <row r="4634" spans="1:5" x14ac:dyDescent="0.2">
      <c r="A4634">
        <v>4634</v>
      </c>
      <c r="B4634" t="s">
        <v>1128</v>
      </c>
      <c r="C4634" t="s">
        <v>10304</v>
      </c>
      <c r="D4634" t="s">
        <v>10305</v>
      </c>
      <c r="E4634" t="s">
        <v>2087</v>
      </c>
    </row>
    <row r="4635" spans="1:5" x14ac:dyDescent="0.2">
      <c r="A4635">
        <v>4635</v>
      </c>
      <c r="B4635" t="s">
        <v>1128</v>
      </c>
      <c r="C4635" t="s">
        <v>10306</v>
      </c>
      <c r="D4635" t="s">
        <v>10307</v>
      </c>
      <c r="E4635" t="s">
        <v>2087</v>
      </c>
    </row>
    <row r="4636" spans="1:5" x14ac:dyDescent="0.2">
      <c r="A4636">
        <v>4636</v>
      </c>
      <c r="B4636" t="s">
        <v>1128</v>
      </c>
      <c r="C4636" t="s">
        <v>10308</v>
      </c>
      <c r="D4636" t="s">
        <v>10309</v>
      </c>
      <c r="E4636" t="s">
        <v>2087</v>
      </c>
    </row>
    <row r="4637" spans="1:5" x14ac:dyDescent="0.2">
      <c r="A4637">
        <v>4637</v>
      </c>
      <c r="B4637" t="s">
        <v>1128</v>
      </c>
      <c r="C4637" t="s">
        <v>10310</v>
      </c>
      <c r="D4637" t="s">
        <v>6696</v>
      </c>
      <c r="E4637" t="s">
        <v>2087</v>
      </c>
    </row>
    <row r="4638" spans="1:5" x14ac:dyDescent="0.2">
      <c r="A4638">
        <v>4638</v>
      </c>
      <c r="B4638" t="s">
        <v>1128</v>
      </c>
      <c r="C4638" t="s">
        <v>10284</v>
      </c>
      <c r="D4638" t="s">
        <v>10311</v>
      </c>
      <c r="E4638" t="s">
        <v>2087</v>
      </c>
    </row>
    <row r="4639" spans="1:5" x14ac:dyDescent="0.2">
      <c r="A4639">
        <v>4639</v>
      </c>
      <c r="B4639" t="s">
        <v>1128</v>
      </c>
      <c r="C4639" t="s">
        <v>10292</v>
      </c>
      <c r="D4639" t="s">
        <v>10312</v>
      </c>
      <c r="E4639" t="s">
        <v>2087</v>
      </c>
    </row>
    <row r="4640" spans="1:5" x14ac:dyDescent="0.2">
      <c r="A4640">
        <v>4640</v>
      </c>
      <c r="B4640" t="s">
        <v>1128</v>
      </c>
      <c r="C4640" t="s">
        <v>10275</v>
      </c>
      <c r="D4640" t="s">
        <v>5941</v>
      </c>
      <c r="E4640" t="s">
        <v>2087</v>
      </c>
    </row>
    <row r="4641" spans="1:5" x14ac:dyDescent="0.2">
      <c r="A4641">
        <v>4641</v>
      </c>
      <c r="B4641" t="s">
        <v>1128</v>
      </c>
      <c r="C4641" t="s">
        <v>10313</v>
      </c>
      <c r="D4641" t="s">
        <v>10314</v>
      </c>
      <c r="E4641" t="s">
        <v>2087</v>
      </c>
    </row>
    <row r="4642" spans="1:5" x14ac:dyDescent="0.2">
      <c r="A4642">
        <v>4642</v>
      </c>
      <c r="B4642" t="s">
        <v>1128</v>
      </c>
      <c r="C4642" t="s">
        <v>10315</v>
      </c>
      <c r="D4642" t="s">
        <v>10316</v>
      </c>
      <c r="E4642" t="s">
        <v>2087</v>
      </c>
    </row>
    <row r="4643" spans="1:5" x14ac:dyDescent="0.2">
      <c r="A4643">
        <v>4643</v>
      </c>
      <c r="B4643" t="s">
        <v>1128</v>
      </c>
      <c r="C4643" t="s">
        <v>10317</v>
      </c>
      <c r="D4643" t="s">
        <v>10318</v>
      </c>
      <c r="E4643" t="s">
        <v>2087</v>
      </c>
    </row>
    <row r="4644" spans="1:5" x14ac:dyDescent="0.2">
      <c r="A4644">
        <v>4644</v>
      </c>
      <c r="B4644" t="s">
        <v>1128</v>
      </c>
      <c r="C4644" t="s">
        <v>10319</v>
      </c>
      <c r="D4644" t="s">
        <v>10320</v>
      </c>
      <c r="E4644" t="s">
        <v>2087</v>
      </c>
    </row>
    <row r="4645" spans="1:5" x14ac:dyDescent="0.2">
      <c r="A4645">
        <v>4645</v>
      </c>
      <c r="B4645" t="s">
        <v>1128</v>
      </c>
      <c r="C4645" t="s">
        <v>10321</v>
      </c>
      <c r="D4645" t="s">
        <v>10322</v>
      </c>
      <c r="E4645" t="s">
        <v>2087</v>
      </c>
    </row>
    <row r="4646" spans="1:5" x14ac:dyDescent="0.2">
      <c r="A4646">
        <v>4646</v>
      </c>
      <c r="B4646" t="s">
        <v>1128</v>
      </c>
      <c r="C4646" t="s">
        <v>10323</v>
      </c>
      <c r="D4646" t="s">
        <v>10324</v>
      </c>
      <c r="E4646" t="s">
        <v>2087</v>
      </c>
    </row>
    <row r="4647" spans="1:5" x14ac:dyDescent="0.2">
      <c r="A4647">
        <v>4647</v>
      </c>
      <c r="B4647" t="s">
        <v>1128</v>
      </c>
      <c r="C4647" t="s">
        <v>10286</v>
      </c>
      <c r="D4647" t="s">
        <v>10325</v>
      </c>
      <c r="E4647" t="s">
        <v>2087</v>
      </c>
    </row>
    <row r="4648" spans="1:5" x14ac:dyDescent="0.2">
      <c r="A4648">
        <v>4648</v>
      </c>
      <c r="B4648" t="s">
        <v>1128</v>
      </c>
      <c r="C4648" t="s">
        <v>10294</v>
      </c>
      <c r="D4648" t="s">
        <v>10326</v>
      </c>
      <c r="E4648" t="s">
        <v>2087</v>
      </c>
    </row>
    <row r="4649" spans="1:5" x14ac:dyDescent="0.2">
      <c r="A4649">
        <v>4649</v>
      </c>
      <c r="B4649" t="s">
        <v>1128</v>
      </c>
      <c r="C4649" t="s">
        <v>10304</v>
      </c>
      <c r="D4649" t="s">
        <v>10327</v>
      </c>
      <c r="E4649" t="s">
        <v>2087</v>
      </c>
    </row>
    <row r="4650" spans="1:5" x14ac:dyDescent="0.2">
      <c r="A4650">
        <v>4650</v>
      </c>
      <c r="B4650" t="s">
        <v>1017</v>
      </c>
      <c r="C4650" t="s">
        <v>10328</v>
      </c>
      <c r="D4650" t="s">
        <v>10329</v>
      </c>
      <c r="E4650" t="s">
        <v>1719</v>
      </c>
    </row>
    <row r="4651" spans="1:5" x14ac:dyDescent="0.2">
      <c r="A4651">
        <v>4651</v>
      </c>
      <c r="B4651" t="s">
        <v>1017</v>
      </c>
      <c r="C4651" t="s">
        <v>10330</v>
      </c>
      <c r="D4651" t="s">
        <v>10331</v>
      </c>
      <c r="E4651" t="s">
        <v>1719</v>
      </c>
    </row>
    <row r="4652" spans="1:5" x14ac:dyDescent="0.2">
      <c r="A4652">
        <v>4652</v>
      </c>
      <c r="B4652" t="s">
        <v>1017</v>
      </c>
      <c r="C4652" t="s">
        <v>10332</v>
      </c>
      <c r="D4652" t="s">
        <v>10333</v>
      </c>
      <c r="E4652" t="s">
        <v>1719</v>
      </c>
    </row>
    <row r="4653" spans="1:5" x14ac:dyDescent="0.2">
      <c r="A4653">
        <v>4653</v>
      </c>
      <c r="B4653" t="s">
        <v>1017</v>
      </c>
      <c r="C4653" t="s">
        <v>10334</v>
      </c>
      <c r="D4653" t="s">
        <v>10335</v>
      </c>
      <c r="E4653" t="s">
        <v>1719</v>
      </c>
    </row>
    <row r="4654" spans="1:5" x14ac:dyDescent="0.2">
      <c r="A4654">
        <v>4654</v>
      </c>
      <c r="B4654" t="s">
        <v>1017</v>
      </c>
      <c r="C4654" t="s">
        <v>10336</v>
      </c>
      <c r="D4654" t="s">
        <v>10337</v>
      </c>
      <c r="E4654" t="s">
        <v>1719</v>
      </c>
    </row>
    <row r="4655" spans="1:5" x14ac:dyDescent="0.2">
      <c r="A4655">
        <v>4655</v>
      </c>
      <c r="B4655" t="s">
        <v>1017</v>
      </c>
      <c r="C4655" t="s">
        <v>10338</v>
      </c>
      <c r="D4655" t="s">
        <v>10339</v>
      </c>
      <c r="E4655" t="s">
        <v>1719</v>
      </c>
    </row>
    <row r="4656" spans="1:5" x14ac:dyDescent="0.2">
      <c r="A4656">
        <v>4656</v>
      </c>
      <c r="B4656" t="s">
        <v>1017</v>
      </c>
      <c r="C4656" t="s">
        <v>10340</v>
      </c>
      <c r="D4656" t="s">
        <v>10341</v>
      </c>
      <c r="E4656" t="s">
        <v>1719</v>
      </c>
    </row>
    <row r="4657" spans="1:5" x14ac:dyDescent="0.2">
      <c r="A4657">
        <v>4657</v>
      </c>
      <c r="B4657" t="s">
        <v>1017</v>
      </c>
      <c r="C4657" t="s">
        <v>10342</v>
      </c>
      <c r="D4657" t="s">
        <v>10343</v>
      </c>
      <c r="E4657" t="s">
        <v>1719</v>
      </c>
    </row>
    <row r="4658" spans="1:5" x14ac:dyDescent="0.2">
      <c r="A4658">
        <v>4658</v>
      </c>
      <c r="B4658" t="s">
        <v>1017</v>
      </c>
      <c r="C4658" t="s">
        <v>10344</v>
      </c>
      <c r="D4658" t="s">
        <v>10345</v>
      </c>
      <c r="E4658" t="s">
        <v>1719</v>
      </c>
    </row>
    <row r="4659" spans="1:5" x14ac:dyDescent="0.2">
      <c r="A4659">
        <v>4659</v>
      </c>
      <c r="B4659" t="s">
        <v>1017</v>
      </c>
      <c r="C4659" t="s">
        <v>10346</v>
      </c>
      <c r="D4659" t="s">
        <v>10347</v>
      </c>
      <c r="E4659" t="s">
        <v>1719</v>
      </c>
    </row>
    <row r="4660" spans="1:5" x14ac:dyDescent="0.2">
      <c r="A4660">
        <v>4660</v>
      </c>
      <c r="B4660" t="s">
        <v>1017</v>
      </c>
      <c r="C4660" t="s">
        <v>10348</v>
      </c>
      <c r="D4660" t="s">
        <v>10349</v>
      </c>
      <c r="E4660" t="s">
        <v>1719</v>
      </c>
    </row>
    <row r="4661" spans="1:5" x14ac:dyDescent="0.2">
      <c r="A4661">
        <v>4661</v>
      </c>
      <c r="B4661" t="s">
        <v>1017</v>
      </c>
      <c r="C4661" t="s">
        <v>10350</v>
      </c>
      <c r="D4661" t="s">
        <v>10351</v>
      </c>
      <c r="E4661" t="s">
        <v>1719</v>
      </c>
    </row>
    <row r="4662" spans="1:5" x14ac:dyDescent="0.2">
      <c r="A4662">
        <v>4662</v>
      </c>
      <c r="B4662" t="s">
        <v>1017</v>
      </c>
      <c r="C4662" t="s">
        <v>10352</v>
      </c>
      <c r="D4662" t="s">
        <v>10353</v>
      </c>
      <c r="E4662" t="s">
        <v>1719</v>
      </c>
    </row>
    <row r="4663" spans="1:5" x14ac:dyDescent="0.2">
      <c r="A4663">
        <v>4663</v>
      </c>
      <c r="B4663" t="s">
        <v>1017</v>
      </c>
      <c r="C4663" t="s">
        <v>10354</v>
      </c>
      <c r="D4663" t="s">
        <v>10355</v>
      </c>
      <c r="E4663" t="s">
        <v>1719</v>
      </c>
    </row>
    <row r="4664" spans="1:5" x14ac:dyDescent="0.2">
      <c r="A4664">
        <v>4664</v>
      </c>
      <c r="B4664" t="s">
        <v>1017</v>
      </c>
      <c r="C4664" t="s">
        <v>10356</v>
      </c>
      <c r="D4664" t="s">
        <v>10357</v>
      </c>
      <c r="E4664" t="s">
        <v>1719</v>
      </c>
    </row>
    <row r="4665" spans="1:5" x14ac:dyDescent="0.2">
      <c r="A4665">
        <v>4665</v>
      </c>
      <c r="B4665" t="s">
        <v>1017</v>
      </c>
      <c r="C4665" t="s">
        <v>10358</v>
      </c>
      <c r="D4665" t="s">
        <v>10359</v>
      </c>
      <c r="E4665" t="s">
        <v>1719</v>
      </c>
    </row>
    <row r="4666" spans="1:5" x14ac:dyDescent="0.2">
      <c r="A4666">
        <v>4666</v>
      </c>
      <c r="B4666" t="s">
        <v>1017</v>
      </c>
      <c r="C4666" t="s">
        <v>10360</v>
      </c>
      <c r="D4666" t="s">
        <v>10361</v>
      </c>
      <c r="E4666" t="s">
        <v>10362</v>
      </c>
    </row>
    <row r="4667" spans="1:5" x14ac:dyDescent="0.2">
      <c r="A4667">
        <v>4667</v>
      </c>
      <c r="B4667" t="s">
        <v>1017</v>
      </c>
      <c r="C4667" t="s">
        <v>10363</v>
      </c>
      <c r="D4667" t="s">
        <v>10364</v>
      </c>
      <c r="E4667" t="s">
        <v>1719</v>
      </c>
    </row>
    <row r="4668" spans="1:5" x14ac:dyDescent="0.2">
      <c r="A4668">
        <v>4668</v>
      </c>
      <c r="B4668" t="s">
        <v>1017</v>
      </c>
      <c r="C4668" t="s">
        <v>10365</v>
      </c>
      <c r="D4668" t="s">
        <v>10366</v>
      </c>
      <c r="E4668" t="s">
        <v>1719</v>
      </c>
    </row>
    <row r="4669" spans="1:5" x14ac:dyDescent="0.2">
      <c r="A4669">
        <v>4669</v>
      </c>
      <c r="B4669" t="s">
        <v>1017</v>
      </c>
      <c r="C4669" t="s">
        <v>10367</v>
      </c>
      <c r="D4669" t="s">
        <v>10368</v>
      </c>
      <c r="E4669" t="s">
        <v>1719</v>
      </c>
    </row>
    <row r="4670" spans="1:5" x14ac:dyDescent="0.2">
      <c r="A4670">
        <v>4670</v>
      </c>
      <c r="B4670" t="s">
        <v>1017</v>
      </c>
      <c r="C4670" t="s">
        <v>10369</v>
      </c>
      <c r="D4670" t="s">
        <v>10370</v>
      </c>
      <c r="E4670" t="s">
        <v>1719</v>
      </c>
    </row>
    <row r="4671" spans="1:5" x14ac:dyDescent="0.2">
      <c r="A4671">
        <v>4671</v>
      </c>
      <c r="B4671" t="s">
        <v>1017</v>
      </c>
      <c r="C4671" t="s">
        <v>10371</v>
      </c>
      <c r="D4671" t="s">
        <v>10372</v>
      </c>
      <c r="E4671" t="s">
        <v>1719</v>
      </c>
    </row>
    <row r="4672" spans="1:5" x14ac:dyDescent="0.2">
      <c r="A4672">
        <v>4672</v>
      </c>
      <c r="B4672" t="s">
        <v>1017</v>
      </c>
      <c r="C4672" t="s">
        <v>10373</v>
      </c>
      <c r="D4672" t="s">
        <v>10374</v>
      </c>
      <c r="E4672" t="s">
        <v>1719</v>
      </c>
    </row>
    <row r="4673" spans="1:5" x14ac:dyDescent="0.2">
      <c r="A4673">
        <v>4673</v>
      </c>
      <c r="B4673" t="s">
        <v>1017</v>
      </c>
      <c r="C4673" t="s">
        <v>10375</v>
      </c>
      <c r="D4673" t="s">
        <v>10376</v>
      </c>
      <c r="E4673" t="s">
        <v>1719</v>
      </c>
    </row>
    <row r="4674" spans="1:5" x14ac:dyDescent="0.2">
      <c r="A4674">
        <v>4674</v>
      </c>
      <c r="B4674" t="s">
        <v>1017</v>
      </c>
      <c r="C4674" t="s">
        <v>10377</v>
      </c>
      <c r="D4674" t="s">
        <v>10378</v>
      </c>
      <c r="E4674" t="s">
        <v>1719</v>
      </c>
    </row>
    <row r="4675" spans="1:5" x14ac:dyDescent="0.2">
      <c r="A4675">
        <v>4675</v>
      </c>
      <c r="B4675" t="s">
        <v>1017</v>
      </c>
      <c r="C4675" t="s">
        <v>10379</v>
      </c>
      <c r="D4675" t="s">
        <v>10380</v>
      </c>
      <c r="E4675" t="s">
        <v>1719</v>
      </c>
    </row>
    <row r="4676" spans="1:5" x14ac:dyDescent="0.2">
      <c r="A4676">
        <v>4676</v>
      </c>
      <c r="B4676" t="s">
        <v>1017</v>
      </c>
      <c r="C4676" t="s">
        <v>10381</v>
      </c>
      <c r="D4676" t="s">
        <v>10382</v>
      </c>
      <c r="E4676" t="s">
        <v>1719</v>
      </c>
    </row>
    <row r="4677" spans="1:5" x14ac:dyDescent="0.2">
      <c r="A4677">
        <v>4677</v>
      </c>
      <c r="B4677" t="s">
        <v>1017</v>
      </c>
      <c r="C4677" t="s">
        <v>10383</v>
      </c>
      <c r="D4677" t="s">
        <v>10384</v>
      </c>
      <c r="E4677" t="s">
        <v>1719</v>
      </c>
    </row>
    <row r="4678" spans="1:5" x14ac:dyDescent="0.2">
      <c r="A4678">
        <v>4678</v>
      </c>
      <c r="B4678" t="s">
        <v>1017</v>
      </c>
      <c r="C4678" t="s">
        <v>10385</v>
      </c>
      <c r="D4678" t="s">
        <v>10386</v>
      </c>
      <c r="E4678" t="s">
        <v>1719</v>
      </c>
    </row>
    <row r="4679" spans="1:5" x14ac:dyDescent="0.2">
      <c r="A4679">
        <v>4679</v>
      </c>
      <c r="B4679" t="s">
        <v>1017</v>
      </c>
      <c r="C4679" t="s">
        <v>10387</v>
      </c>
      <c r="D4679" t="s">
        <v>10388</v>
      </c>
      <c r="E4679" t="s">
        <v>1719</v>
      </c>
    </row>
    <row r="4680" spans="1:5" x14ac:dyDescent="0.2">
      <c r="A4680">
        <v>4680</v>
      </c>
      <c r="B4680" t="s">
        <v>1017</v>
      </c>
      <c r="C4680" t="s">
        <v>10389</v>
      </c>
      <c r="D4680" t="s">
        <v>10390</v>
      </c>
      <c r="E4680" t="s">
        <v>1719</v>
      </c>
    </row>
    <row r="4681" spans="1:5" x14ac:dyDescent="0.2">
      <c r="A4681">
        <v>4681</v>
      </c>
      <c r="B4681" t="s">
        <v>1017</v>
      </c>
      <c r="C4681" t="s">
        <v>10391</v>
      </c>
      <c r="D4681" t="s">
        <v>10392</v>
      </c>
      <c r="E4681" t="s">
        <v>1719</v>
      </c>
    </row>
    <row r="4682" spans="1:5" x14ac:dyDescent="0.2">
      <c r="A4682">
        <v>4682</v>
      </c>
      <c r="B4682" t="s">
        <v>1017</v>
      </c>
      <c r="C4682" t="s">
        <v>10393</v>
      </c>
      <c r="D4682" t="s">
        <v>10394</v>
      </c>
      <c r="E4682" t="s">
        <v>1719</v>
      </c>
    </row>
    <row r="4683" spans="1:5" x14ac:dyDescent="0.2">
      <c r="A4683">
        <v>4683</v>
      </c>
      <c r="B4683" t="s">
        <v>1017</v>
      </c>
      <c r="C4683" t="s">
        <v>10395</v>
      </c>
      <c r="D4683" t="s">
        <v>10396</v>
      </c>
      <c r="E4683" t="s">
        <v>1719</v>
      </c>
    </row>
    <row r="4684" spans="1:5" x14ac:dyDescent="0.2">
      <c r="A4684">
        <v>4684</v>
      </c>
      <c r="B4684" t="s">
        <v>1017</v>
      </c>
      <c r="C4684" t="s">
        <v>10397</v>
      </c>
      <c r="D4684" t="s">
        <v>10398</v>
      </c>
      <c r="E4684" t="s">
        <v>1719</v>
      </c>
    </row>
    <row r="4685" spans="1:5" x14ac:dyDescent="0.2">
      <c r="A4685">
        <v>4685</v>
      </c>
      <c r="B4685" t="s">
        <v>1017</v>
      </c>
      <c r="C4685" t="s">
        <v>10399</v>
      </c>
      <c r="D4685" t="s">
        <v>10400</v>
      </c>
      <c r="E4685" t="s">
        <v>1719</v>
      </c>
    </row>
    <row r="4686" spans="1:5" x14ac:dyDescent="0.2">
      <c r="A4686">
        <v>4686</v>
      </c>
      <c r="B4686" t="s">
        <v>1017</v>
      </c>
      <c r="C4686" t="s">
        <v>10401</v>
      </c>
      <c r="D4686" t="s">
        <v>10402</v>
      </c>
      <c r="E4686" t="s">
        <v>1719</v>
      </c>
    </row>
    <row r="4687" spans="1:5" x14ac:dyDescent="0.2">
      <c r="A4687">
        <v>4687</v>
      </c>
      <c r="B4687" t="s">
        <v>1017</v>
      </c>
      <c r="C4687" t="s">
        <v>10403</v>
      </c>
      <c r="D4687" t="s">
        <v>10404</v>
      </c>
      <c r="E4687" t="s">
        <v>1719</v>
      </c>
    </row>
    <row r="4688" spans="1:5" x14ac:dyDescent="0.2">
      <c r="A4688">
        <v>4688</v>
      </c>
      <c r="B4688" t="s">
        <v>1017</v>
      </c>
      <c r="C4688" t="s">
        <v>10405</v>
      </c>
      <c r="D4688" t="s">
        <v>10406</v>
      </c>
      <c r="E4688" t="s">
        <v>1719</v>
      </c>
    </row>
    <row r="4689" spans="1:5" x14ac:dyDescent="0.2">
      <c r="A4689">
        <v>4689</v>
      </c>
      <c r="B4689" t="s">
        <v>1017</v>
      </c>
      <c r="C4689" t="s">
        <v>10407</v>
      </c>
      <c r="D4689" t="s">
        <v>10408</v>
      </c>
      <c r="E4689" t="s">
        <v>10409</v>
      </c>
    </row>
    <row r="4690" spans="1:5" x14ac:dyDescent="0.2">
      <c r="A4690">
        <v>4690</v>
      </c>
      <c r="B4690" t="s">
        <v>1017</v>
      </c>
      <c r="C4690" t="s">
        <v>10410</v>
      </c>
      <c r="D4690" t="s">
        <v>10411</v>
      </c>
      <c r="E4690" t="s">
        <v>1719</v>
      </c>
    </row>
    <row r="4691" spans="1:5" x14ac:dyDescent="0.2">
      <c r="A4691">
        <v>4691</v>
      </c>
      <c r="B4691" t="s">
        <v>1017</v>
      </c>
      <c r="C4691" t="s">
        <v>10412</v>
      </c>
      <c r="D4691" t="s">
        <v>10413</v>
      </c>
      <c r="E4691" t="s">
        <v>1719</v>
      </c>
    </row>
    <row r="4692" spans="1:5" x14ac:dyDescent="0.2">
      <c r="A4692">
        <v>4692</v>
      </c>
      <c r="B4692" t="s">
        <v>1017</v>
      </c>
      <c r="C4692" t="s">
        <v>10414</v>
      </c>
      <c r="D4692" t="s">
        <v>10415</v>
      </c>
      <c r="E4692" t="s">
        <v>1719</v>
      </c>
    </row>
    <row r="4693" spans="1:5" x14ac:dyDescent="0.2">
      <c r="A4693">
        <v>4693</v>
      </c>
      <c r="B4693" t="s">
        <v>1017</v>
      </c>
      <c r="C4693" t="s">
        <v>10416</v>
      </c>
      <c r="D4693" t="s">
        <v>10417</v>
      </c>
      <c r="E4693" t="s">
        <v>1719</v>
      </c>
    </row>
    <row r="4694" spans="1:5" x14ac:dyDescent="0.2">
      <c r="A4694">
        <v>4694</v>
      </c>
      <c r="B4694" t="s">
        <v>1017</v>
      </c>
      <c r="C4694" t="s">
        <v>10418</v>
      </c>
      <c r="D4694" t="s">
        <v>10419</v>
      </c>
      <c r="E4694" t="s">
        <v>1719</v>
      </c>
    </row>
    <row r="4695" spans="1:5" x14ac:dyDescent="0.2">
      <c r="A4695">
        <v>4695</v>
      </c>
      <c r="B4695" t="s">
        <v>1017</v>
      </c>
      <c r="C4695" t="s">
        <v>10420</v>
      </c>
      <c r="D4695" t="s">
        <v>10421</v>
      </c>
      <c r="E4695" t="s">
        <v>1719</v>
      </c>
    </row>
    <row r="4696" spans="1:5" x14ac:dyDescent="0.2">
      <c r="A4696">
        <v>4696</v>
      </c>
      <c r="B4696" t="s">
        <v>1017</v>
      </c>
      <c r="C4696" t="s">
        <v>10422</v>
      </c>
      <c r="D4696" t="s">
        <v>10423</v>
      </c>
      <c r="E4696" t="s">
        <v>1719</v>
      </c>
    </row>
    <row r="4697" spans="1:5" x14ac:dyDescent="0.2">
      <c r="A4697">
        <v>4697</v>
      </c>
      <c r="B4697" t="s">
        <v>1017</v>
      </c>
      <c r="C4697" t="s">
        <v>10424</v>
      </c>
      <c r="D4697" t="s">
        <v>10425</v>
      </c>
      <c r="E4697" t="s">
        <v>1719</v>
      </c>
    </row>
    <row r="4698" spans="1:5" x14ac:dyDescent="0.2">
      <c r="A4698">
        <v>4698</v>
      </c>
      <c r="B4698" t="s">
        <v>1017</v>
      </c>
      <c r="C4698" t="s">
        <v>10426</v>
      </c>
      <c r="D4698" t="s">
        <v>10427</v>
      </c>
      <c r="E4698" t="s">
        <v>1719</v>
      </c>
    </row>
    <row r="4699" spans="1:5" x14ac:dyDescent="0.2">
      <c r="A4699">
        <v>4699</v>
      </c>
      <c r="B4699" t="s">
        <v>1017</v>
      </c>
      <c r="C4699" t="s">
        <v>10428</v>
      </c>
      <c r="D4699" t="s">
        <v>10429</v>
      </c>
      <c r="E4699" t="s">
        <v>1719</v>
      </c>
    </row>
    <row r="4700" spans="1:5" x14ac:dyDescent="0.2">
      <c r="A4700">
        <v>4700</v>
      </c>
      <c r="B4700" t="s">
        <v>1017</v>
      </c>
      <c r="C4700" t="s">
        <v>10430</v>
      </c>
      <c r="D4700" t="s">
        <v>10431</v>
      </c>
      <c r="E4700" t="s">
        <v>1719</v>
      </c>
    </row>
    <row r="4701" spans="1:5" x14ac:dyDescent="0.2">
      <c r="A4701">
        <v>4701</v>
      </c>
      <c r="B4701" t="s">
        <v>1017</v>
      </c>
      <c r="C4701" t="s">
        <v>10432</v>
      </c>
      <c r="D4701" t="s">
        <v>10433</v>
      </c>
      <c r="E4701" t="s">
        <v>1719</v>
      </c>
    </row>
    <row r="4702" spans="1:5" x14ac:dyDescent="0.2">
      <c r="A4702">
        <v>4702</v>
      </c>
      <c r="B4702" t="s">
        <v>1017</v>
      </c>
      <c r="C4702" t="s">
        <v>10434</v>
      </c>
      <c r="D4702" t="s">
        <v>10435</v>
      </c>
      <c r="E4702" t="s">
        <v>1719</v>
      </c>
    </row>
    <row r="4703" spans="1:5" x14ac:dyDescent="0.2">
      <c r="A4703">
        <v>4703</v>
      </c>
      <c r="B4703" t="s">
        <v>1017</v>
      </c>
      <c r="C4703" t="s">
        <v>10436</v>
      </c>
      <c r="D4703" t="s">
        <v>10437</v>
      </c>
      <c r="E4703" t="s">
        <v>1719</v>
      </c>
    </row>
    <row r="4704" spans="1:5" x14ac:dyDescent="0.2">
      <c r="A4704">
        <v>4704</v>
      </c>
      <c r="B4704" t="s">
        <v>1017</v>
      </c>
      <c r="C4704" t="s">
        <v>10438</v>
      </c>
      <c r="D4704" t="s">
        <v>10439</v>
      </c>
      <c r="E4704" t="s">
        <v>1719</v>
      </c>
    </row>
    <row r="4705" spans="1:5" x14ac:dyDescent="0.2">
      <c r="A4705">
        <v>4705</v>
      </c>
      <c r="B4705" t="s">
        <v>1017</v>
      </c>
      <c r="C4705" t="s">
        <v>10440</v>
      </c>
      <c r="D4705" t="s">
        <v>10441</v>
      </c>
      <c r="E4705" t="s">
        <v>1719</v>
      </c>
    </row>
    <row r="4706" spans="1:5" x14ac:dyDescent="0.2">
      <c r="A4706">
        <v>4706</v>
      </c>
      <c r="B4706" t="s">
        <v>1017</v>
      </c>
      <c r="C4706" t="s">
        <v>10442</v>
      </c>
      <c r="D4706" t="s">
        <v>10443</v>
      </c>
      <c r="E4706" t="s">
        <v>1719</v>
      </c>
    </row>
    <row r="4707" spans="1:5" x14ac:dyDescent="0.2">
      <c r="A4707">
        <v>4707</v>
      </c>
      <c r="B4707" t="s">
        <v>1017</v>
      </c>
      <c r="C4707" t="s">
        <v>10444</v>
      </c>
      <c r="D4707" t="s">
        <v>10445</v>
      </c>
      <c r="E4707" t="s">
        <v>1719</v>
      </c>
    </row>
    <row r="4708" spans="1:5" x14ac:dyDescent="0.2">
      <c r="A4708">
        <v>4708</v>
      </c>
      <c r="B4708" t="s">
        <v>1017</v>
      </c>
      <c r="C4708" t="s">
        <v>10446</v>
      </c>
      <c r="D4708" t="s">
        <v>10447</v>
      </c>
      <c r="E4708" t="s">
        <v>1719</v>
      </c>
    </row>
    <row r="4709" spans="1:5" x14ac:dyDescent="0.2">
      <c r="A4709">
        <v>4709</v>
      </c>
      <c r="B4709" t="s">
        <v>1017</v>
      </c>
      <c r="C4709" t="s">
        <v>10448</v>
      </c>
      <c r="D4709" t="s">
        <v>10449</v>
      </c>
      <c r="E4709" t="s">
        <v>1719</v>
      </c>
    </row>
    <row r="4710" spans="1:5" x14ac:dyDescent="0.2">
      <c r="A4710">
        <v>4710</v>
      </c>
      <c r="B4710" t="s">
        <v>1017</v>
      </c>
      <c r="C4710" t="s">
        <v>10450</v>
      </c>
      <c r="D4710" t="s">
        <v>10451</v>
      </c>
      <c r="E4710" t="s">
        <v>1719</v>
      </c>
    </row>
    <row r="4711" spans="1:5" x14ac:dyDescent="0.2">
      <c r="A4711">
        <v>4711</v>
      </c>
      <c r="B4711" t="s">
        <v>1017</v>
      </c>
      <c r="C4711" t="s">
        <v>10452</v>
      </c>
      <c r="D4711" t="s">
        <v>10453</v>
      </c>
      <c r="E4711" t="s">
        <v>1719</v>
      </c>
    </row>
    <row r="4712" spans="1:5" x14ac:dyDescent="0.2">
      <c r="A4712">
        <v>4712</v>
      </c>
      <c r="B4712" t="s">
        <v>1017</v>
      </c>
      <c r="C4712" t="s">
        <v>10454</v>
      </c>
      <c r="D4712" t="s">
        <v>10455</v>
      </c>
      <c r="E4712" t="s">
        <v>1719</v>
      </c>
    </row>
    <row r="4713" spans="1:5" x14ac:dyDescent="0.2">
      <c r="A4713">
        <v>4713</v>
      </c>
      <c r="B4713" t="s">
        <v>1017</v>
      </c>
      <c r="C4713" t="s">
        <v>10456</v>
      </c>
      <c r="D4713" t="s">
        <v>10457</v>
      </c>
      <c r="E4713" t="s">
        <v>1719</v>
      </c>
    </row>
    <row r="4714" spans="1:5" x14ac:dyDescent="0.2">
      <c r="A4714">
        <v>4714</v>
      </c>
      <c r="B4714" t="s">
        <v>1017</v>
      </c>
      <c r="C4714" t="s">
        <v>10458</v>
      </c>
      <c r="D4714" t="s">
        <v>10459</v>
      </c>
      <c r="E4714" t="s">
        <v>1719</v>
      </c>
    </row>
    <row r="4715" spans="1:5" x14ac:dyDescent="0.2">
      <c r="A4715">
        <v>4715</v>
      </c>
      <c r="B4715" t="s">
        <v>1017</v>
      </c>
      <c r="C4715" t="s">
        <v>10460</v>
      </c>
      <c r="D4715" t="s">
        <v>10461</v>
      </c>
      <c r="E4715" t="s">
        <v>1719</v>
      </c>
    </row>
    <row r="4716" spans="1:5" x14ac:dyDescent="0.2">
      <c r="A4716">
        <v>4716</v>
      </c>
      <c r="B4716" t="s">
        <v>1017</v>
      </c>
      <c r="C4716" t="s">
        <v>10462</v>
      </c>
      <c r="D4716" t="s">
        <v>10463</v>
      </c>
      <c r="E4716" t="s">
        <v>1719</v>
      </c>
    </row>
    <row r="4717" spans="1:5" x14ac:dyDescent="0.2">
      <c r="A4717">
        <v>4717</v>
      </c>
      <c r="B4717" t="s">
        <v>1017</v>
      </c>
      <c r="C4717" t="s">
        <v>10464</v>
      </c>
      <c r="D4717" t="s">
        <v>10465</v>
      </c>
      <c r="E4717" t="s">
        <v>1719</v>
      </c>
    </row>
    <row r="4718" spans="1:5" x14ac:dyDescent="0.2">
      <c r="A4718">
        <v>4718</v>
      </c>
      <c r="B4718" t="s">
        <v>1017</v>
      </c>
      <c r="C4718" t="s">
        <v>10466</v>
      </c>
      <c r="D4718" t="s">
        <v>10467</v>
      </c>
      <c r="E4718" t="s">
        <v>1719</v>
      </c>
    </row>
    <row r="4719" spans="1:5" x14ac:dyDescent="0.2">
      <c r="A4719">
        <v>4719</v>
      </c>
      <c r="B4719" t="s">
        <v>1017</v>
      </c>
      <c r="C4719" t="s">
        <v>10468</v>
      </c>
      <c r="D4719" t="s">
        <v>10469</v>
      </c>
      <c r="E4719" t="s">
        <v>1719</v>
      </c>
    </row>
    <row r="4720" spans="1:5" x14ac:dyDescent="0.2">
      <c r="A4720">
        <v>4720</v>
      </c>
      <c r="B4720" t="s">
        <v>1017</v>
      </c>
      <c r="C4720" t="s">
        <v>10470</v>
      </c>
      <c r="D4720" t="s">
        <v>10471</v>
      </c>
      <c r="E4720" t="s">
        <v>1719</v>
      </c>
    </row>
    <row r="4721" spans="1:5" x14ac:dyDescent="0.2">
      <c r="A4721">
        <v>4721</v>
      </c>
      <c r="B4721" t="s">
        <v>1017</v>
      </c>
      <c r="C4721" t="s">
        <v>10472</v>
      </c>
      <c r="D4721" t="s">
        <v>10473</v>
      </c>
      <c r="E4721" t="s">
        <v>1719</v>
      </c>
    </row>
    <row r="4722" spans="1:5" x14ac:dyDescent="0.2">
      <c r="A4722">
        <v>4722</v>
      </c>
      <c r="B4722" t="s">
        <v>1017</v>
      </c>
      <c r="C4722" t="s">
        <v>10474</v>
      </c>
      <c r="D4722" t="s">
        <v>10475</v>
      </c>
      <c r="E4722" t="s">
        <v>1719</v>
      </c>
    </row>
    <row r="4723" spans="1:5" x14ac:dyDescent="0.2">
      <c r="A4723">
        <v>4723</v>
      </c>
      <c r="B4723" t="s">
        <v>1017</v>
      </c>
      <c r="C4723" t="s">
        <v>10476</v>
      </c>
      <c r="D4723" t="s">
        <v>10477</v>
      </c>
      <c r="E4723" t="s">
        <v>1719</v>
      </c>
    </row>
    <row r="4724" spans="1:5" x14ac:dyDescent="0.2">
      <c r="A4724">
        <v>4724</v>
      </c>
      <c r="B4724" t="s">
        <v>1017</v>
      </c>
      <c r="C4724" t="s">
        <v>10478</v>
      </c>
      <c r="D4724" t="s">
        <v>10479</v>
      </c>
      <c r="E4724" t="s">
        <v>1719</v>
      </c>
    </row>
    <row r="4725" spans="1:5" x14ac:dyDescent="0.2">
      <c r="A4725">
        <v>4725</v>
      </c>
      <c r="B4725" t="s">
        <v>1017</v>
      </c>
      <c r="C4725" t="s">
        <v>10480</v>
      </c>
      <c r="D4725" t="s">
        <v>10481</v>
      </c>
      <c r="E4725" t="s">
        <v>1719</v>
      </c>
    </row>
    <row r="4726" spans="1:5" x14ac:dyDescent="0.2">
      <c r="A4726">
        <v>4726</v>
      </c>
      <c r="B4726" t="s">
        <v>1017</v>
      </c>
      <c r="C4726" t="s">
        <v>10482</v>
      </c>
      <c r="D4726" t="s">
        <v>10483</v>
      </c>
      <c r="E4726" t="s">
        <v>1719</v>
      </c>
    </row>
    <row r="4727" spans="1:5" x14ac:dyDescent="0.2">
      <c r="A4727">
        <v>4727</v>
      </c>
      <c r="B4727" t="s">
        <v>1019</v>
      </c>
      <c r="C4727" t="s">
        <v>10484</v>
      </c>
      <c r="D4727" t="s">
        <v>10485</v>
      </c>
      <c r="E4727" t="s">
        <v>1790</v>
      </c>
    </row>
    <row r="4728" spans="1:5" x14ac:dyDescent="0.2">
      <c r="A4728">
        <v>4728</v>
      </c>
      <c r="B4728" t="s">
        <v>1019</v>
      </c>
      <c r="C4728" t="s">
        <v>10486</v>
      </c>
      <c r="D4728" t="s">
        <v>10487</v>
      </c>
      <c r="E4728" t="s">
        <v>1790</v>
      </c>
    </row>
    <row r="4729" spans="1:5" x14ac:dyDescent="0.2">
      <c r="A4729">
        <v>4729</v>
      </c>
      <c r="B4729" t="s">
        <v>1019</v>
      </c>
      <c r="C4729" t="s">
        <v>10486</v>
      </c>
      <c r="D4729" t="s">
        <v>10488</v>
      </c>
      <c r="E4729" t="s">
        <v>1790</v>
      </c>
    </row>
    <row r="4730" spans="1:5" x14ac:dyDescent="0.2">
      <c r="A4730">
        <v>4730</v>
      </c>
      <c r="B4730" t="s">
        <v>1019</v>
      </c>
      <c r="C4730" t="s">
        <v>10489</v>
      </c>
      <c r="D4730" t="s">
        <v>10490</v>
      </c>
      <c r="E4730" t="s">
        <v>1790</v>
      </c>
    </row>
    <row r="4731" spans="1:5" x14ac:dyDescent="0.2">
      <c r="A4731">
        <v>4731</v>
      </c>
      <c r="B4731" t="s">
        <v>1019</v>
      </c>
      <c r="C4731" t="s">
        <v>10489</v>
      </c>
      <c r="D4731" t="s">
        <v>10491</v>
      </c>
      <c r="E4731" t="s">
        <v>1790</v>
      </c>
    </row>
    <row r="4732" spans="1:5" x14ac:dyDescent="0.2">
      <c r="A4732">
        <v>4732</v>
      </c>
      <c r="B4732" t="s">
        <v>1019</v>
      </c>
      <c r="C4732" t="s">
        <v>10492</v>
      </c>
      <c r="D4732" t="s">
        <v>10493</v>
      </c>
      <c r="E4732" t="s">
        <v>1790</v>
      </c>
    </row>
    <row r="4733" spans="1:5" x14ac:dyDescent="0.2">
      <c r="A4733">
        <v>4733</v>
      </c>
      <c r="B4733" t="s">
        <v>1019</v>
      </c>
      <c r="C4733" t="s">
        <v>10492</v>
      </c>
      <c r="D4733" t="s">
        <v>10494</v>
      </c>
      <c r="E4733" t="s">
        <v>1790</v>
      </c>
    </row>
    <row r="4734" spans="1:5" x14ac:dyDescent="0.2">
      <c r="A4734">
        <v>4734</v>
      </c>
      <c r="B4734" t="s">
        <v>1019</v>
      </c>
      <c r="C4734" t="s">
        <v>10495</v>
      </c>
      <c r="D4734" t="s">
        <v>10496</v>
      </c>
      <c r="E4734" t="s">
        <v>1790</v>
      </c>
    </row>
    <row r="4735" spans="1:5" x14ac:dyDescent="0.2">
      <c r="A4735">
        <v>4735</v>
      </c>
      <c r="B4735" t="s">
        <v>1019</v>
      </c>
      <c r="C4735" t="s">
        <v>10497</v>
      </c>
      <c r="D4735" t="s">
        <v>10498</v>
      </c>
      <c r="E4735" t="s">
        <v>1790</v>
      </c>
    </row>
    <row r="4736" spans="1:5" x14ac:dyDescent="0.2">
      <c r="A4736">
        <v>4736</v>
      </c>
      <c r="B4736" t="s">
        <v>1019</v>
      </c>
      <c r="C4736" t="s">
        <v>10499</v>
      </c>
      <c r="D4736" t="s">
        <v>10500</v>
      </c>
      <c r="E4736" t="s">
        <v>1790</v>
      </c>
    </row>
    <row r="4737" spans="1:5" x14ac:dyDescent="0.2">
      <c r="A4737">
        <v>4737</v>
      </c>
      <c r="B4737" t="s">
        <v>1019</v>
      </c>
      <c r="C4737" t="s">
        <v>10495</v>
      </c>
      <c r="D4737" t="s">
        <v>10501</v>
      </c>
      <c r="E4737" t="s">
        <v>1790</v>
      </c>
    </row>
    <row r="4738" spans="1:5" x14ac:dyDescent="0.2">
      <c r="A4738">
        <v>4738</v>
      </c>
      <c r="B4738" t="s">
        <v>1019</v>
      </c>
      <c r="C4738" t="s">
        <v>10502</v>
      </c>
      <c r="D4738" t="s">
        <v>10503</v>
      </c>
      <c r="E4738" t="s">
        <v>1790</v>
      </c>
    </row>
    <row r="4739" spans="1:5" x14ac:dyDescent="0.2">
      <c r="A4739">
        <v>4739</v>
      </c>
      <c r="B4739" t="s">
        <v>1019</v>
      </c>
      <c r="C4739" t="s">
        <v>10502</v>
      </c>
      <c r="D4739" t="s">
        <v>10504</v>
      </c>
      <c r="E4739" t="s">
        <v>1790</v>
      </c>
    </row>
    <row r="4740" spans="1:5" x14ac:dyDescent="0.2">
      <c r="A4740">
        <v>4740</v>
      </c>
      <c r="B4740" t="s">
        <v>1019</v>
      </c>
      <c r="C4740" t="s">
        <v>10505</v>
      </c>
      <c r="D4740" t="s">
        <v>10506</v>
      </c>
      <c r="E4740" t="s">
        <v>1790</v>
      </c>
    </row>
    <row r="4741" spans="1:5" x14ac:dyDescent="0.2">
      <c r="A4741">
        <v>4741</v>
      </c>
      <c r="B4741" t="s">
        <v>1019</v>
      </c>
      <c r="C4741" t="s">
        <v>10505</v>
      </c>
      <c r="D4741" t="s">
        <v>10507</v>
      </c>
      <c r="E4741" t="s">
        <v>1790</v>
      </c>
    </row>
    <row r="4742" spans="1:5" x14ac:dyDescent="0.2">
      <c r="A4742">
        <v>4742</v>
      </c>
      <c r="B4742" t="s">
        <v>1019</v>
      </c>
      <c r="C4742" t="s">
        <v>10508</v>
      </c>
      <c r="D4742" t="s">
        <v>10509</v>
      </c>
      <c r="E4742" t="s">
        <v>1790</v>
      </c>
    </row>
    <row r="4743" spans="1:5" x14ac:dyDescent="0.2">
      <c r="A4743">
        <v>4743</v>
      </c>
      <c r="B4743" t="s">
        <v>1019</v>
      </c>
      <c r="C4743" t="s">
        <v>10508</v>
      </c>
      <c r="D4743" t="s">
        <v>10510</v>
      </c>
      <c r="E4743" t="s">
        <v>1790</v>
      </c>
    </row>
    <row r="4744" spans="1:5" x14ac:dyDescent="0.2">
      <c r="A4744">
        <v>4744</v>
      </c>
      <c r="B4744" t="s">
        <v>1019</v>
      </c>
      <c r="C4744" t="s">
        <v>10511</v>
      </c>
      <c r="D4744" t="s">
        <v>10512</v>
      </c>
      <c r="E4744" t="s">
        <v>1790</v>
      </c>
    </row>
    <row r="4745" spans="1:5" x14ac:dyDescent="0.2">
      <c r="A4745">
        <v>4745</v>
      </c>
      <c r="B4745" t="s">
        <v>1019</v>
      </c>
      <c r="C4745" t="s">
        <v>10513</v>
      </c>
      <c r="D4745" t="s">
        <v>10514</v>
      </c>
      <c r="E4745" t="s">
        <v>1790</v>
      </c>
    </row>
    <row r="4746" spans="1:5" x14ac:dyDescent="0.2">
      <c r="A4746">
        <v>4746</v>
      </c>
      <c r="B4746" t="s">
        <v>1019</v>
      </c>
      <c r="C4746" t="s">
        <v>10513</v>
      </c>
      <c r="D4746" t="s">
        <v>10515</v>
      </c>
      <c r="E4746" t="s">
        <v>1790</v>
      </c>
    </row>
    <row r="4747" spans="1:5" x14ac:dyDescent="0.2">
      <c r="A4747">
        <v>4747</v>
      </c>
      <c r="B4747" t="s">
        <v>1019</v>
      </c>
      <c r="C4747" t="s">
        <v>10516</v>
      </c>
      <c r="D4747" t="s">
        <v>10517</v>
      </c>
      <c r="E4747" t="s">
        <v>1790</v>
      </c>
    </row>
    <row r="4748" spans="1:5" x14ac:dyDescent="0.2">
      <c r="A4748">
        <v>4748</v>
      </c>
      <c r="B4748" t="s">
        <v>1019</v>
      </c>
      <c r="C4748" t="s">
        <v>10516</v>
      </c>
      <c r="D4748" t="s">
        <v>10518</v>
      </c>
      <c r="E4748" t="s">
        <v>1790</v>
      </c>
    </row>
    <row r="4749" spans="1:5" x14ac:dyDescent="0.2">
      <c r="A4749">
        <v>4749</v>
      </c>
      <c r="B4749" t="s">
        <v>1021</v>
      </c>
      <c r="C4749" t="s">
        <v>10519</v>
      </c>
      <c r="D4749" t="s">
        <v>2875</v>
      </c>
      <c r="E4749" t="s">
        <v>2087</v>
      </c>
    </row>
    <row r="4750" spans="1:5" x14ac:dyDescent="0.2">
      <c r="A4750">
        <v>4750</v>
      </c>
      <c r="B4750" t="s">
        <v>1021</v>
      </c>
      <c r="C4750" t="s">
        <v>10520</v>
      </c>
      <c r="D4750" t="s">
        <v>10521</v>
      </c>
      <c r="E4750" t="s">
        <v>2087</v>
      </c>
    </row>
    <row r="4751" spans="1:5" x14ac:dyDescent="0.2">
      <c r="A4751">
        <v>4751</v>
      </c>
      <c r="B4751" t="s">
        <v>1021</v>
      </c>
      <c r="C4751" t="s">
        <v>10522</v>
      </c>
      <c r="D4751" t="s">
        <v>10523</v>
      </c>
      <c r="E4751" t="s">
        <v>2087</v>
      </c>
    </row>
    <row r="4752" spans="1:5" x14ac:dyDescent="0.2">
      <c r="A4752">
        <v>4752</v>
      </c>
      <c r="B4752" t="s">
        <v>1021</v>
      </c>
      <c r="C4752" t="s">
        <v>10524</v>
      </c>
      <c r="D4752" t="s">
        <v>3472</v>
      </c>
      <c r="E4752" t="s">
        <v>2087</v>
      </c>
    </row>
    <row r="4753" spans="1:5" x14ac:dyDescent="0.2">
      <c r="A4753">
        <v>4753</v>
      </c>
      <c r="B4753" t="s">
        <v>1021</v>
      </c>
      <c r="C4753" t="s">
        <v>10525</v>
      </c>
      <c r="D4753" t="s">
        <v>10526</v>
      </c>
      <c r="E4753" t="s">
        <v>2087</v>
      </c>
    </row>
    <row r="4754" spans="1:5" x14ac:dyDescent="0.2">
      <c r="A4754">
        <v>4754</v>
      </c>
      <c r="B4754" t="s">
        <v>1025</v>
      </c>
      <c r="C4754" t="s">
        <v>10527</v>
      </c>
      <c r="D4754" t="s">
        <v>10528</v>
      </c>
      <c r="E4754" t="s">
        <v>2383</v>
      </c>
    </row>
    <row r="4755" spans="1:5" x14ac:dyDescent="0.2">
      <c r="A4755">
        <v>4755</v>
      </c>
      <c r="B4755" t="s">
        <v>1025</v>
      </c>
      <c r="C4755" t="s">
        <v>10529</v>
      </c>
      <c r="D4755" t="s">
        <v>10530</v>
      </c>
      <c r="E4755" t="s">
        <v>2383</v>
      </c>
    </row>
    <row r="4756" spans="1:5" x14ac:dyDescent="0.2">
      <c r="A4756">
        <v>4756</v>
      </c>
      <c r="B4756" t="s">
        <v>1025</v>
      </c>
      <c r="C4756" t="s">
        <v>10531</v>
      </c>
      <c r="D4756" t="s">
        <v>10532</v>
      </c>
      <c r="E4756" t="s">
        <v>2383</v>
      </c>
    </row>
    <row r="4757" spans="1:5" x14ac:dyDescent="0.2">
      <c r="A4757">
        <v>4757</v>
      </c>
      <c r="B4757" t="s">
        <v>1025</v>
      </c>
      <c r="C4757" t="s">
        <v>10533</v>
      </c>
      <c r="D4757" t="s">
        <v>10534</v>
      </c>
      <c r="E4757" t="s">
        <v>2383</v>
      </c>
    </row>
    <row r="4758" spans="1:5" x14ac:dyDescent="0.2">
      <c r="A4758">
        <v>4758</v>
      </c>
      <c r="B4758" t="s">
        <v>1025</v>
      </c>
      <c r="C4758" t="s">
        <v>10535</v>
      </c>
      <c r="D4758" t="s">
        <v>10536</v>
      </c>
      <c r="E4758" t="s">
        <v>2383</v>
      </c>
    </row>
    <row r="4759" spans="1:5" x14ac:dyDescent="0.2">
      <c r="A4759">
        <v>4759</v>
      </c>
      <c r="B4759" t="s">
        <v>1027</v>
      </c>
      <c r="C4759" t="s">
        <v>10537</v>
      </c>
      <c r="D4759" t="s">
        <v>10538</v>
      </c>
      <c r="E4759" t="s">
        <v>2164</v>
      </c>
    </row>
    <row r="4760" spans="1:5" x14ac:dyDescent="0.2">
      <c r="A4760">
        <v>4760</v>
      </c>
      <c r="B4760" t="s">
        <v>1027</v>
      </c>
      <c r="C4760" t="s">
        <v>10539</v>
      </c>
      <c r="D4760" t="s">
        <v>10540</v>
      </c>
      <c r="E4760" t="s">
        <v>2164</v>
      </c>
    </row>
    <row r="4761" spans="1:5" x14ac:dyDescent="0.2">
      <c r="A4761">
        <v>4761</v>
      </c>
      <c r="B4761" t="s">
        <v>1027</v>
      </c>
      <c r="C4761" t="s">
        <v>10541</v>
      </c>
      <c r="D4761" t="s">
        <v>10542</v>
      </c>
      <c r="E4761" t="s">
        <v>2087</v>
      </c>
    </row>
    <row r="4762" spans="1:5" x14ac:dyDescent="0.2">
      <c r="A4762">
        <v>4762</v>
      </c>
      <c r="B4762" t="s">
        <v>1027</v>
      </c>
      <c r="C4762" t="s">
        <v>10543</v>
      </c>
      <c r="D4762" t="s">
        <v>10544</v>
      </c>
      <c r="E4762" t="s">
        <v>2087</v>
      </c>
    </row>
    <row r="4763" spans="1:5" x14ac:dyDescent="0.2">
      <c r="A4763">
        <v>4763</v>
      </c>
      <c r="B4763" t="s">
        <v>1027</v>
      </c>
      <c r="C4763" t="s">
        <v>10545</v>
      </c>
      <c r="D4763" t="s">
        <v>10546</v>
      </c>
      <c r="E4763" t="s">
        <v>2087</v>
      </c>
    </row>
    <row r="4764" spans="1:5" x14ac:dyDescent="0.2">
      <c r="A4764">
        <v>4764</v>
      </c>
      <c r="B4764" t="s">
        <v>1027</v>
      </c>
      <c r="C4764" t="s">
        <v>10547</v>
      </c>
      <c r="D4764" t="s">
        <v>10548</v>
      </c>
      <c r="E4764" t="s">
        <v>2087</v>
      </c>
    </row>
    <row r="4765" spans="1:5" x14ac:dyDescent="0.2">
      <c r="A4765">
        <v>4765</v>
      </c>
      <c r="B4765" t="s">
        <v>1027</v>
      </c>
      <c r="C4765" t="s">
        <v>10549</v>
      </c>
      <c r="D4765" t="s">
        <v>10550</v>
      </c>
      <c r="E4765" t="s">
        <v>2164</v>
      </c>
    </row>
    <row r="4766" spans="1:5" x14ac:dyDescent="0.2">
      <c r="A4766">
        <v>4766</v>
      </c>
      <c r="B4766" t="s">
        <v>1027</v>
      </c>
      <c r="C4766" t="s">
        <v>10551</v>
      </c>
      <c r="D4766" t="s">
        <v>10552</v>
      </c>
      <c r="E4766" t="s">
        <v>2164</v>
      </c>
    </row>
    <row r="4767" spans="1:5" x14ac:dyDescent="0.2">
      <c r="A4767">
        <v>4767</v>
      </c>
      <c r="B4767" t="s">
        <v>1027</v>
      </c>
      <c r="C4767" t="s">
        <v>10553</v>
      </c>
      <c r="D4767" t="s">
        <v>10554</v>
      </c>
      <c r="E4767" t="s">
        <v>2087</v>
      </c>
    </row>
    <row r="4768" spans="1:5" x14ac:dyDescent="0.2">
      <c r="A4768">
        <v>4768</v>
      </c>
      <c r="B4768" t="s">
        <v>1027</v>
      </c>
      <c r="C4768" t="s">
        <v>10555</v>
      </c>
      <c r="D4768" t="s">
        <v>10556</v>
      </c>
      <c r="E4768" t="s">
        <v>2087</v>
      </c>
    </row>
    <row r="4769" spans="1:5" x14ac:dyDescent="0.2">
      <c r="A4769">
        <v>4769</v>
      </c>
      <c r="B4769" t="s">
        <v>1027</v>
      </c>
      <c r="C4769" t="s">
        <v>10557</v>
      </c>
      <c r="D4769" t="s">
        <v>10558</v>
      </c>
      <c r="E4769" t="s">
        <v>2164</v>
      </c>
    </row>
    <row r="4770" spans="1:5" x14ac:dyDescent="0.2">
      <c r="A4770">
        <v>4770</v>
      </c>
      <c r="B4770" t="s">
        <v>1027</v>
      </c>
      <c r="C4770" t="s">
        <v>10559</v>
      </c>
      <c r="D4770" t="s">
        <v>10560</v>
      </c>
      <c r="E4770" t="s">
        <v>2087</v>
      </c>
    </row>
    <row r="4771" spans="1:5" x14ac:dyDescent="0.2">
      <c r="A4771">
        <v>4771</v>
      </c>
      <c r="B4771" t="s">
        <v>1027</v>
      </c>
      <c r="C4771" t="s">
        <v>10561</v>
      </c>
      <c r="D4771" t="s">
        <v>10562</v>
      </c>
      <c r="E4771" t="s">
        <v>2087</v>
      </c>
    </row>
    <row r="4772" spans="1:5" x14ac:dyDescent="0.2">
      <c r="A4772">
        <v>4772</v>
      </c>
      <c r="B4772" t="s">
        <v>1027</v>
      </c>
      <c r="C4772" t="s">
        <v>10563</v>
      </c>
      <c r="D4772" t="s">
        <v>10564</v>
      </c>
      <c r="E4772" t="s">
        <v>2087</v>
      </c>
    </row>
    <row r="4773" spans="1:5" x14ac:dyDescent="0.2">
      <c r="A4773">
        <v>4773</v>
      </c>
      <c r="B4773" t="s">
        <v>1027</v>
      </c>
      <c r="C4773" t="s">
        <v>10565</v>
      </c>
      <c r="D4773" t="s">
        <v>10566</v>
      </c>
      <c r="E4773" t="s">
        <v>2087</v>
      </c>
    </row>
    <row r="4774" spans="1:5" x14ac:dyDescent="0.2">
      <c r="A4774">
        <v>4774</v>
      </c>
      <c r="B4774" t="s">
        <v>1027</v>
      </c>
      <c r="C4774" t="s">
        <v>10567</v>
      </c>
      <c r="D4774" t="s">
        <v>10568</v>
      </c>
      <c r="E4774" t="s">
        <v>2087</v>
      </c>
    </row>
    <row r="4775" spans="1:5" x14ac:dyDescent="0.2">
      <c r="A4775">
        <v>4775</v>
      </c>
      <c r="B4775" t="s">
        <v>1032</v>
      </c>
      <c r="C4775" t="s">
        <v>10569</v>
      </c>
      <c r="D4775" t="s">
        <v>10570</v>
      </c>
      <c r="E4775" t="s">
        <v>2365</v>
      </c>
    </row>
    <row r="4776" spans="1:5" x14ac:dyDescent="0.2">
      <c r="A4776">
        <v>4776</v>
      </c>
      <c r="B4776" t="s">
        <v>1032</v>
      </c>
      <c r="C4776" t="s">
        <v>10571</v>
      </c>
      <c r="D4776" t="s">
        <v>10572</v>
      </c>
      <c r="E4776" t="s">
        <v>2365</v>
      </c>
    </row>
    <row r="4777" spans="1:5" x14ac:dyDescent="0.2">
      <c r="A4777">
        <v>4777</v>
      </c>
      <c r="B4777" t="s">
        <v>1032</v>
      </c>
      <c r="C4777" t="s">
        <v>10573</v>
      </c>
      <c r="D4777" t="s">
        <v>10574</v>
      </c>
      <c r="E4777" t="s">
        <v>2365</v>
      </c>
    </row>
    <row r="4778" spans="1:5" x14ac:dyDescent="0.2">
      <c r="A4778">
        <v>4778</v>
      </c>
      <c r="B4778" t="s">
        <v>1032</v>
      </c>
      <c r="C4778" t="s">
        <v>10575</v>
      </c>
      <c r="D4778" t="s">
        <v>10576</v>
      </c>
      <c r="E4778" t="s">
        <v>2365</v>
      </c>
    </row>
    <row r="4779" spans="1:5" x14ac:dyDescent="0.2">
      <c r="A4779">
        <v>4779</v>
      </c>
      <c r="B4779" t="s">
        <v>1032</v>
      </c>
      <c r="C4779" t="s">
        <v>10577</v>
      </c>
      <c r="D4779" t="s">
        <v>10578</v>
      </c>
      <c r="E4779" t="s">
        <v>2365</v>
      </c>
    </row>
    <row r="4780" spans="1:5" x14ac:dyDescent="0.2">
      <c r="A4780">
        <v>4780</v>
      </c>
      <c r="B4780" t="s">
        <v>1032</v>
      </c>
      <c r="C4780" t="s">
        <v>10579</v>
      </c>
      <c r="D4780" t="s">
        <v>10580</v>
      </c>
      <c r="E4780" t="s">
        <v>2365</v>
      </c>
    </row>
    <row r="4781" spans="1:5" x14ac:dyDescent="0.2">
      <c r="A4781">
        <v>4781</v>
      </c>
      <c r="B4781" t="s">
        <v>1032</v>
      </c>
      <c r="C4781" t="s">
        <v>10581</v>
      </c>
      <c r="D4781" t="s">
        <v>10582</v>
      </c>
      <c r="E4781" t="s">
        <v>2365</v>
      </c>
    </row>
    <row r="4782" spans="1:5" x14ac:dyDescent="0.2">
      <c r="A4782">
        <v>4782</v>
      </c>
      <c r="B4782" t="s">
        <v>1032</v>
      </c>
      <c r="C4782" t="s">
        <v>10583</v>
      </c>
      <c r="D4782" t="s">
        <v>10584</v>
      </c>
      <c r="E4782" t="s">
        <v>2365</v>
      </c>
    </row>
    <row r="4783" spans="1:5" x14ac:dyDescent="0.2">
      <c r="A4783">
        <v>4783</v>
      </c>
      <c r="B4783" t="s">
        <v>1032</v>
      </c>
      <c r="C4783" t="s">
        <v>10585</v>
      </c>
      <c r="D4783" t="s">
        <v>10586</v>
      </c>
      <c r="E4783" t="s">
        <v>2365</v>
      </c>
    </row>
    <row r="4784" spans="1:5" x14ac:dyDescent="0.2">
      <c r="A4784">
        <v>4784</v>
      </c>
      <c r="B4784" t="s">
        <v>1032</v>
      </c>
      <c r="C4784" t="s">
        <v>10587</v>
      </c>
      <c r="D4784" t="s">
        <v>10588</v>
      </c>
      <c r="E4784" t="s">
        <v>2365</v>
      </c>
    </row>
    <row r="4785" spans="1:5" x14ac:dyDescent="0.2">
      <c r="A4785">
        <v>4785</v>
      </c>
      <c r="B4785" t="s">
        <v>1032</v>
      </c>
      <c r="C4785" t="s">
        <v>10589</v>
      </c>
      <c r="D4785" t="s">
        <v>10590</v>
      </c>
      <c r="E4785" t="s">
        <v>2365</v>
      </c>
    </row>
    <row r="4786" spans="1:5" x14ac:dyDescent="0.2">
      <c r="A4786">
        <v>4786</v>
      </c>
      <c r="B4786" t="s">
        <v>1032</v>
      </c>
      <c r="C4786" t="s">
        <v>10591</v>
      </c>
      <c r="D4786" t="s">
        <v>10592</v>
      </c>
      <c r="E4786" t="s">
        <v>2365</v>
      </c>
    </row>
    <row r="4787" spans="1:5" x14ac:dyDescent="0.2">
      <c r="A4787">
        <v>4787</v>
      </c>
      <c r="B4787" t="s">
        <v>1032</v>
      </c>
      <c r="C4787" t="s">
        <v>10593</v>
      </c>
      <c r="D4787" t="s">
        <v>10594</v>
      </c>
      <c r="E4787" t="s">
        <v>2365</v>
      </c>
    </row>
    <row r="4788" spans="1:5" x14ac:dyDescent="0.2">
      <c r="A4788">
        <v>4788</v>
      </c>
      <c r="B4788" t="s">
        <v>1032</v>
      </c>
      <c r="C4788" t="s">
        <v>10595</v>
      </c>
      <c r="D4788" t="s">
        <v>10596</v>
      </c>
      <c r="E4788" t="s">
        <v>2365</v>
      </c>
    </row>
    <row r="4789" spans="1:5" x14ac:dyDescent="0.2">
      <c r="A4789">
        <v>4789</v>
      </c>
      <c r="B4789" t="s">
        <v>1032</v>
      </c>
      <c r="C4789" t="s">
        <v>10597</v>
      </c>
      <c r="D4789" t="s">
        <v>10598</v>
      </c>
      <c r="E4789" t="s">
        <v>2365</v>
      </c>
    </row>
    <row r="4790" spans="1:5" x14ac:dyDescent="0.2">
      <c r="A4790">
        <v>4790</v>
      </c>
      <c r="B4790" t="s">
        <v>1032</v>
      </c>
      <c r="C4790" t="s">
        <v>10599</v>
      </c>
      <c r="D4790" t="s">
        <v>10600</v>
      </c>
      <c r="E4790" t="s">
        <v>2365</v>
      </c>
    </row>
    <row r="4791" spans="1:5" x14ac:dyDescent="0.2">
      <c r="A4791">
        <v>4791</v>
      </c>
      <c r="B4791" t="s">
        <v>1032</v>
      </c>
      <c r="C4791" t="s">
        <v>10601</v>
      </c>
      <c r="D4791" t="s">
        <v>10602</v>
      </c>
      <c r="E4791" t="s">
        <v>2365</v>
      </c>
    </row>
    <row r="4792" spans="1:5" x14ac:dyDescent="0.2">
      <c r="A4792">
        <v>4792</v>
      </c>
      <c r="B4792" t="s">
        <v>1032</v>
      </c>
      <c r="C4792" t="s">
        <v>10603</v>
      </c>
      <c r="D4792" t="s">
        <v>10604</v>
      </c>
      <c r="E4792" t="s">
        <v>2365</v>
      </c>
    </row>
    <row r="4793" spans="1:5" x14ac:dyDescent="0.2">
      <c r="A4793">
        <v>4793</v>
      </c>
      <c r="B4793" t="s">
        <v>1032</v>
      </c>
      <c r="C4793" t="s">
        <v>10605</v>
      </c>
      <c r="D4793" t="s">
        <v>10606</v>
      </c>
      <c r="E4793" t="s">
        <v>2365</v>
      </c>
    </row>
    <row r="4794" spans="1:5" x14ac:dyDescent="0.2">
      <c r="A4794">
        <v>4794</v>
      </c>
      <c r="B4794" t="s">
        <v>1032</v>
      </c>
      <c r="C4794" t="s">
        <v>10607</v>
      </c>
      <c r="D4794" t="s">
        <v>10608</v>
      </c>
      <c r="E4794" t="s">
        <v>2365</v>
      </c>
    </row>
    <row r="4795" spans="1:5" x14ac:dyDescent="0.2">
      <c r="A4795">
        <v>4795</v>
      </c>
      <c r="B4795" t="s">
        <v>1032</v>
      </c>
      <c r="C4795" t="s">
        <v>10609</v>
      </c>
      <c r="D4795" t="s">
        <v>10610</v>
      </c>
      <c r="E4795" t="s">
        <v>2365</v>
      </c>
    </row>
    <row r="4796" spans="1:5" x14ac:dyDescent="0.2">
      <c r="A4796">
        <v>4796</v>
      </c>
      <c r="B4796" t="s">
        <v>1032</v>
      </c>
      <c r="C4796" t="s">
        <v>10611</v>
      </c>
      <c r="D4796" t="s">
        <v>10612</v>
      </c>
      <c r="E4796" t="s">
        <v>2365</v>
      </c>
    </row>
    <row r="4797" spans="1:5" x14ac:dyDescent="0.2">
      <c r="A4797">
        <v>4797</v>
      </c>
      <c r="B4797" t="s">
        <v>1032</v>
      </c>
      <c r="C4797" t="s">
        <v>10613</v>
      </c>
      <c r="D4797" t="s">
        <v>10614</v>
      </c>
      <c r="E4797" t="s">
        <v>2365</v>
      </c>
    </row>
    <row r="4798" spans="1:5" x14ac:dyDescent="0.2">
      <c r="A4798">
        <v>4798</v>
      </c>
      <c r="B4798" t="s">
        <v>1032</v>
      </c>
      <c r="C4798" t="s">
        <v>10615</v>
      </c>
      <c r="D4798" t="s">
        <v>10616</v>
      </c>
      <c r="E4798" t="s">
        <v>2365</v>
      </c>
    </row>
    <row r="4799" spans="1:5" x14ac:dyDescent="0.2">
      <c r="A4799">
        <v>4799</v>
      </c>
      <c r="B4799" t="s">
        <v>1034</v>
      </c>
      <c r="C4799" t="s">
        <v>10617</v>
      </c>
      <c r="D4799" t="s">
        <v>10618</v>
      </c>
      <c r="E4799" t="s">
        <v>1719</v>
      </c>
    </row>
    <row r="4800" spans="1:5" x14ac:dyDescent="0.2">
      <c r="A4800">
        <v>4800</v>
      </c>
      <c r="B4800" t="s">
        <v>1034</v>
      </c>
      <c r="C4800" t="s">
        <v>10619</v>
      </c>
      <c r="D4800" t="s">
        <v>10620</v>
      </c>
      <c r="E4800" t="s">
        <v>1719</v>
      </c>
    </row>
    <row r="4801" spans="1:5" x14ac:dyDescent="0.2">
      <c r="A4801">
        <v>4801</v>
      </c>
      <c r="B4801" t="s">
        <v>1034</v>
      </c>
      <c r="C4801" t="s">
        <v>10621</v>
      </c>
      <c r="D4801" t="s">
        <v>10622</v>
      </c>
      <c r="E4801" t="s">
        <v>1719</v>
      </c>
    </row>
    <row r="4802" spans="1:5" x14ac:dyDescent="0.2">
      <c r="A4802">
        <v>4802</v>
      </c>
      <c r="B4802" t="s">
        <v>1034</v>
      </c>
      <c r="C4802" t="s">
        <v>10623</v>
      </c>
      <c r="D4802" t="s">
        <v>10624</v>
      </c>
      <c r="E4802" t="s">
        <v>1719</v>
      </c>
    </row>
    <row r="4803" spans="1:5" x14ac:dyDescent="0.2">
      <c r="A4803">
        <v>4803</v>
      </c>
      <c r="B4803" t="s">
        <v>1034</v>
      </c>
      <c r="C4803" t="s">
        <v>10625</v>
      </c>
      <c r="D4803" t="s">
        <v>10626</v>
      </c>
      <c r="E4803" t="s">
        <v>1719</v>
      </c>
    </row>
    <row r="4804" spans="1:5" x14ac:dyDescent="0.2">
      <c r="A4804">
        <v>4804</v>
      </c>
      <c r="B4804" t="s">
        <v>1034</v>
      </c>
      <c r="C4804" t="s">
        <v>10627</v>
      </c>
      <c r="D4804" t="s">
        <v>10628</v>
      </c>
      <c r="E4804" t="s">
        <v>1719</v>
      </c>
    </row>
    <row r="4805" spans="1:5" x14ac:dyDescent="0.2">
      <c r="A4805">
        <v>4805</v>
      </c>
      <c r="B4805" t="s">
        <v>1034</v>
      </c>
      <c r="C4805" t="s">
        <v>10629</v>
      </c>
      <c r="D4805" t="s">
        <v>10630</v>
      </c>
      <c r="E4805" t="s">
        <v>1719</v>
      </c>
    </row>
    <row r="4806" spans="1:5" x14ac:dyDescent="0.2">
      <c r="A4806">
        <v>4806</v>
      </c>
      <c r="B4806" t="s">
        <v>1034</v>
      </c>
      <c r="C4806" t="s">
        <v>10631</v>
      </c>
      <c r="D4806" t="s">
        <v>10632</v>
      </c>
      <c r="E4806" t="s">
        <v>1719</v>
      </c>
    </row>
    <row r="4807" spans="1:5" x14ac:dyDescent="0.2">
      <c r="A4807">
        <v>4807</v>
      </c>
      <c r="B4807" t="s">
        <v>1034</v>
      </c>
      <c r="C4807" t="s">
        <v>10633</v>
      </c>
      <c r="D4807" t="s">
        <v>10634</v>
      </c>
      <c r="E4807" t="s">
        <v>1719</v>
      </c>
    </row>
    <row r="4808" spans="1:5" x14ac:dyDescent="0.2">
      <c r="A4808">
        <v>4808</v>
      </c>
      <c r="B4808" t="s">
        <v>1034</v>
      </c>
      <c r="C4808" t="s">
        <v>10635</v>
      </c>
      <c r="D4808" t="s">
        <v>10636</v>
      </c>
      <c r="E4808" t="s">
        <v>1719</v>
      </c>
    </row>
    <row r="4809" spans="1:5" x14ac:dyDescent="0.2">
      <c r="A4809">
        <v>4809</v>
      </c>
      <c r="B4809" t="s">
        <v>1034</v>
      </c>
      <c r="C4809" t="s">
        <v>10637</v>
      </c>
      <c r="D4809" t="s">
        <v>10638</v>
      </c>
      <c r="E4809" t="s">
        <v>1719</v>
      </c>
    </row>
    <row r="4810" spans="1:5" x14ac:dyDescent="0.2">
      <c r="A4810">
        <v>4810</v>
      </c>
      <c r="B4810" t="s">
        <v>1034</v>
      </c>
      <c r="C4810" t="s">
        <v>10639</v>
      </c>
      <c r="D4810" t="s">
        <v>10640</v>
      </c>
      <c r="E4810" t="s">
        <v>1719</v>
      </c>
    </row>
    <row r="4811" spans="1:5" x14ac:dyDescent="0.2">
      <c r="A4811">
        <v>4811</v>
      </c>
      <c r="B4811" t="s">
        <v>1034</v>
      </c>
      <c r="C4811" t="s">
        <v>10641</v>
      </c>
      <c r="D4811" t="s">
        <v>10642</v>
      </c>
      <c r="E4811" t="s">
        <v>1719</v>
      </c>
    </row>
    <row r="4812" spans="1:5" x14ac:dyDescent="0.2">
      <c r="A4812">
        <v>4812</v>
      </c>
      <c r="B4812" t="s">
        <v>1034</v>
      </c>
      <c r="C4812" t="s">
        <v>10643</v>
      </c>
      <c r="D4812" t="s">
        <v>10644</v>
      </c>
      <c r="E4812" t="s">
        <v>1719</v>
      </c>
    </row>
    <row r="4813" spans="1:5" x14ac:dyDescent="0.2">
      <c r="A4813">
        <v>4813</v>
      </c>
      <c r="B4813" t="s">
        <v>1034</v>
      </c>
      <c r="C4813" t="s">
        <v>10645</v>
      </c>
      <c r="D4813" t="s">
        <v>10646</v>
      </c>
      <c r="E4813" t="s">
        <v>1719</v>
      </c>
    </row>
    <row r="4814" spans="1:5" x14ac:dyDescent="0.2">
      <c r="A4814">
        <v>4814</v>
      </c>
      <c r="B4814" t="s">
        <v>1034</v>
      </c>
      <c r="C4814" t="s">
        <v>10647</v>
      </c>
      <c r="D4814" t="s">
        <v>10648</v>
      </c>
      <c r="E4814" t="s">
        <v>1719</v>
      </c>
    </row>
    <row r="4815" spans="1:5" x14ac:dyDescent="0.2">
      <c r="A4815">
        <v>4815</v>
      </c>
      <c r="B4815" t="s">
        <v>1034</v>
      </c>
      <c r="C4815" t="s">
        <v>10649</v>
      </c>
      <c r="D4815" t="s">
        <v>10650</v>
      </c>
      <c r="E4815" t="s">
        <v>1719</v>
      </c>
    </row>
    <row r="4816" spans="1:5" x14ac:dyDescent="0.2">
      <c r="A4816">
        <v>4816</v>
      </c>
      <c r="B4816" t="s">
        <v>1034</v>
      </c>
      <c r="C4816" t="s">
        <v>10651</v>
      </c>
      <c r="D4816" t="s">
        <v>10652</v>
      </c>
      <c r="E4816" t="s">
        <v>1719</v>
      </c>
    </row>
    <row r="4817" spans="1:5" x14ac:dyDescent="0.2">
      <c r="A4817">
        <v>4817</v>
      </c>
      <c r="B4817" t="s">
        <v>1034</v>
      </c>
      <c r="C4817" t="s">
        <v>10653</v>
      </c>
      <c r="D4817" t="s">
        <v>10654</v>
      </c>
      <c r="E4817" t="s">
        <v>1719</v>
      </c>
    </row>
    <row r="4818" spans="1:5" x14ac:dyDescent="0.2">
      <c r="A4818">
        <v>4818</v>
      </c>
      <c r="B4818" t="s">
        <v>1034</v>
      </c>
      <c r="C4818" t="s">
        <v>10655</v>
      </c>
      <c r="D4818" t="s">
        <v>10656</v>
      </c>
      <c r="E4818" t="s">
        <v>1719</v>
      </c>
    </row>
    <row r="4819" spans="1:5" x14ac:dyDescent="0.2">
      <c r="A4819">
        <v>4819</v>
      </c>
      <c r="B4819" t="s">
        <v>1034</v>
      </c>
      <c r="C4819" t="s">
        <v>10657</v>
      </c>
      <c r="D4819" t="s">
        <v>10658</v>
      </c>
      <c r="E4819" t="s">
        <v>1719</v>
      </c>
    </row>
    <row r="4820" spans="1:5" x14ac:dyDescent="0.2">
      <c r="A4820">
        <v>4820</v>
      </c>
      <c r="B4820" t="s">
        <v>1034</v>
      </c>
      <c r="C4820" t="s">
        <v>10659</v>
      </c>
      <c r="D4820" t="s">
        <v>10660</v>
      </c>
      <c r="E4820" t="s">
        <v>1719</v>
      </c>
    </row>
    <row r="4821" spans="1:5" x14ac:dyDescent="0.2">
      <c r="A4821">
        <v>4821</v>
      </c>
      <c r="B4821" t="s">
        <v>1034</v>
      </c>
      <c r="C4821" t="s">
        <v>10661</v>
      </c>
      <c r="D4821" t="s">
        <v>10662</v>
      </c>
      <c r="E4821" t="s">
        <v>1719</v>
      </c>
    </row>
    <row r="4822" spans="1:5" x14ac:dyDescent="0.2">
      <c r="A4822">
        <v>4822</v>
      </c>
      <c r="B4822" t="s">
        <v>1034</v>
      </c>
      <c r="C4822" t="s">
        <v>10663</v>
      </c>
      <c r="D4822" t="s">
        <v>10664</v>
      </c>
      <c r="E4822" t="s">
        <v>1719</v>
      </c>
    </row>
    <row r="4823" spans="1:5" x14ac:dyDescent="0.2">
      <c r="A4823">
        <v>4823</v>
      </c>
      <c r="B4823" t="s">
        <v>1034</v>
      </c>
      <c r="C4823" t="s">
        <v>10665</v>
      </c>
      <c r="D4823" t="s">
        <v>10666</v>
      </c>
      <c r="E4823" t="s">
        <v>1719</v>
      </c>
    </row>
    <row r="4824" spans="1:5" x14ac:dyDescent="0.2">
      <c r="A4824">
        <v>4824</v>
      </c>
      <c r="B4824" t="s">
        <v>1034</v>
      </c>
      <c r="C4824" t="s">
        <v>10667</v>
      </c>
      <c r="D4824" t="s">
        <v>10668</v>
      </c>
      <c r="E4824" t="s">
        <v>1719</v>
      </c>
    </row>
    <row r="4825" spans="1:5" x14ac:dyDescent="0.2">
      <c r="A4825">
        <v>4825</v>
      </c>
      <c r="B4825" t="s">
        <v>1034</v>
      </c>
      <c r="C4825" t="s">
        <v>10669</v>
      </c>
      <c r="D4825" t="s">
        <v>10670</v>
      </c>
      <c r="E4825" t="s">
        <v>1719</v>
      </c>
    </row>
    <row r="4826" spans="1:5" x14ac:dyDescent="0.2">
      <c r="A4826">
        <v>4826</v>
      </c>
      <c r="B4826" t="s">
        <v>1034</v>
      </c>
      <c r="C4826" t="s">
        <v>10671</v>
      </c>
      <c r="D4826" t="s">
        <v>10672</v>
      </c>
      <c r="E4826" t="s">
        <v>1719</v>
      </c>
    </row>
    <row r="4827" spans="1:5" x14ac:dyDescent="0.2">
      <c r="A4827">
        <v>4827</v>
      </c>
      <c r="B4827" t="s">
        <v>1034</v>
      </c>
      <c r="C4827" t="s">
        <v>10673</v>
      </c>
      <c r="D4827" t="s">
        <v>10674</v>
      </c>
      <c r="E4827" t="s">
        <v>1719</v>
      </c>
    </row>
    <row r="4828" spans="1:5" x14ac:dyDescent="0.2">
      <c r="A4828">
        <v>4828</v>
      </c>
      <c r="B4828" t="s">
        <v>1034</v>
      </c>
      <c r="C4828" t="s">
        <v>10675</v>
      </c>
      <c r="D4828" t="s">
        <v>10676</v>
      </c>
      <c r="E4828" t="s">
        <v>1719</v>
      </c>
    </row>
    <row r="4829" spans="1:5" x14ac:dyDescent="0.2">
      <c r="A4829">
        <v>4829</v>
      </c>
      <c r="B4829" t="s">
        <v>1034</v>
      </c>
      <c r="C4829" t="s">
        <v>10677</v>
      </c>
      <c r="D4829" t="s">
        <v>10678</v>
      </c>
      <c r="E4829" t="s">
        <v>1719</v>
      </c>
    </row>
    <row r="4830" spans="1:5" x14ac:dyDescent="0.2">
      <c r="A4830">
        <v>4830</v>
      </c>
      <c r="B4830" t="s">
        <v>1034</v>
      </c>
      <c r="C4830" t="s">
        <v>10679</v>
      </c>
      <c r="D4830" t="s">
        <v>10680</v>
      </c>
      <c r="E4830" t="s">
        <v>1719</v>
      </c>
    </row>
    <row r="4831" spans="1:5" x14ac:dyDescent="0.2">
      <c r="A4831">
        <v>4831</v>
      </c>
      <c r="B4831" t="s">
        <v>1034</v>
      </c>
      <c r="C4831" t="s">
        <v>10681</v>
      </c>
      <c r="D4831" t="s">
        <v>10682</v>
      </c>
      <c r="E4831" t="s">
        <v>1719</v>
      </c>
    </row>
    <row r="4832" spans="1:5" x14ac:dyDescent="0.2">
      <c r="A4832">
        <v>4832</v>
      </c>
      <c r="B4832" t="s">
        <v>1034</v>
      </c>
      <c r="C4832" t="s">
        <v>10683</v>
      </c>
      <c r="D4832" t="s">
        <v>10684</v>
      </c>
      <c r="E4832" t="s">
        <v>1719</v>
      </c>
    </row>
    <row r="4833" spans="1:5" x14ac:dyDescent="0.2">
      <c r="A4833">
        <v>4833</v>
      </c>
      <c r="B4833" t="s">
        <v>1034</v>
      </c>
      <c r="C4833" t="s">
        <v>10685</v>
      </c>
      <c r="D4833" t="s">
        <v>10686</v>
      </c>
      <c r="E4833" t="s">
        <v>1719</v>
      </c>
    </row>
    <row r="4834" spans="1:5" x14ac:dyDescent="0.2">
      <c r="A4834">
        <v>4834</v>
      </c>
      <c r="B4834" t="s">
        <v>1034</v>
      </c>
      <c r="C4834" t="s">
        <v>10687</v>
      </c>
      <c r="D4834" t="s">
        <v>10688</v>
      </c>
      <c r="E4834" t="s">
        <v>1719</v>
      </c>
    </row>
    <row r="4835" spans="1:5" x14ac:dyDescent="0.2">
      <c r="A4835">
        <v>4835</v>
      </c>
      <c r="B4835" t="s">
        <v>1034</v>
      </c>
      <c r="C4835" t="s">
        <v>10689</v>
      </c>
      <c r="D4835" t="s">
        <v>10690</v>
      </c>
      <c r="E4835" t="s">
        <v>1719</v>
      </c>
    </row>
    <row r="4836" spans="1:5" x14ac:dyDescent="0.2">
      <c r="A4836">
        <v>4836</v>
      </c>
      <c r="B4836" t="s">
        <v>1034</v>
      </c>
      <c r="C4836" t="s">
        <v>10691</v>
      </c>
      <c r="D4836" t="s">
        <v>10692</v>
      </c>
      <c r="E4836" t="s">
        <v>1719</v>
      </c>
    </row>
    <row r="4837" spans="1:5" x14ac:dyDescent="0.2">
      <c r="A4837">
        <v>4837</v>
      </c>
      <c r="B4837" t="s">
        <v>1034</v>
      </c>
      <c r="C4837" t="s">
        <v>10693</v>
      </c>
      <c r="D4837" t="s">
        <v>10694</v>
      </c>
      <c r="E4837" t="s">
        <v>1719</v>
      </c>
    </row>
    <row r="4838" spans="1:5" x14ac:dyDescent="0.2">
      <c r="A4838">
        <v>4838</v>
      </c>
      <c r="B4838" t="s">
        <v>1034</v>
      </c>
      <c r="C4838" t="s">
        <v>10695</v>
      </c>
      <c r="D4838" t="s">
        <v>10696</v>
      </c>
      <c r="E4838" t="s">
        <v>1719</v>
      </c>
    </row>
    <row r="4839" spans="1:5" x14ac:dyDescent="0.2">
      <c r="A4839">
        <v>4839</v>
      </c>
      <c r="B4839" t="s">
        <v>1034</v>
      </c>
      <c r="C4839" t="s">
        <v>10697</v>
      </c>
      <c r="D4839" t="s">
        <v>10698</v>
      </c>
      <c r="E4839" t="s">
        <v>1719</v>
      </c>
    </row>
    <row r="4840" spans="1:5" x14ac:dyDescent="0.2">
      <c r="A4840">
        <v>4840</v>
      </c>
      <c r="B4840" t="s">
        <v>1034</v>
      </c>
      <c r="C4840" t="s">
        <v>10699</v>
      </c>
      <c r="D4840" t="s">
        <v>10700</v>
      </c>
      <c r="E4840" t="s">
        <v>1719</v>
      </c>
    </row>
    <row r="4841" spans="1:5" x14ac:dyDescent="0.2">
      <c r="A4841">
        <v>4841</v>
      </c>
      <c r="B4841" t="s">
        <v>1034</v>
      </c>
      <c r="C4841" t="s">
        <v>10701</v>
      </c>
      <c r="D4841" t="s">
        <v>10702</v>
      </c>
      <c r="E4841" t="s">
        <v>1719</v>
      </c>
    </row>
    <row r="4842" spans="1:5" x14ac:dyDescent="0.2">
      <c r="A4842">
        <v>4842</v>
      </c>
      <c r="B4842" t="s">
        <v>1034</v>
      </c>
      <c r="C4842" t="s">
        <v>10703</v>
      </c>
      <c r="D4842" t="s">
        <v>10704</v>
      </c>
      <c r="E4842" t="s">
        <v>1719</v>
      </c>
    </row>
    <row r="4843" spans="1:5" x14ac:dyDescent="0.2">
      <c r="A4843">
        <v>4843</v>
      </c>
      <c r="B4843" t="s">
        <v>1034</v>
      </c>
      <c r="C4843" t="s">
        <v>10705</v>
      </c>
      <c r="D4843" t="s">
        <v>10706</v>
      </c>
      <c r="E4843" t="s">
        <v>1719</v>
      </c>
    </row>
    <row r="4844" spans="1:5" x14ac:dyDescent="0.2">
      <c r="A4844">
        <v>4844</v>
      </c>
      <c r="B4844" t="s">
        <v>1034</v>
      </c>
      <c r="C4844" t="s">
        <v>10707</v>
      </c>
      <c r="D4844" t="s">
        <v>10708</v>
      </c>
      <c r="E4844" t="s">
        <v>1719</v>
      </c>
    </row>
    <row r="4845" spans="1:5" x14ac:dyDescent="0.2">
      <c r="A4845">
        <v>4845</v>
      </c>
      <c r="B4845" t="s">
        <v>1034</v>
      </c>
      <c r="C4845" t="s">
        <v>10709</v>
      </c>
      <c r="D4845" t="s">
        <v>10710</v>
      </c>
      <c r="E4845" t="s">
        <v>1719</v>
      </c>
    </row>
    <row r="4846" spans="1:5" x14ac:dyDescent="0.2">
      <c r="A4846">
        <v>4846</v>
      </c>
      <c r="B4846" t="s">
        <v>1034</v>
      </c>
      <c r="C4846" t="s">
        <v>10711</v>
      </c>
      <c r="D4846" t="s">
        <v>10712</v>
      </c>
      <c r="E4846" t="s">
        <v>1719</v>
      </c>
    </row>
    <row r="4847" spans="1:5" x14ac:dyDescent="0.2">
      <c r="A4847">
        <v>4847</v>
      </c>
      <c r="B4847" t="s">
        <v>1034</v>
      </c>
      <c r="C4847" t="s">
        <v>10713</v>
      </c>
      <c r="D4847" t="s">
        <v>10714</v>
      </c>
      <c r="E4847" t="s">
        <v>1719</v>
      </c>
    </row>
    <row r="4848" spans="1:5" x14ac:dyDescent="0.2">
      <c r="A4848">
        <v>4848</v>
      </c>
      <c r="B4848" t="s">
        <v>1034</v>
      </c>
      <c r="C4848" t="s">
        <v>10715</v>
      </c>
      <c r="D4848" t="s">
        <v>10716</v>
      </c>
      <c r="E4848" t="s">
        <v>1719</v>
      </c>
    </row>
    <row r="4849" spans="1:5" x14ac:dyDescent="0.2">
      <c r="A4849">
        <v>4849</v>
      </c>
      <c r="B4849" t="s">
        <v>1034</v>
      </c>
      <c r="C4849" t="s">
        <v>10717</v>
      </c>
      <c r="D4849" t="s">
        <v>10718</v>
      </c>
      <c r="E4849" t="s">
        <v>1719</v>
      </c>
    </row>
    <row r="4850" spans="1:5" x14ac:dyDescent="0.2">
      <c r="A4850">
        <v>4850</v>
      </c>
      <c r="B4850" t="s">
        <v>1034</v>
      </c>
      <c r="C4850" t="s">
        <v>10719</v>
      </c>
      <c r="D4850" t="s">
        <v>10720</v>
      </c>
      <c r="E4850" t="s">
        <v>1719</v>
      </c>
    </row>
    <row r="4851" spans="1:5" x14ac:dyDescent="0.2">
      <c r="A4851">
        <v>4851</v>
      </c>
      <c r="B4851" t="s">
        <v>1034</v>
      </c>
      <c r="C4851" t="s">
        <v>10721</v>
      </c>
      <c r="D4851" t="s">
        <v>10722</v>
      </c>
      <c r="E4851" t="s">
        <v>1719</v>
      </c>
    </row>
    <row r="4852" spans="1:5" x14ac:dyDescent="0.2">
      <c r="A4852">
        <v>4852</v>
      </c>
      <c r="B4852" t="s">
        <v>1034</v>
      </c>
      <c r="C4852" t="s">
        <v>10723</v>
      </c>
      <c r="D4852" t="s">
        <v>10724</v>
      </c>
      <c r="E4852" t="s">
        <v>1719</v>
      </c>
    </row>
    <row r="4853" spans="1:5" x14ac:dyDescent="0.2">
      <c r="A4853">
        <v>4853</v>
      </c>
      <c r="B4853" t="s">
        <v>1034</v>
      </c>
      <c r="C4853" t="s">
        <v>10725</v>
      </c>
      <c r="D4853" t="s">
        <v>10726</v>
      </c>
      <c r="E4853" t="s">
        <v>1719</v>
      </c>
    </row>
    <row r="4854" spans="1:5" x14ac:dyDescent="0.2">
      <c r="A4854">
        <v>4854</v>
      </c>
      <c r="B4854" t="s">
        <v>1034</v>
      </c>
      <c r="C4854" t="s">
        <v>10727</v>
      </c>
      <c r="D4854" t="s">
        <v>10728</v>
      </c>
      <c r="E4854" t="s">
        <v>1719</v>
      </c>
    </row>
    <row r="4855" spans="1:5" x14ac:dyDescent="0.2">
      <c r="A4855">
        <v>4855</v>
      </c>
      <c r="B4855" t="s">
        <v>1034</v>
      </c>
      <c r="C4855" t="s">
        <v>10729</v>
      </c>
      <c r="D4855" t="s">
        <v>10730</v>
      </c>
      <c r="E4855" t="s">
        <v>1719</v>
      </c>
    </row>
    <row r="4856" spans="1:5" x14ac:dyDescent="0.2">
      <c r="A4856">
        <v>4856</v>
      </c>
      <c r="B4856" t="s">
        <v>1034</v>
      </c>
      <c r="C4856" t="s">
        <v>10731</v>
      </c>
      <c r="D4856" t="s">
        <v>10732</v>
      </c>
      <c r="E4856" t="s">
        <v>1719</v>
      </c>
    </row>
    <row r="4857" spans="1:5" x14ac:dyDescent="0.2">
      <c r="A4857">
        <v>4857</v>
      </c>
      <c r="B4857" t="s">
        <v>1034</v>
      </c>
      <c r="C4857" t="s">
        <v>10733</v>
      </c>
      <c r="D4857" t="s">
        <v>10734</v>
      </c>
      <c r="E4857" t="s">
        <v>1719</v>
      </c>
    </row>
    <row r="4858" spans="1:5" x14ac:dyDescent="0.2">
      <c r="A4858">
        <v>4858</v>
      </c>
      <c r="B4858" t="s">
        <v>1034</v>
      </c>
      <c r="C4858" t="s">
        <v>10735</v>
      </c>
      <c r="D4858" t="s">
        <v>10736</v>
      </c>
      <c r="E4858" t="s">
        <v>1719</v>
      </c>
    </row>
    <row r="4859" spans="1:5" x14ac:dyDescent="0.2">
      <c r="A4859">
        <v>4859</v>
      </c>
      <c r="B4859" t="s">
        <v>1034</v>
      </c>
      <c r="C4859" t="s">
        <v>10737</v>
      </c>
      <c r="D4859" t="s">
        <v>10738</v>
      </c>
      <c r="E4859" t="s">
        <v>1719</v>
      </c>
    </row>
    <row r="4860" spans="1:5" x14ac:dyDescent="0.2">
      <c r="A4860">
        <v>4860</v>
      </c>
      <c r="B4860" t="s">
        <v>1034</v>
      </c>
      <c r="C4860" t="s">
        <v>10739</v>
      </c>
      <c r="D4860" t="s">
        <v>10740</v>
      </c>
      <c r="E4860" t="s">
        <v>1719</v>
      </c>
    </row>
    <row r="4861" spans="1:5" x14ac:dyDescent="0.2">
      <c r="A4861">
        <v>4861</v>
      </c>
      <c r="B4861" t="s">
        <v>1034</v>
      </c>
      <c r="C4861" t="s">
        <v>10741</v>
      </c>
      <c r="D4861" t="s">
        <v>10742</v>
      </c>
      <c r="E4861" t="s">
        <v>1719</v>
      </c>
    </row>
    <row r="4862" spans="1:5" x14ac:dyDescent="0.2">
      <c r="A4862">
        <v>4862</v>
      </c>
      <c r="B4862" t="s">
        <v>1034</v>
      </c>
      <c r="C4862" t="s">
        <v>10743</v>
      </c>
      <c r="D4862" t="s">
        <v>10744</v>
      </c>
      <c r="E4862" t="s">
        <v>1719</v>
      </c>
    </row>
    <row r="4863" spans="1:5" x14ac:dyDescent="0.2">
      <c r="A4863">
        <v>4863</v>
      </c>
      <c r="B4863" t="s">
        <v>1034</v>
      </c>
      <c r="C4863" t="s">
        <v>10745</v>
      </c>
      <c r="D4863" t="s">
        <v>10746</v>
      </c>
      <c r="E4863" t="s">
        <v>1719</v>
      </c>
    </row>
    <row r="4864" spans="1:5" x14ac:dyDescent="0.2">
      <c r="A4864">
        <v>4864</v>
      </c>
      <c r="B4864" t="s">
        <v>1034</v>
      </c>
      <c r="C4864" t="s">
        <v>10747</v>
      </c>
      <c r="D4864" t="s">
        <v>10748</v>
      </c>
      <c r="E4864" t="s">
        <v>1719</v>
      </c>
    </row>
    <row r="4865" spans="1:5" x14ac:dyDescent="0.2">
      <c r="A4865">
        <v>4865</v>
      </c>
      <c r="B4865" t="s">
        <v>1034</v>
      </c>
      <c r="C4865" t="s">
        <v>10749</v>
      </c>
      <c r="D4865" t="s">
        <v>10750</v>
      </c>
      <c r="E4865" t="s">
        <v>1719</v>
      </c>
    </row>
    <row r="4866" spans="1:5" x14ac:dyDescent="0.2">
      <c r="A4866">
        <v>4866</v>
      </c>
      <c r="B4866" t="s">
        <v>1034</v>
      </c>
      <c r="C4866" t="s">
        <v>10751</v>
      </c>
      <c r="D4866" t="s">
        <v>10752</v>
      </c>
      <c r="E4866" t="s">
        <v>1719</v>
      </c>
    </row>
    <row r="4867" spans="1:5" x14ac:dyDescent="0.2">
      <c r="A4867">
        <v>4867</v>
      </c>
      <c r="B4867" t="s">
        <v>1034</v>
      </c>
      <c r="C4867" t="s">
        <v>10753</v>
      </c>
      <c r="D4867" t="s">
        <v>10754</v>
      </c>
      <c r="E4867" t="s">
        <v>1719</v>
      </c>
    </row>
    <row r="4868" spans="1:5" x14ac:dyDescent="0.2">
      <c r="A4868">
        <v>4868</v>
      </c>
      <c r="B4868" t="s">
        <v>1034</v>
      </c>
      <c r="C4868" t="s">
        <v>10755</v>
      </c>
      <c r="D4868" t="s">
        <v>10756</v>
      </c>
      <c r="E4868" t="s">
        <v>1719</v>
      </c>
    </row>
    <row r="4869" spans="1:5" x14ac:dyDescent="0.2">
      <c r="A4869">
        <v>4869</v>
      </c>
      <c r="B4869" t="s">
        <v>1034</v>
      </c>
      <c r="C4869" t="s">
        <v>10757</v>
      </c>
      <c r="D4869" t="s">
        <v>10758</v>
      </c>
      <c r="E4869" t="s">
        <v>1719</v>
      </c>
    </row>
    <row r="4870" spans="1:5" x14ac:dyDescent="0.2">
      <c r="A4870">
        <v>4870</v>
      </c>
      <c r="B4870" t="s">
        <v>1034</v>
      </c>
      <c r="C4870" t="s">
        <v>10759</v>
      </c>
      <c r="D4870" t="s">
        <v>10760</v>
      </c>
      <c r="E4870" t="s">
        <v>1719</v>
      </c>
    </row>
    <row r="4871" spans="1:5" x14ac:dyDescent="0.2">
      <c r="A4871">
        <v>4871</v>
      </c>
      <c r="B4871" t="s">
        <v>1034</v>
      </c>
      <c r="C4871" t="s">
        <v>10761</v>
      </c>
      <c r="D4871" t="s">
        <v>10762</v>
      </c>
      <c r="E4871" t="s">
        <v>1719</v>
      </c>
    </row>
    <row r="4872" spans="1:5" x14ac:dyDescent="0.2">
      <c r="A4872">
        <v>4872</v>
      </c>
      <c r="B4872" t="s">
        <v>1034</v>
      </c>
      <c r="C4872" t="s">
        <v>10763</v>
      </c>
      <c r="D4872" t="s">
        <v>10764</v>
      </c>
      <c r="E4872" t="s">
        <v>1719</v>
      </c>
    </row>
    <row r="4873" spans="1:5" x14ac:dyDescent="0.2">
      <c r="A4873">
        <v>4873</v>
      </c>
      <c r="B4873" t="s">
        <v>1034</v>
      </c>
      <c r="C4873" t="s">
        <v>10765</v>
      </c>
      <c r="D4873" t="s">
        <v>10766</v>
      </c>
      <c r="E4873" t="s">
        <v>1719</v>
      </c>
    </row>
    <row r="4874" spans="1:5" x14ac:dyDescent="0.2">
      <c r="A4874">
        <v>4874</v>
      </c>
      <c r="B4874" t="s">
        <v>1034</v>
      </c>
      <c r="C4874" t="s">
        <v>10767</v>
      </c>
      <c r="D4874" t="s">
        <v>10768</v>
      </c>
      <c r="E4874" t="s">
        <v>1719</v>
      </c>
    </row>
    <row r="4875" spans="1:5" x14ac:dyDescent="0.2">
      <c r="A4875">
        <v>4875</v>
      </c>
      <c r="B4875" t="s">
        <v>1034</v>
      </c>
      <c r="C4875" t="s">
        <v>10769</v>
      </c>
      <c r="D4875" t="s">
        <v>10770</v>
      </c>
      <c r="E4875" t="s">
        <v>1719</v>
      </c>
    </row>
    <row r="4876" spans="1:5" x14ac:dyDescent="0.2">
      <c r="A4876">
        <v>4876</v>
      </c>
      <c r="B4876" t="s">
        <v>1034</v>
      </c>
      <c r="C4876" t="s">
        <v>10771</v>
      </c>
      <c r="D4876" t="s">
        <v>10772</v>
      </c>
      <c r="E4876" t="s">
        <v>1719</v>
      </c>
    </row>
    <row r="4877" spans="1:5" x14ac:dyDescent="0.2">
      <c r="A4877">
        <v>4877</v>
      </c>
      <c r="B4877" t="s">
        <v>1034</v>
      </c>
      <c r="C4877" t="s">
        <v>10773</v>
      </c>
      <c r="D4877" t="s">
        <v>10774</v>
      </c>
      <c r="E4877" t="s">
        <v>1719</v>
      </c>
    </row>
    <row r="4878" spans="1:5" x14ac:dyDescent="0.2">
      <c r="A4878">
        <v>4878</v>
      </c>
      <c r="B4878" t="s">
        <v>1034</v>
      </c>
      <c r="C4878" t="s">
        <v>10775</v>
      </c>
      <c r="D4878" t="s">
        <v>10776</v>
      </c>
      <c r="E4878" t="s">
        <v>1719</v>
      </c>
    </row>
    <row r="4879" spans="1:5" x14ac:dyDescent="0.2">
      <c r="A4879">
        <v>4879</v>
      </c>
      <c r="B4879" t="s">
        <v>1034</v>
      </c>
      <c r="C4879" t="s">
        <v>10777</v>
      </c>
      <c r="D4879" t="s">
        <v>10778</v>
      </c>
      <c r="E4879" t="s">
        <v>1719</v>
      </c>
    </row>
    <row r="4880" spans="1:5" x14ac:dyDescent="0.2">
      <c r="A4880">
        <v>4880</v>
      </c>
      <c r="B4880" t="s">
        <v>1036</v>
      </c>
      <c r="C4880" t="s">
        <v>10779</v>
      </c>
      <c r="D4880" t="s">
        <v>10780</v>
      </c>
      <c r="E4880" t="s">
        <v>2087</v>
      </c>
    </row>
    <row r="4881" spans="1:5" x14ac:dyDescent="0.2">
      <c r="A4881">
        <v>4881</v>
      </c>
      <c r="B4881" t="s">
        <v>1036</v>
      </c>
      <c r="C4881" t="s">
        <v>10781</v>
      </c>
      <c r="D4881" t="s">
        <v>10782</v>
      </c>
      <c r="E4881" t="s">
        <v>2046</v>
      </c>
    </row>
    <row r="4882" spans="1:5" x14ac:dyDescent="0.2">
      <c r="A4882">
        <v>4882</v>
      </c>
      <c r="B4882" t="s">
        <v>1036</v>
      </c>
      <c r="C4882" t="s">
        <v>10783</v>
      </c>
      <c r="D4882" t="s">
        <v>10784</v>
      </c>
      <c r="E4882" t="s">
        <v>2087</v>
      </c>
    </row>
    <row r="4883" spans="1:5" x14ac:dyDescent="0.2">
      <c r="A4883">
        <v>4883</v>
      </c>
      <c r="B4883" t="s">
        <v>1036</v>
      </c>
      <c r="C4883" t="s">
        <v>10785</v>
      </c>
      <c r="D4883" t="s">
        <v>10786</v>
      </c>
      <c r="E4883" t="s">
        <v>2087</v>
      </c>
    </row>
    <row r="4884" spans="1:5" x14ac:dyDescent="0.2">
      <c r="A4884">
        <v>4884</v>
      </c>
      <c r="B4884" t="s">
        <v>1036</v>
      </c>
      <c r="C4884" t="s">
        <v>10787</v>
      </c>
      <c r="D4884" t="s">
        <v>10788</v>
      </c>
      <c r="E4884" t="s">
        <v>2087</v>
      </c>
    </row>
    <row r="4885" spans="1:5" x14ac:dyDescent="0.2">
      <c r="A4885">
        <v>4885</v>
      </c>
      <c r="B4885" t="s">
        <v>1036</v>
      </c>
      <c r="C4885" t="s">
        <v>10789</v>
      </c>
      <c r="D4885" t="s">
        <v>10790</v>
      </c>
      <c r="E4885" t="s">
        <v>2087</v>
      </c>
    </row>
    <row r="4886" spans="1:5" x14ac:dyDescent="0.2">
      <c r="A4886">
        <v>4886</v>
      </c>
      <c r="B4886" t="s">
        <v>1040</v>
      </c>
      <c r="C4886" t="s">
        <v>10791</v>
      </c>
      <c r="D4886" t="s">
        <v>10792</v>
      </c>
      <c r="E4886" t="s">
        <v>8860</v>
      </c>
    </row>
    <row r="4887" spans="1:5" x14ac:dyDescent="0.2">
      <c r="A4887">
        <v>4887</v>
      </c>
      <c r="B4887" t="s">
        <v>1040</v>
      </c>
      <c r="C4887" t="s">
        <v>10793</v>
      </c>
      <c r="D4887" t="s">
        <v>10794</v>
      </c>
      <c r="E4887" t="s">
        <v>10795</v>
      </c>
    </row>
    <row r="4888" spans="1:5" x14ac:dyDescent="0.2">
      <c r="A4888">
        <v>4888</v>
      </c>
      <c r="B4888" t="s">
        <v>1040</v>
      </c>
      <c r="C4888" t="s">
        <v>10796</v>
      </c>
      <c r="D4888" t="s">
        <v>10797</v>
      </c>
      <c r="E4888" t="s">
        <v>10795</v>
      </c>
    </row>
    <row r="4889" spans="1:5" x14ac:dyDescent="0.2">
      <c r="A4889">
        <v>4889</v>
      </c>
      <c r="B4889" t="s">
        <v>1040</v>
      </c>
      <c r="C4889" t="s">
        <v>10798</v>
      </c>
      <c r="D4889" t="s">
        <v>10799</v>
      </c>
      <c r="E4889" t="s">
        <v>10795</v>
      </c>
    </row>
    <row r="4890" spans="1:5" x14ac:dyDescent="0.2">
      <c r="A4890">
        <v>4890</v>
      </c>
      <c r="B4890" t="s">
        <v>1040</v>
      </c>
      <c r="C4890" t="s">
        <v>10800</v>
      </c>
      <c r="D4890" t="s">
        <v>10801</v>
      </c>
      <c r="E4890" t="s">
        <v>10795</v>
      </c>
    </row>
    <row r="4891" spans="1:5" x14ac:dyDescent="0.2">
      <c r="A4891">
        <v>4891</v>
      </c>
      <c r="B4891" t="s">
        <v>1040</v>
      </c>
      <c r="C4891" t="s">
        <v>10802</v>
      </c>
      <c r="D4891" t="s">
        <v>10803</v>
      </c>
      <c r="E4891" t="s">
        <v>10795</v>
      </c>
    </row>
    <row r="4892" spans="1:5" x14ac:dyDescent="0.2">
      <c r="A4892">
        <v>4892</v>
      </c>
      <c r="B4892" t="s">
        <v>1040</v>
      </c>
      <c r="C4892" t="s">
        <v>10804</v>
      </c>
      <c r="D4892" t="s">
        <v>10805</v>
      </c>
      <c r="E4892" t="s">
        <v>10795</v>
      </c>
    </row>
    <row r="4893" spans="1:5" x14ac:dyDescent="0.2">
      <c r="A4893">
        <v>4893</v>
      </c>
      <c r="B4893" t="s">
        <v>1040</v>
      </c>
      <c r="C4893" t="s">
        <v>10806</v>
      </c>
      <c r="D4893" t="s">
        <v>10807</v>
      </c>
      <c r="E4893" t="s">
        <v>10795</v>
      </c>
    </row>
    <row r="4894" spans="1:5" x14ac:dyDescent="0.2">
      <c r="A4894">
        <v>4894</v>
      </c>
      <c r="B4894" t="s">
        <v>1042</v>
      </c>
      <c r="C4894" t="s">
        <v>10808</v>
      </c>
      <c r="D4894" t="s">
        <v>10809</v>
      </c>
      <c r="E4894" t="s">
        <v>1790</v>
      </c>
    </row>
    <row r="4895" spans="1:5" x14ac:dyDescent="0.2">
      <c r="A4895">
        <v>4895</v>
      </c>
      <c r="B4895" t="s">
        <v>1042</v>
      </c>
      <c r="C4895" t="s">
        <v>10810</v>
      </c>
      <c r="D4895" t="s">
        <v>10811</v>
      </c>
      <c r="E4895" t="s">
        <v>1790</v>
      </c>
    </row>
    <row r="4896" spans="1:5" x14ac:dyDescent="0.2">
      <c r="A4896">
        <v>4896</v>
      </c>
      <c r="B4896" t="s">
        <v>1042</v>
      </c>
      <c r="C4896" t="s">
        <v>10812</v>
      </c>
      <c r="D4896" t="s">
        <v>10813</v>
      </c>
      <c r="E4896" t="s">
        <v>1790</v>
      </c>
    </row>
    <row r="4897" spans="1:5" x14ac:dyDescent="0.2">
      <c r="A4897">
        <v>4897</v>
      </c>
      <c r="B4897" t="s">
        <v>1042</v>
      </c>
      <c r="C4897" t="s">
        <v>10814</v>
      </c>
      <c r="D4897" t="s">
        <v>10815</v>
      </c>
      <c r="E4897" t="s">
        <v>1790</v>
      </c>
    </row>
    <row r="4898" spans="1:5" x14ac:dyDescent="0.2">
      <c r="A4898">
        <v>4898</v>
      </c>
      <c r="B4898" t="s">
        <v>1042</v>
      </c>
      <c r="C4898" t="s">
        <v>10816</v>
      </c>
      <c r="D4898" t="s">
        <v>10817</v>
      </c>
      <c r="E4898" t="s">
        <v>1790</v>
      </c>
    </row>
    <row r="4899" spans="1:5" x14ac:dyDescent="0.2">
      <c r="A4899">
        <v>4899</v>
      </c>
      <c r="B4899" t="s">
        <v>1042</v>
      </c>
      <c r="C4899" t="s">
        <v>10818</v>
      </c>
      <c r="D4899" t="s">
        <v>10819</v>
      </c>
      <c r="E4899" t="s">
        <v>1790</v>
      </c>
    </row>
    <row r="4900" spans="1:5" x14ac:dyDescent="0.2">
      <c r="A4900">
        <v>4900</v>
      </c>
      <c r="B4900" t="s">
        <v>1042</v>
      </c>
      <c r="C4900" t="s">
        <v>10820</v>
      </c>
      <c r="D4900" t="s">
        <v>10821</v>
      </c>
      <c r="E4900" t="s">
        <v>1790</v>
      </c>
    </row>
    <row r="4901" spans="1:5" x14ac:dyDescent="0.2">
      <c r="A4901">
        <v>4901</v>
      </c>
      <c r="B4901" t="s">
        <v>1042</v>
      </c>
      <c r="C4901" t="s">
        <v>10822</v>
      </c>
      <c r="D4901" t="s">
        <v>10823</v>
      </c>
      <c r="E4901" t="s">
        <v>1790</v>
      </c>
    </row>
    <row r="4902" spans="1:5" x14ac:dyDescent="0.2">
      <c r="A4902">
        <v>4902</v>
      </c>
      <c r="B4902" t="s">
        <v>1042</v>
      </c>
      <c r="C4902" t="s">
        <v>10824</v>
      </c>
      <c r="D4902" t="s">
        <v>10825</v>
      </c>
      <c r="E4902" t="s">
        <v>1790</v>
      </c>
    </row>
    <row r="4903" spans="1:5" x14ac:dyDescent="0.2">
      <c r="A4903">
        <v>4903</v>
      </c>
      <c r="B4903" t="s">
        <v>1042</v>
      </c>
      <c r="C4903" t="s">
        <v>10826</v>
      </c>
      <c r="D4903" t="s">
        <v>10827</v>
      </c>
      <c r="E4903" t="s">
        <v>1790</v>
      </c>
    </row>
    <row r="4904" spans="1:5" x14ac:dyDescent="0.2">
      <c r="A4904">
        <v>4904</v>
      </c>
      <c r="B4904" t="s">
        <v>1042</v>
      </c>
      <c r="C4904" t="s">
        <v>10828</v>
      </c>
      <c r="D4904" t="s">
        <v>10829</v>
      </c>
      <c r="E4904" t="s">
        <v>1790</v>
      </c>
    </row>
    <row r="4905" spans="1:5" x14ac:dyDescent="0.2">
      <c r="A4905">
        <v>4905</v>
      </c>
      <c r="B4905" t="s">
        <v>1042</v>
      </c>
      <c r="C4905" t="s">
        <v>10830</v>
      </c>
      <c r="D4905" t="s">
        <v>10831</v>
      </c>
      <c r="E4905" t="s">
        <v>1790</v>
      </c>
    </row>
    <row r="4906" spans="1:5" x14ac:dyDescent="0.2">
      <c r="A4906">
        <v>4906</v>
      </c>
      <c r="B4906" t="s">
        <v>1042</v>
      </c>
      <c r="C4906" t="s">
        <v>10832</v>
      </c>
      <c r="D4906" t="s">
        <v>10833</v>
      </c>
      <c r="E4906" t="s">
        <v>1790</v>
      </c>
    </row>
    <row r="4907" spans="1:5" x14ac:dyDescent="0.2">
      <c r="A4907">
        <v>4907</v>
      </c>
      <c r="B4907" t="s">
        <v>1042</v>
      </c>
      <c r="C4907" t="s">
        <v>10834</v>
      </c>
      <c r="D4907" t="s">
        <v>10835</v>
      </c>
      <c r="E4907" t="s">
        <v>1790</v>
      </c>
    </row>
    <row r="4908" spans="1:5" x14ac:dyDescent="0.2">
      <c r="A4908">
        <v>4908</v>
      </c>
      <c r="B4908" t="s">
        <v>1042</v>
      </c>
      <c r="C4908" t="s">
        <v>10836</v>
      </c>
      <c r="D4908" t="s">
        <v>10837</v>
      </c>
      <c r="E4908" t="s">
        <v>1790</v>
      </c>
    </row>
    <row r="4909" spans="1:5" x14ac:dyDescent="0.2">
      <c r="A4909">
        <v>4909</v>
      </c>
      <c r="B4909" t="s">
        <v>1042</v>
      </c>
      <c r="C4909" t="s">
        <v>10838</v>
      </c>
      <c r="D4909" t="s">
        <v>10839</v>
      </c>
      <c r="E4909" t="s">
        <v>1790</v>
      </c>
    </row>
    <row r="4910" spans="1:5" x14ac:dyDescent="0.2">
      <c r="A4910">
        <v>4910</v>
      </c>
      <c r="B4910" t="s">
        <v>1042</v>
      </c>
      <c r="C4910" t="s">
        <v>10840</v>
      </c>
      <c r="D4910" t="s">
        <v>10841</v>
      </c>
      <c r="E4910" t="s">
        <v>1790</v>
      </c>
    </row>
    <row r="4911" spans="1:5" x14ac:dyDescent="0.2">
      <c r="A4911">
        <v>4911</v>
      </c>
      <c r="B4911" t="s">
        <v>1042</v>
      </c>
      <c r="C4911" t="s">
        <v>10842</v>
      </c>
      <c r="D4911" t="s">
        <v>2720</v>
      </c>
      <c r="E4911" t="s">
        <v>3117</v>
      </c>
    </row>
    <row r="4912" spans="1:5" x14ac:dyDescent="0.2">
      <c r="A4912">
        <v>4912</v>
      </c>
      <c r="B4912" t="s">
        <v>1042</v>
      </c>
      <c r="C4912" t="s">
        <v>10843</v>
      </c>
      <c r="D4912" t="s">
        <v>10844</v>
      </c>
      <c r="E4912" t="s">
        <v>1790</v>
      </c>
    </row>
    <row r="4913" spans="1:5" x14ac:dyDescent="0.2">
      <c r="A4913">
        <v>4913</v>
      </c>
      <c r="B4913" t="s">
        <v>1042</v>
      </c>
      <c r="C4913" t="s">
        <v>10845</v>
      </c>
      <c r="D4913" t="s">
        <v>4191</v>
      </c>
      <c r="E4913" t="s">
        <v>3117</v>
      </c>
    </row>
    <row r="4914" spans="1:5" x14ac:dyDescent="0.2">
      <c r="A4914">
        <v>4914</v>
      </c>
      <c r="B4914" t="s">
        <v>1042</v>
      </c>
      <c r="C4914" t="s">
        <v>10846</v>
      </c>
      <c r="D4914" t="s">
        <v>10847</v>
      </c>
      <c r="E4914" t="s">
        <v>1790</v>
      </c>
    </row>
    <row r="4915" spans="1:5" x14ac:dyDescent="0.2">
      <c r="A4915">
        <v>4915</v>
      </c>
      <c r="B4915" t="s">
        <v>1042</v>
      </c>
      <c r="C4915" t="s">
        <v>10848</v>
      </c>
      <c r="D4915" t="s">
        <v>10849</v>
      </c>
      <c r="E4915" t="s">
        <v>1790</v>
      </c>
    </row>
    <row r="4916" spans="1:5" x14ac:dyDescent="0.2">
      <c r="A4916">
        <v>4916</v>
      </c>
      <c r="B4916" t="s">
        <v>1042</v>
      </c>
      <c r="C4916" t="s">
        <v>10850</v>
      </c>
      <c r="D4916" t="s">
        <v>10851</v>
      </c>
      <c r="E4916" t="s">
        <v>1790</v>
      </c>
    </row>
    <row r="4917" spans="1:5" x14ac:dyDescent="0.2">
      <c r="A4917">
        <v>4917</v>
      </c>
      <c r="B4917" t="s">
        <v>1042</v>
      </c>
      <c r="C4917" t="s">
        <v>10852</v>
      </c>
      <c r="D4917" t="s">
        <v>10853</v>
      </c>
      <c r="E4917" t="s">
        <v>1790</v>
      </c>
    </row>
    <row r="4918" spans="1:5" x14ac:dyDescent="0.2">
      <c r="A4918">
        <v>4918</v>
      </c>
      <c r="B4918" t="s">
        <v>1042</v>
      </c>
      <c r="C4918" t="s">
        <v>10854</v>
      </c>
      <c r="D4918" t="s">
        <v>10855</v>
      </c>
      <c r="E4918" t="s">
        <v>1790</v>
      </c>
    </row>
    <row r="4919" spans="1:5" x14ac:dyDescent="0.2">
      <c r="A4919">
        <v>4919</v>
      </c>
      <c r="B4919" t="s">
        <v>1042</v>
      </c>
      <c r="C4919" t="s">
        <v>10856</v>
      </c>
      <c r="D4919" t="s">
        <v>10857</v>
      </c>
      <c r="E4919" t="s">
        <v>1790</v>
      </c>
    </row>
    <row r="4920" spans="1:5" x14ac:dyDescent="0.2">
      <c r="A4920">
        <v>4920</v>
      </c>
      <c r="B4920" t="s">
        <v>1042</v>
      </c>
      <c r="C4920" t="s">
        <v>10858</v>
      </c>
      <c r="D4920" t="s">
        <v>10859</v>
      </c>
      <c r="E4920" t="s">
        <v>1790</v>
      </c>
    </row>
    <row r="4921" spans="1:5" x14ac:dyDescent="0.2">
      <c r="A4921">
        <v>4921</v>
      </c>
      <c r="B4921" t="s">
        <v>1042</v>
      </c>
      <c r="C4921" t="s">
        <v>10860</v>
      </c>
      <c r="D4921" t="s">
        <v>10861</v>
      </c>
      <c r="E4921" t="s">
        <v>1790</v>
      </c>
    </row>
    <row r="4922" spans="1:5" x14ac:dyDescent="0.2">
      <c r="A4922">
        <v>4922</v>
      </c>
      <c r="B4922" t="s">
        <v>1042</v>
      </c>
      <c r="C4922" t="s">
        <v>10862</v>
      </c>
      <c r="D4922" t="s">
        <v>10863</v>
      </c>
      <c r="E4922" t="s">
        <v>1790</v>
      </c>
    </row>
    <row r="4923" spans="1:5" x14ac:dyDescent="0.2">
      <c r="A4923">
        <v>4923</v>
      </c>
      <c r="B4923" t="s">
        <v>1042</v>
      </c>
      <c r="C4923" t="s">
        <v>10864</v>
      </c>
      <c r="D4923" t="s">
        <v>10865</v>
      </c>
      <c r="E4923" t="s">
        <v>1790</v>
      </c>
    </row>
    <row r="4924" spans="1:5" x14ac:dyDescent="0.2">
      <c r="A4924">
        <v>4924</v>
      </c>
      <c r="B4924" t="s">
        <v>1042</v>
      </c>
      <c r="C4924" t="s">
        <v>10866</v>
      </c>
      <c r="D4924" t="s">
        <v>10867</v>
      </c>
      <c r="E4924" t="s">
        <v>1790</v>
      </c>
    </row>
    <row r="4925" spans="1:5" x14ac:dyDescent="0.2">
      <c r="A4925">
        <v>4925</v>
      </c>
      <c r="B4925" t="s">
        <v>1042</v>
      </c>
      <c r="C4925" t="s">
        <v>10868</v>
      </c>
      <c r="D4925" t="s">
        <v>10869</v>
      </c>
      <c r="E4925" t="s">
        <v>1790</v>
      </c>
    </row>
    <row r="4926" spans="1:5" x14ac:dyDescent="0.2">
      <c r="A4926">
        <v>4926</v>
      </c>
      <c r="B4926" t="s">
        <v>1042</v>
      </c>
      <c r="C4926" t="s">
        <v>10870</v>
      </c>
      <c r="D4926" t="s">
        <v>10871</v>
      </c>
      <c r="E4926" t="s">
        <v>1790</v>
      </c>
    </row>
    <row r="4927" spans="1:5" x14ac:dyDescent="0.2">
      <c r="A4927">
        <v>4927</v>
      </c>
      <c r="B4927" t="s">
        <v>1042</v>
      </c>
      <c r="C4927" t="s">
        <v>10872</v>
      </c>
      <c r="D4927" t="s">
        <v>10873</v>
      </c>
      <c r="E4927" t="s">
        <v>1790</v>
      </c>
    </row>
    <row r="4928" spans="1:5" x14ac:dyDescent="0.2">
      <c r="A4928">
        <v>4928</v>
      </c>
      <c r="B4928" t="s">
        <v>1042</v>
      </c>
      <c r="C4928" t="s">
        <v>10874</v>
      </c>
      <c r="D4928" t="s">
        <v>10875</v>
      </c>
      <c r="E4928" t="s">
        <v>1790</v>
      </c>
    </row>
    <row r="4929" spans="1:5" x14ac:dyDescent="0.2">
      <c r="A4929">
        <v>4929</v>
      </c>
      <c r="B4929" t="s">
        <v>1042</v>
      </c>
      <c r="C4929" t="s">
        <v>10876</v>
      </c>
      <c r="D4929" t="s">
        <v>10877</v>
      </c>
      <c r="E4929" t="s">
        <v>1790</v>
      </c>
    </row>
    <row r="4930" spans="1:5" x14ac:dyDescent="0.2">
      <c r="A4930">
        <v>4930</v>
      </c>
      <c r="B4930" t="s">
        <v>1042</v>
      </c>
      <c r="C4930" t="s">
        <v>10878</v>
      </c>
      <c r="D4930" t="s">
        <v>10879</v>
      </c>
      <c r="E4930" t="s">
        <v>1790</v>
      </c>
    </row>
    <row r="4931" spans="1:5" x14ac:dyDescent="0.2">
      <c r="A4931">
        <v>4931</v>
      </c>
      <c r="B4931" t="s">
        <v>1042</v>
      </c>
      <c r="C4931" t="s">
        <v>10880</v>
      </c>
      <c r="D4931" t="s">
        <v>10881</v>
      </c>
      <c r="E4931" t="s">
        <v>1790</v>
      </c>
    </row>
    <row r="4932" spans="1:5" x14ac:dyDescent="0.2">
      <c r="A4932">
        <v>4932</v>
      </c>
      <c r="B4932" t="s">
        <v>1042</v>
      </c>
      <c r="C4932" t="s">
        <v>10882</v>
      </c>
      <c r="D4932" t="s">
        <v>10883</v>
      </c>
      <c r="E4932" t="s">
        <v>1790</v>
      </c>
    </row>
    <row r="4933" spans="1:5" x14ac:dyDescent="0.2">
      <c r="A4933">
        <v>4933</v>
      </c>
      <c r="B4933" t="s">
        <v>1042</v>
      </c>
      <c r="C4933" t="s">
        <v>10884</v>
      </c>
      <c r="D4933" t="s">
        <v>10885</v>
      </c>
      <c r="E4933" t="s">
        <v>1790</v>
      </c>
    </row>
    <row r="4934" spans="1:5" x14ac:dyDescent="0.2">
      <c r="A4934">
        <v>4934</v>
      </c>
      <c r="B4934" t="s">
        <v>1042</v>
      </c>
      <c r="C4934" t="s">
        <v>10886</v>
      </c>
      <c r="D4934" t="s">
        <v>10887</v>
      </c>
      <c r="E4934" t="s">
        <v>1790</v>
      </c>
    </row>
    <row r="4935" spans="1:5" x14ac:dyDescent="0.2">
      <c r="A4935">
        <v>4935</v>
      </c>
      <c r="B4935" t="s">
        <v>1042</v>
      </c>
      <c r="C4935" t="s">
        <v>10888</v>
      </c>
      <c r="D4935" t="s">
        <v>10889</v>
      </c>
      <c r="E4935" t="s">
        <v>1790</v>
      </c>
    </row>
    <row r="4936" spans="1:5" x14ac:dyDescent="0.2">
      <c r="A4936">
        <v>4936</v>
      </c>
      <c r="B4936" t="s">
        <v>1042</v>
      </c>
      <c r="C4936" t="s">
        <v>10890</v>
      </c>
      <c r="D4936" t="s">
        <v>10891</v>
      </c>
      <c r="E4936" t="s">
        <v>1790</v>
      </c>
    </row>
    <row r="4937" spans="1:5" x14ac:dyDescent="0.2">
      <c r="A4937">
        <v>4937</v>
      </c>
      <c r="B4937" t="s">
        <v>1042</v>
      </c>
      <c r="C4937" t="s">
        <v>10892</v>
      </c>
      <c r="D4937" t="s">
        <v>10893</v>
      </c>
      <c r="E4937" t="s">
        <v>1790</v>
      </c>
    </row>
    <row r="4938" spans="1:5" x14ac:dyDescent="0.2">
      <c r="A4938">
        <v>4938</v>
      </c>
      <c r="B4938" t="s">
        <v>1042</v>
      </c>
      <c r="C4938" t="s">
        <v>10894</v>
      </c>
      <c r="D4938" t="s">
        <v>10895</v>
      </c>
      <c r="E4938" t="s">
        <v>1790</v>
      </c>
    </row>
    <row r="4939" spans="1:5" x14ac:dyDescent="0.2">
      <c r="A4939">
        <v>4939</v>
      </c>
      <c r="B4939" t="s">
        <v>1042</v>
      </c>
      <c r="C4939" t="s">
        <v>10896</v>
      </c>
      <c r="D4939" t="s">
        <v>10897</v>
      </c>
      <c r="E4939" t="s">
        <v>1790</v>
      </c>
    </row>
    <row r="4940" spans="1:5" x14ac:dyDescent="0.2">
      <c r="A4940">
        <v>4940</v>
      </c>
      <c r="B4940" t="s">
        <v>1042</v>
      </c>
      <c r="C4940" t="s">
        <v>10898</v>
      </c>
      <c r="D4940" t="s">
        <v>10899</v>
      </c>
      <c r="E4940" t="s">
        <v>1790</v>
      </c>
    </row>
    <row r="4941" spans="1:5" x14ac:dyDescent="0.2">
      <c r="A4941">
        <v>4941</v>
      </c>
      <c r="B4941" t="s">
        <v>1042</v>
      </c>
      <c r="C4941" t="s">
        <v>10900</v>
      </c>
      <c r="D4941" t="s">
        <v>10901</v>
      </c>
      <c r="E4941" t="s">
        <v>1790</v>
      </c>
    </row>
    <row r="4942" spans="1:5" x14ac:dyDescent="0.2">
      <c r="A4942">
        <v>4942</v>
      </c>
      <c r="B4942" t="s">
        <v>1042</v>
      </c>
      <c r="C4942" t="s">
        <v>10902</v>
      </c>
      <c r="D4942" t="s">
        <v>10903</v>
      </c>
      <c r="E4942" t="s">
        <v>1790</v>
      </c>
    </row>
    <row r="4943" spans="1:5" x14ac:dyDescent="0.2">
      <c r="A4943">
        <v>4943</v>
      </c>
      <c r="B4943" t="s">
        <v>1042</v>
      </c>
      <c r="C4943" t="s">
        <v>10904</v>
      </c>
      <c r="D4943" t="s">
        <v>10905</v>
      </c>
      <c r="E4943" t="s">
        <v>1790</v>
      </c>
    </row>
    <row r="4944" spans="1:5" x14ac:dyDescent="0.2">
      <c r="A4944">
        <v>4944</v>
      </c>
      <c r="B4944" t="s">
        <v>1042</v>
      </c>
      <c r="C4944" t="s">
        <v>10906</v>
      </c>
      <c r="D4944" t="s">
        <v>10907</v>
      </c>
      <c r="E4944" t="s">
        <v>1790</v>
      </c>
    </row>
    <row r="4945" spans="1:5" x14ac:dyDescent="0.2">
      <c r="A4945">
        <v>4945</v>
      </c>
      <c r="B4945" t="s">
        <v>1042</v>
      </c>
      <c r="C4945" t="s">
        <v>10908</v>
      </c>
      <c r="D4945" t="s">
        <v>10909</v>
      </c>
      <c r="E4945" t="s">
        <v>1790</v>
      </c>
    </row>
    <row r="4946" spans="1:5" x14ac:dyDescent="0.2">
      <c r="A4946">
        <v>4946</v>
      </c>
      <c r="B4946" t="s">
        <v>1042</v>
      </c>
      <c r="C4946" t="s">
        <v>10910</v>
      </c>
      <c r="D4946" t="s">
        <v>10911</v>
      </c>
      <c r="E4946" t="s">
        <v>1790</v>
      </c>
    </row>
    <row r="4947" spans="1:5" x14ac:dyDescent="0.2">
      <c r="A4947">
        <v>4947</v>
      </c>
      <c r="B4947" t="s">
        <v>1042</v>
      </c>
      <c r="C4947" t="s">
        <v>10912</v>
      </c>
      <c r="D4947" t="s">
        <v>10913</v>
      </c>
      <c r="E4947" t="s">
        <v>1790</v>
      </c>
    </row>
    <row r="4948" spans="1:5" x14ac:dyDescent="0.2">
      <c r="A4948">
        <v>4948</v>
      </c>
      <c r="B4948" t="s">
        <v>1042</v>
      </c>
      <c r="C4948" t="s">
        <v>10914</v>
      </c>
      <c r="D4948" t="s">
        <v>10915</v>
      </c>
      <c r="E4948" t="s">
        <v>1790</v>
      </c>
    </row>
    <row r="4949" spans="1:5" x14ac:dyDescent="0.2">
      <c r="A4949">
        <v>4949</v>
      </c>
      <c r="B4949" t="s">
        <v>1042</v>
      </c>
      <c r="C4949" t="s">
        <v>10916</v>
      </c>
      <c r="D4949" t="s">
        <v>10917</v>
      </c>
      <c r="E4949" t="s">
        <v>1790</v>
      </c>
    </row>
    <row r="4950" spans="1:5" x14ac:dyDescent="0.2">
      <c r="A4950">
        <v>4950</v>
      </c>
      <c r="B4950" t="s">
        <v>1042</v>
      </c>
      <c r="C4950" t="s">
        <v>10918</v>
      </c>
      <c r="D4950" t="s">
        <v>10919</v>
      </c>
      <c r="E4950" t="s">
        <v>1790</v>
      </c>
    </row>
    <row r="4951" spans="1:5" x14ac:dyDescent="0.2">
      <c r="A4951">
        <v>4951</v>
      </c>
      <c r="B4951" t="s">
        <v>1042</v>
      </c>
      <c r="C4951" t="s">
        <v>10920</v>
      </c>
      <c r="D4951" t="s">
        <v>10921</v>
      </c>
      <c r="E4951" t="s">
        <v>1790</v>
      </c>
    </row>
    <row r="4952" spans="1:5" x14ac:dyDescent="0.2">
      <c r="A4952">
        <v>4952</v>
      </c>
      <c r="B4952" t="s">
        <v>1042</v>
      </c>
      <c r="C4952" t="s">
        <v>10922</v>
      </c>
      <c r="D4952" t="s">
        <v>10923</v>
      </c>
      <c r="E4952" t="s">
        <v>1790</v>
      </c>
    </row>
    <row r="4953" spans="1:5" x14ac:dyDescent="0.2">
      <c r="A4953">
        <v>4953</v>
      </c>
      <c r="B4953" t="s">
        <v>1042</v>
      </c>
      <c r="C4953" t="s">
        <v>10924</v>
      </c>
      <c r="D4953" t="s">
        <v>10925</v>
      </c>
      <c r="E4953" t="s">
        <v>1790</v>
      </c>
    </row>
    <row r="4954" spans="1:5" x14ac:dyDescent="0.2">
      <c r="A4954">
        <v>4954</v>
      </c>
      <c r="B4954" t="s">
        <v>1042</v>
      </c>
      <c r="C4954" t="s">
        <v>10926</v>
      </c>
      <c r="D4954" t="s">
        <v>10927</v>
      </c>
      <c r="E4954" t="s">
        <v>1790</v>
      </c>
    </row>
    <row r="4955" spans="1:5" x14ac:dyDescent="0.2">
      <c r="A4955">
        <v>4955</v>
      </c>
      <c r="B4955" t="s">
        <v>1042</v>
      </c>
      <c r="C4955" t="s">
        <v>10928</v>
      </c>
      <c r="D4955" t="s">
        <v>10929</v>
      </c>
      <c r="E4955" t="s">
        <v>1790</v>
      </c>
    </row>
    <row r="4956" spans="1:5" x14ac:dyDescent="0.2">
      <c r="A4956">
        <v>4956</v>
      </c>
      <c r="B4956" t="s">
        <v>1042</v>
      </c>
      <c r="C4956" t="s">
        <v>10930</v>
      </c>
      <c r="D4956" t="s">
        <v>10931</v>
      </c>
      <c r="E4956" t="s">
        <v>1790</v>
      </c>
    </row>
    <row r="4957" spans="1:5" x14ac:dyDescent="0.2">
      <c r="A4957">
        <v>4957</v>
      </c>
      <c r="B4957" t="s">
        <v>1042</v>
      </c>
      <c r="C4957" t="s">
        <v>10932</v>
      </c>
      <c r="D4957" t="s">
        <v>10933</v>
      </c>
      <c r="E4957" t="s">
        <v>1790</v>
      </c>
    </row>
    <row r="4958" spans="1:5" x14ac:dyDescent="0.2">
      <c r="A4958">
        <v>4958</v>
      </c>
      <c r="B4958" t="s">
        <v>1042</v>
      </c>
      <c r="C4958" t="s">
        <v>10934</v>
      </c>
      <c r="D4958" t="s">
        <v>10935</v>
      </c>
      <c r="E4958" t="s">
        <v>1790</v>
      </c>
    </row>
    <row r="4959" spans="1:5" x14ac:dyDescent="0.2">
      <c r="A4959">
        <v>4959</v>
      </c>
      <c r="B4959" t="s">
        <v>1042</v>
      </c>
      <c r="C4959" t="s">
        <v>10936</v>
      </c>
      <c r="D4959" t="s">
        <v>10937</v>
      </c>
      <c r="E4959" t="s">
        <v>1790</v>
      </c>
    </row>
    <row r="4960" spans="1:5" x14ac:dyDescent="0.2">
      <c r="A4960">
        <v>4960</v>
      </c>
      <c r="B4960" t="s">
        <v>1042</v>
      </c>
      <c r="C4960" t="s">
        <v>10938</v>
      </c>
      <c r="D4960" t="s">
        <v>10939</v>
      </c>
      <c r="E4960" t="s">
        <v>1790</v>
      </c>
    </row>
    <row r="4961" spans="1:5" x14ac:dyDescent="0.2">
      <c r="A4961">
        <v>4961</v>
      </c>
      <c r="B4961" t="s">
        <v>1042</v>
      </c>
      <c r="C4961" t="s">
        <v>10940</v>
      </c>
      <c r="D4961" t="s">
        <v>10941</v>
      </c>
      <c r="E4961" t="s">
        <v>1790</v>
      </c>
    </row>
    <row r="4962" spans="1:5" x14ac:dyDescent="0.2">
      <c r="A4962">
        <v>4962</v>
      </c>
      <c r="B4962" t="s">
        <v>1042</v>
      </c>
      <c r="C4962" t="s">
        <v>10942</v>
      </c>
      <c r="D4962" t="s">
        <v>10943</v>
      </c>
      <c r="E4962" t="s">
        <v>1790</v>
      </c>
    </row>
    <row r="4963" spans="1:5" x14ac:dyDescent="0.2">
      <c r="A4963">
        <v>4963</v>
      </c>
      <c r="B4963" t="s">
        <v>1042</v>
      </c>
      <c r="C4963" t="s">
        <v>10944</v>
      </c>
      <c r="D4963" t="s">
        <v>10945</v>
      </c>
      <c r="E4963" t="s">
        <v>1790</v>
      </c>
    </row>
    <row r="4964" spans="1:5" x14ac:dyDescent="0.2">
      <c r="A4964">
        <v>4964</v>
      </c>
      <c r="B4964" t="s">
        <v>1042</v>
      </c>
      <c r="C4964" t="s">
        <v>10946</v>
      </c>
      <c r="D4964" t="s">
        <v>4193</v>
      </c>
      <c r="E4964" t="s">
        <v>3117</v>
      </c>
    </row>
    <row r="4965" spans="1:5" x14ac:dyDescent="0.2">
      <c r="A4965">
        <v>4965</v>
      </c>
      <c r="B4965" t="s">
        <v>1042</v>
      </c>
      <c r="C4965" t="s">
        <v>10947</v>
      </c>
      <c r="D4965" t="s">
        <v>10948</v>
      </c>
      <c r="E4965" t="s">
        <v>1790</v>
      </c>
    </row>
    <row r="4966" spans="1:5" x14ac:dyDescent="0.2">
      <c r="A4966">
        <v>4966</v>
      </c>
      <c r="B4966" t="s">
        <v>1042</v>
      </c>
      <c r="C4966" t="s">
        <v>10949</v>
      </c>
      <c r="D4966" t="s">
        <v>10950</v>
      </c>
      <c r="E4966" t="s">
        <v>1790</v>
      </c>
    </row>
    <row r="4967" spans="1:5" x14ac:dyDescent="0.2">
      <c r="A4967">
        <v>4967</v>
      </c>
      <c r="B4967" t="s">
        <v>1042</v>
      </c>
      <c r="C4967" t="s">
        <v>10951</v>
      </c>
      <c r="D4967" t="s">
        <v>10952</v>
      </c>
      <c r="E4967" t="s">
        <v>1790</v>
      </c>
    </row>
    <row r="4968" spans="1:5" x14ac:dyDescent="0.2">
      <c r="A4968">
        <v>4968</v>
      </c>
      <c r="B4968" t="s">
        <v>1042</v>
      </c>
      <c r="C4968" t="s">
        <v>10953</v>
      </c>
      <c r="D4968" t="s">
        <v>10954</v>
      </c>
      <c r="E4968" t="s">
        <v>1790</v>
      </c>
    </row>
    <row r="4969" spans="1:5" x14ac:dyDescent="0.2">
      <c r="A4969">
        <v>4969</v>
      </c>
      <c r="B4969" t="s">
        <v>1042</v>
      </c>
      <c r="C4969" t="s">
        <v>10955</v>
      </c>
      <c r="D4969" t="s">
        <v>10956</v>
      </c>
      <c r="E4969" t="s">
        <v>1790</v>
      </c>
    </row>
    <row r="4970" spans="1:5" x14ac:dyDescent="0.2">
      <c r="A4970">
        <v>4970</v>
      </c>
      <c r="B4970" t="s">
        <v>1042</v>
      </c>
      <c r="C4970" t="s">
        <v>10957</v>
      </c>
      <c r="D4970" t="s">
        <v>10958</v>
      </c>
      <c r="E4970" t="s">
        <v>1790</v>
      </c>
    </row>
    <row r="4971" spans="1:5" x14ac:dyDescent="0.2">
      <c r="A4971">
        <v>4971</v>
      </c>
      <c r="B4971" t="s">
        <v>1042</v>
      </c>
      <c r="C4971" t="s">
        <v>10959</v>
      </c>
      <c r="D4971" t="s">
        <v>10960</v>
      </c>
      <c r="E4971" t="s">
        <v>1790</v>
      </c>
    </row>
    <row r="4972" spans="1:5" x14ac:dyDescent="0.2">
      <c r="A4972">
        <v>4972</v>
      </c>
      <c r="B4972" t="s">
        <v>1042</v>
      </c>
      <c r="C4972" t="s">
        <v>10961</v>
      </c>
      <c r="D4972" t="s">
        <v>10962</v>
      </c>
      <c r="E4972" t="s">
        <v>1790</v>
      </c>
    </row>
    <row r="4973" spans="1:5" x14ac:dyDescent="0.2">
      <c r="A4973">
        <v>4973</v>
      </c>
      <c r="B4973" t="s">
        <v>1042</v>
      </c>
      <c r="C4973" t="s">
        <v>10963</v>
      </c>
      <c r="D4973" t="s">
        <v>10964</v>
      </c>
      <c r="E4973" t="s">
        <v>1790</v>
      </c>
    </row>
    <row r="4974" spans="1:5" x14ac:dyDescent="0.2">
      <c r="A4974">
        <v>4974</v>
      </c>
      <c r="B4974" t="s">
        <v>1042</v>
      </c>
      <c r="C4974" t="s">
        <v>10965</v>
      </c>
      <c r="D4974" t="s">
        <v>10966</v>
      </c>
      <c r="E4974" t="s">
        <v>1790</v>
      </c>
    </row>
    <row r="4975" spans="1:5" x14ac:dyDescent="0.2">
      <c r="A4975">
        <v>4975</v>
      </c>
      <c r="B4975" t="s">
        <v>1042</v>
      </c>
      <c r="C4975" t="s">
        <v>10967</v>
      </c>
      <c r="D4975" t="s">
        <v>10968</v>
      </c>
      <c r="E4975" t="s">
        <v>1790</v>
      </c>
    </row>
    <row r="4976" spans="1:5" x14ac:dyDescent="0.2">
      <c r="A4976">
        <v>4976</v>
      </c>
      <c r="B4976" t="s">
        <v>1042</v>
      </c>
      <c r="C4976" t="s">
        <v>10969</v>
      </c>
      <c r="D4976" t="s">
        <v>4197</v>
      </c>
      <c r="E4976" t="s">
        <v>3117</v>
      </c>
    </row>
    <row r="4977" spans="1:5" x14ac:dyDescent="0.2">
      <c r="A4977">
        <v>4977</v>
      </c>
      <c r="B4977" t="s">
        <v>1042</v>
      </c>
      <c r="C4977" t="s">
        <v>10970</v>
      </c>
      <c r="D4977" t="s">
        <v>10971</v>
      </c>
      <c r="E4977" t="s">
        <v>1790</v>
      </c>
    </row>
    <row r="4978" spans="1:5" x14ac:dyDescent="0.2">
      <c r="A4978">
        <v>4978</v>
      </c>
      <c r="B4978" t="s">
        <v>1044</v>
      </c>
      <c r="C4978" t="s">
        <v>10972</v>
      </c>
      <c r="D4978" t="s">
        <v>10973</v>
      </c>
      <c r="E4978" t="s">
        <v>2087</v>
      </c>
    </row>
    <row r="4979" spans="1:5" x14ac:dyDescent="0.2">
      <c r="A4979">
        <v>4979</v>
      </c>
      <c r="B4979" t="s">
        <v>1044</v>
      </c>
      <c r="C4979" t="s">
        <v>10974</v>
      </c>
      <c r="D4979" t="s">
        <v>10975</v>
      </c>
      <c r="E4979" t="s">
        <v>2087</v>
      </c>
    </row>
    <row r="4980" spans="1:5" x14ac:dyDescent="0.2">
      <c r="A4980">
        <v>4980</v>
      </c>
      <c r="B4980" t="s">
        <v>1044</v>
      </c>
      <c r="C4980" t="s">
        <v>10976</v>
      </c>
      <c r="D4980" t="s">
        <v>10977</v>
      </c>
      <c r="E4980" t="s">
        <v>2087</v>
      </c>
    </row>
    <row r="4981" spans="1:5" x14ac:dyDescent="0.2">
      <c r="A4981">
        <v>4981</v>
      </c>
      <c r="B4981" t="s">
        <v>1044</v>
      </c>
      <c r="C4981" t="s">
        <v>10978</v>
      </c>
      <c r="D4981" t="s">
        <v>10979</v>
      </c>
      <c r="E4981" t="s">
        <v>2087</v>
      </c>
    </row>
    <row r="4982" spans="1:5" x14ac:dyDescent="0.2">
      <c r="A4982">
        <v>4982</v>
      </c>
      <c r="B4982" t="s">
        <v>1044</v>
      </c>
      <c r="C4982" t="s">
        <v>10980</v>
      </c>
      <c r="D4982" t="s">
        <v>10981</v>
      </c>
      <c r="E4982" t="s">
        <v>2087</v>
      </c>
    </row>
    <row r="4983" spans="1:5" x14ac:dyDescent="0.2">
      <c r="A4983">
        <v>4983</v>
      </c>
      <c r="B4983" t="s">
        <v>1044</v>
      </c>
      <c r="C4983" t="s">
        <v>10982</v>
      </c>
      <c r="D4983" t="s">
        <v>10983</v>
      </c>
      <c r="E4983" t="s">
        <v>2087</v>
      </c>
    </row>
    <row r="4984" spans="1:5" x14ac:dyDescent="0.2">
      <c r="A4984">
        <v>4984</v>
      </c>
      <c r="B4984" t="s">
        <v>1044</v>
      </c>
      <c r="C4984" t="s">
        <v>10984</v>
      </c>
      <c r="D4984" t="s">
        <v>10985</v>
      </c>
      <c r="E4984" t="s">
        <v>2087</v>
      </c>
    </row>
    <row r="4985" spans="1:5" x14ac:dyDescent="0.2">
      <c r="A4985">
        <v>4985</v>
      </c>
      <c r="B4985" t="s">
        <v>1044</v>
      </c>
      <c r="C4985" t="s">
        <v>10986</v>
      </c>
      <c r="D4985" t="s">
        <v>10987</v>
      </c>
      <c r="E4985" t="s">
        <v>2087</v>
      </c>
    </row>
    <row r="4986" spans="1:5" x14ac:dyDescent="0.2">
      <c r="A4986">
        <v>4986</v>
      </c>
      <c r="B4986" t="s">
        <v>1044</v>
      </c>
      <c r="C4986" t="s">
        <v>10988</v>
      </c>
      <c r="D4986" t="s">
        <v>10989</v>
      </c>
      <c r="E4986" t="s">
        <v>2087</v>
      </c>
    </row>
    <row r="4987" spans="1:5" x14ac:dyDescent="0.2">
      <c r="A4987">
        <v>4987</v>
      </c>
      <c r="B4987" t="s">
        <v>1044</v>
      </c>
      <c r="C4987" t="s">
        <v>10990</v>
      </c>
      <c r="D4987" t="s">
        <v>10991</v>
      </c>
      <c r="E4987" t="s">
        <v>2087</v>
      </c>
    </row>
    <row r="4988" spans="1:5" x14ac:dyDescent="0.2">
      <c r="A4988">
        <v>4988</v>
      </c>
      <c r="B4988" t="s">
        <v>1044</v>
      </c>
      <c r="C4988" t="s">
        <v>10992</v>
      </c>
      <c r="D4988" t="s">
        <v>10993</v>
      </c>
      <c r="E4988" t="s">
        <v>2046</v>
      </c>
    </row>
    <row r="4989" spans="1:5" x14ac:dyDescent="0.2">
      <c r="A4989">
        <v>4989</v>
      </c>
      <c r="B4989" t="s">
        <v>1044</v>
      </c>
      <c r="C4989" t="s">
        <v>10994</v>
      </c>
      <c r="D4989" t="s">
        <v>10995</v>
      </c>
      <c r="E4989" t="s">
        <v>2087</v>
      </c>
    </row>
    <row r="4990" spans="1:5" x14ac:dyDescent="0.2">
      <c r="A4990">
        <v>4990</v>
      </c>
      <c r="B4990" t="s">
        <v>1044</v>
      </c>
      <c r="C4990" t="s">
        <v>10996</v>
      </c>
      <c r="D4990" t="s">
        <v>10997</v>
      </c>
      <c r="E4990" t="s">
        <v>2087</v>
      </c>
    </row>
    <row r="4991" spans="1:5" x14ac:dyDescent="0.2">
      <c r="A4991">
        <v>4991</v>
      </c>
      <c r="B4991" t="s">
        <v>1044</v>
      </c>
      <c r="C4991" t="s">
        <v>10998</v>
      </c>
      <c r="D4991" t="s">
        <v>10999</v>
      </c>
      <c r="E4991" t="s">
        <v>2087</v>
      </c>
    </row>
    <row r="4992" spans="1:5" x14ac:dyDescent="0.2">
      <c r="A4992">
        <v>4992</v>
      </c>
      <c r="B4992" t="s">
        <v>1044</v>
      </c>
      <c r="C4992" t="s">
        <v>11000</v>
      </c>
      <c r="D4992" t="s">
        <v>11001</v>
      </c>
      <c r="E4992" t="s">
        <v>2087</v>
      </c>
    </row>
    <row r="4993" spans="1:5" x14ac:dyDescent="0.2">
      <c r="A4993">
        <v>4993</v>
      </c>
      <c r="B4993" t="s">
        <v>1044</v>
      </c>
      <c r="C4993" t="s">
        <v>11002</v>
      </c>
      <c r="D4993" t="s">
        <v>11003</v>
      </c>
      <c r="E4993" t="s">
        <v>2087</v>
      </c>
    </row>
    <row r="4994" spans="1:5" x14ac:dyDescent="0.2">
      <c r="A4994">
        <v>4994</v>
      </c>
      <c r="B4994" t="s">
        <v>1044</v>
      </c>
      <c r="C4994" t="s">
        <v>11004</v>
      </c>
      <c r="D4994" t="s">
        <v>11005</v>
      </c>
      <c r="E4994" t="s">
        <v>2087</v>
      </c>
    </row>
    <row r="4995" spans="1:5" x14ac:dyDescent="0.2">
      <c r="A4995">
        <v>4995</v>
      </c>
      <c r="B4995" t="s">
        <v>1044</v>
      </c>
      <c r="C4995" t="s">
        <v>11006</v>
      </c>
      <c r="D4995" t="s">
        <v>11007</v>
      </c>
      <c r="E4995" t="s">
        <v>8683</v>
      </c>
    </row>
    <row r="4996" spans="1:5" x14ac:dyDescent="0.2">
      <c r="A4996">
        <v>4996</v>
      </c>
      <c r="B4996" t="s">
        <v>1044</v>
      </c>
      <c r="C4996" t="s">
        <v>11008</v>
      </c>
      <c r="D4996" t="s">
        <v>11009</v>
      </c>
      <c r="E4996" t="s">
        <v>2087</v>
      </c>
    </row>
    <row r="4997" spans="1:5" x14ac:dyDescent="0.2">
      <c r="A4997">
        <v>4997</v>
      </c>
      <c r="B4997" t="s">
        <v>1044</v>
      </c>
      <c r="C4997" t="s">
        <v>11010</v>
      </c>
      <c r="D4997" t="s">
        <v>11011</v>
      </c>
      <c r="E4997" t="s">
        <v>2046</v>
      </c>
    </row>
    <row r="4998" spans="1:5" x14ac:dyDescent="0.2">
      <c r="A4998">
        <v>4998</v>
      </c>
      <c r="B4998" t="s">
        <v>1044</v>
      </c>
      <c r="C4998" t="s">
        <v>11012</v>
      </c>
      <c r="D4998" t="s">
        <v>11013</v>
      </c>
      <c r="E4998" t="s">
        <v>2087</v>
      </c>
    </row>
    <row r="4999" spans="1:5" x14ac:dyDescent="0.2">
      <c r="A4999">
        <v>4999</v>
      </c>
      <c r="B4999" t="s">
        <v>1044</v>
      </c>
      <c r="C4999" t="s">
        <v>11014</v>
      </c>
      <c r="D4999" t="s">
        <v>11015</v>
      </c>
      <c r="E4999" t="s">
        <v>2087</v>
      </c>
    </row>
    <row r="5000" spans="1:5" x14ac:dyDescent="0.2">
      <c r="A5000">
        <v>5000</v>
      </c>
      <c r="B5000" t="s">
        <v>1044</v>
      </c>
      <c r="C5000" t="s">
        <v>11016</v>
      </c>
      <c r="D5000" t="s">
        <v>11017</v>
      </c>
      <c r="E5000" t="s">
        <v>2087</v>
      </c>
    </row>
    <row r="5001" spans="1:5" x14ac:dyDescent="0.2">
      <c r="A5001">
        <v>5001</v>
      </c>
      <c r="B5001" t="s">
        <v>1044</v>
      </c>
      <c r="C5001" t="s">
        <v>11018</v>
      </c>
      <c r="D5001" t="s">
        <v>11019</v>
      </c>
      <c r="E5001" t="s">
        <v>2087</v>
      </c>
    </row>
    <row r="5002" spans="1:5" x14ac:dyDescent="0.2">
      <c r="A5002">
        <v>5002</v>
      </c>
      <c r="B5002" t="s">
        <v>1044</v>
      </c>
      <c r="C5002" t="s">
        <v>11020</v>
      </c>
      <c r="D5002" t="s">
        <v>11021</v>
      </c>
      <c r="E5002" t="s">
        <v>2087</v>
      </c>
    </row>
    <row r="5003" spans="1:5" x14ac:dyDescent="0.2">
      <c r="A5003">
        <v>5003</v>
      </c>
      <c r="B5003" t="s">
        <v>1044</v>
      </c>
      <c r="C5003" t="s">
        <v>11022</v>
      </c>
      <c r="D5003" t="s">
        <v>11023</v>
      </c>
      <c r="E5003" t="s">
        <v>2087</v>
      </c>
    </row>
    <row r="5004" spans="1:5" x14ac:dyDescent="0.2">
      <c r="A5004">
        <v>5004</v>
      </c>
      <c r="B5004" t="s">
        <v>1044</v>
      </c>
      <c r="C5004" t="s">
        <v>11024</v>
      </c>
      <c r="D5004" t="s">
        <v>11025</v>
      </c>
      <c r="E5004" t="s">
        <v>2087</v>
      </c>
    </row>
    <row r="5005" spans="1:5" x14ac:dyDescent="0.2">
      <c r="A5005">
        <v>5005</v>
      </c>
      <c r="B5005" t="s">
        <v>1046</v>
      </c>
      <c r="C5005" t="s">
        <v>11026</v>
      </c>
      <c r="D5005" t="s">
        <v>11027</v>
      </c>
      <c r="E5005" t="s">
        <v>11028</v>
      </c>
    </row>
    <row r="5006" spans="1:5" x14ac:dyDescent="0.2">
      <c r="A5006">
        <v>5006</v>
      </c>
      <c r="B5006" t="s">
        <v>1046</v>
      </c>
      <c r="C5006" t="s">
        <v>11029</v>
      </c>
      <c r="D5006" t="s">
        <v>11030</v>
      </c>
      <c r="E5006" t="s">
        <v>11028</v>
      </c>
    </row>
    <row r="5007" spans="1:5" x14ac:dyDescent="0.2">
      <c r="A5007">
        <v>5007</v>
      </c>
      <c r="B5007" t="s">
        <v>1046</v>
      </c>
      <c r="C5007" t="s">
        <v>11029</v>
      </c>
      <c r="D5007" t="s">
        <v>11031</v>
      </c>
      <c r="E5007" t="s">
        <v>11028</v>
      </c>
    </row>
    <row r="5008" spans="1:5" x14ac:dyDescent="0.2">
      <c r="A5008">
        <v>5008</v>
      </c>
      <c r="B5008" t="s">
        <v>1046</v>
      </c>
      <c r="C5008" t="s">
        <v>11032</v>
      </c>
      <c r="D5008" t="s">
        <v>11033</v>
      </c>
      <c r="E5008" t="s">
        <v>11028</v>
      </c>
    </row>
    <row r="5009" spans="1:5" x14ac:dyDescent="0.2">
      <c r="A5009">
        <v>5009</v>
      </c>
      <c r="B5009" t="s">
        <v>1046</v>
      </c>
      <c r="C5009" t="s">
        <v>11034</v>
      </c>
      <c r="D5009" t="s">
        <v>11035</v>
      </c>
      <c r="E5009" t="s">
        <v>11028</v>
      </c>
    </row>
    <row r="5010" spans="1:5" x14ac:dyDescent="0.2">
      <c r="A5010">
        <v>5010</v>
      </c>
      <c r="B5010" t="s">
        <v>1046</v>
      </c>
      <c r="C5010" t="s">
        <v>11036</v>
      </c>
      <c r="D5010" t="s">
        <v>11037</v>
      </c>
      <c r="E5010" t="s">
        <v>11028</v>
      </c>
    </row>
    <row r="5011" spans="1:5" x14ac:dyDescent="0.2">
      <c r="A5011">
        <v>5011</v>
      </c>
      <c r="B5011" t="s">
        <v>1046</v>
      </c>
      <c r="C5011" t="s">
        <v>11036</v>
      </c>
      <c r="D5011" t="s">
        <v>11038</v>
      </c>
      <c r="E5011" t="s">
        <v>11028</v>
      </c>
    </row>
    <row r="5012" spans="1:5" x14ac:dyDescent="0.2">
      <c r="A5012">
        <v>5012</v>
      </c>
      <c r="B5012" t="s">
        <v>1046</v>
      </c>
      <c r="C5012" t="s">
        <v>11039</v>
      </c>
      <c r="D5012" t="s">
        <v>11040</v>
      </c>
      <c r="E5012" t="s">
        <v>11028</v>
      </c>
    </row>
    <row r="5013" spans="1:5" x14ac:dyDescent="0.2">
      <c r="A5013">
        <v>5013</v>
      </c>
      <c r="B5013" t="s">
        <v>1046</v>
      </c>
      <c r="C5013" t="s">
        <v>11034</v>
      </c>
      <c r="D5013" t="s">
        <v>11041</v>
      </c>
      <c r="E5013" t="s">
        <v>11028</v>
      </c>
    </row>
    <row r="5014" spans="1:5" x14ac:dyDescent="0.2">
      <c r="A5014">
        <v>5014</v>
      </c>
      <c r="B5014" t="s">
        <v>1046</v>
      </c>
      <c r="C5014" t="s">
        <v>11042</v>
      </c>
      <c r="D5014" t="s">
        <v>11043</v>
      </c>
      <c r="E5014" t="s">
        <v>11028</v>
      </c>
    </row>
    <row r="5015" spans="1:5" x14ac:dyDescent="0.2">
      <c r="A5015">
        <v>5015</v>
      </c>
      <c r="B5015" t="s">
        <v>1048</v>
      </c>
      <c r="C5015" t="s">
        <v>11044</v>
      </c>
      <c r="D5015" t="s">
        <v>11045</v>
      </c>
      <c r="E5015" t="s">
        <v>11046</v>
      </c>
    </row>
    <row r="5016" spans="1:5" x14ac:dyDescent="0.2">
      <c r="A5016">
        <v>5016</v>
      </c>
      <c r="B5016" t="s">
        <v>1048</v>
      </c>
      <c r="C5016" t="s">
        <v>11047</v>
      </c>
      <c r="D5016" t="s">
        <v>11048</v>
      </c>
      <c r="E5016" t="s">
        <v>11046</v>
      </c>
    </row>
    <row r="5017" spans="1:5" x14ac:dyDescent="0.2">
      <c r="A5017">
        <v>5017</v>
      </c>
      <c r="B5017" t="s">
        <v>1048</v>
      </c>
      <c r="C5017" t="s">
        <v>11049</v>
      </c>
      <c r="D5017" t="s">
        <v>11050</v>
      </c>
      <c r="E5017" t="s">
        <v>7734</v>
      </c>
    </row>
    <row r="5018" spans="1:5" x14ac:dyDescent="0.2">
      <c r="A5018">
        <v>5018</v>
      </c>
      <c r="B5018" t="s">
        <v>1048</v>
      </c>
      <c r="C5018" t="s">
        <v>11051</v>
      </c>
      <c r="D5018" t="s">
        <v>11052</v>
      </c>
      <c r="E5018" t="s">
        <v>11046</v>
      </c>
    </row>
    <row r="5019" spans="1:5" x14ac:dyDescent="0.2">
      <c r="A5019">
        <v>5019</v>
      </c>
      <c r="B5019" t="s">
        <v>1048</v>
      </c>
      <c r="C5019" t="s">
        <v>11053</v>
      </c>
      <c r="D5019" t="s">
        <v>11054</v>
      </c>
      <c r="E5019" t="s">
        <v>11055</v>
      </c>
    </row>
    <row r="5020" spans="1:5" x14ac:dyDescent="0.2">
      <c r="A5020">
        <v>5020</v>
      </c>
      <c r="B5020" t="s">
        <v>1048</v>
      </c>
      <c r="C5020" t="s">
        <v>11056</v>
      </c>
      <c r="D5020" t="s">
        <v>11057</v>
      </c>
      <c r="E5020" t="s">
        <v>11055</v>
      </c>
    </row>
    <row r="5021" spans="1:5" x14ac:dyDescent="0.2">
      <c r="A5021">
        <v>5021</v>
      </c>
      <c r="B5021" t="s">
        <v>1048</v>
      </c>
      <c r="C5021" t="s">
        <v>11058</v>
      </c>
      <c r="D5021" t="s">
        <v>11059</v>
      </c>
      <c r="E5021" t="s">
        <v>11046</v>
      </c>
    </row>
    <row r="5022" spans="1:5" x14ac:dyDescent="0.2">
      <c r="A5022">
        <v>5022</v>
      </c>
      <c r="B5022" t="s">
        <v>1048</v>
      </c>
      <c r="C5022" t="s">
        <v>11060</v>
      </c>
      <c r="D5022" t="s">
        <v>11061</v>
      </c>
      <c r="E5022" t="s">
        <v>11055</v>
      </c>
    </row>
    <row r="5023" spans="1:5" x14ac:dyDescent="0.2">
      <c r="A5023">
        <v>5023</v>
      </c>
      <c r="B5023" t="s">
        <v>1048</v>
      </c>
      <c r="C5023" t="s">
        <v>11062</v>
      </c>
      <c r="D5023" t="s">
        <v>11063</v>
      </c>
      <c r="E5023" t="s">
        <v>11055</v>
      </c>
    </row>
    <row r="5024" spans="1:5" x14ac:dyDescent="0.2">
      <c r="A5024">
        <v>5024</v>
      </c>
      <c r="B5024" t="s">
        <v>1048</v>
      </c>
      <c r="C5024" t="s">
        <v>11064</v>
      </c>
      <c r="D5024" t="s">
        <v>11065</v>
      </c>
      <c r="E5024" t="s">
        <v>11055</v>
      </c>
    </row>
    <row r="5025" spans="1:5" x14ac:dyDescent="0.2">
      <c r="A5025">
        <v>5025</v>
      </c>
      <c r="B5025" t="s">
        <v>1048</v>
      </c>
      <c r="C5025" t="s">
        <v>11066</v>
      </c>
      <c r="D5025" t="s">
        <v>11067</v>
      </c>
      <c r="E5025" t="s">
        <v>11055</v>
      </c>
    </row>
    <row r="5026" spans="1:5" x14ac:dyDescent="0.2">
      <c r="A5026">
        <v>5026</v>
      </c>
      <c r="B5026" t="s">
        <v>1048</v>
      </c>
      <c r="C5026" t="s">
        <v>11068</v>
      </c>
      <c r="D5026" t="s">
        <v>11069</v>
      </c>
      <c r="E5026" t="s">
        <v>11070</v>
      </c>
    </row>
    <row r="5027" spans="1:5" x14ac:dyDescent="0.2">
      <c r="A5027">
        <v>5027</v>
      </c>
      <c r="B5027" t="s">
        <v>1048</v>
      </c>
      <c r="C5027" t="s">
        <v>11071</v>
      </c>
      <c r="D5027" t="s">
        <v>11072</v>
      </c>
      <c r="E5027" t="s">
        <v>11070</v>
      </c>
    </row>
    <row r="5028" spans="1:5" x14ac:dyDescent="0.2">
      <c r="A5028">
        <v>5028</v>
      </c>
      <c r="B5028" t="s">
        <v>1048</v>
      </c>
      <c r="C5028" t="s">
        <v>11073</v>
      </c>
      <c r="D5028" t="s">
        <v>11074</v>
      </c>
      <c r="E5028" t="s">
        <v>11075</v>
      </c>
    </row>
    <row r="5029" spans="1:5" x14ac:dyDescent="0.2">
      <c r="A5029">
        <v>5029</v>
      </c>
      <c r="B5029" t="s">
        <v>1048</v>
      </c>
      <c r="C5029" t="s">
        <v>11076</v>
      </c>
      <c r="D5029" t="s">
        <v>11077</v>
      </c>
      <c r="E5029" t="s">
        <v>7734</v>
      </c>
    </row>
    <row r="5030" spans="1:5" x14ac:dyDescent="0.2">
      <c r="A5030">
        <v>5030</v>
      </c>
      <c r="B5030" t="s">
        <v>1048</v>
      </c>
      <c r="C5030" t="s">
        <v>11078</v>
      </c>
      <c r="D5030" t="s">
        <v>11079</v>
      </c>
      <c r="E5030" t="s">
        <v>7734</v>
      </c>
    </row>
    <row r="5031" spans="1:5" x14ac:dyDescent="0.2">
      <c r="A5031">
        <v>5031</v>
      </c>
      <c r="B5031" t="s">
        <v>1048</v>
      </c>
      <c r="C5031" t="s">
        <v>11080</v>
      </c>
      <c r="D5031" t="s">
        <v>11081</v>
      </c>
      <c r="E5031" t="s">
        <v>11055</v>
      </c>
    </row>
    <row r="5032" spans="1:5" x14ac:dyDescent="0.2">
      <c r="A5032">
        <v>5032</v>
      </c>
      <c r="B5032" t="s">
        <v>1048</v>
      </c>
      <c r="C5032" t="s">
        <v>11082</v>
      </c>
      <c r="D5032" t="s">
        <v>11083</v>
      </c>
      <c r="E5032" t="s">
        <v>11070</v>
      </c>
    </row>
    <row r="5033" spans="1:5" x14ac:dyDescent="0.2">
      <c r="A5033">
        <v>5033</v>
      </c>
      <c r="B5033" t="s">
        <v>1048</v>
      </c>
      <c r="C5033" t="s">
        <v>11084</v>
      </c>
      <c r="D5033" t="s">
        <v>11085</v>
      </c>
      <c r="E5033" t="s">
        <v>11075</v>
      </c>
    </row>
    <row r="5034" spans="1:5" x14ac:dyDescent="0.2">
      <c r="A5034">
        <v>5034</v>
      </c>
      <c r="B5034" t="s">
        <v>1048</v>
      </c>
      <c r="C5034" t="s">
        <v>11086</v>
      </c>
      <c r="D5034" t="s">
        <v>11087</v>
      </c>
      <c r="E5034" t="s">
        <v>7734</v>
      </c>
    </row>
    <row r="5035" spans="1:5" x14ac:dyDescent="0.2">
      <c r="A5035">
        <v>5035</v>
      </c>
      <c r="B5035" t="s">
        <v>1048</v>
      </c>
      <c r="C5035" t="s">
        <v>11088</v>
      </c>
      <c r="D5035" t="s">
        <v>11089</v>
      </c>
      <c r="E5035" t="s">
        <v>7734</v>
      </c>
    </row>
    <row r="5036" spans="1:5" x14ac:dyDescent="0.2">
      <c r="A5036">
        <v>5036</v>
      </c>
      <c r="B5036" t="s">
        <v>1048</v>
      </c>
      <c r="C5036" t="s">
        <v>11090</v>
      </c>
      <c r="D5036" t="s">
        <v>11091</v>
      </c>
      <c r="E5036" t="s">
        <v>7734</v>
      </c>
    </row>
    <row r="5037" spans="1:5" x14ac:dyDescent="0.2">
      <c r="A5037">
        <v>5037</v>
      </c>
      <c r="B5037" t="s">
        <v>1048</v>
      </c>
      <c r="C5037" t="s">
        <v>11092</v>
      </c>
      <c r="D5037" t="s">
        <v>11093</v>
      </c>
      <c r="E5037" t="s">
        <v>11075</v>
      </c>
    </row>
    <row r="5038" spans="1:5" x14ac:dyDescent="0.2">
      <c r="A5038">
        <v>5038</v>
      </c>
      <c r="B5038" t="s">
        <v>1048</v>
      </c>
      <c r="C5038" t="s">
        <v>11094</v>
      </c>
      <c r="D5038" t="s">
        <v>11095</v>
      </c>
      <c r="E5038" t="s">
        <v>7734</v>
      </c>
    </row>
    <row r="5039" spans="1:5" x14ac:dyDescent="0.2">
      <c r="A5039">
        <v>5039</v>
      </c>
      <c r="B5039" t="s">
        <v>1048</v>
      </c>
      <c r="C5039" t="s">
        <v>11096</v>
      </c>
      <c r="D5039" t="s">
        <v>11097</v>
      </c>
      <c r="E5039" t="s">
        <v>7734</v>
      </c>
    </row>
    <row r="5040" spans="1:5" x14ac:dyDescent="0.2">
      <c r="A5040">
        <v>5040</v>
      </c>
      <c r="B5040" t="s">
        <v>1048</v>
      </c>
      <c r="C5040" t="s">
        <v>11098</v>
      </c>
      <c r="D5040" t="s">
        <v>11099</v>
      </c>
      <c r="E5040" t="s">
        <v>11075</v>
      </c>
    </row>
    <row r="5041" spans="1:5" x14ac:dyDescent="0.2">
      <c r="A5041">
        <v>5041</v>
      </c>
      <c r="B5041" t="s">
        <v>1048</v>
      </c>
      <c r="C5041" t="s">
        <v>11100</v>
      </c>
      <c r="D5041" t="s">
        <v>11101</v>
      </c>
      <c r="E5041" t="s">
        <v>11070</v>
      </c>
    </row>
    <row r="5042" spans="1:5" x14ac:dyDescent="0.2">
      <c r="A5042">
        <v>5042</v>
      </c>
      <c r="B5042" t="s">
        <v>1048</v>
      </c>
      <c r="C5042" t="s">
        <v>11102</v>
      </c>
      <c r="D5042" t="s">
        <v>11103</v>
      </c>
      <c r="E5042" t="s">
        <v>7734</v>
      </c>
    </row>
    <row r="5043" spans="1:5" x14ac:dyDescent="0.2">
      <c r="A5043">
        <v>5043</v>
      </c>
      <c r="B5043" t="s">
        <v>1048</v>
      </c>
      <c r="C5043" t="s">
        <v>11104</v>
      </c>
      <c r="D5043" t="s">
        <v>11105</v>
      </c>
      <c r="E5043" t="s">
        <v>7734</v>
      </c>
    </row>
    <row r="5044" spans="1:5" x14ac:dyDescent="0.2">
      <c r="A5044">
        <v>5044</v>
      </c>
      <c r="B5044" t="s">
        <v>1048</v>
      </c>
      <c r="C5044" t="s">
        <v>11106</v>
      </c>
      <c r="D5044" t="s">
        <v>11107</v>
      </c>
      <c r="E5044" t="s">
        <v>7734</v>
      </c>
    </row>
    <row r="5045" spans="1:5" x14ac:dyDescent="0.2">
      <c r="A5045">
        <v>5045</v>
      </c>
      <c r="B5045" t="s">
        <v>1048</v>
      </c>
      <c r="C5045" t="s">
        <v>11108</v>
      </c>
      <c r="D5045" t="s">
        <v>11109</v>
      </c>
      <c r="E5045" t="s">
        <v>7734</v>
      </c>
    </row>
    <row r="5046" spans="1:5" x14ac:dyDescent="0.2">
      <c r="A5046">
        <v>5046</v>
      </c>
      <c r="B5046" t="s">
        <v>1048</v>
      </c>
      <c r="C5046" t="s">
        <v>11110</v>
      </c>
      <c r="D5046" t="s">
        <v>11111</v>
      </c>
      <c r="E5046" t="s">
        <v>11070</v>
      </c>
    </row>
    <row r="5047" spans="1:5" x14ac:dyDescent="0.2">
      <c r="A5047">
        <v>5047</v>
      </c>
      <c r="B5047" t="s">
        <v>1048</v>
      </c>
      <c r="C5047" t="s">
        <v>11112</v>
      </c>
      <c r="D5047" t="s">
        <v>11113</v>
      </c>
      <c r="E5047" t="s">
        <v>11114</v>
      </c>
    </row>
    <row r="5048" spans="1:5" x14ac:dyDescent="0.2">
      <c r="A5048">
        <v>5048</v>
      </c>
      <c r="B5048" t="s">
        <v>1048</v>
      </c>
      <c r="C5048" t="s">
        <v>11115</v>
      </c>
      <c r="D5048" t="s">
        <v>11116</v>
      </c>
      <c r="E5048" t="s">
        <v>11075</v>
      </c>
    </row>
    <row r="5049" spans="1:5" x14ac:dyDescent="0.2">
      <c r="A5049">
        <v>5049</v>
      </c>
      <c r="B5049" t="s">
        <v>1048</v>
      </c>
      <c r="C5049" t="s">
        <v>11117</v>
      </c>
      <c r="D5049" t="s">
        <v>11118</v>
      </c>
      <c r="E5049" t="s">
        <v>7734</v>
      </c>
    </row>
    <row r="5050" spans="1:5" x14ac:dyDescent="0.2">
      <c r="A5050">
        <v>5050</v>
      </c>
      <c r="B5050" t="s">
        <v>1048</v>
      </c>
      <c r="C5050" t="s">
        <v>11119</v>
      </c>
      <c r="D5050" t="s">
        <v>11120</v>
      </c>
      <c r="E5050" t="s">
        <v>7734</v>
      </c>
    </row>
    <row r="5051" spans="1:5" x14ac:dyDescent="0.2">
      <c r="A5051">
        <v>5051</v>
      </c>
      <c r="B5051" t="s">
        <v>1048</v>
      </c>
      <c r="C5051" t="s">
        <v>11119</v>
      </c>
      <c r="D5051" t="s">
        <v>11121</v>
      </c>
      <c r="E5051" t="s">
        <v>7734</v>
      </c>
    </row>
    <row r="5052" spans="1:5" x14ac:dyDescent="0.2">
      <c r="A5052">
        <v>5052</v>
      </c>
      <c r="B5052" t="s">
        <v>1048</v>
      </c>
      <c r="C5052" t="s">
        <v>11122</v>
      </c>
      <c r="D5052" t="s">
        <v>11123</v>
      </c>
      <c r="E5052" t="s">
        <v>11075</v>
      </c>
    </row>
    <row r="5053" spans="1:5" x14ac:dyDescent="0.2">
      <c r="A5053">
        <v>5053</v>
      </c>
      <c r="B5053" t="s">
        <v>1048</v>
      </c>
      <c r="C5053" t="s">
        <v>11124</v>
      </c>
      <c r="D5053" t="s">
        <v>11125</v>
      </c>
      <c r="E5053" t="s">
        <v>11114</v>
      </c>
    </row>
    <row r="5054" spans="1:5" x14ac:dyDescent="0.2">
      <c r="A5054">
        <v>5054</v>
      </c>
      <c r="B5054" t="s">
        <v>1048</v>
      </c>
      <c r="C5054" t="s">
        <v>11126</v>
      </c>
      <c r="D5054" t="s">
        <v>11127</v>
      </c>
      <c r="E5054" t="s">
        <v>11070</v>
      </c>
    </row>
    <row r="5055" spans="1:5" x14ac:dyDescent="0.2">
      <c r="A5055">
        <v>5055</v>
      </c>
      <c r="B5055" t="s">
        <v>1048</v>
      </c>
      <c r="C5055" t="s">
        <v>11117</v>
      </c>
      <c r="D5055" t="s">
        <v>11128</v>
      </c>
      <c r="E5055" t="s">
        <v>7734</v>
      </c>
    </row>
    <row r="5056" spans="1:5" x14ac:dyDescent="0.2">
      <c r="A5056">
        <v>5056</v>
      </c>
      <c r="B5056" t="s">
        <v>1048</v>
      </c>
      <c r="C5056" t="s">
        <v>11129</v>
      </c>
      <c r="D5056" t="s">
        <v>11130</v>
      </c>
      <c r="E5056" t="s">
        <v>7734</v>
      </c>
    </row>
    <row r="5057" spans="1:5" x14ac:dyDescent="0.2">
      <c r="A5057">
        <v>5057</v>
      </c>
      <c r="B5057" t="s">
        <v>1048</v>
      </c>
      <c r="C5057" t="s">
        <v>11131</v>
      </c>
      <c r="D5057" t="s">
        <v>11132</v>
      </c>
      <c r="E5057" t="s">
        <v>11055</v>
      </c>
    </row>
    <row r="5058" spans="1:5" x14ac:dyDescent="0.2">
      <c r="A5058">
        <v>5058</v>
      </c>
      <c r="B5058" t="s">
        <v>1048</v>
      </c>
      <c r="C5058" t="s">
        <v>11133</v>
      </c>
      <c r="D5058" t="s">
        <v>11134</v>
      </c>
      <c r="E5058" t="s">
        <v>7734</v>
      </c>
    </row>
    <row r="5059" spans="1:5" x14ac:dyDescent="0.2">
      <c r="A5059">
        <v>5059</v>
      </c>
      <c r="B5059" t="s">
        <v>1048</v>
      </c>
      <c r="C5059" t="s">
        <v>11135</v>
      </c>
      <c r="D5059" t="s">
        <v>11136</v>
      </c>
      <c r="E5059" t="s">
        <v>7734</v>
      </c>
    </row>
    <row r="5060" spans="1:5" x14ac:dyDescent="0.2">
      <c r="A5060">
        <v>5060</v>
      </c>
      <c r="B5060" t="s">
        <v>1048</v>
      </c>
      <c r="C5060" t="s">
        <v>11137</v>
      </c>
      <c r="D5060" t="s">
        <v>11138</v>
      </c>
      <c r="E5060" t="s">
        <v>11055</v>
      </c>
    </row>
    <row r="5061" spans="1:5" x14ac:dyDescent="0.2">
      <c r="A5061">
        <v>5061</v>
      </c>
      <c r="B5061" t="s">
        <v>1048</v>
      </c>
      <c r="C5061" t="s">
        <v>11139</v>
      </c>
      <c r="D5061" t="s">
        <v>11140</v>
      </c>
      <c r="E5061" t="s">
        <v>7734</v>
      </c>
    </row>
    <row r="5062" spans="1:5" x14ac:dyDescent="0.2">
      <c r="A5062">
        <v>5062</v>
      </c>
      <c r="B5062" t="s">
        <v>1048</v>
      </c>
      <c r="C5062" t="s">
        <v>11141</v>
      </c>
      <c r="D5062" t="s">
        <v>11142</v>
      </c>
      <c r="E5062" t="s">
        <v>7734</v>
      </c>
    </row>
    <row r="5063" spans="1:5" x14ac:dyDescent="0.2">
      <c r="A5063">
        <v>5063</v>
      </c>
      <c r="B5063" t="s">
        <v>1048</v>
      </c>
      <c r="C5063" t="s">
        <v>11143</v>
      </c>
      <c r="D5063" t="s">
        <v>11144</v>
      </c>
      <c r="E5063" t="s">
        <v>7734</v>
      </c>
    </row>
    <row r="5064" spans="1:5" x14ac:dyDescent="0.2">
      <c r="A5064">
        <v>5064</v>
      </c>
      <c r="B5064" t="s">
        <v>1048</v>
      </c>
      <c r="C5064" t="s">
        <v>11145</v>
      </c>
      <c r="D5064" t="s">
        <v>11146</v>
      </c>
      <c r="E5064" t="s">
        <v>7734</v>
      </c>
    </row>
    <row r="5065" spans="1:5" x14ac:dyDescent="0.2">
      <c r="A5065">
        <v>5065</v>
      </c>
      <c r="B5065" t="s">
        <v>1048</v>
      </c>
      <c r="C5065" t="s">
        <v>11147</v>
      </c>
      <c r="D5065" t="s">
        <v>11148</v>
      </c>
      <c r="E5065" t="s">
        <v>11046</v>
      </c>
    </row>
    <row r="5066" spans="1:5" x14ac:dyDescent="0.2">
      <c r="A5066">
        <v>5066</v>
      </c>
      <c r="B5066" t="s">
        <v>1048</v>
      </c>
      <c r="C5066" t="s">
        <v>11149</v>
      </c>
      <c r="D5066" t="s">
        <v>11150</v>
      </c>
      <c r="E5066" t="s">
        <v>11055</v>
      </c>
    </row>
    <row r="5067" spans="1:5" x14ac:dyDescent="0.2">
      <c r="A5067">
        <v>5067</v>
      </c>
      <c r="B5067" t="s">
        <v>1048</v>
      </c>
      <c r="C5067" t="s">
        <v>11151</v>
      </c>
      <c r="D5067" t="s">
        <v>11152</v>
      </c>
      <c r="E5067" t="s">
        <v>7734</v>
      </c>
    </row>
    <row r="5068" spans="1:5" x14ac:dyDescent="0.2">
      <c r="A5068">
        <v>5068</v>
      </c>
      <c r="B5068" t="s">
        <v>1048</v>
      </c>
      <c r="C5068" t="s">
        <v>11153</v>
      </c>
      <c r="D5068" t="s">
        <v>11154</v>
      </c>
      <c r="E5068" t="s">
        <v>11055</v>
      </c>
    </row>
    <row r="5069" spans="1:5" x14ac:dyDescent="0.2">
      <c r="A5069">
        <v>5069</v>
      </c>
      <c r="B5069" t="s">
        <v>1048</v>
      </c>
      <c r="C5069" t="s">
        <v>11155</v>
      </c>
      <c r="D5069" t="s">
        <v>11156</v>
      </c>
      <c r="E5069" t="s">
        <v>7734</v>
      </c>
    </row>
    <row r="5070" spans="1:5" x14ac:dyDescent="0.2">
      <c r="A5070">
        <v>5070</v>
      </c>
      <c r="B5070" t="s">
        <v>1048</v>
      </c>
      <c r="C5070" t="s">
        <v>11157</v>
      </c>
      <c r="D5070" t="s">
        <v>11158</v>
      </c>
      <c r="E5070" t="s">
        <v>11075</v>
      </c>
    </row>
    <row r="5071" spans="1:5" x14ac:dyDescent="0.2">
      <c r="A5071">
        <v>5071</v>
      </c>
      <c r="B5071" t="s">
        <v>1048</v>
      </c>
      <c r="C5071" t="s">
        <v>11159</v>
      </c>
      <c r="D5071" t="s">
        <v>11160</v>
      </c>
      <c r="E5071" t="s">
        <v>11055</v>
      </c>
    </row>
    <row r="5072" spans="1:5" x14ac:dyDescent="0.2">
      <c r="A5072">
        <v>5072</v>
      </c>
      <c r="B5072" t="s">
        <v>1048</v>
      </c>
      <c r="C5072" t="s">
        <v>11161</v>
      </c>
      <c r="D5072" t="s">
        <v>11162</v>
      </c>
      <c r="E5072" t="s">
        <v>11070</v>
      </c>
    </row>
    <row r="5073" spans="1:5" x14ac:dyDescent="0.2">
      <c r="A5073">
        <v>5073</v>
      </c>
      <c r="B5073" t="s">
        <v>1048</v>
      </c>
      <c r="C5073" t="s">
        <v>11163</v>
      </c>
      <c r="D5073" t="s">
        <v>11164</v>
      </c>
      <c r="E5073" t="s">
        <v>11114</v>
      </c>
    </row>
    <row r="5074" spans="1:5" x14ac:dyDescent="0.2">
      <c r="A5074">
        <v>5074</v>
      </c>
      <c r="B5074" t="s">
        <v>1048</v>
      </c>
      <c r="C5074" t="s">
        <v>11165</v>
      </c>
      <c r="D5074" t="s">
        <v>11166</v>
      </c>
      <c r="E5074" t="s">
        <v>7688</v>
      </c>
    </row>
    <row r="5075" spans="1:5" x14ac:dyDescent="0.2">
      <c r="A5075">
        <v>5075</v>
      </c>
      <c r="B5075" t="s">
        <v>1048</v>
      </c>
      <c r="C5075" t="s">
        <v>11167</v>
      </c>
      <c r="D5075" t="s">
        <v>11168</v>
      </c>
      <c r="E5075" t="s">
        <v>7734</v>
      </c>
    </row>
    <row r="5076" spans="1:5" x14ac:dyDescent="0.2">
      <c r="A5076">
        <v>5076</v>
      </c>
      <c r="B5076" t="s">
        <v>1048</v>
      </c>
      <c r="C5076" t="s">
        <v>11169</v>
      </c>
      <c r="D5076" t="s">
        <v>11170</v>
      </c>
      <c r="E5076" t="s">
        <v>7734</v>
      </c>
    </row>
    <row r="5077" spans="1:5" x14ac:dyDescent="0.2">
      <c r="A5077">
        <v>5077</v>
      </c>
      <c r="B5077" t="s">
        <v>1048</v>
      </c>
      <c r="C5077" t="s">
        <v>11171</v>
      </c>
      <c r="D5077" t="s">
        <v>11172</v>
      </c>
      <c r="E5077" t="s">
        <v>7734</v>
      </c>
    </row>
    <row r="5078" spans="1:5" x14ac:dyDescent="0.2">
      <c r="A5078">
        <v>5078</v>
      </c>
      <c r="B5078" t="s">
        <v>1048</v>
      </c>
      <c r="C5078" t="s">
        <v>11173</v>
      </c>
      <c r="D5078" t="s">
        <v>11174</v>
      </c>
      <c r="E5078" t="s">
        <v>11114</v>
      </c>
    </row>
    <row r="5079" spans="1:5" x14ac:dyDescent="0.2">
      <c r="A5079">
        <v>5079</v>
      </c>
      <c r="B5079" t="s">
        <v>1048</v>
      </c>
      <c r="C5079" t="s">
        <v>11175</v>
      </c>
      <c r="D5079" t="s">
        <v>11176</v>
      </c>
      <c r="E5079" t="s">
        <v>11055</v>
      </c>
    </row>
    <row r="5080" spans="1:5" x14ac:dyDescent="0.2">
      <c r="A5080">
        <v>5080</v>
      </c>
      <c r="B5080" t="s">
        <v>1048</v>
      </c>
      <c r="C5080" t="s">
        <v>11177</v>
      </c>
      <c r="D5080" t="s">
        <v>11178</v>
      </c>
      <c r="E5080" t="s">
        <v>11114</v>
      </c>
    </row>
    <row r="5081" spans="1:5" x14ac:dyDescent="0.2">
      <c r="A5081">
        <v>5081</v>
      </c>
      <c r="B5081" t="s">
        <v>1048</v>
      </c>
      <c r="C5081" t="s">
        <v>11179</v>
      </c>
      <c r="D5081" t="s">
        <v>11180</v>
      </c>
      <c r="E5081" t="s">
        <v>11075</v>
      </c>
    </row>
    <row r="5082" spans="1:5" x14ac:dyDescent="0.2">
      <c r="A5082">
        <v>5082</v>
      </c>
      <c r="B5082" t="s">
        <v>1048</v>
      </c>
      <c r="C5082" t="s">
        <v>11181</v>
      </c>
      <c r="D5082" t="s">
        <v>11182</v>
      </c>
      <c r="E5082" t="s">
        <v>11114</v>
      </c>
    </row>
    <row r="5083" spans="1:5" x14ac:dyDescent="0.2">
      <c r="A5083">
        <v>5083</v>
      </c>
      <c r="B5083" t="s">
        <v>1048</v>
      </c>
      <c r="C5083" t="s">
        <v>11183</v>
      </c>
      <c r="D5083" t="s">
        <v>11184</v>
      </c>
      <c r="E5083" t="s">
        <v>11055</v>
      </c>
    </row>
    <row r="5084" spans="1:5" x14ac:dyDescent="0.2">
      <c r="A5084">
        <v>5084</v>
      </c>
      <c r="B5084" t="s">
        <v>1048</v>
      </c>
      <c r="C5084" t="s">
        <v>11185</v>
      </c>
      <c r="D5084" t="s">
        <v>11186</v>
      </c>
      <c r="E5084" t="s">
        <v>11075</v>
      </c>
    </row>
    <row r="5085" spans="1:5" x14ac:dyDescent="0.2">
      <c r="A5085">
        <v>5085</v>
      </c>
      <c r="B5085" t="s">
        <v>1048</v>
      </c>
      <c r="C5085" t="s">
        <v>11187</v>
      </c>
      <c r="D5085" t="s">
        <v>11188</v>
      </c>
      <c r="E5085" t="s">
        <v>11046</v>
      </c>
    </row>
    <row r="5086" spans="1:5" x14ac:dyDescent="0.2">
      <c r="A5086">
        <v>5086</v>
      </c>
      <c r="B5086" t="s">
        <v>1048</v>
      </c>
      <c r="C5086" t="s">
        <v>11189</v>
      </c>
      <c r="D5086" t="s">
        <v>11190</v>
      </c>
      <c r="E5086" t="s">
        <v>11046</v>
      </c>
    </row>
    <row r="5087" spans="1:5" x14ac:dyDescent="0.2">
      <c r="A5087">
        <v>5087</v>
      </c>
      <c r="B5087" t="s">
        <v>1048</v>
      </c>
      <c r="C5087" t="s">
        <v>11191</v>
      </c>
      <c r="D5087" t="s">
        <v>11192</v>
      </c>
      <c r="E5087" t="s">
        <v>11055</v>
      </c>
    </row>
    <row r="5088" spans="1:5" x14ac:dyDescent="0.2">
      <c r="A5088">
        <v>5088</v>
      </c>
      <c r="B5088" t="s">
        <v>1048</v>
      </c>
      <c r="C5088" t="s">
        <v>11193</v>
      </c>
      <c r="D5088" t="s">
        <v>11194</v>
      </c>
      <c r="E5088" t="s">
        <v>7734</v>
      </c>
    </row>
    <row r="5089" spans="1:5" x14ac:dyDescent="0.2">
      <c r="A5089">
        <v>5089</v>
      </c>
      <c r="B5089" t="s">
        <v>1048</v>
      </c>
      <c r="C5089" t="s">
        <v>11195</v>
      </c>
      <c r="D5089" t="s">
        <v>11196</v>
      </c>
      <c r="E5089" t="s">
        <v>11070</v>
      </c>
    </row>
    <row r="5090" spans="1:5" x14ac:dyDescent="0.2">
      <c r="A5090">
        <v>5090</v>
      </c>
      <c r="B5090" t="s">
        <v>1048</v>
      </c>
      <c r="C5090" t="s">
        <v>11197</v>
      </c>
      <c r="D5090" t="s">
        <v>11198</v>
      </c>
      <c r="E5090" t="s">
        <v>11046</v>
      </c>
    </row>
    <row r="5091" spans="1:5" x14ac:dyDescent="0.2">
      <c r="A5091">
        <v>5091</v>
      </c>
      <c r="B5091" t="s">
        <v>1048</v>
      </c>
      <c r="C5091" t="s">
        <v>11199</v>
      </c>
      <c r="D5091" t="s">
        <v>11200</v>
      </c>
      <c r="E5091" t="s">
        <v>11046</v>
      </c>
    </row>
    <row r="5092" spans="1:5" x14ac:dyDescent="0.2">
      <c r="A5092">
        <v>5092</v>
      </c>
      <c r="B5092" t="s">
        <v>1048</v>
      </c>
      <c r="C5092" t="s">
        <v>11201</v>
      </c>
      <c r="D5092" t="s">
        <v>11202</v>
      </c>
      <c r="E5092" t="s">
        <v>11046</v>
      </c>
    </row>
    <row r="5093" spans="1:5" x14ac:dyDescent="0.2">
      <c r="A5093">
        <v>5093</v>
      </c>
      <c r="B5093" t="s">
        <v>1048</v>
      </c>
      <c r="C5093" t="s">
        <v>11203</v>
      </c>
      <c r="D5093" t="s">
        <v>11204</v>
      </c>
      <c r="E5093" t="s">
        <v>11046</v>
      </c>
    </row>
    <row r="5094" spans="1:5" x14ac:dyDescent="0.2">
      <c r="A5094">
        <v>5094</v>
      </c>
      <c r="B5094" t="s">
        <v>1048</v>
      </c>
      <c r="C5094" t="s">
        <v>11205</v>
      </c>
      <c r="D5094" t="s">
        <v>11206</v>
      </c>
      <c r="E5094" t="s">
        <v>7734</v>
      </c>
    </row>
    <row r="5095" spans="1:5" x14ac:dyDescent="0.2">
      <c r="A5095">
        <v>5095</v>
      </c>
      <c r="B5095" t="s">
        <v>1048</v>
      </c>
      <c r="C5095" t="s">
        <v>11207</v>
      </c>
      <c r="D5095" t="s">
        <v>11208</v>
      </c>
      <c r="E5095" t="s">
        <v>11114</v>
      </c>
    </row>
    <row r="5096" spans="1:5" x14ac:dyDescent="0.2">
      <c r="A5096">
        <v>5096</v>
      </c>
      <c r="B5096" t="s">
        <v>1048</v>
      </c>
      <c r="C5096" t="s">
        <v>11209</v>
      </c>
      <c r="D5096" t="s">
        <v>11210</v>
      </c>
      <c r="E5096" t="s">
        <v>11046</v>
      </c>
    </row>
    <row r="5097" spans="1:5" x14ac:dyDescent="0.2">
      <c r="A5097">
        <v>5097</v>
      </c>
      <c r="B5097" t="s">
        <v>1048</v>
      </c>
      <c r="C5097" t="s">
        <v>11211</v>
      </c>
      <c r="D5097" t="s">
        <v>11212</v>
      </c>
      <c r="E5097" t="s">
        <v>11046</v>
      </c>
    </row>
    <row r="5098" spans="1:5" x14ac:dyDescent="0.2">
      <c r="A5098">
        <v>5098</v>
      </c>
      <c r="B5098" t="s">
        <v>1048</v>
      </c>
      <c r="C5098" t="s">
        <v>11213</v>
      </c>
      <c r="D5098" t="s">
        <v>11214</v>
      </c>
      <c r="E5098" t="s">
        <v>11070</v>
      </c>
    </row>
    <row r="5099" spans="1:5" x14ac:dyDescent="0.2">
      <c r="A5099">
        <v>5099</v>
      </c>
      <c r="B5099" t="s">
        <v>1048</v>
      </c>
      <c r="C5099" t="s">
        <v>11215</v>
      </c>
      <c r="D5099" t="s">
        <v>11216</v>
      </c>
      <c r="E5099" t="s">
        <v>7688</v>
      </c>
    </row>
    <row r="5100" spans="1:5" x14ac:dyDescent="0.2">
      <c r="A5100">
        <v>5100</v>
      </c>
      <c r="B5100" t="s">
        <v>1048</v>
      </c>
      <c r="C5100" t="s">
        <v>11217</v>
      </c>
      <c r="D5100" t="s">
        <v>11218</v>
      </c>
      <c r="E5100" t="s">
        <v>11219</v>
      </c>
    </row>
    <row r="5101" spans="1:5" x14ac:dyDescent="0.2">
      <c r="A5101">
        <v>5101</v>
      </c>
      <c r="B5101" t="s">
        <v>1048</v>
      </c>
      <c r="C5101" t="s">
        <v>11220</v>
      </c>
      <c r="D5101" t="s">
        <v>11221</v>
      </c>
      <c r="E5101" t="s">
        <v>11114</v>
      </c>
    </row>
    <row r="5102" spans="1:5" x14ac:dyDescent="0.2">
      <c r="A5102">
        <v>5102</v>
      </c>
      <c r="B5102" t="s">
        <v>1048</v>
      </c>
      <c r="C5102" t="s">
        <v>11222</v>
      </c>
      <c r="D5102" t="s">
        <v>11223</v>
      </c>
      <c r="E5102" t="s">
        <v>11046</v>
      </c>
    </row>
    <row r="5103" spans="1:5" x14ac:dyDescent="0.2">
      <c r="A5103">
        <v>5103</v>
      </c>
      <c r="B5103" t="s">
        <v>1048</v>
      </c>
      <c r="C5103" t="s">
        <v>11224</v>
      </c>
      <c r="D5103" t="s">
        <v>11225</v>
      </c>
      <c r="E5103" t="s">
        <v>11055</v>
      </c>
    </row>
    <row r="5104" spans="1:5" x14ac:dyDescent="0.2">
      <c r="A5104">
        <v>5104</v>
      </c>
      <c r="B5104" t="s">
        <v>1048</v>
      </c>
      <c r="C5104" t="s">
        <v>11226</v>
      </c>
      <c r="D5104" t="s">
        <v>11227</v>
      </c>
      <c r="E5104" t="s">
        <v>11046</v>
      </c>
    </row>
    <row r="5105" spans="1:5" x14ac:dyDescent="0.2">
      <c r="A5105">
        <v>5105</v>
      </c>
      <c r="B5105" t="s">
        <v>1048</v>
      </c>
      <c r="C5105" t="s">
        <v>11228</v>
      </c>
      <c r="D5105" t="s">
        <v>11229</v>
      </c>
      <c r="E5105" t="s">
        <v>7734</v>
      </c>
    </row>
    <row r="5106" spans="1:5" x14ac:dyDescent="0.2">
      <c r="A5106">
        <v>5106</v>
      </c>
      <c r="B5106" t="s">
        <v>1048</v>
      </c>
      <c r="C5106" t="s">
        <v>11230</v>
      </c>
      <c r="D5106" t="s">
        <v>11231</v>
      </c>
      <c r="E5106" t="s">
        <v>11075</v>
      </c>
    </row>
    <row r="5107" spans="1:5" x14ac:dyDescent="0.2">
      <c r="A5107">
        <v>5107</v>
      </c>
      <c r="B5107" t="s">
        <v>1048</v>
      </c>
      <c r="C5107" t="s">
        <v>11232</v>
      </c>
      <c r="D5107" t="s">
        <v>11233</v>
      </c>
      <c r="E5107" t="s">
        <v>11046</v>
      </c>
    </row>
    <row r="5108" spans="1:5" x14ac:dyDescent="0.2">
      <c r="A5108">
        <v>5108</v>
      </c>
      <c r="B5108" t="s">
        <v>1048</v>
      </c>
      <c r="C5108" t="s">
        <v>11234</v>
      </c>
      <c r="D5108" t="s">
        <v>11235</v>
      </c>
      <c r="E5108" t="s">
        <v>11114</v>
      </c>
    </row>
    <row r="5109" spans="1:5" x14ac:dyDescent="0.2">
      <c r="A5109">
        <v>5109</v>
      </c>
      <c r="B5109" t="s">
        <v>1048</v>
      </c>
      <c r="C5109" t="s">
        <v>11236</v>
      </c>
      <c r="D5109" t="s">
        <v>11237</v>
      </c>
      <c r="E5109" t="s">
        <v>11219</v>
      </c>
    </row>
    <row r="5110" spans="1:5" x14ac:dyDescent="0.2">
      <c r="A5110">
        <v>5110</v>
      </c>
      <c r="B5110" t="s">
        <v>1048</v>
      </c>
      <c r="C5110" t="s">
        <v>11238</v>
      </c>
      <c r="D5110" t="s">
        <v>11239</v>
      </c>
      <c r="E5110" t="s">
        <v>11070</v>
      </c>
    </row>
    <row r="5111" spans="1:5" x14ac:dyDescent="0.2">
      <c r="A5111">
        <v>5111</v>
      </c>
      <c r="B5111" t="s">
        <v>1048</v>
      </c>
      <c r="C5111" t="s">
        <v>11240</v>
      </c>
      <c r="D5111" t="s">
        <v>11241</v>
      </c>
      <c r="E5111" t="s">
        <v>7734</v>
      </c>
    </row>
    <row r="5112" spans="1:5" x14ac:dyDescent="0.2">
      <c r="A5112">
        <v>5112</v>
      </c>
      <c r="B5112" t="s">
        <v>1048</v>
      </c>
      <c r="C5112" t="s">
        <v>11242</v>
      </c>
      <c r="D5112" t="s">
        <v>11243</v>
      </c>
      <c r="E5112" t="s">
        <v>11070</v>
      </c>
    </row>
    <row r="5113" spans="1:5" x14ac:dyDescent="0.2">
      <c r="A5113">
        <v>5113</v>
      </c>
      <c r="B5113" t="s">
        <v>1048</v>
      </c>
      <c r="C5113" t="s">
        <v>11244</v>
      </c>
      <c r="D5113" t="s">
        <v>11245</v>
      </c>
      <c r="E5113" t="s">
        <v>7734</v>
      </c>
    </row>
    <row r="5114" spans="1:5" x14ac:dyDescent="0.2">
      <c r="A5114">
        <v>5114</v>
      </c>
      <c r="B5114" t="s">
        <v>1048</v>
      </c>
      <c r="C5114" t="s">
        <v>11246</v>
      </c>
      <c r="D5114" t="s">
        <v>11247</v>
      </c>
      <c r="E5114" t="s">
        <v>11070</v>
      </c>
    </row>
    <row r="5115" spans="1:5" x14ac:dyDescent="0.2">
      <c r="A5115">
        <v>5115</v>
      </c>
      <c r="B5115" t="s">
        <v>1048</v>
      </c>
      <c r="C5115" t="s">
        <v>11248</v>
      </c>
      <c r="D5115" t="s">
        <v>11249</v>
      </c>
      <c r="E5115" t="s">
        <v>11114</v>
      </c>
    </row>
    <row r="5116" spans="1:5" x14ac:dyDescent="0.2">
      <c r="A5116">
        <v>5116</v>
      </c>
      <c r="B5116" t="s">
        <v>1048</v>
      </c>
      <c r="C5116" t="s">
        <v>11250</v>
      </c>
      <c r="D5116" t="s">
        <v>11251</v>
      </c>
      <c r="E5116" t="s">
        <v>11070</v>
      </c>
    </row>
    <row r="5117" spans="1:5" x14ac:dyDescent="0.2">
      <c r="A5117">
        <v>5117</v>
      </c>
      <c r="B5117" t="s">
        <v>1048</v>
      </c>
      <c r="C5117" t="s">
        <v>11252</v>
      </c>
      <c r="D5117" t="s">
        <v>11253</v>
      </c>
      <c r="E5117" t="s">
        <v>11070</v>
      </c>
    </row>
    <row r="5118" spans="1:5" x14ac:dyDescent="0.2">
      <c r="A5118">
        <v>5118</v>
      </c>
      <c r="B5118" t="s">
        <v>1048</v>
      </c>
      <c r="C5118" t="s">
        <v>11254</v>
      </c>
      <c r="D5118" t="s">
        <v>11255</v>
      </c>
      <c r="E5118" t="s">
        <v>7734</v>
      </c>
    </row>
    <row r="5119" spans="1:5" x14ac:dyDescent="0.2">
      <c r="A5119">
        <v>5119</v>
      </c>
      <c r="B5119" t="s">
        <v>1048</v>
      </c>
      <c r="C5119" t="s">
        <v>11256</v>
      </c>
      <c r="D5119" t="s">
        <v>11257</v>
      </c>
      <c r="E5119" t="s">
        <v>11070</v>
      </c>
    </row>
    <row r="5120" spans="1:5" x14ac:dyDescent="0.2">
      <c r="A5120">
        <v>5120</v>
      </c>
      <c r="B5120" t="s">
        <v>1048</v>
      </c>
      <c r="C5120" t="s">
        <v>11258</v>
      </c>
      <c r="D5120" t="s">
        <v>11259</v>
      </c>
      <c r="E5120" t="s">
        <v>7734</v>
      </c>
    </row>
    <row r="5121" spans="1:5" x14ac:dyDescent="0.2">
      <c r="A5121">
        <v>5121</v>
      </c>
      <c r="B5121" t="s">
        <v>1048</v>
      </c>
      <c r="C5121" t="s">
        <v>11260</v>
      </c>
      <c r="D5121" t="s">
        <v>11261</v>
      </c>
      <c r="E5121" t="s">
        <v>11114</v>
      </c>
    </row>
    <row r="5122" spans="1:5" x14ac:dyDescent="0.2">
      <c r="A5122">
        <v>5122</v>
      </c>
      <c r="B5122" t="s">
        <v>1048</v>
      </c>
      <c r="C5122" t="s">
        <v>11262</v>
      </c>
      <c r="D5122" t="s">
        <v>11263</v>
      </c>
      <c r="E5122" t="s">
        <v>11046</v>
      </c>
    </row>
    <row r="5123" spans="1:5" x14ac:dyDescent="0.2">
      <c r="A5123">
        <v>5123</v>
      </c>
      <c r="B5123" t="s">
        <v>1048</v>
      </c>
      <c r="C5123" t="s">
        <v>11264</v>
      </c>
      <c r="D5123" t="s">
        <v>11265</v>
      </c>
      <c r="E5123" t="s">
        <v>11070</v>
      </c>
    </row>
    <row r="5124" spans="1:5" x14ac:dyDescent="0.2">
      <c r="A5124">
        <v>5124</v>
      </c>
      <c r="B5124" t="s">
        <v>1048</v>
      </c>
      <c r="C5124" t="s">
        <v>11266</v>
      </c>
      <c r="D5124" t="s">
        <v>11267</v>
      </c>
      <c r="E5124" t="s">
        <v>11070</v>
      </c>
    </row>
    <row r="5125" spans="1:5" x14ac:dyDescent="0.2">
      <c r="A5125">
        <v>5125</v>
      </c>
      <c r="B5125" t="s">
        <v>1048</v>
      </c>
      <c r="C5125" t="s">
        <v>11268</v>
      </c>
      <c r="D5125" t="s">
        <v>11269</v>
      </c>
      <c r="E5125" t="s">
        <v>11046</v>
      </c>
    </row>
    <row r="5126" spans="1:5" x14ac:dyDescent="0.2">
      <c r="A5126">
        <v>5126</v>
      </c>
      <c r="B5126" t="s">
        <v>1048</v>
      </c>
      <c r="C5126" t="s">
        <v>11270</v>
      </c>
      <c r="D5126" t="s">
        <v>11271</v>
      </c>
      <c r="E5126" t="s">
        <v>7734</v>
      </c>
    </row>
    <row r="5127" spans="1:5" x14ac:dyDescent="0.2">
      <c r="A5127">
        <v>5127</v>
      </c>
      <c r="B5127" t="s">
        <v>1048</v>
      </c>
      <c r="C5127" t="s">
        <v>11272</v>
      </c>
      <c r="D5127" t="s">
        <v>11273</v>
      </c>
      <c r="E5127" t="s">
        <v>7734</v>
      </c>
    </row>
    <row r="5128" spans="1:5" x14ac:dyDescent="0.2">
      <c r="A5128">
        <v>5128</v>
      </c>
      <c r="B5128" t="s">
        <v>1048</v>
      </c>
      <c r="C5128" t="s">
        <v>11274</v>
      </c>
      <c r="D5128" t="s">
        <v>11275</v>
      </c>
      <c r="E5128" t="s">
        <v>11070</v>
      </c>
    </row>
    <row r="5129" spans="1:5" x14ac:dyDescent="0.2">
      <c r="A5129">
        <v>5129</v>
      </c>
      <c r="B5129" t="s">
        <v>1048</v>
      </c>
      <c r="C5129" t="s">
        <v>11276</v>
      </c>
      <c r="D5129" t="s">
        <v>11277</v>
      </c>
      <c r="E5129" t="s">
        <v>11070</v>
      </c>
    </row>
    <row r="5130" spans="1:5" x14ac:dyDescent="0.2">
      <c r="A5130">
        <v>5130</v>
      </c>
      <c r="B5130" t="s">
        <v>1048</v>
      </c>
      <c r="C5130" t="s">
        <v>11278</v>
      </c>
      <c r="D5130" t="s">
        <v>11279</v>
      </c>
      <c r="E5130" t="s">
        <v>11114</v>
      </c>
    </row>
    <row r="5131" spans="1:5" x14ac:dyDescent="0.2">
      <c r="A5131">
        <v>5131</v>
      </c>
      <c r="B5131" t="s">
        <v>1048</v>
      </c>
      <c r="C5131" t="s">
        <v>11280</v>
      </c>
      <c r="D5131" t="s">
        <v>11281</v>
      </c>
      <c r="E5131" t="s">
        <v>7734</v>
      </c>
    </row>
    <row r="5132" spans="1:5" x14ac:dyDescent="0.2">
      <c r="A5132">
        <v>5132</v>
      </c>
      <c r="B5132" t="s">
        <v>1048</v>
      </c>
      <c r="C5132" t="s">
        <v>11282</v>
      </c>
      <c r="D5132" t="s">
        <v>11283</v>
      </c>
      <c r="E5132" t="s">
        <v>11070</v>
      </c>
    </row>
    <row r="5133" spans="1:5" x14ac:dyDescent="0.2">
      <c r="A5133">
        <v>5133</v>
      </c>
      <c r="B5133" t="s">
        <v>1048</v>
      </c>
      <c r="C5133" t="s">
        <v>11284</v>
      </c>
      <c r="D5133" t="s">
        <v>11285</v>
      </c>
      <c r="E5133" t="s">
        <v>11075</v>
      </c>
    </row>
    <row r="5134" spans="1:5" x14ac:dyDescent="0.2">
      <c r="A5134">
        <v>5134</v>
      </c>
      <c r="B5134" t="s">
        <v>1048</v>
      </c>
      <c r="C5134" t="s">
        <v>11286</v>
      </c>
      <c r="D5134" t="s">
        <v>11287</v>
      </c>
      <c r="E5134" t="s">
        <v>11075</v>
      </c>
    </row>
    <row r="5135" spans="1:5" x14ac:dyDescent="0.2">
      <c r="A5135">
        <v>5135</v>
      </c>
      <c r="B5135" t="s">
        <v>1048</v>
      </c>
      <c r="C5135" t="s">
        <v>11288</v>
      </c>
      <c r="D5135" t="s">
        <v>11289</v>
      </c>
      <c r="E5135" t="s">
        <v>11070</v>
      </c>
    </row>
    <row r="5136" spans="1:5" x14ac:dyDescent="0.2">
      <c r="A5136">
        <v>5136</v>
      </c>
      <c r="B5136" t="s">
        <v>1048</v>
      </c>
      <c r="C5136" t="s">
        <v>11290</v>
      </c>
      <c r="D5136" t="s">
        <v>11291</v>
      </c>
      <c r="E5136" t="s">
        <v>11114</v>
      </c>
    </row>
    <row r="5137" spans="1:5" x14ac:dyDescent="0.2">
      <c r="A5137">
        <v>5137</v>
      </c>
      <c r="B5137" t="s">
        <v>1048</v>
      </c>
      <c r="C5137" t="s">
        <v>11292</v>
      </c>
      <c r="D5137" t="s">
        <v>11293</v>
      </c>
      <c r="E5137" t="s">
        <v>11055</v>
      </c>
    </row>
    <row r="5138" spans="1:5" x14ac:dyDescent="0.2">
      <c r="A5138">
        <v>5138</v>
      </c>
      <c r="B5138" t="s">
        <v>1048</v>
      </c>
      <c r="C5138" t="s">
        <v>11294</v>
      </c>
      <c r="D5138" t="s">
        <v>11295</v>
      </c>
      <c r="E5138" t="s">
        <v>11075</v>
      </c>
    </row>
    <row r="5139" spans="1:5" x14ac:dyDescent="0.2">
      <c r="A5139">
        <v>5139</v>
      </c>
      <c r="B5139" t="s">
        <v>1048</v>
      </c>
      <c r="C5139" t="s">
        <v>11296</v>
      </c>
      <c r="D5139" t="s">
        <v>11297</v>
      </c>
      <c r="E5139" t="s">
        <v>7734</v>
      </c>
    </row>
    <row r="5140" spans="1:5" x14ac:dyDescent="0.2">
      <c r="A5140">
        <v>5140</v>
      </c>
      <c r="B5140" t="s">
        <v>1048</v>
      </c>
      <c r="C5140" t="s">
        <v>11298</v>
      </c>
      <c r="D5140" t="s">
        <v>11299</v>
      </c>
      <c r="E5140" t="s">
        <v>11114</v>
      </c>
    </row>
    <row r="5141" spans="1:5" x14ac:dyDescent="0.2">
      <c r="A5141">
        <v>5141</v>
      </c>
      <c r="B5141" t="s">
        <v>1048</v>
      </c>
      <c r="C5141" t="s">
        <v>11300</v>
      </c>
      <c r="D5141" t="s">
        <v>11301</v>
      </c>
      <c r="E5141" t="s">
        <v>11070</v>
      </c>
    </row>
    <row r="5142" spans="1:5" x14ac:dyDescent="0.2">
      <c r="A5142">
        <v>5142</v>
      </c>
      <c r="B5142" t="s">
        <v>1048</v>
      </c>
      <c r="C5142" t="s">
        <v>11302</v>
      </c>
      <c r="D5142" t="s">
        <v>11303</v>
      </c>
      <c r="E5142" t="s">
        <v>11055</v>
      </c>
    </row>
    <row r="5143" spans="1:5" x14ac:dyDescent="0.2">
      <c r="A5143">
        <v>5143</v>
      </c>
      <c r="B5143" t="s">
        <v>1048</v>
      </c>
      <c r="C5143" t="s">
        <v>11304</v>
      </c>
      <c r="D5143" t="s">
        <v>11305</v>
      </c>
      <c r="E5143" t="s">
        <v>11114</v>
      </c>
    </row>
    <row r="5144" spans="1:5" x14ac:dyDescent="0.2">
      <c r="A5144">
        <v>5144</v>
      </c>
      <c r="B5144" t="s">
        <v>1048</v>
      </c>
      <c r="C5144" t="s">
        <v>11306</v>
      </c>
      <c r="D5144" t="s">
        <v>11307</v>
      </c>
      <c r="E5144" t="s">
        <v>11055</v>
      </c>
    </row>
    <row r="5145" spans="1:5" x14ac:dyDescent="0.2">
      <c r="A5145">
        <v>5145</v>
      </c>
      <c r="B5145" t="s">
        <v>1048</v>
      </c>
      <c r="C5145" t="s">
        <v>11308</v>
      </c>
      <c r="D5145" t="s">
        <v>11309</v>
      </c>
      <c r="E5145" t="s">
        <v>11075</v>
      </c>
    </row>
    <row r="5146" spans="1:5" x14ac:dyDescent="0.2">
      <c r="A5146">
        <v>5146</v>
      </c>
      <c r="B5146" t="s">
        <v>1048</v>
      </c>
      <c r="C5146" t="s">
        <v>11310</v>
      </c>
      <c r="D5146" t="s">
        <v>11311</v>
      </c>
      <c r="E5146" t="s">
        <v>11312</v>
      </c>
    </row>
    <row r="5147" spans="1:5" x14ac:dyDescent="0.2">
      <c r="A5147">
        <v>5147</v>
      </c>
      <c r="B5147" t="s">
        <v>1048</v>
      </c>
      <c r="C5147" t="s">
        <v>11313</v>
      </c>
      <c r="D5147" t="s">
        <v>11314</v>
      </c>
      <c r="E5147" t="s">
        <v>7734</v>
      </c>
    </row>
    <row r="5148" spans="1:5" x14ac:dyDescent="0.2">
      <c r="A5148">
        <v>5148</v>
      </c>
      <c r="B5148" t="s">
        <v>1048</v>
      </c>
      <c r="C5148" t="s">
        <v>11315</v>
      </c>
      <c r="D5148" t="s">
        <v>11316</v>
      </c>
      <c r="E5148" t="s">
        <v>11055</v>
      </c>
    </row>
    <row r="5149" spans="1:5" x14ac:dyDescent="0.2">
      <c r="A5149">
        <v>5149</v>
      </c>
      <c r="B5149" t="s">
        <v>1048</v>
      </c>
      <c r="C5149" t="s">
        <v>11317</v>
      </c>
      <c r="D5149" t="s">
        <v>5720</v>
      </c>
      <c r="E5149" t="s">
        <v>11075</v>
      </c>
    </row>
    <row r="5150" spans="1:5" x14ac:dyDescent="0.2">
      <c r="A5150">
        <v>5150</v>
      </c>
      <c r="B5150" t="s">
        <v>1048</v>
      </c>
      <c r="C5150" t="s">
        <v>11318</v>
      </c>
      <c r="D5150" t="s">
        <v>11319</v>
      </c>
      <c r="E5150" t="s">
        <v>7734</v>
      </c>
    </row>
    <row r="5151" spans="1:5" x14ac:dyDescent="0.2">
      <c r="A5151">
        <v>5151</v>
      </c>
      <c r="B5151" t="s">
        <v>1048</v>
      </c>
      <c r="C5151" t="s">
        <v>11320</v>
      </c>
      <c r="D5151" t="s">
        <v>11321</v>
      </c>
      <c r="E5151" t="s">
        <v>7734</v>
      </c>
    </row>
    <row r="5152" spans="1:5" x14ac:dyDescent="0.2">
      <c r="A5152">
        <v>5152</v>
      </c>
      <c r="B5152" t="s">
        <v>1048</v>
      </c>
      <c r="C5152" t="s">
        <v>11320</v>
      </c>
      <c r="D5152" t="s">
        <v>11322</v>
      </c>
      <c r="E5152" t="s">
        <v>7734</v>
      </c>
    </row>
    <row r="5153" spans="1:5" x14ac:dyDescent="0.2">
      <c r="A5153">
        <v>5153</v>
      </c>
      <c r="B5153" t="s">
        <v>1048</v>
      </c>
      <c r="C5153" t="s">
        <v>11323</v>
      </c>
      <c r="D5153" t="s">
        <v>11324</v>
      </c>
      <c r="E5153" t="s">
        <v>11070</v>
      </c>
    </row>
    <row r="5154" spans="1:5" x14ac:dyDescent="0.2">
      <c r="A5154">
        <v>5154</v>
      </c>
      <c r="B5154" t="s">
        <v>1048</v>
      </c>
      <c r="C5154" t="s">
        <v>11325</v>
      </c>
      <c r="D5154" t="s">
        <v>11326</v>
      </c>
      <c r="E5154" t="s">
        <v>7734</v>
      </c>
    </row>
    <row r="5155" spans="1:5" x14ac:dyDescent="0.2">
      <c r="A5155">
        <v>5155</v>
      </c>
      <c r="B5155" t="s">
        <v>1048</v>
      </c>
      <c r="C5155" t="s">
        <v>11327</v>
      </c>
      <c r="D5155" t="s">
        <v>11328</v>
      </c>
      <c r="E5155" t="s">
        <v>11046</v>
      </c>
    </row>
    <row r="5156" spans="1:5" x14ac:dyDescent="0.2">
      <c r="A5156">
        <v>5156</v>
      </c>
      <c r="B5156" t="s">
        <v>1048</v>
      </c>
      <c r="C5156" t="s">
        <v>11329</v>
      </c>
      <c r="D5156" t="s">
        <v>11330</v>
      </c>
      <c r="E5156" t="s">
        <v>7734</v>
      </c>
    </row>
    <row r="5157" spans="1:5" x14ac:dyDescent="0.2">
      <c r="A5157">
        <v>5157</v>
      </c>
      <c r="B5157" t="s">
        <v>1048</v>
      </c>
      <c r="C5157" t="s">
        <v>11331</v>
      </c>
      <c r="D5157" t="s">
        <v>11332</v>
      </c>
      <c r="E5157" t="s">
        <v>7734</v>
      </c>
    </row>
    <row r="5158" spans="1:5" x14ac:dyDescent="0.2">
      <c r="A5158">
        <v>5158</v>
      </c>
      <c r="B5158" t="s">
        <v>1048</v>
      </c>
      <c r="C5158" t="s">
        <v>11333</v>
      </c>
      <c r="D5158" t="s">
        <v>11334</v>
      </c>
      <c r="E5158" t="s">
        <v>11046</v>
      </c>
    </row>
    <row r="5159" spans="1:5" x14ac:dyDescent="0.2">
      <c r="A5159">
        <v>5159</v>
      </c>
      <c r="B5159" t="s">
        <v>1048</v>
      </c>
      <c r="C5159" t="s">
        <v>11335</v>
      </c>
      <c r="D5159" t="s">
        <v>11336</v>
      </c>
      <c r="E5159" t="s">
        <v>11055</v>
      </c>
    </row>
    <row r="5160" spans="1:5" x14ac:dyDescent="0.2">
      <c r="A5160">
        <v>5160</v>
      </c>
      <c r="B5160" t="s">
        <v>1048</v>
      </c>
      <c r="C5160" t="s">
        <v>11135</v>
      </c>
      <c r="D5160" t="s">
        <v>11337</v>
      </c>
      <c r="E5160" t="s">
        <v>7734</v>
      </c>
    </row>
    <row r="5161" spans="1:5" x14ac:dyDescent="0.2">
      <c r="A5161">
        <v>5161</v>
      </c>
      <c r="B5161" t="s">
        <v>1048</v>
      </c>
      <c r="C5161" t="s">
        <v>11338</v>
      </c>
      <c r="D5161" t="s">
        <v>11339</v>
      </c>
      <c r="E5161" t="s">
        <v>11075</v>
      </c>
    </row>
    <row r="5162" spans="1:5" x14ac:dyDescent="0.2">
      <c r="A5162">
        <v>5162</v>
      </c>
      <c r="B5162" t="s">
        <v>1048</v>
      </c>
      <c r="C5162" t="s">
        <v>11340</v>
      </c>
      <c r="D5162" t="s">
        <v>11341</v>
      </c>
      <c r="E5162" t="s">
        <v>11070</v>
      </c>
    </row>
    <row r="5163" spans="1:5" x14ac:dyDescent="0.2">
      <c r="A5163">
        <v>5163</v>
      </c>
      <c r="B5163" t="s">
        <v>1048</v>
      </c>
      <c r="C5163" t="s">
        <v>11133</v>
      </c>
      <c r="D5163" t="s">
        <v>11342</v>
      </c>
      <c r="E5163" t="s">
        <v>7734</v>
      </c>
    </row>
    <row r="5164" spans="1:5" x14ac:dyDescent="0.2">
      <c r="A5164">
        <v>5164</v>
      </c>
      <c r="B5164" t="s">
        <v>1048</v>
      </c>
      <c r="C5164" t="s">
        <v>11343</v>
      </c>
      <c r="D5164" t="s">
        <v>11344</v>
      </c>
      <c r="E5164" t="s">
        <v>11055</v>
      </c>
    </row>
    <row r="5165" spans="1:5" x14ac:dyDescent="0.2">
      <c r="A5165">
        <v>5165</v>
      </c>
      <c r="B5165" t="s">
        <v>1048</v>
      </c>
      <c r="C5165" t="s">
        <v>11345</v>
      </c>
      <c r="D5165" t="s">
        <v>11346</v>
      </c>
      <c r="E5165" t="s">
        <v>11055</v>
      </c>
    </row>
    <row r="5166" spans="1:5" x14ac:dyDescent="0.2">
      <c r="A5166">
        <v>5166</v>
      </c>
      <c r="B5166" t="s">
        <v>1048</v>
      </c>
      <c r="C5166" t="s">
        <v>11347</v>
      </c>
      <c r="D5166" t="s">
        <v>11348</v>
      </c>
      <c r="E5166" t="s">
        <v>11114</v>
      </c>
    </row>
    <row r="5167" spans="1:5" x14ac:dyDescent="0.2">
      <c r="A5167">
        <v>5167</v>
      </c>
      <c r="B5167" t="s">
        <v>1048</v>
      </c>
      <c r="C5167" t="s">
        <v>11349</v>
      </c>
      <c r="D5167" t="s">
        <v>11350</v>
      </c>
      <c r="E5167" t="s">
        <v>11046</v>
      </c>
    </row>
    <row r="5168" spans="1:5" x14ac:dyDescent="0.2">
      <c r="A5168">
        <v>5168</v>
      </c>
      <c r="B5168" t="s">
        <v>1048</v>
      </c>
      <c r="C5168" t="s">
        <v>11351</v>
      </c>
      <c r="D5168" t="s">
        <v>11352</v>
      </c>
      <c r="E5168" t="s">
        <v>11055</v>
      </c>
    </row>
    <row r="5169" spans="1:5" x14ac:dyDescent="0.2">
      <c r="A5169">
        <v>5169</v>
      </c>
      <c r="B5169" t="s">
        <v>1048</v>
      </c>
      <c r="C5169" t="s">
        <v>11353</v>
      </c>
      <c r="D5169" t="s">
        <v>11354</v>
      </c>
      <c r="E5169" t="s">
        <v>7734</v>
      </c>
    </row>
    <row r="5170" spans="1:5" x14ac:dyDescent="0.2">
      <c r="A5170">
        <v>5170</v>
      </c>
      <c r="B5170" t="s">
        <v>1048</v>
      </c>
      <c r="C5170" t="s">
        <v>11355</v>
      </c>
      <c r="D5170" t="s">
        <v>11356</v>
      </c>
      <c r="E5170" t="s">
        <v>11046</v>
      </c>
    </row>
    <row r="5171" spans="1:5" x14ac:dyDescent="0.2">
      <c r="A5171">
        <v>5171</v>
      </c>
      <c r="B5171" t="s">
        <v>1048</v>
      </c>
      <c r="C5171" t="s">
        <v>11357</v>
      </c>
      <c r="D5171" t="s">
        <v>11358</v>
      </c>
      <c r="E5171" t="s">
        <v>7734</v>
      </c>
    </row>
    <row r="5172" spans="1:5" x14ac:dyDescent="0.2">
      <c r="A5172">
        <v>5172</v>
      </c>
      <c r="B5172" t="s">
        <v>1048</v>
      </c>
      <c r="C5172" t="s">
        <v>11359</v>
      </c>
      <c r="D5172" t="s">
        <v>11360</v>
      </c>
      <c r="E5172" t="s">
        <v>7734</v>
      </c>
    </row>
    <row r="5173" spans="1:5" x14ac:dyDescent="0.2">
      <c r="A5173">
        <v>5173</v>
      </c>
      <c r="B5173" t="s">
        <v>1048</v>
      </c>
      <c r="C5173" t="s">
        <v>11361</v>
      </c>
      <c r="D5173" t="s">
        <v>11362</v>
      </c>
      <c r="E5173" t="s">
        <v>11075</v>
      </c>
    </row>
    <row r="5174" spans="1:5" x14ac:dyDescent="0.2">
      <c r="A5174">
        <v>5174</v>
      </c>
      <c r="B5174" t="s">
        <v>1048</v>
      </c>
      <c r="C5174" t="s">
        <v>11363</v>
      </c>
      <c r="D5174" t="s">
        <v>11364</v>
      </c>
      <c r="E5174" t="s">
        <v>11114</v>
      </c>
    </row>
    <row r="5175" spans="1:5" x14ac:dyDescent="0.2">
      <c r="A5175">
        <v>5175</v>
      </c>
      <c r="B5175" t="s">
        <v>1048</v>
      </c>
      <c r="C5175" t="s">
        <v>11365</v>
      </c>
      <c r="D5175" t="s">
        <v>11366</v>
      </c>
      <c r="E5175" t="s">
        <v>11114</v>
      </c>
    </row>
    <row r="5176" spans="1:5" x14ac:dyDescent="0.2">
      <c r="A5176">
        <v>5176</v>
      </c>
      <c r="B5176" t="s">
        <v>1048</v>
      </c>
      <c r="C5176" t="s">
        <v>11367</v>
      </c>
      <c r="D5176" t="s">
        <v>11368</v>
      </c>
      <c r="E5176" t="s">
        <v>1719</v>
      </c>
    </row>
    <row r="5177" spans="1:5" x14ac:dyDescent="0.2">
      <c r="A5177">
        <v>5177</v>
      </c>
      <c r="B5177" t="s">
        <v>1048</v>
      </c>
      <c r="C5177" t="s">
        <v>11369</v>
      </c>
      <c r="D5177" t="s">
        <v>11370</v>
      </c>
      <c r="E5177" t="s">
        <v>7734</v>
      </c>
    </row>
    <row r="5178" spans="1:5" x14ac:dyDescent="0.2">
      <c r="A5178">
        <v>5178</v>
      </c>
      <c r="B5178" t="s">
        <v>1048</v>
      </c>
      <c r="C5178" t="s">
        <v>11371</v>
      </c>
      <c r="D5178" t="s">
        <v>11372</v>
      </c>
      <c r="E5178" t="s">
        <v>7734</v>
      </c>
    </row>
    <row r="5179" spans="1:5" x14ac:dyDescent="0.2">
      <c r="A5179">
        <v>5179</v>
      </c>
      <c r="B5179" t="s">
        <v>1048</v>
      </c>
      <c r="C5179" t="s">
        <v>11373</v>
      </c>
      <c r="D5179" t="s">
        <v>11374</v>
      </c>
      <c r="E5179" t="s">
        <v>11114</v>
      </c>
    </row>
    <row r="5180" spans="1:5" x14ac:dyDescent="0.2">
      <c r="A5180">
        <v>5180</v>
      </c>
      <c r="B5180" t="s">
        <v>1048</v>
      </c>
      <c r="C5180" t="s">
        <v>11375</v>
      </c>
      <c r="D5180" t="s">
        <v>11376</v>
      </c>
      <c r="E5180" t="s">
        <v>11075</v>
      </c>
    </row>
    <row r="5181" spans="1:5" x14ac:dyDescent="0.2">
      <c r="A5181">
        <v>5181</v>
      </c>
      <c r="B5181" t="s">
        <v>1048</v>
      </c>
      <c r="C5181" t="s">
        <v>11377</v>
      </c>
      <c r="D5181" t="s">
        <v>11378</v>
      </c>
      <c r="E5181" t="s">
        <v>11055</v>
      </c>
    </row>
    <row r="5182" spans="1:5" x14ac:dyDescent="0.2">
      <c r="A5182">
        <v>5182</v>
      </c>
      <c r="B5182" t="s">
        <v>1048</v>
      </c>
      <c r="C5182" t="s">
        <v>11379</v>
      </c>
      <c r="D5182" t="s">
        <v>11380</v>
      </c>
      <c r="E5182" t="s">
        <v>11046</v>
      </c>
    </row>
    <row r="5183" spans="1:5" x14ac:dyDescent="0.2">
      <c r="A5183">
        <v>5183</v>
      </c>
      <c r="B5183" t="s">
        <v>1048</v>
      </c>
      <c r="C5183" t="s">
        <v>11381</v>
      </c>
      <c r="D5183" t="s">
        <v>11382</v>
      </c>
      <c r="E5183" t="s">
        <v>11114</v>
      </c>
    </row>
    <row r="5184" spans="1:5" x14ac:dyDescent="0.2">
      <c r="A5184">
        <v>5184</v>
      </c>
      <c r="B5184" t="s">
        <v>1048</v>
      </c>
      <c r="C5184" t="s">
        <v>11383</v>
      </c>
      <c r="D5184" t="s">
        <v>11384</v>
      </c>
      <c r="E5184" t="s">
        <v>7734</v>
      </c>
    </row>
    <row r="5185" spans="1:5" x14ac:dyDescent="0.2">
      <c r="A5185">
        <v>5185</v>
      </c>
      <c r="B5185" t="s">
        <v>1048</v>
      </c>
      <c r="C5185" t="s">
        <v>11102</v>
      </c>
      <c r="D5185" t="s">
        <v>11385</v>
      </c>
      <c r="E5185" t="s">
        <v>7734</v>
      </c>
    </row>
    <row r="5186" spans="1:5" x14ac:dyDescent="0.2">
      <c r="A5186">
        <v>5186</v>
      </c>
      <c r="B5186" t="s">
        <v>1048</v>
      </c>
      <c r="C5186" t="s">
        <v>11386</v>
      </c>
      <c r="D5186" t="s">
        <v>11387</v>
      </c>
      <c r="E5186" t="s">
        <v>11046</v>
      </c>
    </row>
    <row r="5187" spans="1:5" x14ac:dyDescent="0.2">
      <c r="A5187">
        <v>5187</v>
      </c>
      <c r="B5187" t="s">
        <v>1048</v>
      </c>
      <c r="C5187" t="s">
        <v>11388</v>
      </c>
      <c r="D5187" t="s">
        <v>11389</v>
      </c>
      <c r="E5187" t="s">
        <v>7734</v>
      </c>
    </row>
    <row r="5188" spans="1:5" x14ac:dyDescent="0.2">
      <c r="A5188">
        <v>5188</v>
      </c>
      <c r="B5188" t="s">
        <v>1048</v>
      </c>
      <c r="C5188" t="s">
        <v>11390</v>
      </c>
      <c r="D5188" t="s">
        <v>11391</v>
      </c>
      <c r="E5188" t="s">
        <v>7734</v>
      </c>
    </row>
    <row r="5189" spans="1:5" x14ac:dyDescent="0.2">
      <c r="A5189">
        <v>5189</v>
      </c>
      <c r="B5189" t="s">
        <v>1048</v>
      </c>
      <c r="C5189" t="s">
        <v>11392</v>
      </c>
      <c r="D5189" t="s">
        <v>11393</v>
      </c>
      <c r="E5189" t="s">
        <v>7734</v>
      </c>
    </row>
    <row r="5190" spans="1:5" x14ac:dyDescent="0.2">
      <c r="A5190">
        <v>5190</v>
      </c>
      <c r="B5190" t="s">
        <v>1048</v>
      </c>
      <c r="C5190" t="s">
        <v>11394</v>
      </c>
      <c r="D5190" t="s">
        <v>11395</v>
      </c>
      <c r="E5190" t="s">
        <v>7734</v>
      </c>
    </row>
    <row r="5191" spans="1:5" x14ac:dyDescent="0.2">
      <c r="A5191">
        <v>5191</v>
      </c>
      <c r="B5191" t="s">
        <v>1048</v>
      </c>
      <c r="C5191" t="s">
        <v>11396</v>
      </c>
      <c r="D5191" t="s">
        <v>11397</v>
      </c>
      <c r="E5191" t="s">
        <v>7734</v>
      </c>
    </row>
    <row r="5192" spans="1:5" x14ac:dyDescent="0.2">
      <c r="A5192">
        <v>5192</v>
      </c>
      <c r="B5192" t="s">
        <v>1048</v>
      </c>
      <c r="C5192" t="s">
        <v>11398</v>
      </c>
      <c r="D5192" t="s">
        <v>11399</v>
      </c>
      <c r="E5192" t="s">
        <v>7734</v>
      </c>
    </row>
    <row r="5193" spans="1:5" x14ac:dyDescent="0.2">
      <c r="A5193">
        <v>5193</v>
      </c>
      <c r="B5193" t="s">
        <v>1048</v>
      </c>
      <c r="C5193" t="s">
        <v>11400</v>
      </c>
      <c r="D5193" t="s">
        <v>11401</v>
      </c>
      <c r="E5193" t="s">
        <v>11070</v>
      </c>
    </row>
    <row r="5194" spans="1:5" x14ac:dyDescent="0.2">
      <c r="A5194">
        <v>5194</v>
      </c>
      <c r="B5194" t="s">
        <v>1048</v>
      </c>
      <c r="C5194" t="s">
        <v>11402</v>
      </c>
      <c r="D5194" t="s">
        <v>11403</v>
      </c>
      <c r="E5194" t="s">
        <v>7734</v>
      </c>
    </row>
    <row r="5195" spans="1:5" x14ac:dyDescent="0.2">
      <c r="A5195">
        <v>5195</v>
      </c>
      <c r="B5195" t="s">
        <v>1048</v>
      </c>
      <c r="C5195" t="s">
        <v>11404</v>
      </c>
      <c r="D5195" t="s">
        <v>11405</v>
      </c>
      <c r="E5195" t="s">
        <v>11046</v>
      </c>
    </row>
    <row r="5196" spans="1:5" x14ac:dyDescent="0.2">
      <c r="A5196">
        <v>5196</v>
      </c>
      <c r="B5196" t="s">
        <v>1048</v>
      </c>
      <c r="C5196" t="s">
        <v>11406</v>
      </c>
      <c r="D5196" t="s">
        <v>11407</v>
      </c>
      <c r="E5196" t="s">
        <v>7734</v>
      </c>
    </row>
    <row r="5197" spans="1:5" x14ac:dyDescent="0.2">
      <c r="A5197">
        <v>5197</v>
      </c>
      <c r="B5197" t="s">
        <v>1048</v>
      </c>
      <c r="C5197" t="s">
        <v>11406</v>
      </c>
      <c r="D5197" t="s">
        <v>11408</v>
      </c>
      <c r="E5197" t="s">
        <v>7734</v>
      </c>
    </row>
    <row r="5198" spans="1:5" x14ac:dyDescent="0.2">
      <c r="A5198">
        <v>5198</v>
      </c>
      <c r="B5198" t="s">
        <v>1048</v>
      </c>
      <c r="C5198" t="s">
        <v>11409</v>
      </c>
      <c r="D5198" t="s">
        <v>11410</v>
      </c>
      <c r="E5198" t="s">
        <v>11070</v>
      </c>
    </row>
    <row r="5199" spans="1:5" x14ac:dyDescent="0.2">
      <c r="A5199">
        <v>5199</v>
      </c>
      <c r="B5199" t="s">
        <v>1048</v>
      </c>
      <c r="C5199" t="s">
        <v>11411</v>
      </c>
      <c r="D5199" t="s">
        <v>11412</v>
      </c>
      <c r="E5199" t="s">
        <v>11075</v>
      </c>
    </row>
    <row r="5200" spans="1:5" x14ac:dyDescent="0.2">
      <c r="A5200">
        <v>5200</v>
      </c>
      <c r="B5200" t="s">
        <v>1048</v>
      </c>
      <c r="C5200" t="s">
        <v>11413</v>
      </c>
      <c r="D5200" t="s">
        <v>11414</v>
      </c>
      <c r="E5200" t="s">
        <v>11075</v>
      </c>
    </row>
    <row r="5201" spans="1:5" x14ac:dyDescent="0.2">
      <c r="A5201">
        <v>5201</v>
      </c>
      <c r="B5201" t="s">
        <v>1048</v>
      </c>
      <c r="C5201" t="s">
        <v>11415</v>
      </c>
      <c r="D5201" t="s">
        <v>11416</v>
      </c>
      <c r="E5201" t="s">
        <v>7734</v>
      </c>
    </row>
    <row r="5202" spans="1:5" x14ac:dyDescent="0.2">
      <c r="A5202">
        <v>5202</v>
      </c>
      <c r="B5202" t="s">
        <v>1048</v>
      </c>
      <c r="C5202" t="s">
        <v>11417</v>
      </c>
      <c r="D5202" t="s">
        <v>11418</v>
      </c>
      <c r="E5202" t="s">
        <v>11075</v>
      </c>
    </row>
    <row r="5203" spans="1:5" x14ac:dyDescent="0.2">
      <c r="A5203">
        <v>5203</v>
      </c>
      <c r="B5203" t="s">
        <v>1048</v>
      </c>
      <c r="C5203" t="s">
        <v>11419</v>
      </c>
      <c r="D5203" t="s">
        <v>11420</v>
      </c>
      <c r="E5203" t="s">
        <v>11075</v>
      </c>
    </row>
    <row r="5204" spans="1:5" x14ac:dyDescent="0.2">
      <c r="A5204">
        <v>5204</v>
      </c>
      <c r="B5204" t="s">
        <v>1048</v>
      </c>
      <c r="C5204" t="s">
        <v>11421</v>
      </c>
      <c r="D5204" t="s">
        <v>11422</v>
      </c>
      <c r="E5204" t="s">
        <v>7688</v>
      </c>
    </row>
    <row r="5205" spans="1:5" x14ac:dyDescent="0.2">
      <c r="A5205">
        <v>5205</v>
      </c>
      <c r="B5205" t="s">
        <v>1048</v>
      </c>
      <c r="C5205" t="s">
        <v>11423</v>
      </c>
      <c r="D5205" t="s">
        <v>11424</v>
      </c>
      <c r="E5205" t="s">
        <v>11046</v>
      </c>
    </row>
    <row r="5206" spans="1:5" x14ac:dyDescent="0.2">
      <c r="A5206">
        <v>5206</v>
      </c>
      <c r="B5206" t="s">
        <v>1048</v>
      </c>
      <c r="C5206" t="s">
        <v>11425</v>
      </c>
      <c r="D5206" t="s">
        <v>11426</v>
      </c>
      <c r="E5206" t="s">
        <v>11075</v>
      </c>
    </row>
    <row r="5207" spans="1:5" x14ac:dyDescent="0.2">
      <c r="A5207">
        <v>5207</v>
      </c>
      <c r="B5207" t="s">
        <v>1048</v>
      </c>
      <c r="C5207" t="s">
        <v>11427</v>
      </c>
      <c r="D5207" t="s">
        <v>11428</v>
      </c>
      <c r="E5207" t="s">
        <v>11075</v>
      </c>
    </row>
    <row r="5208" spans="1:5" x14ac:dyDescent="0.2">
      <c r="A5208">
        <v>5208</v>
      </c>
      <c r="B5208" t="s">
        <v>1048</v>
      </c>
      <c r="C5208" t="s">
        <v>11429</v>
      </c>
      <c r="D5208" t="s">
        <v>11430</v>
      </c>
      <c r="E5208" t="s">
        <v>11046</v>
      </c>
    </row>
    <row r="5209" spans="1:5" x14ac:dyDescent="0.2">
      <c r="A5209">
        <v>5209</v>
      </c>
      <c r="B5209" t="s">
        <v>1048</v>
      </c>
      <c r="C5209" t="s">
        <v>11431</v>
      </c>
      <c r="D5209" t="s">
        <v>11432</v>
      </c>
      <c r="E5209" t="s">
        <v>7734</v>
      </c>
    </row>
    <row r="5210" spans="1:5" x14ac:dyDescent="0.2">
      <c r="A5210">
        <v>5210</v>
      </c>
      <c r="B5210" t="s">
        <v>1048</v>
      </c>
      <c r="C5210" t="s">
        <v>11383</v>
      </c>
      <c r="D5210" t="s">
        <v>11433</v>
      </c>
      <c r="E5210" t="s">
        <v>7734</v>
      </c>
    </row>
    <row r="5211" spans="1:5" x14ac:dyDescent="0.2">
      <c r="A5211">
        <v>5211</v>
      </c>
      <c r="B5211" t="s">
        <v>1048</v>
      </c>
      <c r="C5211" t="s">
        <v>11141</v>
      </c>
      <c r="D5211" t="s">
        <v>11434</v>
      </c>
      <c r="E5211" t="s">
        <v>7734</v>
      </c>
    </row>
    <row r="5212" spans="1:5" x14ac:dyDescent="0.2">
      <c r="A5212">
        <v>5212</v>
      </c>
      <c r="B5212" t="s">
        <v>1048</v>
      </c>
      <c r="C5212" t="s">
        <v>11169</v>
      </c>
      <c r="D5212" t="s">
        <v>11435</v>
      </c>
      <c r="E5212" t="s">
        <v>7734</v>
      </c>
    </row>
    <row r="5213" spans="1:5" x14ac:dyDescent="0.2">
      <c r="A5213">
        <v>5213</v>
      </c>
      <c r="B5213" t="s">
        <v>1048</v>
      </c>
      <c r="C5213" t="s">
        <v>11331</v>
      </c>
      <c r="D5213" t="s">
        <v>11436</v>
      </c>
      <c r="E5213" t="s">
        <v>7734</v>
      </c>
    </row>
    <row r="5214" spans="1:5" x14ac:dyDescent="0.2">
      <c r="A5214">
        <v>5214</v>
      </c>
      <c r="B5214" t="s">
        <v>1048</v>
      </c>
      <c r="C5214" t="s">
        <v>11129</v>
      </c>
      <c r="D5214" t="s">
        <v>11437</v>
      </c>
      <c r="E5214" t="s">
        <v>7734</v>
      </c>
    </row>
    <row r="5215" spans="1:5" x14ac:dyDescent="0.2">
      <c r="A5215">
        <v>5215</v>
      </c>
      <c r="B5215" t="s">
        <v>1048</v>
      </c>
      <c r="C5215" t="s">
        <v>11270</v>
      </c>
      <c r="D5215" t="s">
        <v>11438</v>
      </c>
      <c r="E5215" t="s">
        <v>7734</v>
      </c>
    </row>
    <row r="5216" spans="1:5" x14ac:dyDescent="0.2">
      <c r="A5216">
        <v>5216</v>
      </c>
      <c r="B5216" t="s">
        <v>1048</v>
      </c>
      <c r="C5216" t="s">
        <v>11228</v>
      </c>
      <c r="D5216" t="s">
        <v>11439</v>
      </c>
      <c r="E5216" t="s">
        <v>7734</v>
      </c>
    </row>
    <row r="5217" spans="1:5" x14ac:dyDescent="0.2">
      <c r="A5217">
        <v>5217</v>
      </c>
      <c r="B5217" t="s">
        <v>1048</v>
      </c>
      <c r="C5217" t="s">
        <v>11440</v>
      </c>
      <c r="D5217" t="s">
        <v>11441</v>
      </c>
      <c r="E5217" t="s">
        <v>7734</v>
      </c>
    </row>
    <row r="5218" spans="1:5" x14ac:dyDescent="0.2">
      <c r="A5218">
        <v>5218</v>
      </c>
      <c r="B5218" t="s">
        <v>1048</v>
      </c>
      <c r="C5218" t="s">
        <v>11442</v>
      </c>
      <c r="D5218" t="s">
        <v>11443</v>
      </c>
      <c r="E5218" t="s">
        <v>11075</v>
      </c>
    </row>
    <row r="5219" spans="1:5" x14ac:dyDescent="0.2">
      <c r="A5219">
        <v>5219</v>
      </c>
      <c r="B5219" t="s">
        <v>1048</v>
      </c>
      <c r="C5219" t="s">
        <v>11444</v>
      </c>
      <c r="D5219" t="s">
        <v>11445</v>
      </c>
      <c r="E5219" t="s">
        <v>11114</v>
      </c>
    </row>
    <row r="5220" spans="1:5" x14ac:dyDescent="0.2">
      <c r="A5220">
        <v>5220</v>
      </c>
      <c r="B5220" t="s">
        <v>1048</v>
      </c>
      <c r="C5220" t="s">
        <v>11446</v>
      </c>
      <c r="D5220" t="s">
        <v>11447</v>
      </c>
      <c r="E5220" t="s">
        <v>11046</v>
      </c>
    </row>
    <row r="5221" spans="1:5" x14ac:dyDescent="0.2">
      <c r="A5221">
        <v>5221</v>
      </c>
      <c r="B5221" t="s">
        <v>1048</v>
      </c>
      <c r="C5221" t="s">
        <v>11448</v>
      </c>
      <c r="D5221" t="s">
        <v>11449</v>
      </c>
      <c r="E5221" t="s">
        <v>7734</v>
      </c>
    </row>
    <row r="5222" spans="1:5" x14ac:dyDescent="0.2">
      <c r="A5222">
        <v>5222</v>
      </c>
      <c r="B5222" t="s">
        <v>1048</v>
      </c>
      <c r="C5222" t="s">
        <v>11450</v>
      </c>
      <c r="D5222" t="s">
        <v>11451</v>
      </c>
      <c r="E5222" t="s">
        <v>11046</v>
      </c>
    </row>
    <row r="5223" spans="1:5" x14ac:dyDescent="0.2">
      <c r="A5223">
        <v>5223</v>
      </c>
      <c r="B5223" t="s">
        <v>1048</v>
      </c>
      <c r="C5223" t="s">
        <v>11452</v>
      </c>
      <c r="D5223" t="s">
        <v>11453</v>
      </c>
      <c r="E5223" t="s">
        <v>11075</v>
      </c>
    </row>
    <row r="5224" spans="1:5" x14ac:dyDescent="0.2">
      <c r="A5224">
        <v>5224</v>
      </c>
      <c r="B5224" t="s">
        <v>1048</v>
      </c>
      <c r="C5224" t="s">
        <v>11454</v>
      </c>
      <c r="D5224" t="s">
        <v>11455</v>
      </c>
      <c r="E5224" t="s">
        <v>7734</v>
      </c>
    </row>
    <row r="5225" spans="1:5" x14ac:dyDescent="0.2">
      <c r="A5225">
        <v>5225</v>
      </c>
      <c r="B5225" t="s">
        <v>1048</v>
      </c>
      <c r="C5225" t="s">
        <v>11456</v>
      </c>
      <c r="D5225" t="s">
        <v>11457</v>
      </c>
      <c r="E5225" t="s">
        <v>7734</v>
      </c>
    </row>
    <row r="5226" spans="1:5" x14ac:dyDescent="0.2">
      <c r="A5226">
        <v>5226</v>
      </c>
      <c r="B5226" t="s">
        <v>1048</v>
      </c>
      <c r="C5226" t="s">
        <v>11458</v>
      </c>
      <c r="D5226" t="s">
        <v>11459</v>
      </c>
      <c r="E5226" t="s">
        <v>11070</v>
      </c>
    </row>
    <row r="5227" spans="1:5" x14ac:dyDescent="0.2">
      <c r="A5227">
        <v>5227</v>
      </c>
      <c r="B5227" t="s">
        <v>1048</v>
      </c>
      <c r="C5227" t="s">
        <v>11460</v>
      </c>
      <c r="D5227" t="s">
        <v>11461</v>
      </c>
      <c r="E5227" t="s">
        <v>11075</v>
      </c>
    </row>
    <row r="5228" spans="1:5" x14ac:dyDescent="0.2">
      <c r="A5228">
        <v>5228</v>
      </c>
      <c r="B5228" t="s">
        <v>1048</v>
      </c>
      <c r="C5228" t="s">
        <v>11462</v>
      </c>
      <c r="D5228" t="s">
        <v>11463</v>
      </c>
      <c r="E5228" t="s">
        <v>11114</v>
      </c>
    </row>
    <row r="5229" spans="1:5" x14ac:dyDescent="0.2">
      <c r="A5229">
        <v>5229</v>
      </c>
      <c r="B5229" t="s">
        <v>1048</v>
      </c>
      <c r="C5229" t="s">
        <v>11464</v>
      </c>
      <c r="D5229" t="s">
        <v>11465</v>
      </c>
      <c r="E5229" t="s">
        <v>11046</v>
      </c>
    </row>
    <row r="5230" spans="1:5" x14ac:dyDescent="0.2">
      <c r="A5230">
        <v>5230</v>
      </c>
      <c r="B5230" t="s">
        <v>1048</v>
      </c>
      <c r="C5230" t="s">
        <v>11466</v>
      </c>
      <c r="D5230" t="s">
        <v>11467</v>
      </c>
      <c r="E5230" t="s">
        <v>11075</v>
      </c>
    </row>
    <row r="5231" spans="1:5" x14ac:dyDescent="0.2">
      <c r="A5231">
        <v>5231</v>
      </c>
      <c r="B5231" t="s">
        <v>1048</v>
      </c>
      <c r="C5231" t="s">
        <v>11468</v>
      </c>
      <c r="D5231" t="s">
        <v>11469</v>
      </c>
      <c r="E5231" t="s">
        <v>7734</v>
      </c>
    </row>
    <row r="5232" spans="1:5" x14ac:dyDescent="0.2">
      <c r="A5232">
        <v>5232</v>
      </c>
      <c r="B5232" t="s">
        <v>1048</v>
      </c>
      <c r="C5232" t="s">
        <v>11470</v>
      </c>
      <c r="D5232" t="s">
        <v>11471</v>
      </c>
      <c r="E5232" t="s">
        <v>7734</v>
      </c>
    </row>
    <row r="5233" spans="1:5" x14ac:dyDescent="0.2">
      <c r="A5233">
        <v>5233</v>
      </c>
      <c r="B5233" t="s">
        <v>1048</v>
      </c>
      <c r="C5233" t="s">
        <v>11472</v>
      </c>
      <c r="D5233" t="s">
        <v>11473</v>
      </c>
      <c r="E5233" t="s">
        <v>11055</v>
      </c>
    </row>
    <row r="5234" spans="1:5" x14ac:dyDescent="0.2">
      <c r="A5234">
        <v>5234</v>
      </c>
      <c r="B5234" t="s">
        <v>1048</v>
      </c>
      <c r="C5234" t="s">
        <v>11474</v>
      </c>
      <c r="D5234" t="s">
        <v>11475</v>
      </c>
      <c r="E5234" t="s">
        <v>11114</v>
      </c>
    </row>
    <row r="5235" spans="1:5" x14ac:dyDescent="0.2">
      <c r="A5235">
        <v>5235</v>
      </c>
      <c r="B5235" t="s">
        <v>1048</v>
      </c>
      <c r="C5235" t="s">
        <v>11476</v>
      </c>
      <c r="D5235" t="s">
        <v>11477</v>
      </c>
      <c r="E5235" t="s">
        <v>11075</v>
      </c>
    </row>
    <row r="5236" spans="1:5" x14ac:dyDescent="0.2">
      <c r="A5236">
        <v>5236</v>
      </c>
      <c r="B5236" t="s">
        <v>1048</v>
      </c>
      <c r="C5236" t="s">
        <v>11478</v>
      </c>
      <c r="D5236" t="s">
        <v>11479</v>
      </c>
      <c r="E5236" t="s">
        <v>11114</v>
      </c>
    </row>
    <row r="5237" spans="1:5" x14ac:dyDescent="0.2">
      <c r="A5237">
        <v>5237</v>
      </c>
      <c r="B5237" t="s">
        <v>1048</v>
      </c>
      <c r="C5237" t="s">
        <v>11480</v>
      </c>
      <c r="D5237" t="s">
        <v>11481</v>
      </c>
      <c r="E5237" t="s">
        <v>11070</v>
      </c>
    </row>
    <row r="5238" spans="1:5" x14ac:dyDescent="0.2">
      <c r="A5238">
        <v>5238</v>
      </c>
      <c r="B5238" t="s">
        <v>1048</v>
      </c>
      <c r="C5238" t="s">
        <v>11049</v>
      </c>
      <c r="D5238" t="s">
        <v>11482</v>
      </c>
      <c r="E5238" t="s">
        <v>7734</v>
      </c>
    </row>
    <row r="5239" spans="1:5" x14ac:dyDescent="0.2">
      <c r="A5239">
        <v>5239</v>
      </c>
      <c r="B5239" t="s">
        <v>1048</v>
      </c>
      <c r="C5239" t="s">
        <v>11483</v>
      </c>
      <c r="D5239" t="s">
        <v>11484</v>
      </c>
      <c r="E5239" t="s">
        <v>7734</v>
      </c>
    </row>
    <row r="5240" spans="1:5" x14ac:dyDescent="0.2">
      <c r="A5240">
        <v>5240</v>
      </c>
      <c r="B5240" t="s">
        <v>1048</v>
      </c>
      <c r="C5240" t="s">
        <v>11485</v>
      </c>
      <c r="D5240" t="s">
        <v>11486</v>
      </c>
      <c r="E5240" t="s">
        <v>11075</v>
      </c>
    </row>
    <row r="5241" spans="1:5" x14ac:dyDescent="0.2">
      <c r="A5241">
        <v>5241</v>
      </c>
      <c r="B5241" t="s">
        <v>1048</v>
      </c>
      <c r="C5241" t="s">
        <v>11487</v>
      </c>
      <c r="D5241" t="s">
        <v>11488</v>
      </c>
      <c r="E5241" t="s">
        <v>7734</v>
      </c>
    </row>
    <row r="5242" spans="1:5" x14ac:dyDescent="0.2">
      <c r="A5242">
        <v>5242</v>
      </c>
      <c r="B5242" t="s">
        <v>1048</v>
      </c>
      <c r="C5242" t="s">
        <v>11489</v>
      </c>
      <c r="D5242" t="s">
        <v>11490</v>
      </c>
      <c r="E5242" t="s">
        <v>7734</v>
      </c>
    </row>
    <row r="5243" spans="1:5" x14ac:dyDescent="0.2">
      <c r="A5243">
        <v>5243</v>
      </c>
      <c r="B5243" t="s">
        <v>1048</v>
      </c>
      <c r="C5243" t="s">
        <v>11491</v>
      </c>
      <c r="D5243" t="s">
        <v>11492</v>
      </c>
      <c r="E5243" t="s">
        <v>7734</v>
      </c>
    </row>
    <row r="5244" spans="1:5" x14ac:dyDescent="0.2">
      <c r="A5244">
        <v>5244</v>
      </c>
      <c r="B5244" t="s">
        <v>1048</v>
      </c>
      <c r="C5244" t="s">
        <v>11493</v>
      </c>
      <c r="D5244" t="s">
        <v>11494</v>
      </c>
      <c r="E5244" t="s">
        <v>7734</v>
      </c>
    </row>
    <row r="5245" spans="1:5" x14ac:dyDescent="0.2">
      <c r="A5245">
        <v>5245</v>
      </c>
      <c r="B5245" t="s">
        <v>1048</v>
      </c>
      <c r="C5245" t="s">
        <v>11491</v>
      </c>
      <c r="D5245" t="s">
        <v>11495</v>
      </c>
      <c r="E5245" t="s">
        <v>7734</v>
      </c>
    </row>
    <row r="5246" spans="1:5" x14ac:dyDescent="0.2">
      <c r="A5246">
        <v>5246</v>
      </c>
      <c r="B5246" t="s">
        <v>1048</v>
      </c>
      <c r="C5246" t="s">
        <v>11496</v>
      </c>
      <c r="D5246" t="s">
        <v>11497</v>
      </c>
      <c r="E5246" t="s">
        <v>11070</v>
      </c>
    </row>
    <row r="5247" spans="1:5" x14ac:dyDescent="0.2">
      <c r="A5247">
        <v>5247</v>
      </c>
      <c r="B5247" t="s">
        <v>1048</v>
      </c>
      <c r="C5247" t="s">
        <v>11498</v>
      </c>
      <c r="D5247" t="s">
        <v>11499</v>
      </c>
      <c r="E5247" t="s">
        <v>11075</v>
      </c>
    </row>
    <row r="5248" spans="1:5" x14ac:dyDescent="0.2">
      <c r="A5248">
        <v>5248</v>
      </c>
      <c r="B5248" t="s">
        <v>1048</v>
      </c>
      <c r="C5248" t="s">
        <v>11500</v>
      </c>
      <c r="D5248" t="s">
        <v>1539</v>
      </c>
      <c r="E5248" t="s">
        <v>11219</v>
      </c>
    </row>
    <row r="5249" spans="1:5" x14ac:dyDescent="0.2">
      <c r="A5249">
        <v>5249</v>
      </c>
      <c r="B5249" t="s">
        <v>1048</v>
      </c>
      <c r="C5249" t="s">
        <v>11108</v>
      </c>
      <c r="D5249" t="s">
        <v>11501</v>
      </c>
      <c r="E5249" t="s">
        <v>7734</v>
      </c>
    </row>
    <row r="5250" spans="1:5" x14ac:dyDescent="0.2">
      <c r="A5250">
        <v>5250</v>
      </c>
      <c r="B5250" t="s">
        <v>1048</v>
      </c>
      <c r="C5250" t="s">
        <v>11502</v>
      </c>
      <c r="D5250" t="s">
        <v>11503</v>
      </c>
      <c r="E5250" t="s">
        <v>11075</v>
      </c>
    </row>
    <row r="5251" spans="1:5" x14ac:dyDescent="0.2">
      <c r="A5251">
        <v>5251</v>
      </c>
      <c r="B5251" t="s">
        <v>1048</v>
      </c>
      <c r="C5251" t="s">
        <v>11165</v>
      </c>
      <c r="D5251" t="s">
        <v>11504</v>
      </c>
      <c r="E5251" t="s">
        <v>7688</v>
      </c>
    </row>
    <row r="5252" spans="1:5" x14ac:dyDescent="0.2">
      <c r="A5252">
        <v>5252</v>
      </c>
      <c r="B5252" t="s">
        <v>1048</v>
      </c>
      <c r="C5252" t="s">
        <v>11505</v>
      </c>
      <c r="D5252" t="s">
        <v>11506</v>
      </c>
      <c r="E5252" t="s">
        <v>11075</v>
      </c>
    </row>
    <row r="5253" spans="1:5" x14ac:dyDescent="0.2">
      <c r="A5253">
        <v>5253</v>
      </c>
      <c r="B5253" t="s">
        <v>1048</v>
      </c>
      <c r="C5253" t="s">
        <v>11507</v>
      </c>
      <c r="D5253" t="s">
        <v>11508</v>
      </c>
      <c r="E5253" t="s">
        <v>11070</v>
      </c>
    </row>
    <row r="5254" spans="1:5" x14ac:dyDescent="0.2">
      <c r="A5254">
        <v>5254</v>
      </c>
      <c r="B5254" t="s">
        <v>1048</v>
      </c>
      <c r="C5254" t="s">
        <v>11509</v>
      </c>
      <c r="D5254" t="s">
        <v>11510</v>
      </c>
      <c r="E5254" t="s">
        <v>11070</v>
      </c>
    </row>
    <row r="5255" spans="1:5" x14ac:dyDescent="0.2">
      <c r="A5255">
        <v>5255</v>
      </c>
      <c r="B5255" t="s">
        <v>1048</v>
      </c>
      <c r="C5255" t="s">
        <v>11511</v>
      </c>
      <c r="D5255" t="s">
        <v>11512</v>
      </c>
      <c r="E5255" t="s">
        <v>7734</v>
      </c>
    </row>
    <row r="5256" spans="1:5" x14ac:dyDescent="0.2">
      <c r="A5256">
        <v>5256</v>
      </c>
      <c r="B5256" t="s">
        <v>1048</v>
      </c>
      <c r="C5256" t="s">
        <v>11513</v>
      </c>
      <c r="D5256" t="s">
        <v>11514</v>
      </c>
      <c r="E5256" t="s">
        <v>11114</v>
      </c>
    </row>
    <row r="5257" spans="1:5" x14ac:dyDescent="0.2">
      <c r="A5257">
        <v>5257</v>
      </c>
      <c r="B5257" t="s">
        <v>1048</v>
      </c>
      <c r="C5257" t="s">
        <v>11515</v>
      </c>
      <c r="D5257" t="s">
        <v>11516</v>
      </c>
      <c r="E5257" t="s">
        <v>7734</v>
      </c>
    </row>
    <row r="5258" spans="1:5" x14ac:dyDescent="0.2">
      <c r="A5258">
        <v>5258</v>
      </c>
      <c r="B5258" t="s">
        <v>1048</v>
      </c>
      <c r="C5258" t="s">
        <v>11517</v>
      </c>
      <c r="D5258" t="s">
        <v>11518</v>
      </c>
      <c r="E5258" t="s">
        <v>11046</v>
      </c>
    </row>
    <row r="5259" spans="1:5" x14ac:dyDescent="0.2">
      <c r="A5259">
        <v>5259</v>
      </c>
      <c r="B5259" t="s">
        <v>1048</v>
      </c>
      <c r="C5259" t="s">
        <v>11519</v>
      </c>
      <c r="D5259" t="s">
        <v>11520</v>
      </c>
      <c r="E5259" t="s">
        <v>11046</v>
      </c>
    </row>
    <row r="5260" spans="1:5" x14ac:dyDescent="0.2">
      <c r="A5260">
        <v>5260</v>
      </c>
      <c r="B5260" t="s">
        <v>1048</v>
      </c>
      <c r="C5260" t="s">
        <v>11521</v>
      </c>
      <c r="D5260" t="s">
        <v>11522</v>
      </c>
      <c r="E5260" t="s">
        <v>11114</v>
      </c>
    </row>
    <row r="5261" spans="1:5" x14ac:dyDescent="0.2">
      <c r="A5261">
        <v>5261</v>
      </c>
      <c r="B5261" t="s">
        <v>1048</v>
      </c>
      <c r="C5261" t="s">
        <v>11523</v>
      </c>
      <c r="D5261" t="s">
        <v>11524</v>
      </c>
      <c r="E5261" t="s">
        <v>11070</v>
      </c>
    </row>
    <row r="5262" spans="1:5" x14ac:dyDescent="0.2">
      <c r="A5262">
        <v>5262</v>
      </c>
      <c r="B5262" t="s">
        <v>1048</v>
      </c>
      <c r="C5262" t="s">
        <v>11525</v>
      </c>
      <c r="D5262" t="s">
        <v>11526</v>
      </c>
      <c r="E5262" t="s">
        <v>11075</v>
      </c>
    </row>
    <row r="5263" spans="1:5" x14ac:dyDescent="0.2">
      <c r="A5263">
        <v>5263</v>
      </c>
      <c r="B5263" t="s">
        <v>1048</v>
      </c>
      <c r="C5263" t="s">
        <v>11527</v>
      </c>
      <c r="D5263" t="s">
        <v>11528</v>
      </c>
      <c r="E5263" t="s">
        <v>7734</v>
      </c>
    </row>
    <row r="5264" spans="1:5" x14ac:dyDescent="0.2">
      <c r="A5264">
        <v>5264</v>
      </c>
      <c r="B5264" t="s">
        <v>1048</v>
      </c>
      <c r="C5264" t="s">
        <v>11529</v>
      </c>
      <c r="D5264" t="s">
        <v>11530</v>
      </c>
      <c r="E5264" t="s">
        <v>7734</v>
      </c>
    </row>
    <row r="5265" spans="1:5" x14ac:dyDescent="0.2">
      <c r="A5265">
        <v>5265</v>
      </c>
      <c r="B5265" t="s">
        <v>1048</v>
      </c>
      <c r="C5265" t="s">
        <v>11531</v>
      </c>
      <c r="D5265" t="s">
        <v>11532</v>
      </c>
      <c r="E5265" t="s">
        <v>11075</v>
      </c>
    </row>
    <row r="5266" spans="1:5" x14ac:dyDescent="0.2">
      <c r="A5266">
        <v>5266</v>
      </c>
      <c r="B5266" t="s">
        <v>1048</v>
      </c>
      <c r="C5266" t="s">
        <v>11533</v>
      </c>
      <c r="D5266" t="s">
        <v>11534</v>
      </c>
      <c r="E5266" t="s">
        <v>7734</v>
      </c>
    </row>
    <row r="5267" spans="1:5" x14ac:dyDescent="0.2">
      <c r="A5267">
        <v>5267</v>
      </c>
      <c r="B5267" t="s">
        <v>1048</v>
      </c>
      <c r="C5267" t="s">
        <v>11535</v>
      </c>
      <c r="D5267" t="s">
        <v>11536</v>
      </c>
      <c r="E5267" t="s">
        <v>11075</v>
      </c>
    </row>
    <row r="5268" spans="1:5" x14ac:dyDescent="0.2">
      <c r="A5268">
        <v>5268</v>
      </c>
      <c r="B5268" t="s">
        <v>1048</v>
      </c>
      <c r="C5268" t="s">
        <v>11537</v>
      </c>
      <c r="D5268" t="s">
        <v>11538</v>
      </c>
      <c r="E5268" t="s">
        <v>11114</v>
      </c>
    </row>
    <row r="5269" spans="1:5" x14ac:dyDescent="0.2">
      <c r="A5269">
        <v>5269</v>
      </c>
      <c r="B5269" t="s">
        <v>1048</v>
      </c>
      <c r="C5269" t="s">
        <v>11539</v>
      </c>
      <c r="D5269" t="s">
        <v>11540</v>
      </c>
      <c r="E5269" t="s">
        <v>7734</v>
      </c>
    </row>
    <row r="5270" spans="1:5" x14ac:dyDescent="0.2">
      <c r="A5270">
        <v>5270</v>
      </c>
      <c r="B5270" t="s">
        <v>1048</v>
      </c>
      <c r="C5270" t="s">
        <v>11539</v>
      </c>
      <c r="D5270" t="s">
        <v>11541</v>
      </c>
      <c r="E5270" t="s">
        <v>7734</v>
      </c>
    </row>
    <row r="5271" spans="1:5" x14ac:dyDescent="0.2">
      <c r="A5271">
        <v>5271</v>
      </c>
      <c r="B5271" t="s">
        <v>1048</v>
      </c>
      <c r="C5271" t="s">
        <v>11542</v>
      </c>
      <c r="D5271" t="s">
        <v>11543</v>
      </c>
      <c r="E5271" t="s">
        <v>7734</v>
      </c>
    </row>
    <row r="5272" spans="1:5" x14ac:dyDescent="0.2">
      <c r="A5272">
        <v>5272</v>
      </c>
      <c r="B5272" t="s">
        <v>1050</v>
      </c>
      <c r="C5272" t="s">
        <v>11544</v>
      </c>
      <c r="D5272" t="s">
        <v>11545</v>
      </c>
      <c r="E5272" t="s">
        <v>2113</v>
      </c>
    </row>
    <row r="5273" spans="1:5" x14ac:dyDescent="0.2">
      <c r="A5273">
        <v>5273</v>
      </c>
      <c r="B5273" t="s">
        <v>1050</v>
      </c>
      <c r="C5273" t="s">
        <v>11546</v>
      </c>
      <c r="D5273" t="s">
        <v>11547</v>
      </c>
      <c r="E5273" t="s">
        <v>2113</v>
      </c>
    </row>
    <row r="5274" spans="1:5" x14ac:dyDescent="0.2">
      <c r="A5274">
        <v>5274</v>
      </c>
      <c r="B5274" t="s">
        <v>1050</v>
      </c>
      <c r="C5274" t="s">
        <v>11548</v>
      </c>
      <c r="D5274" t="s">
        <v>11549</v>
      </c>
      <c r="E5274" t="s">
        <v>11550</v>
      </c>
    </row>
    <row r="5275" spans="1:5" x14ac:dyDescent="0.2">
      <c r="A5275">
        <v>5275</v>
      </c>
      <c r="B5275" t="s">
        <v>1050</v>
      </c>
      <c r="C5275" t="s">
        <v>11551</v>
      </c>
      <c r="D5275" t="s">
        <v>11552</v>
      </c>
      <c r="E5275" t="s">
        <v>2113</v>
      </c>
    </row>
    <row r="5276" spans="1:5" x14ac:dyDescent="0.2">
      <c r="A5276">
        <v>5276</v>
      </c>
      <c r="B5276" t="s">
        <v>1050</v>
      </c>
      <c r="C5276" t="s">
        <v>11553</v>
      </c>
      <c r="D5276" t="s">
        <v>11554</v>
      </c>
      <c r="E5276" t="s">
        <v>2113</v>
      </c>
    </row>
    <row r="5277" spans="1:5" x14ac:dyDescent="0.2">
      <c r="A5277">
        <v>5277</v>
      </c>
      <c r="B5277" t="s">
        <v>1050</v>
      </c>
      <c r="C5277" t="s">
        <v>11555</v>
      </c>
      <c r="D5277" t="s">
        <v>11556</v>
      </c>
      <c r="E5277" t="s">
        <v>2113</v>
      </c>
    </row>
    <row r="5278" spans="1:5" x14ac:dyDescent="0.2">
      <c r="A5278">
        <v>5278</v>
      </c>
      <c r="B5278" t="s">
        <v>1050</v>
      </c>
      <c r="C5278" t="s">
        <v>11557</v>
      </c>
      <c r="D5278" t="s">
        <v>11558</v>
      </c>
      <c r="E5278" t="s">
        <v>2113</v>
      </c>
    </row>
    <row r="5279" spans="1:5" x14ac:dyDescent="0.2">
      <c r="A5279">
        <v>5279</v>
      </c>
      <c r="B5279" t="s">
        <v>1050</v>
      </c>
      <c r="C5279" t="s">
        <v>11559</v>
      </c>
      <c r="D5279" t="s">
        <v>11560</v>
      </c>
      <c r="E5279" t="s">
        <v>2113</v>
      </c>
    </row>
    <row r="5280" spans="1:5" x14ac:dyDescent="0.2">
      <c r="A5280">
        <v>5280</v>
      </c>
      <c r="B5280" t="s">
        <v>1050</v>
      </c>
      <c r="C5280" t="s">
        <v>11561</v>
      </c>
      <c r="D5280" t="s">
        <v>11562</v>
      </c>
      <c r="E5280" t="s">
        <v>2113</v>
      </c>
    </row>
    <row r="5281" spans="1:5" x14ac:dyDescent="0.2">
      <c r="A5281">
        <v>5281</v>
      </c>
      <c r="B5281" t="s">
        <v>1050</v>
      </c>
      <c r="C5281" t="s">
        <v>11563</v>
      </c>
      <c r="D5281" t="s">
        <v>11564</v>
      </c>
      <c r="E5281" t="s">
        <v>1790</v>
      </c>
    </row>
    <row r="5282" spans="1:5" x14ac:dyDescent="0.2">
      <c r="A5282">
        <v>5282</v>
      </c>
      <c r="B5282" t="s">
        <v>1050</v>
      </c>
      <c r="C5282" t="s">
        <v>11565</v>
      </c>
      <c r="D5282" t="s">
        <v>11566</v>
      </c>
      <c r="E5282" t="s">
        <v>2113</v>
      </c>
    </row>
    <row r="5283" spans="1:5" x14ac:dyDescent="0.2">
      <c r="A5283">
        <v>5283</v>
      </c>
      <c r="B5283" t="s">
        <v>1050</v>
      </c>
      <c r="C5283" t="s">
        <v>11567</v>
      </c>
      <c r="D5283" t="s">
        <v>11568</v>
      </c>
      <c r="E5283" t="s">
        <v>2113</v>
      </c>
    </row>
    <row r="5284" spans="1:5" x14ac:dyDescent="0.2">
      <c r="A5284">
        <v>5284</v>
      </c>
      <c r="B5284" t="s">
        <v>1050</v>
      </c>
      <c r="C5284" t="s">
        <v>11569</v>
      </c>
      <c r="D5284" t="s">
        <v>11570</v>
      </c>
      <c r="E5284" t="s">
        <v>11550</v>
      </c>
    </row>
    <row r="5285" spans="1:5" x14ac:dyDescent="0.2">
      <c r="A5285">
        <v>5285</v>
      </c>
      <c r="B5285" t="s">
        <v>1050</v>
      </c>
      <c r="C5285" t="s">
        <v>11571</v>
      </c>
      <c r="D5285" t="s">
        <v>11572</v>
      </c>
      <c r="E5285" t="s">
        <v>2113</v>
      </c>
    </row>
    <row r="5286" spans="1:5" x14ac:dyDescent="0.2">
      <c r="A5286">
        <v>5286</v>
      </c>
      <c r="B5286" t="s">
        <v>1050</v>
      </c>
      <c r="C5286" t="s">
        <v>11573</v>
      </c>
      <c r="D5286" t="s">
        <v>11574</v>
      </c>
      <c r="E5286" t="s">
        <v>2113</v>
      </c>
    </row>
    <row r="5287" spans="1:5" x14ac:dyDescent="0.2">
      <c r="A5287">
        <v>5287</v>
      </c>
      <c r="B5287" t="s">
        <v>1050</v>
      </c>
      <c r="C5287" t="s">
        <v>11575</v>
      </c>
      <c r="D5287" t="s">
        <v>11576</v>
      </c>
      <c r="E5287" t="s">
        <v>2113</v>
      </c>
    </row>
    <row r="5288" spans="1:5" x14ac:dyDescent="0.2">
      <c r="A5288">
        <v>5288</v>
      </c>
      <c r="B5288" t="s">
        <v>1050</v>
      </c>
      <c r="C5288" t="s">
        <v>11577</v>
      </c>
      <c r="D5288" t="s">
        <v>11578</v>
      </c>
      <c r="E5288" t="s">
        <v>2113</v>
      </c>
    </row>
    <row r="5289" spans="1:5" x14ac:dyDescent="0.2">
      <c r="A5289">
        <v>5289</v>
      </c>
      <c r="B5289" t="s">
        <v>1050</v>
      </c>
      <c r="C5289" t="s">
        <v>11579</v>
      </c>
      <c r="D5289" t="s">
        <v>11580</v>
      </c>
      <c r="E5289" t="s">
        <v>2113</v>
      </c>
    </row>
    <row r="5290" spans="1:5" x14ac:dyDescent="0.2">
      <c r="A5290">
        <v>5290</v>
      </c>
      <c r="B5290" t="s">
        <v>1050</v>
      </c>
      <c r="C5290" t="s">
        <v>11581</v>
      </c>
      <c r="D5290" t="s">
        <v>11582</v>
      </c>
      <c r="E5290" t="s">
        <v>2113</v>
      </c>
    </row>
    <row r="5291" spans="1:5" x14ac:dyDescent="0.2">
      <c r="A5291">
        <v>5291</v>
      </c>
      <c r="B5291" t="s">
        <v>1050</v>
      </c>
      <c r="C5291" t="s">
        <v>11583</v>
      </c>
      <c r="D5291" t="s">
        <v>11584</v>
      </c>
      <c r="E5291" t="s">
        <v>2113</v>
      </c>
    </row>
    <row r="5292" spans="1:5" x14ac:dyDescent="0.2">
      <c r="A5292">
        <v>5292</v>
      </c>
      <c r="B5292" t="s">
        <v>1050</v>
      </c>
      <c r="C5292" t="s">
        <v>11585</v>
      </c>
      <c r="D5292" t="s">
        <v>11586</v>
      </c>
      <c r="E5292" t="s">
        <v>2113</v>
      </c>
    </row>
    <row r="5293" spans="1:5" x14ac:dyDescent="0.2">
      <c r="A5293">
        <v>5293</v>
      </c>
      <c r="B5293" t="s">
        <v>1050</v>
      </c>
      <c r="C5293" t="s">
        <v>11587</v>
      </c>
      <c r="D5293" t="s">
        <v>11588</v>
      </c>
      <c r="E5293" t="s">
        <v>2113</v>
      </c>
    </row>
    <row r="5294" spans="1:5" x14ac:dyDescent="0.2">
      <c r="A5294">
        <v>5294</v>
      </c>
      <c r="B5294" t="s">
        <v>1050</v>
      </c>
      <c r="C5294" t="s">
        <v>11589</v>
      </c>
      <c r="D5294" t="s">
        <v>6381</v>
      </c>
      <c r="E5294" t="s">
        <v>2113</v>
      </c>
    </row>
    <row r="5295" spans="1:5" x14ac:dyDescent="0.2">
      <c r="A5295">
        <v>5295</v>
      </c>
      <c r="B5295" t="s">
        <v>1050</v>
      </c>
      <c r="C5295" t="s">
        <v>11590</v>
      </c>
      <c r="D5295" t="s">
        <v>11591</v>
      </c>
      <c r="E5295" t="s">
        <v>2113</v>
      </c>
    </row>
    <row r="5296" spans="1:5" x14ac:dyDescent="0.2">
      <c r="A5296">
        <v>5296</v>
      </c>
      <c r="B5296" t="s">
        <v>1050</v>
      </c>
      <c r="C5296" t="s">
        <v>11592</v>
      </c>
      <c r="D5296" t="s">
        <v>11593</v>
      </c>
      <c r="E5296" t="s">
        <v>2113</v>
      </c>
    </row>
    <row r="5297" spans="1:5" x14ac:dyDescent="0.2">
      <c r="A5297">
        <v>5297</v>
      </c>
      <c r="B5297" t="s">
        <v>1050</v>
      </c>
      <c r="C5297" t="s">
        <v>11594</v>
      </c>
      <c r="D5297" t="s">
        <v>11595</v>
      </c>
      <c r="E5297" t="s">
        <v>2113</v>
      </c>
    </row>
    <row r="5298" spans="1:5" x14ac:dyDescent="0.2">
      <c r="A5298">
        <v>5298</v>
      </c>
      <c r="B5298" t="s">
        <v>1050</v>
      </c>
      <c r="C5298" t="s">
        <v>11596</v>
      </c>
      <c r="D5298" t="s">
        <v>11597</v>
      </c>
      <c r="E5298" t="s">
        <v>2113</v>
      </c>
    </row>
    <row r="5299" spans="1:5" x14ac:dyDescent="0.2">
      <c r="A5299">
        <v>5299</v>
      </c>
      <c r="B5299" t="s">
        <v>1050</v>
      </c>
      <c r="C5299" t="s">
        <v>11598</v>
      </c>
      <c r="D5299" t="s">
        <v>11599</v>
      </c>
      <c r="E5299" t="s">
        <v>2113</v>
      </c>
    </row>
    <row r="5300" spans="1:5" x14ac:dyDescent="0.2">
      <c r="A5300">
        <v>5300</v>
      </c>
      <c r="B5300" t="s">
        <v>1050</v>
      </c>
      <c r="C5300" t="s">
        <v>11600</v>
      </c>
      <c r="D5300" t="s">
        <v>2817</v>
      </c>
      <c r="E5300" t="s">
        <v>2113</v>
      </c>
    </row>
    <row r="5301" spans="1:5" x14ac:dyDescent="0.2">
      <c r="A5301">
        <v>5301</v>
      </c>
      <c r="B5301" t="s">
        <v>1050</v>
      </c>
      <c r="C5301" t="s">
        <v>11601</v>
      </c>
      <c r="D5301" t="s">
        <v>11602</v>
      </c>
      <c r="E5301" t="s">
        <v>2113</v>
      </c>
    </row>
    <row r="5302" spans="1:5" x14ac:dyDescent="0.2">
      <c r="A5302">
        <v>5302</v>
      </c>
      <c r="B5302" t="s">
        <v>1050</v>
      </c>
      <c r="C5302" t="s">
        <v>11603</v>
      </c>
      <c r="D5302" t="s">
        <v>11604</v>
      </c>
      <c r="E5302" t="s">
        <v>2113</v>
      </c>
    </row>
    <row r="5303" spans="1:5" x14ac:dyDescent="0.2">
      <c r="A5303">
        <v>5303</v>
      </c>
      <c r="B5303" t="s">
        <v>1050</v>
      </c>
      <c r="C5303" t="s">
        <v>11605</v>
      </c>
      <c r="D5303" t="s">
        <v>11606</v>
      </c>
      <c r="E5303" t="s">
        <v>2113</v>
      </c>
    </row>
    <row r="5304" spans="1:5" x14ac:dyDescent="0.2">
      <c r="A5304">
        <v>5304</v>
      </c>
      <c r="B5304" t="s">
        <v>1050</v>
      </c>
      <c r="C5304" t="s">
        <v>11607</v>
      </c>
      <c r="D5304" t="s">
        <v>11608</v>
      </c>
      <c r="E5304" t="s">
        <v>2113</v>
      </c>
    </row>
    <row r="5305" spans="1:5" x14ac:dyDescent="0.2">
      <c r="A5305">
        <v>5305</v>
      </c>
      <c r="B5305" t="s">
        <v>1050</v>
      </c>
      <c r="C5305" t="s">
        <v>11609</v>
      </c>
      <c r="D5305" t="s">
        <v>11610</v>
      </c>
      <c r="E5305" t="s">
        <v>2113</v>
      </c>
    </row>
    <row r="5306" spans="1:5" x14ac:dyDescent="0.2">
      <c r="A5306">
        <v>5306</v>
      </c>
      <c r="B5306" t="s">
        <v>1050</v>
      </c>
      <c r="C5306" t="s">
        <v>11611</v>
      </c>
      <c r="D5306" t="s">
        <v>11612</v>
      </c>
      <c r="E5306" t="s">
        <v>2113</v>
      </c>
    </row>
    <row r="5307" spans="1:5" x14ac:dyDescent="0.2">
      <c r="A5307">
        <v>5307</v>
      </c>
      <c r="B5307" t="s">
        <v>1050</v>
      </c>
      <c r="C5307" t="s">
        <v>11613</v>
      </c>
      <c r="D5307" t="s">
        <v>11614</v>
      </c>
      <c r="E5307" t="s">
        <v>2113</v>
      </c>
    </row>
    <row r="5308" spans="1:5" x14ac:dyDescent="0.2">
      <c r="A5308">
        <v>5308</v>
      </c>
      <c r="B5308" t="s">
        <v>1050</v>
      </c>
      <c r="C5308" t="s">
        <v>11615</v>
      </c>
      <c r="D5308" t="s">
        <v>11616</v>
      </c>
      <c r="E5308" t="s">
        <v>2113</v>
      </c>
    </row>
    <row r="5309" spans="1:5" x14ac:dyDescent="0.2">
      <c r="A5309">
        <v>5309</v>
      </c>
      <c r="B5309" t="s">
        <v>1050</v>
      </c>
      <c r="C5309" t="s">
        <v>11617</v>
      </c>
      <c r="D5309" t="s">
        <v>11618</v>
      </c>
      <c r="E5309" t="s">
        <v>11550</v>
      </c>
    </row>
    <row r="5310" spans="1:5" x14ac:dyDescent="0.2">
      <c r="A5310">
        <v>5310</v>
      </c>
      <c r="B5310" t="s">
        <v>1050</v>
      </c>
      <c r="C5310" t="s">
        <v>11619</v>
      </c>
      <c r="D5310" t="s">
        <v>11620</v>
      </c>
      <c r="E5310" t="s">
        <v>2113</v>
      </c>
    </row>
    <row r="5311" spans="1:5" x14ac:dyDescent="0.2">
      <c r="A5311">
        <v>5311</v>
      </c>
      <c r="B5311" t="s">
        <v>1050</v>
      </c>
      <c r="C5311" t="s">
        <v>11621</v>
      </c>
      <c r="D5311" t="s">
        <v>11622</v>
      </c>
      <c r="E5311" t="s">
        <v>2113</v>
      </c>
    </row>
    <row r="5312" spans="1:5" x14ac:dyDescent="0.2">
      <c r="A5312">
        <v>5312</v>
      </c>
      <c r="B5312" t="s">
        <v>1050</v>
      </c>
      <c r="C5312" t="s">
        <v>11623</v>
      </c>
      <c r="D5312" t="s">
        <v>11624</v>
      </c>
      <c r="E5312" t="s">
        <v>2113</v>
      </c>
    </row>
    <row r="5313" spans="1:5" x14ac:dyDescent="0.2">
      <c r="A5313">
        <v>5313</v>
      </c>
      <c r="B5313" t="s">
        <v>1050</v>
      </c>
      <c r="C5313" t="s">
        <v>11625</v>
      </c>
      <c r="D5313" t="s">
        <v>11626</v>
      </c>
      <c r="E5313" t="s">
        <v>2113</v>
      </c>
    </row>
    <row r="5314" spans="1:5" x14ac:dyDescent="0.2">
      <c r="A5314">
        <v>5314</v>
      </c>
      <c r="B5314" t="s">
        <v>1050</v>
      </c>
      <c r="C5314" t="s">
        <v>11627</v>
      </c>
      <c r="D5314" t="s">
        <v>11628</v>
      </c>
      <c r="E5314" t="s">
        <v>11550</v>
      </c>
    </row>
    <row r="5315" spans="1:5" x14ac:dyDescent="0.2">
      <c r="A5315">
        <v>5315</v>
      </c>
      <c r="B5315" t="s">
        <v>1050</v>
      </c>
      <c r="C5315" t="s">
        <v>11629</v>
      </c>
      <c r="D5315" t="s">
        <v>11630</v>
      </c>
      <c r="E5315" t="s">
        <v>2113</v>
      </c>
    </row>
    <row r="5316" spans="1:5" x14ac:dyDescent="0.2">
      <c r="A5316">
        <v>5316</v>
      </c>
      <c r="B5316" t="s">
        <v>1050</v>
      </c>
      <c r="C5316" t="s">
        <v>11631</v>
      </c>
      <c r="D5316" t="s">
        <v>11632</v>
      </c>
      <c r="E5316" t="s">
        <v>2113</v>
      </c>
    </row>
    <row r="5317" spans="1:5" x14ac:dyDescent="0.2">
      <c r="A5317">
        <v>5317</v>
      </c>
      <c r="B5317" t="s">
        <v>1050</v>
      </c>
      <c r="C5317" t="s">
        <v>11633</v>
      </c>
      <c r="D5317" t="s">
        <v>11634</v>
      </c>
      <c r="E5317" t="s">
        <v>2113</v>
      </c>
    </row>
    <row r="5318" spans="1:5" x14ac:dyDescent="0.2">
      <c r="A5318">
        <v>5318</v>
      </c>
      <c r="B5318" t="s">
        <v>1050</v>
      </c>
      <c r="C5318" t="s">
        <v>11635</v>
      </c>
      <c r="D5318" t="s">
        <v>11636</v>
      </c>
      <c r="E5318" t="s">
        <v>2113</v>
      </c>
    </row>
    <row r="5319" spans="1:5" x14ac:dyDescent="0.2">
      <c r="A5319">
        <v>5319</v>
      </c>
      <c r="B5319" t="s">
        <v>1050</v>
      </c>
      <c r="C5319" t="s">
        <v>11637</v>
      </c>
      <c r="D5319" t="s">
        <v>11638</v>
      </c>
      <c r="E5319" t="s">
        <v>2113</v>
      </c>
    </row>
    <row r="5320" spans="1:5" x14ac:dyDescent="0.2">
      <c r="A5320">
        <v>5320</v>
      </c>
      <c r="B5320" t="s">
        <v>1050</v>
      </c>
      <c r="C5320" t="s">
        <v>11639</v>
      </c>
      <c r="D5320" t="s">
        <v>11640</v>
      </c>
      <c r="E5320" t="s">
        <v>11550</v>
      </c>
    </row>
    <row r="5321" spans="1:5" x14ac:dyDescent="0.2">
      <c r="A5321">
        <v>5321</v>
      </c>
      <c r="B5321" t="s">
        <v>1050</v>
      </c>
      <c r="C5321" t="s">
        <v>11641</v>
      </c>
      <c r="D5321" t="s">
        <v>11642</v>
      </c>
      <c r="E5321" t="s">
        <v>2113</v>
      </c>
    </row>
    <row r="5322" spans="1:5" x14ac:dyDescent="0.2">
      <c r="A5322">
        <v>5322</v>
      </c>
      <c r="B5322" t="s">
        <v>1050</v>
      </c>
      <c r="C5322" t="s">
        <v>11643</v>
      </c>
      <c r="D5322" t="s">
        <v>11644</v>
      </c>
      <c r="E5322" t="s">
        <v>2113</v>
      </c>
    </row>
    <row r="5323" spans="1:5" x14ac:dyDescent="0.2">
      <c r="A5323">
        <v>5323</v>
      </c>
      <c r="B5323" t="s">
        <v>1050</v>
      </c>
      <c r="C5323" t="s">
        <v>11645</v>
      </c>
      <c r="D5323" t="s">
        <v>11646</v>
      </c>
      <c r="E5323" t="s">
        <v>11550</v>
      </c>
    </row>
    <row r="5324" spans="1:5" x14ac:dyDescent="0.2">
      <c r="A5324">
        <v>5324</v>
      </c>
      <c r="B5324" t="s">
        <v>1050</v>
      </c>
      <c r="C5324" t="s">
        <v>11647</v>
      </c>
      <c r="D5324" t="s">
        <v>11648</v>
      </c>
      <c r="E5324" t="s">
        <v>2113</v>
      </c>
    </row>
    <row r="5325" spans="1:5" x14ac:dyDescent="0.2">
      <c r="A5325">
        <v>5325</v>
      </c>
      <c r="B5325" t="s">
        <v>1050</v>
      </c>
      <c r="C5325" t="s">
        <v>11649</v>
      </c>
      <c r="D5325" t="s">
        <v>11650</v>
      </c>
      <c r="E5325" t="s">
        <v>2113</v>
      </c>
    </row>
    <row r="5326" spans="1:5" x14ac:dyDescent="0.2">
      <c r="A5326">
        <v>5326</v>
      </c>
      <c r="B5326" t="s">
        <v>1050</v>
      </c>
      <c r="C5326" t="s">
        <v>11651</v>
      </c>
      <c r="D5326" t="s">
        <v>11652</v>
      </c>
      <c r="E5326" t="s">
        <v>2113</v>
      </c>
    </row>
    <row r="5327" spans="1:5" x14ac:dyDescent="0.2">
      <c r="A5327">
        <v>5327</v>
      </c>
      <c r="B5327" t="s">
        <v>1050</v>
      </c>
      <c r="C5327" t="s">
        <v>11653</v>
      </c>
      <c r="D5327" t="s">
        <v>11654</v>
      </c>
      <c r="E5327" t="s">
        <v>2113</v>
      </c>
    </row>
    <row r="5328" spans="1:5" x14ac:dyDescent="0.2">
      <c r="A5328">
        <v>5328</v>
      </c>
      <c r="B5328" t="s">
        <v>1050</v>
      </c>
      <c r="C5328" t="s">
        <v>11655</v>
      </c>
      <c r="D5328" t="s">
        <v>11656</v>
      </c>
      <c r="E5328" t="s">
        <v>2113</v>
      </c>
    </row>
    <row r="5329" spans="1:5" x14ac:dyDescent="0.2">
      <c r="A5329">
        <v>5329</v>
      </c>
      <c r="B5329" t="s">
        <v>1130</v>
      </c>
      <c r="C5329" t="s">
        <v>11657</v>
      </c>
      <c r="D5329" t="s">
        <v>1457</v>
      </c>
      <c r="E5329" t="s">
        <v>11658</v>
      </c>
    </row>
    <row r="5330" spans="1:5" x14ac:dyDescent="0.2">
      <c r="A5330">
        <v>5330</v>
      </c>
      <c r="B5330" t="s">
        <v>1130</v>
      </c>
      <c r="C5330" t="s">
        <v>11659</v>
      </c>
      <c r="D5330" t="s">
        <v>1451</v>
      </c>
      <c r="E5330" t="s">
        <v>11658</v>
      </c>
    </row>
    <row r="5331" spans="1:5" x14ac:dyDescent="0.2">
      <c r="A5331">
        <v>5331</v>
      </c>
      <c r="B5331" t="s">
        <v>1130</v>
      </c>
      <c r="C5331" t="s">
        <v>11660</v>
      </c>
      <c r="D5331" t="s">
        <v>1418</v>
      </c>
      <c r="E5331" t="s">
        <v>11658</v>
      </c>
    </row>
    <row r="5332" spans="1:5" x14ac:dyDescent="0.2">
      <c r="A5332">
        <v>5332</v>
      </c>
      <c r="B5332" t="s">
        <v>1130</v>
      </c>
      <c r="C5332" t="s">
        <v>11661</v>
      </c>
      <c r="D5332" t="s">
        <v>1416</v>
      </c>
      <c r="E5332" t="s">
        <v>11658</v>
      </c>
    </row>
    <row r="5333" spans="1:5" x14ac:dyDescent="0.2">
      <c r="A5333">
        <v>5333</v>
      </c>
      <c r="B5333" t="s">
        <v>1130</v>
      </c>
      <c r="C5333" t="s">
        <v>11662</v>
      </c>
      <c r="D5333" t="s">
        <v>1420</v>
      </c>
      <c r="E5333" t="s">
        <v>11658</v>
      </c>
    </row>
    <row r="5334" spans="1:5" x14ac:dyDescent="0.2">
      <c r="A5334">
        <v>5334</v>
      </c>
      <c r="B5334" t="s">
        <v>1130</v>
      </c>
      <c r="C5334" t="s">
        <v>11663</v>
      </c>
      <c r="D5334" t="s">
        <v>11664</v>
      </c>
      <c r="E5334" t="s">
        <v>11658</v>
      </c>
    </row>
    <row r="5335" spans="1:5" x14ac:dyDescent="0.2">
      <c r="A5335">
        <v>5335</v>
      </c>
      <c r="B5335" t="s">
        <v>1130</v>
      </c>
      <c r="C5335" t="s">
        <v>11665</v>
      </c>
      <c r="D5335" t="s">
        <v>1425</v>
      </c>
      <c r="E5335" t="s">
        <v>11658</v>
      </c>
    </row>
    <row r="5336" spans="1:5" x14ac:dyDescent="0.2">
      <c r="A5336">
        <v>5336</v>
      </c>
      <c r="B5336" t="s">
        <v>1130</v>
      </c>
      <c r="C5336" t="s">
        <v>11666</v>
      </c>
      <c r="D5336" t="s">
        <v>1429</v>
      </c>
      <c r="E5336" t="s">
        <v>11658</v>
      </c>
    </row>
    <row r="5337" spans="1:5" x14ac:dyDescent="0.2">
      <c r="A5337">
        <v>5337</v>
      </c>
      <c r="B5337" t="s">
        <v>1130</v>
      </c>
      <c r="C5337" t="s">
        <v>11667</v>
      </c>
      <c r="D5337" t="s">
        <v>1396</v>
      </c>
      <c r="E5337" t="s">
        <v>11658</v>
      </c>
    </row>
    <row r="5338" spans="1:5" x14ac:dyDescent="0.2">
      <c r="A5338">
        <v>5338</v>
      </c>
      <c r="B5338" t="s">
        <v>1055</v>
      </c>
      <c r="C5338" t="s">
        <v>11668</v>
      </c>
      <c r="D5338" t="s">
        <v>11669</v>
      </c>
      <c r="E5338" t="s">
        <v>2590</v>
      </c>
    </row>
    <row r="5339" spans="1:5" x14ac:dyDescent="0.2">
      <c r="A5339">
        <v>5339</v>
      </c>
      <c r="B5339" t="s">
        <v>1055</v>
      </c>
      <c r="C5339" t="s">
        <v>11670</v>
      </c>
      <c r="D5339" t="s">
        <v>11671</v>
      </c>
      <c r="E5339" t="s">
        <v>2590</v>
      </c>
    </row>
    <row r="5340" spans="1:5" x14ac:dyDescent="0.2">
      <c r="A5340">
        <v>5340</v>
      </c>
      <c r="B5340" t="s">
        <v>1055</v>
      </c>
      <c r="C5340" t="s">
        <v>11672</v>
      </c>
      <c r="D5340" t="s">
        <v>11673</v>
      </c>
      <c r="E5340" t="s">
        <v>2590</v>
      </c>
    </row>
    <row r="5341" spans="1:5" x14ac:dyDescent="0.2">
      <c r="A5341">
        <v>5341</v>
      </c>
      <c r="B5341" t="s">
        <v>1055</v>
      </c>
      <c r="C5341" t="s">
        <v>11674</v>
      </c>
      <c r="D5341" t="s">
        <v>11675</v>
      </c>
      <c r="E5341" t="s">
        <v>2590</v>
      </c>
    </row>
    <row r="5342" spans="1:5" x14ac:dyDescent="0.2">
      <c r="A5342">
        <v>5342</v>
      </c>
      <c r="B5342" t="s">
        <v>1055</v>
      </c>
      <c r="C5342" t="s">
        <v>11676</v>
      </c>
      <c r="D5342" t="s">
        <v>11677</v>
      </c>
      <c r="E5342" t="s">
        <v>2590</v>
      </c>
    </row>
    <row r="5343" spans="1:5" x14ac:dyDescent="0.2">
      <c r="A5343">
        <v>5343</v>
      </c>
      <c r="B5343" t="s">
        <v>1055</v>
      </c>
      <c r="C5343" t="s">
        <v>11678</v>
      </c>
      <c r="D5343" t="s">
        <v>11679</v>
      </c>
      <c r="E5343" t="s">
        <v>2590</v>
      </c>
    </row>
    <row r="5344" spans="1:5" x14ac:dyDescent="0.2">
      <c r="A5344">
        <v>5344</v>
      </c>
      <c r="B5344" t="s">
        <v>1055</v>
      </c>
      <c r="C5344" t="s">
        <v>11680</v>
      </c>
      <c r="D5344" t="s">
        <v>11566</v>
      </c>
      <c r="E5344" t="s">
        <v>2590</v>
      </c>
    </row>
    <row r="5345" spans="1:5" x14ac:dyDescent="0.2">
      <c r="A5345">
        <v>5345</v>
      </c>
      <c r="B5345" t="s">
        <v>1055</v>
      </c>
      <c r="C5345" t="s">
        <v>11681</v>
      </c>
      <c r="D5345" t="s">
        <v>11682</v>
      </c>
      <c r="E5345" t="s">
        <v>2590</v>
      </c>
    </row>
    <row r="5346" spans="1:5" x14ac:dyDescent="0.2">
      <c r="A5346">
        <v>5346</v>
      </c>
      <c r="B5346" t="s">
        <v>1055</v>
      </c>
      <c r="C5346" t="s">
        <v>11683</v>
      </c>
      <c r="D5346" t="s">
        <v>11684</v>
      </c>
      <c r="E5346" t="s">
        <v>2590</v>
      </c>
    </row>
    <row r="5347" spans="1:5" x14ac:dyDescent="0.2">
      <c r="A5347">
        <v>5347</v>
      </c>
      <c r="B5347" t="s">
        <v>1055</v>
      </c>
      <c r="C5347" t="s">
        <v>11685</v>
      </c>
      <c r="D5347" t="s">
        <v>11686</v>
      </c>
      <c r="E5347" t="s">
        <v>2590</v>
      </c>
    </row>
    <row r="5348" spans="1:5" x14ac:dyDescent="0.2">
      <c r="A5348">
        <v>5348</v>
      </c>
      <c r="B5348" t="s">
        <v>1055</v>
      </c>
      <c r="C5348" t="s">
        <v>11687</v>
      </c>
      <c r="D5348" t="s">
        <v>11688</v>
      </c>
      <c r="E5348" t="s">
        <v>2590</v>
      </c>
    </row>
    <row r="5349" spans="1:5" x14ac:dyDescent="0.2">
      <c r="A5349">
        <v>5349</v>
      </c>
      <c r="B5349" t="s">
        <v>1055</v>
      </c>
      <c r="C5349" t="s">
        <v>11689</v>
      </c>
      <c r="D5349" t="s">
        <v>11690</v>
      </c>
      <c r="E5349" t="s">
        <v>2590</v>
      </c>
    </row>
    <row r="5350" spans="1:5" x14ac:dyDescent="0.2">
      <c r="A5350">
        <v>5350</v>
      </c>
      <c r="B5350" t="s">
        <v>1055</v>
      </c>
      <c r="C5350" t="s">
        <v>11691</v>
      </c>
      <c r="D5350" t="s">
        <v>11692</v>
      </c>
      <c r="E5350" t="s">
        <v>2590</v>
      </c>
    </row>
    <row r="5351" spans="1:5" x14ac:dyDescent="0.2">
      <c r="A5351">
        <v>5351</v>
      </c>
      <c r="B5351" t="s">
        <v>1055</v>
      </c>
      <c r="C5351" t="s">
        <v>11693</v>
      </c>
      <c r="D5351" t="s">
        <v>2068</v>
      </c>
      <c r="E5351" t="s">
        <v>2590</v>
      </c>
    </row>
    <row r="5352" spans="1:5" x14ac:dyDescent="0.2">
      <c r="A5352">
        <v>5352</v>
      </c>
      <c r="B5352" t="s">
        <v>1055</v>
      </c>
      <c r="C5352" t="s">
        <v>11694</v>
      </c>
      <c r="D5352" t="s">
        <v>11695</v>
      </c>
      <c r="E5352" t="s">
        <v>2590</v>
      </c>
    </row>
    <row r="5353" spans="1:5" x14ac:dyDescent="0.2">
      <c r="A5353">
        <v>5353</v>
      </c>
      <c r="B5353" t="s">
        <v>1055</v>
      </c>
      <c r="C5353" t="s">
        <v>11696</v>
      </c>
      <c r="D5353" t="s">
        <v>3511</v>
      </c>
      <c r="E5353" t="s">
        <v>2590</v>
      </c>
    </row>
    <row r="5354" spans="1:5" x14ac:dyDescent="0.2">
      <c r="A5354">
        <v>5354</v>
      </c>
      <c r="B5354" t="s">
        <v>1055</v>
      </c>
      <c r="C5354" t="s">
        <v>11697</v>
      </c>
      <c r="D5354" t="s">
        <v>11698</v>
      </c>
      <c r="E5354" t="s">
        <v>2590</v>
      </c>
    </row>
    <row r="5355" spans="1:5" x14ac:dyDescent="0.2">
      <c r="A5355">
        <v>5355</v>
      </c>
      <c r="B5355" t="s">
        <v>1055</v>
      </c>
      <c r="C5355" t="s">
        <v>11699</v>
      </c>
      <c r="D5355" t="s">
        <v>11700</v>
      </c>
      <c r="E5355" t="s">
        <v>2590</v>
      </c>
    </row>
    <row r="5356" spans="1:5" x14ac:dyDescent="0.2">
      <c r="A5356">
        <v>5356</v>
      </c>
      <c r="B5356" t="s">
        <v>1055</v>
      </c>
      <c r="C5356" t="s">
        <v>11701</v>
      </c>
      <c r="D5356" t="s">
        <v>11702</v>
      </c>
      <c r="E5356" t="s">
        <v>2590</v>
      </c>
    </row>
    <row r="5357" spans="1:5" x14ac:dyDescent="0.2">
      <c r="A5357">
        <v>5357</v>
      </c>
      <c r="B5357" t="s">
        <v>1057</v>
      </c>
      <c r="C5357" t="s">
        <v>11703</v>
      </c>
      <c r="D5357" t="s">
        <v>11704</v>
      </c>
      <c r="E5357" t="s">
        <v>2087</v>
      </c>
    </row>
    <row r="5358" spans="1:5" x14ac:dyDescent="0.2">
      <c r="A5358">
        <v>5358</v>
      </c>
      <c r="B5358" t="s">
        <v>1057</v>
      </c>
      <c r="C5358" t="s">
        <v>11705</v>
      </c>
      <c r="D5358" t="s">
        <v>11706</v>
      </c>
      <c r="E5358" t="s">
        <v>2087</v>
      </c>
    </row>
    <row r="5359" spans="1:5" x14ac:dyDescent="0.2">
      <c r="A5359">
        <v>5359</v>
      </c>
      <c r="B5359" t="s">
        <v>1057</v>
      </c>
      <c r="C5359" t="s">
        <v>11707</v>
      </c>
      <c r="D5359" t="s">
        <v>11708</v>
      </c>
      <c r="E5359" t="s">
        <v>2087</v>
      </c>
    </row>
    <row r="5360" spans="1:5" x14ac:dyDescent="0.2">
      <c r="A5360">
        <v>5360</v>
      </c>
      <c r="B5360" t="s">
        <v>1057</v>
      </c>
      <c r="C5360" t="s">
        <v>11709</v>
      </c>
      <c r="D5360" t="s">
        <v>11710</v>
      </c>
      <c r="E5360" t="s">
        <v>2087</v>
      </c>
    </row>
    <row r="5361" spans="1:5" x14ac:dyDescent="0.2">
      <c r="A5361">
        <v>5361</v>
      </c>
      <c r="B5361" t="s">
        <v>1057</v>
      </c>
      <c r="C5361" t="s">
        <v>11711</v>
      </c>
      <c r="D5361" t="s">
        <v>11712</v>
      </c>
      <c r="E5361" t="s">
        <v>2087</v>
      </c>
    </row>
    <row r="5362" spans="1:5" x14ac:dyDescent="0.2">
      <c r="A5362">
        <v>5362</v>
      </c>
      <c r="B5362" t="s">
        <v>1057</v>
      </c>
      <c r="C5362" t="s">
        <v>11713</v>
      </c>
      <c r="D5362" t="s">
        <v>11714</v>
      </c>
      <c r="E5362" t="s">
        <v>2087</v>
      </c>
    </row>
    <row r="5363" spans="1:5" x14ac:dyDescent="0.2">
      <c r="A5363">
        <v>5363</v>
      </c>
      <c r="B5363" t="s">
        <v>1057</v>
      </c>
      <c r="C5363" t="s">
        <v>11715</v>
      </c>
      <c r="D5363" t="s">
        <v>11716</v>
      </c>
      <c r="E5363" t="s">
        <v>2087</v>
      </c>
    </row>
    <row r="5364" spans="1:5" x14ac:dyDescent="0.2">
      <c r="A5364">
        <v>5364</v>
      </c>
      <c r="B5364" t="s">
        <v>1057</v>
      </c>
      <c r="C5364" t="s">
        <v>11717</v>
      </c>
      <c r="D5364" t="s">
        <v>11718</v>
      </c>
      <c r="E5364" t="s">
        <v>8683</v>
      </c>
    </row>
    <row r="5365" spans="1:5" x14ac:dyDescent="0.2">
      <c r="A5365">
        <v>5365</v>
      </c>
      <c r="B5365" t="s">
        <v>1057</v>
      </c>
      <c r="C5365" t="s">
        <v>11719</v>
      </c>
      <c r="D5365" t="s">
        <v>11720</v>
      </c>
      <c r="E5365" t="s">
        <v>2087</v>
      </c>
    </row>
    <row r="5366" spans="1:5" x14ac:dyDescent="0.2">
      <c r="A5366">
        <v>5366</v>
      </c>
      <c r="B5366" t="s">
        <v>1057</v>
      </c>
      <c r="C5366" t="s">
        <v>11721</v>
      </c>
      <c r="D5366" t="s">
        <v>11722</v>
      </c>
      <c r="E5366" t="s">
        <v>2087</v>
      </c>
    </row>
    <row r="5367" spans="1:5" x14ac:dyDescent="0.2">
      <c r="A5367">
        <v>5367</v>
      </c>
      <c r="B5367" t="s">
        <v>1057</v>
      </c>
      <c r="C5367" t="s">
        <v>11723</v>
      </c>
      <c r="D5367" t="s">
        <v>11724</v>
      </c>
      <c r="E5367" t="s">
        <v>2087</v>
      </c>
    </row>
    <row r="5368" spans="1:5" x14ac:dyDescent="0.2">
      <c r="A5368">
        <v>5368</v>
      </c>
      <c r="B5368" t="s">
        <v>1057</v>
      </c>
      <c r="C5368" t="s">
        <v>11725</v>
      </c>
      <c r="D5368" t="s">
        <v>11726</v>
      </c>
      <c r="E5368" t="s">
        <v>2046</v>
      </c>
    </row>
    <row r="5369" spans="1:5" x14ac:dyDescent="0.2">
      <c r="A5369">
        <v>5369</v>
      </c>
      <c r="B5369" t="s">
        <v>1057</v>
      </c>
      <c r="C5369" t="s">
        <v>11727</v>
      </c>
      <c r="D5369" t="s">
        <v>11726</v>
      </c>
      <c r="E5369" t="s">
        <v>2087</v>
      </c>
    </row>
    <row r="5370" spans="1:5" x14ac:dyDescent="0.2">
      <c r="A5370">
        <v>5370</v>
      </c>
      <c r="B5370" t="s">
        <v>1057</v>
      </c>
      <c r="C5370" t="s">
        <v>11728</v>
      </c>
      <c r="D5370" t="s">
        <v>11729</v>
      </c>
      <c r="E5370" t="s">
        <v>2087</v>
      </c>
    </row>
    <row r="5371" spans="1:5" x14ac:dyDescent="0.2">
      <c r="A5371">
        <v>5371</v>
      </c>
      <c r="B5371" t="s">
        <v>1059</v>
      </c>
      <c r="C5371" t="s">
        <v>11730</v>
      </c>
      <c r="D5371" t="s">
        <v>11731</v>
      </c>
      <c r="E5371" t="s">
        <v>1719</v>
      </c>
    </row>
    <row r="5372" spans="1:5" x14ac:dyDescent="0.2">
      <c r="A5372">
        <v>5372</v>
      </c>
      <c r="B5372" t="s">
        <v>1059</v>
      </c>
      <c r="C5372" t="s">
        <v>11732</v>
      </c>
      <c r="D5372" t="s">
        <v>11733</v>
      </c>
      <c r="E5372" t="s">
        <v>1719</v>
      </c>
    </row>
    <row r="5373" spans="1:5" x14ac:dyDescent="0.2">
      <c r="A5373">
        <v>5373</v>
      </c>
      <c r="B5373" t="s">
        <v>1059</v>
      </c>
      <c r="C5373" t="s">
        <v>11734</v>
      </c>
      <c r="D5373" t="s">
        <v>11735</v>
      </c>
      <c r="E5373" t="s">
        <v>1719</v>
      </c>
    </row>
    <row r="5374" spans="1:5" x14ac:dyDescent="0.2">
      <c r="A5374">
        <v>5374</v>
      </c>
      <c r="B5374" t="s">
        <v>1059</v>
      </c>
      <c r="C5374" t="s">
        <v>11736</v>
      </c>
      <c r="D5374" t="s">
        <v>11737</v>
      </c>
      <c r="E5374" t="s">
        <v>1719</v>
      </c>
    </row>
    <row r="5375" spans="1:5" x14ac:dyDescent="0.2">
      <c r="A5375">
        <v>5375</v>
      </c>
      <c r="B5375" t="s">
        <v>1059</v>
      </c>
      <c r="C5375" t="s">
        <v>11738</v>
      </c>
      <c r="D5375" t="s">
        <v>11739</v>
      </c>
      <c r="E5375" t="s">
        <v>1719</v>
      </c>
    </row>
    <row r="5376" spans="1:5" x14ac:dyDescent="0.2">
      <c r="A5376">
        <v>5376</v>
      </c>
      <c r="B5376" t="s">
        <v>1059</v>
      </c>
      <c r="C5376" t="s">
        <v>11740</v>
      </c>
      <c r="D5376" t="s">
        <v>11741</v>
      </c>
      <c r="E5376" t="s">
        <v>1719</v>
      </c>
    </row>
    <row r="5377" spans="1:5" x14ac:dyDescent="0.2">
      <c r="A5377">
        <v>5377</v>
      </c>
      <c r="B5377" t="s">
        <v>11742</v>
      </c>
      <c r="C5377" t="s">
        <v>11743</v>
      </c>
      <c r="D5377" t="s">
        <v>2744</v>
      </c>
      <c r="E5377" t="s">
        <v>2113</v>
      </c>
    </row>
    <row r="5378" spans="1:5" x14ac:dyDescent="0.2">
      <c r="A5378">
        <v>5378</v>
      </c>
      <c r="B5378" t="s">
        <v>11742</v>
      </c>
      <c r="C5378" t="s">
        <v>11744</v>
      </c>
      <c r="D5378" t="s">
        <v>11745</v>
      </c>
      <c r="E5378" t="s">
        <v>2113</v>
      </c>
    </row>
    <row r="5379" spans="1:5" x14ac:dyDescent="0.2">
      <c r="A5379">
        <v>5379</v>
      </c>
      <c r="B5379" t="s">
        <v>11742</v>
      </c>
      <c r="C5379" t="s">
        <v>11746</v>
      </c>
      <c r="D5379" t="s">
        <v>11747</v>
      </c>
      <c r="E5379" t="s">
        <v>2113</v>
      </c>
    </row>
    <row r="5380" spans="1:5" x14ac:dyDescent="0.2">
      <c r="A5380">
        <v>5380</v>
      </c>
      <c r="B5380" t="s">
        <v>11742</v>
      </c>
      <c r="C5380" t="s">
        <v>11748</v>
      </c>
      <c r="D5380" t="s">
        <v>11749</v>
      </c>
      <c r="E5380" t="s">
        <v>2113</v>
      </c>
    </row>
    <row r="5381" spans="1:5" x14ac:dyDescent="0.2">
      <c r="A5381">
        <v>5381</v>
      </c>
      <c r="B5381" t="s">
        <v>11742</v>
      </c>
      <c r="C5381" t="s">
        <v>11750</v>
      </c>
      <c r="D5381" t="s">
        <v>11751</v>
      </c>
      <c r="E5381" t="s">
        <v>2113</v>
      </c>
    </row>
    <row r="5382" spans="1:5" x14ac:dyDescent="0.2">
      <c r="A5382">
        <v>5382</v>
      </c>
      <c r="B5382" t="s">
        <v>11742</v>
      </c>
      <c r="C5382" t="s">
        <v>11752</v>
      </c>
      <c r="D5382" t="s">
        <v>3384</v>
      </c>
      <c r="E5382" t="s">
        <v>2113</v>
      </c>
    </row>
    <row r="5383" spans="1:5" x14ac:dyDescent="0.2">
      <c r="A5383">
        <v>5383</v>
      </c>
      <c r="B5383" t="s">
        <v>11742</v>
      </c>
      <c r="C5383" t="s">
        <v>11753</v>
      </c>
      <c r="D5383" t="s">
        <v>11754</v>
      </c>
      <c r="E5383" t="s">
        <v>2113</v>
      </c>
    </row>
    <row r="5384" spans="1:5" x14ac:dyDescent="0.2">
      <c r="A5384">
        <v>5384</v>
      </c>
      <c r="B5384" t="s">
        <v>11742</v>
      </c>
      <c r="C5384" t="s">
        <v>11755</v>
      </c>
      <c r="D5384" t="s">
        <v>11756</v>
      </c>
      <c r="E5384" t="s">
        <v>2113</v>
      </c>
    </row>
    <row r="5385" spans="1:5" x14ac:dyDescent="0.2">
      <c r="A5385">
        <v>5385</v>
      </c>
      <c r="B5385" t="s">
        <v>11742</v>
      </c>
      <c r="C5385" t="s">
        <v>11757</v>
      </c>
      <c r="D5385" t="s">
        <v>11758</v>
      </c>
      <c r="E5385" t="s">
        <v>2113</v>
      </c>
    </row>
    <row r="5386" spans="1:5" x14ac:dyDescent="0.2">
      <c r="A5386">
        <v>5386</v>
      </c>
      <c r="B5386" t="s">
        <v>11742</v>
      </c>
      <c r="C5386" t="s">
        <v>11759</v>
      </c>
      <c r="D5386" t="s">
        <v>11760</v>
      </c>
      <c r="E5386" t="s">
        <v>11761</v>
      </c>
    </row>
    <row r="5387" spans="1:5" x14ac:dyDescent="0.2">
      <c r="A5387">
        <v>5387</v>
      </c>
      <c r="B5387" t="s">
        <v>11742</v>
      </c>
      <c r="C5387" t="s">
        <v>11762</v>
      </c>
      <c r="D5387" t="s">
        <v>11763</v>
      </c>
      <c r="E5387" t="s">
        <v>3404</v>
      </c>
    </row>
    <row r="5388" spans="1:5" x14ac:dyDescent="0.2">
      <c r="A5388">
        <v>5388</v>
      </c>
      <c r="B5388" t="s">
        <v>11742</v>
      </c>
      <c r="C5388" t="s">
        <v>11764</v>
      </c>
      <c r="D5388" t="s">
        <v>11765</v>
      </c>
      <c r="E5388" t="s">
        <v>2113</v>
      </c>
    </row>
    <row r="5389" spans="1:5" x14ac:dyDescent="0.2">
      <c r="A5389">
        <v>5389</v>
      </c>
      <c r="B5389" t="s">
        <v>11742</v>
      </c>
      <c r="C5389" t="s">
        <v>11766</v>
      </c>
      <c r="D5389" t="s">
        <v>11767</v>
      </c>
      <c r="E5389" t="s">
        <v>2113</v>
      </c>
    </row>
    <row r="5390" spans="1:5" x14ac:dyDescent="0.2">
      <c r="A5390">
        <v>5390</v>
      </c>
      <c r="B5390" t="s">
        <v>11742</v>
      </c>
      <c r="C5390" t="s">
        <v>11768</v>
      </c>
      <c r="D5390" t="s">
        <v>11769</v>
      </c>
      <c r="E5390" t="s">
        <v>2113</v>
      </c>
    </row>
    <row r="5391" spans="1:5" x14ac:dyDescent="0.2">
      <c r="A5391">
        <v>5391</v>
      </c>
      <c r="B5391" t="s">
        <v>11742</v>
      </c>
      <c r="C5391" t="s">
        <v>11770</v>
      </c>
      <c r="D5391" t="s">
        <v>11771</v>
      </c>
      <c r="E5391" t="s">
        <v>2113</v>
      </c>
    </row>
    <row r="5392" spans="1:5" x14ac:dyDescent="0.2">
      <c r="A5392">
        <v>5392</v>
      </c>
      <c r="B5392" t="s">
        <v>11742</v>
      </c>
      <c r="C5392" t="s">
        <v>11772</v>
      </c>
      <c r="D5392" t="s">
        <v>11773</v>
      </c>
      <c r="E5392" t="s">
        <v>2113</v>
      </c>
    </row>
    <row r="5393" spans="1:5" x14ac:dyDescent="0.2">
      <c r="A5393">
        <v>5393</v>
      </c>
      <c r="B5393" t="s">
        <v>11742</v>
      </c>
      <c r="C5393" t="s">
        <v>11774</v>
      </c>
      <c r="D5393" t="s">
        <v>11775</v>
      </c>
      <c r="E5393" t="s">
        <v>2113</v>
      </c>
    </row>
    <row r="5394" spans="1:5" x14ac:dyDescent="0.2">
      <c r="A5394">
        <v>5394</v>
      </c>
      <c r="B5394" t="s">
        <v>11742</v>
      </c>
      <c r="C5394" t="s">
        <v>11776</v>
      </c>
      <c r="D5394" t="s">
        <v>11777</v>
      </c>
      <c r="E5394" t="s">
        <v>2113</v>
      </c>
    </row>
    <row r="5395" spans="1:5" x14ac:dyDescent="0.2">
      <c r="A5395">
        <v>5395</v>
      </c>
      <c r="B5395" t="s">
        <v>11742</v>
      </c>
      <c r="C5395" t="s">
        <v>11778</v>
      </c>
      <c r="D5395" t="s">
        <v>11779</v>
      </c>
      <c r="E5395" t="s">
        <v>2113</v>
      </c>
    </row>
    <row r="5396" spans="1:5" x14ac:dyDescent="0.2">
      <c r="A5396">
        <v>5396</v>
      </c>
      <c r="B5396" t="s">
        <v>11742</v>
      </c>
      <c r="C5396" t="s">
        <v>11780</v>
      </c>
      <c r="D5396" t="s">
        <v>3432</v>
      </c>
      <c r="E5396" t="s">
        <v>2113</v>
      </c>
    </row>
    <row r="5397" spans="1:5" x14ac:dyDescent="0.2">
      <c r="A5397">
        <v>5397</v>
      </c>
      <c r="B5397" t="s">
        <v>11742</v>
      </c>
      <c r="C5397" t="s">
        <v>11781</v>
      </c>
      <c r="D5397" t="s">
        <v>11782</v>
      </c>
      <c r="E5397" t="s">
        <v>2113</v>
      </c>
    </row>
    <row r="5398" spans="1:5" x14ac:dyDescent="0.2">
      <c r="A5398">
        <v>5398</v>
      </c>
      <c r="B5398" t="s">
        <v>11742</v>
      </c>
      <c r="C5398" t="s">
        <v>11783</v>
      </c>
      <c r="D5398" t="s">
        <v>11784</v>
      </c>
      <c r="E5398" t="s">
        <v>2113</v>
      </c>
    </row>
    <row r="5399" spans="1:5" x14ac:dyDescent="0.2">
      <c r="A5399">
        <v>5399</v>
      </c>
      <c r="B5399" t="s">
        <v>11742</v>
      </c>
      <c r="C5399" t="s">
        <v>11785</v>
      </c>
      <c r="D5399" t="s">
        <v>11786</v>
      </c>
      <c r="E5399" t="s">
        <v>2113</v>
      </c>
    </row>
    <row r="5400" spans="1:5" x14ac:dyDescent="0.2">
      <c r="A5400">
        <v>5400</v>
      </c>
      <c r="B5400" t="s">
        <v>11742</v>
      </c>
      <c r="C5400" t="s">
        <v>11787</v>
      </c>
      <c r="D5400" t="s">
        <v>11788</v>
      </c>
      <c r="E5400" t="s">
        <v>2113</v>
      </c>
    </row>
    <row r="5401" spans="1:5" x14ac:dyDescent="0.2">
      <c r="A5401">
        <v>5401</v>
      </c>
      <c r="B5401" t="s">
        <v>11742</v>
      </c>
      <c r="C5401" t="s">
        <v>11789</v>
      </c>
      <c r="D5401" t="s">
        <v>11790</v>
      </c>
      <c r="E5401" t="s">
        <v>2113</v>
      </c>
    </row>
    <row r="5402" spans="1:5" x14ac:dyDescent="0.2">
      <c r="A5402">
        <v>5402</v>
      </c>
      <c r="B5402" t="s">
        <v>1133</v>
      </c>
      <c r="C5402" t="s">
        <v>11791</v>
      </c>
      <c r="D5402" t="s">
        <v>11792</v>
      </c>
      <c r="E5402" t="s">
        <v>1719</v>
      </c>
    </row>
    <row r="5403" spans="1:5" x14ac:dyDescent="0.2">
      <c r="A5403">
        <v>5403</v>
      </c>
      <c r="B5403" t="s">
        <v>1133</v>
      </c>
      <c r="C5403" t="s">
        <v>11793</v>
      </c>
      <c r="D5403" t="s">
        <v>11794</v>
      </c>
      <c r="E5403" t="s">
        <v>1719</v>
      </c>
    </row>
    <row r="5404" spans="1:5" x14ac:dyDescent="0.2">
      <c r="A5404">
        <v>5404</v>
      </c>
      <c r="B5404" t="s">
        <v>1133</v>
      </c>
      <c r="C5404" t="s">
        <v>11795</v>
      </c>
      <c r="D5404" t="s">
        <v>11796</v>
      </c>
      <c r="E5404" t="s">
        <v>1719</v>
      </c>
    </row>
    <row r="5405" spans="1:5" x14ac:dyDescent="0.2">
      <c r="A5405">
        <v>5405</v>
      </c>
      <c r="B5405" t="s">
        <v>1133</v>
      </c>
      <c r="C5405" t="s">
        <v>11797</v>
      </c>
      <c r="D5405" t="s">
        <v>11798</v>
      </c>
      <c r="E5405" t="s">
        <v>1719</v>
      </c>
    </row>
    <row r="5406" spans="1:5" x14ac:dyDescent="0.2">
      <c r="A5406">
        <v>5406</v>
      </c>
      <c r="B5406" t="s">
        <v>1133</v>
      </c>
      <c r="C5406" t="s">
        <v>11799</v>
      </c>
      <c r="D5406" t="s">
        <v>11800</v>
      </c>
      <c r="E5406" t="s">
        <v>1719</v>
      </c>
    </row>
    <row r="5407" spans="1:5" x14ac:dyDescent="0.2">
      <c r="A5407">
        <v>5407</v>
      </c>
      <c r="B5407" t="s">
        <v>1133</v>
      </c>
      <c r="C5407" t="s">
        <v>11801</v>
      </c>
      <c r="D5407" t="s">
        <v>11802</v>
      </c>
      <c r="E5407" t="s">
        <v>1719</v>
      </c>
    </row>
    <row r="5408" spans="1:5" x14ac:dyDescent="0.2">
      <c r="A5408">
        <v>5408</v>
      </c>
      <c r="B5408" t="s">
        <v>1133</v>
      </c>
      <c r="C5408" t="s">
        <v>11803</v>
      </c>
      <c r="D5408" t="s">
        <v>11804</v>
      </c>
      <c r="E5408" t="s">
        <v>1719</v>
      </c>
    </row>
    <row r="5409" spans="1:5" x14ac:dyDescent="0.2">
      <c r="A5409">
        <v>5409</v>
      </c>
      <c r="B5409" t="s">
        <v>1133</v>
      </c>
      <c r="C5409" t="s">
        <v>11805</v>
      </c>
      <c r="D5409" t="s">
        <v>11806</v>
      </c>
      <c r="E5409" t="s">
        <v>1719</v>
      </c>
    </row>
    <row r="5410" spans="1:5" x14ac:dyDescent="0.2">
      <c r="A5410">
        <v>5410</v>
      </c>
      <c r="B5410" t="s">
        <v>1133</v>
      </c>
      <c r="C5410" t="s">
        <v>11807</v>
      </c>
      <c r="D5410" t="s">
        <v>11808</v>
      </c>
      <c r="E5410" t="s">
        <v>1719</v>
      </c>
    </row>
    <row r="5411" spans="1:5" x14ac:dyDescent="0.2">
      <c r="A5411">
        <v>5411</v>
      </c>
      <c r="B5411" t="s">
        <v>1133</v>
      </c>
      <c r="C5411" t="s">
        <v>11809</v>
      </c>
      <c r="D5411" t="s">
        <v>11810</v>
      </c>
      <c r="E5411" t="s">
        <v>1719</v>
      </c>
    </row>
    <row r="5412" spans="1:5" x14ac:dyDescent="0.2">
      <c r="A5412">
        <v>5412</v>
      </c>
      <c r="B5412" t="s">
        <v>1133</v>
      </c>
      <c r="C5412" t="s">
        <v>11811</v>
      </c>
      <c r="D5412" t="s">
        <v>11812</v>
      </c>
      <c r="E5412" t="s">
        <v>1719</v>
      </c>
    </row>
    <row r="5413" spans="1:5" x14ac:dyDescent="0.2">
      <c r="A5413">
        <v>5413</v>
      </c>
      <c r="B5413" t="s">
        <v>1133</v>
      </c>
      <c r="C5413" t="s">
        <v>11813</v>
      </c>
      <c r="D5413" t="s">
        <v>11814</v>
      </c>
      <c r="E5413" t="s">
        <v>1719</v>
      </c>
    </row>
    <row r="5414" spans="1:5" x14ac:dyDescent="0.2">
      <c r="A5414">
        <v>5414</v>
      </c>
      <c r="B5414" t="s">
        <v>1133</v>
      </c>
      <c r="C5414" t="s">
        <v>11815</v>
      </c>
      <c r="D5414" t="s">
        <v>11816</v>
      </c>
      <c r="E5414" t="s">
        <v>2164</v>
      </c>
    </row>
    <row r="5415" spans="1:5" x14ac:dyDescent="0.2">
      <c r="A5415">
        <v>5415</v>
      </c>
      <c r="B5415" t="s">
        <v>1133</v>
      </c>
      <c r="C5415" t="s">
        <v>11817</v>
      </c>
      <c r="D5415" t="s">
        <v>11818</v>
      </c>
      <c r="E5415" t="s">
        <v>1719</v>
      </c>
    </row>
    <row r="5416" spans="1:5" x14ac:dyDescent="0.2">
      <c r="A5416">
        <v>5416</v>
      </c>
      <c r="B5416" t="s">
        <v>1133</v>
      </c>
      <c r="C5416" t="s">
        <v>11819</v>
      </c>
      <c r="D5416" t="s">
        <v>11820</v>
      </c>
      <c r="E5416" t="s">
        <v>2164</v>
      </c>
    </row>
    <row r="5417" spans="1:5" x14ac:dyDescent="0.2">
      <c r="A5417">
        <v>5417</v>
      </c>
      <c r="B5417" t="s">
        <v>1133</v>
      </c>
      <c r="C5417" t="s">
        <v>11821</v>
      </c>
      <c r="D5417" t="s">
        <v>11822</v>
      </c>
      <c r="E5417" t="s">
        <v>1719</v>
      </c>
    </row>
    <row r="5418" spans="1:5" x14ac:dyDescent="0.2">
      <c r="A5418">
        <v>5418</v>
      </c>
      <c r="B5418" t="s">
        <v>1133</v>
      </c>
      <c r="C5418" t="s">
        <v>11823</v>
      </c>
      <c r="D5418" t="s">
        <v>11824</v>
      </c>
      <c r="E5418" t="s">
        <v>1719</v>
      </c>
    </row>
    <row r="5419" spans="1:5" x14ac:dyDescent="0.2">
      <c r="A5419">
        <v>5419</v>
      </c>
      <c r="B5419" t="s">
        <v>1133</v>
      </c>
      <c r="C5419" t="s">
        <v>11825</v>
      </c>
      <c r="D5419" t="s">
        <v>11826</v>
      </c>
      <c r="E5419" t="s">
        <v>1719</v>
      </c>
    </row>
    <row r="5420" spans="1:5" x14ac:dyDescent="0.2">
      <c r="A5420">
        <v>5420</v>
      </c>
      <c r="B5420" t="s">
        <v>1133</v>
      </c>
      <c r="C5420" t="s">
        <v>11827</v>
      </c>
      <c r="D5420" t="s">
        <v>11828</v>
      </c>
      <c r="E5420" t="s">
        <v>1719</v>
      </c>
    </row>
    <row r="5421" spans="1:5" x14ac:dyDescent="0.2">
      <c r="A5421">
        <v>5421</v>
      </c>
      <c r="B5421" t="s">
        <v>1133</v>
      </c>
      <c r="C5421" t="s">
        <v>11829</v>
      </c>
      <c r="D5421" t="s">
        <v>11830</v>
      </c>
      <c r="E5421" t="s">
        <v>1719</v>
      </c>
    </row>
    <row r="5422" spans="1:5" x14ac:dyDescent="0.2">
      <c r="A5422">
        <v>5422</v>
      </c>
      <c r="B5422" t="s">
        <v>1133</v>
      </c>
      <c r="C5422" t="s">
        <v>11831</v>
      </c>
      <c r="D5422" t="s">
        <v>11832</v>
      </c>
      <c r="E5422" t="s">
        <v>1719</v>
      </c>
    </row>
    <row r="5423" spans="1:5" x14ac:dyDescent="0.2">
      <c r="A5423">
        <v>5423</v>
      </c>
      <c r="B5423" t="s">
        <v>1133</v>
      </c>
      <c r="C5423" t="s">
        <v>11833</v>
      </c>
      <c r="D5423" t="s">
        <v>11834</v>
      </c>
      <c r="E5423" t="s">
        <v>1719</v>
      </c>
    </row>
    <row r="5424" spans="1:5" x14ac:dyDescent="0.2">
      <c r="A5424">
        <v>5424</v>
      </c>
      <c r="B5424" t="s">
        <v>1133</v>
      </c>
      <c r="C5424" t="s">
        <v>11835</v>
      </c>
      <c r="D5424" t="s">
        <v>11836</v>
      </c>
      <c r="E5424" t="s">
        <v>1719</v>
      </c>
    </row>
    <row r="5425" spans="1:5" x14ac:dyDescent="0.2">
      <c r="A5425">
        <v>5425</v>
      </c>
      <c r="B5425" t="s">
        <v>1133</v>
      </c>
      <c r="C5425" t="s">
        <v>11837</v>
      </c>
      <c r="D5425" t="s">
        <v>11838</v>
      </c>
      <c r="E5425" t="s">
        <v>2164</v>
      </c>
    </row>
    <row r="5426" spans="1:5" x14ac:dyDescent="0.2">
      <c r="A5426">
        <v>5426</v>
      </c>
      <c r="B5426" t="s">
        <v>1133</v>
      </c>
      <c r="C5426" t="s">
        <v>11839</v>
      </c>
      <c r="D5426" t="s">
        <v>11840</v>
      </c>
      <c r="E5426" t="s">
        <v>1719</v>
      </c>
    </row>
    <row r="5427" spans="1:5" x14ac:dyDescent="0.2">
      <c r="A5427">
        <v>5427</v>
      </c>
      <c r="B5427" t="s">
        <v>1133</v>
      </c>
      <c r="C5427" t="s">
        <v>11841</v>
      </c>
      <c r="D5427" t="s">
        <v>11842</v>
      </c>
      <c r="E5427" t="s">
        <v>1719</v>
      </c>
    </row>
    <row r="5428" spans="1:5" x14ac:dyDescent="0.2">
      <c r="A5428">
        <v>5428</v>
      </c>
      <c r="B5428" t="s">
        <v>1133</v>
      </c>
      <c r="C5428" t="s">
        <v>11843</v>
      </c>
      <c r="D5428" t="s">
        <v>11844</v>
      </c>
      <c r="E5428" t="s">
        <v>1719</v>
      </c>
    </row>
    <row r="5429" spans="1:5" x14ac:dyDescent="0.2">
      <c r="A5429">
        <v>5429</v>
      </c>
      <c r="B5429" t="s">
        <v>1133</v>
      </c>
      <c r="C5429" t="s">
        <v>11845</v>
      </c>
      <c r="D5429" t="s">
        <v>11846</v>
      </c>
      <c r="E5429" t="s">
        <v>2164</v>
      </c>
    </row>
    <row r="5430" spans="1:5" x14ac:dyDescent="0.2">
      <c r="A5430">
        <v>5430</v>
      </c>
      <c r="B5430" t="s">
        <v>1133</v>
      </c>
      <c r="C5430" t="s">
        <v>11847</v>
      </c>
      <c r="D5430" t="s">
        <v>11848</v>
      </c>
      <c r="E5430" t="s">
        <v>1719</v>
      </c>
    </row>
    <row r="5431" spans="1:5" x14ac:dyDescent="0.2">
      <c r="A5431">
        <v>5431</v>
      </c>
      <c r="B5431" t="s">
        <v>1133</v>
      </c>
      <c r="C5431" t="s">
        <v>11849</v>
      </c>
      <c r="D5431" t="s">
        <v>11850</v>
      </c>
      <c r="E5431" t="s">
        <v>2164</v>
      </c>
    </row>
    <row r="5432" spans="1:5" x14ac:dyDescent="0.2">
      <c r="A5432">
        <v>5432</v>
      </c>
      <c r="B5432" t="s">
        <v>1133</v>
      </c>
      <c r="C5432" t="s">
        <v>11851</v>
      </c>
      <c r="D5432" t="s">
        <v>11852</v>
      </c>
      <c r="E5432" t="s">
        <v>1719</v>
      </c>
    </row>
    <row r="5433" spans="1:5" x14ac:dyDescent="0.2">
      <c r="A5433">
        <v>5433</v>
      </c>
      <c r="B5433" t="s">
        <v>1133</v>
      </c>
      <c r="C5433" t="s">
        <v>11853</v>
      </c>
      <c r="D5433" t="s">
        <v>11854</v>
      </c>
      <c r="E5433" t="s">
        <v>1719</v>
      </c>
    </row>
    <row r="5434" spans="1:5" x14ac:dyDescent="0.2">
      <c r="A5434">
        <v>5434</v>
      </c>
      <c r="B5434" t="s">
        <v>1133</v>
      </c>
      <c r="C5434" t="s">
        <v>11855</v>
      </c>
      <c r="D5434" t="s">
        <v>11856</v>
      </c>
      <c r="E5434" t="s">
        <v>1719</v>
      </c>
    </row>
    <row r="5435" spans="1:5" x14ac:dyDescent="0.2">
      <c r="A5435">
        <v>5435</v>
      </c>
      <c r="B5435" t="s">
        <v>1133</v>
      </c>
      <c r="C5435" t="s">
        <v>11857</v>
      </c>
      <c r="D5435" t="s">
        <v>11858</v>
      </c>
      <c r="E5435" t="s">
        <v>1719</v>
      </c>
    </row>
    <row r="5436" spans="1:5" x14ac:dyDescent="0.2">
      <c r="A5436">
        <v>5436</v>
      </c>
      <c r="B5436" t="s">
        <v>1133</v>
      </c>
      <c r="C5436" t="s">
        <v>11859</v>
      </c>
      <c r="D5436" t="s">
        <v>11860</v>
      </c>
      <c r="E5436" t="s">
        <v>1719</v>
      </c>
    </row>
    <row r="5437" spans="1:5" x14ac:dyDescent="0.2">
      <c r="A5437">
        <v>5437</v>
      </c>
      <c r="B5437" t="s">
        <v>1133</v>
      </c>
      <c r="C5437" t="s">
        <v>11861</v>
      </c>
      <c r="D5437" t="s">
        <v>11862</v>
      </c>
      <c r="E5437" t="s">
        <v>1719</v>
      </c>
    </row>
    <row r="5438" spans="1:5" x14ac:dyDescent="0.2">
      <c r="A5438">
        <v>5438</v>
      </c>
      <c r="B5438" t="s">
        <v>1133</v>
      </c>
      <c r="C5438" t="s">
        <v>11863</v>
      </c>
      <c r="D5438" t="s">
        <v>11864</v>
      </c>
      <c r="E5438" t="s">
        <v>1719</v>
      </c>
    </row>
    <row r="5439" spans="1:5" x14ac:dyDescent="0.2">
      <c r="A5439">
        <v>5439</v>
      </c>
      <c r="B5439" t="s">
        <v>1133</v>
      </c>
      <c r="C5439" t="s">
        <v>11865</v>
      </c>
      <c r="D5439" t="s">
        <v>11866</v>
      </c>
      <c r="E5439" t="s">
        <v>1719</v>
      </c>
    </row>
    <row r="5440" spans="1:5" x14ac:dyDescent="0.2">
      <c r="A5440">
        <v>5440</v>
      </c>
      <c r="B5440" t="s">
        <v>1133</v>
      </c>
      <c r="C5440" t="s">
        <v>11867</v>
      </c>
      <c r="D5440" t="s">
        <v>11868</v>
      </c>
      <c r="E5440" t="s">
        <v>1719</v>
      </c>
    </row>
    <row r="5441" spans="1:5" x14ac:dyDescent="0.2">
      <c r="A5441">
        <v>5441</v>
      </c>
      <c r="B5441" t="s">
        <v>1133</v>
      </c>
      <c r="C5441" t="s">
        <v>11869</v>
      </c>
      <c r="D5441" t="s">
        <v>11870</v>
      </c>
      <c r="E5441" t="s">
        <v>1719</v>
      </c>
    </row>
    <row r="5442" spans="1:5" x14ac:dyDescent="0.2">
      <c r="A5442">
        <v>5442</v>
      </c>
      <c r="B5442" t="s">
        <v>1133</v>
      </c>
      <c r="C5442" t="s">
        <v>11871</v>
      </c>
      <c r="D5442" t="s">
        <v>11872</v>
      </c>
      <c r="E5442" t="s">
        <v>1719</v>
      </c>
    </row>
    <row r="5443" spans="1:5" x14ac:dyDescent="0.2">
      <c r="A5443">
        <v>5443</v>
      </c>
      <c r="B5443" t="s">
        <v>1133</v>
      </c>
      <c r="C5443" t="s">
        <v>11873</v>
      </c>
      <c r="D5443" t="s">
        <v>11874</v>
      </c>
      <c r="E5443" t="s">
        <v>1719</v>
      </c>
    </row>
    <row r="5444" spans="1:5" x14ac:dyDescent="0.2">
      <c r="A5444">
        <v>5444</v>
      </c>
      <c r="B5444" t="s">
        <v>1133</v>
      </c>
      <c r="C5444" t="s">
        <v>11875</v>
      </c>
      <c r="D5444" t="s">
        <v>11876</v>
      </c>
      <c r="E5444" t="s">
        <v>1719</v>
      </c>
    </row>
    <row r="5445" spans="1:5" x14ac:dyDescent="0.2">
      <c r="A5445">
        <v>5445</v>
      </c>
      <c r="B5445" t="s">
        <v>1133</v>
      </c>
      <c r="C5445" t="s">
        <v>11877</v>
      </c>
      <c r="D5445" t="s">
        <v>11878</v>
      </c>
      <c r="E5445" t="s">
        <v>1719</v>
      </c>
    </row>
    <row r="5446" spans="1:5" x14ac:dyDescent="0.2">
      <c r="A5446">
        <v>5446</v>
      </c>
      <c r="B5446" t="s">
        <v>1133</v>
      </c>
      <c r="C5446" t="s">
        <v>11879</v>
      </c>
      <c r="D5446" t="s">
        <v>11880</v>
      </c>
      <c r="E5446" t="s">
        <v>1719</v>
      </c>
    </row>
    <row r="5447" spans="1:5" x14ac:dyDescent="0.2">
      <c r="A5447">
        <v>5447</v>
      </c>
      <c r="B5447" t="s">
        <v>1133</v>
      </c>
      <c r="C5447" t="s">
        <v>11881</v>
      </c>
      <c r="D5447" t="s">
        <v>11882</v>
      </c>
      <c r="E5447" t="s">
        <v>1719</v>
      </c>
    </row>
    <row r="5448" spans="1:5" x14ac:dyDescent="0.2">
      <c r="A5448">
        <v>5448</v>
      </c>
      <c r="B5448" t="s">
        <v>1133</v>
      </c>
      <c r="C5448" t="s">
        <v>11883</v>
      </c>
      <c r="D5448" t="s">
        <v>11884</v>
      </c>
      <c r="E5448" t="s">
        <v>1719</v>
      </c>
    </row>
    <row r="5449" spans="1:5" x14ac:dyDescent="0.2">
      <c r="A5449">
        <v>5449</v>
      </c>
      <c r="B5449" t="s">
        <v>1133</v>
      </c>
      <c r="C5449" t="s">
        <v>11885</v>
      </c>
      <c r="D5449" t="s">
        <v>11886</v>
      </c>
      <c r="E5449" t="s">
        <v>1719</v>
      </c>
    </row>
    <row r="5450" spans="1:5" x14ac:dyDescent="0.2">
      <c r="A5450">
        <v>5450</v>
      </c>
      <c r="B5450" t="s">
        <v>1133</v>
      </c>
      <c r="C5450" t="s">
        <v>11887</v>
      </c>
      <c r="D5450" t="s">
        <v>11888</v>
      </c>
      <c r="E5450" t="s">
        <v>1719</v>
      </c>
    </row>
    <row r="5451" spans="1:5" x14ac:dyDescent="0.2">
      <c r="A5451">
        <v>5451</v>
      </c>
      <c r="B5451" t="s">
        <v>1133</v>
      </c>
      <c r="C5451" t="s">
        <v>11889</v>
      </c>
      <c r="D5451" t="s">
        <v>11890</v>
      </c>
      <c r="E5451" t="s">
        <v>1719</v>
      </c>
    </row>
    <row r="5452" spans="1:5" x14ac:dyDescent="0.2">
      <c r="A5452">
        <v>5452</v>
      </c>
      <c r="B5452" t="s">
        <v>1133</v>
      </c>
      <c r="C5452" t="s">
        <v>11891</v>
      </c>
      <c r="D5452" t="s">
        <v>11892</v>
      </c>
      <c r="E5452" t="s">
        <v>1719</v>
      </c>
    </row>
    <row r="5453" spans="1:5" x14ac:dyDescent="0.2">
      <c r="A5453">
        <v>5453</v>
      </c>
      <c r="B5453" t="s">
        <v>1133</v>
      </c>
      <c r="C5453" t="s">
        <v>11893</v>
      </c>
      <c r="D5453" t="s">
        <v>11894</v>
      </c>
      <c r="E5453" t="s">
        <v>1719</v>
      </c>
    </row>
    <row r="5454" spans="1:5" x14ac:dyDescent="0.2">
      <c r="A5454">
        <v>5454</v>
      </c>
      <c r="B5454" t="s">
        <v>1133</v>
      </c>
      <c r="C5454" t="s">
        <v>11895</v>
      </c>
      <c r="D5454" t="s">
        <v>11896</v>
      </c>
      <c r="E5454" t="s">
        <v>1719</v>
      </c>
    </row>
    <row r="5455" spans="1:5" x14ac:dyDescent="0.2">
      <c r="A5455">
        <v>5455</v>
      </c>
      <c r="B5455" t="s">
        <v>1133</v>
      </c>
      <c r="C5455" t="s">
        <v>11897</v>
      </c>
      <c r="D5455" t="s">
        <v>11898</v>
      </c>
      <c r="E5455" t="s">
        <v>1719</v>
      </c>
    </row>
    <row r="5456" spans="1:5" x14ac:dyDescent="0.2">
      <c r="A5456">
        <v>5456</v>
      </c>
      <c r="B5456" t="s">
        <v>1133</v>
      </c>
      <c r="C5456" t="s">
        <v>11899</v>
      </c>
      <c r="D5456" t="s">
        <v>11900</v>
      </c>
      <c r="E5456" t="s">
        <v>1719</v>
      </c>
    </row>
    <row r="5457" spans="1:5" x14ac:dyDescent="0.2">
      <c r="A5457">
        <v>5457</v>
      </c>
      <c r="B5457" t="s">
        <v>1133</v>
      </c>
      <c r="C5457" t="s">
        <v>11901</v>
      </c>
      <c r="D5457" t="s">
        <v>11902</v>
      </c>
      <c r="E5457" t="s">
        <v>1719</v>
      </c>
    </row>
    <row r="5458" spans="1:5" x14ac:dyDescent="0.2">
      <c r="A5458">
        <v>5458</v>
      </c>
      <c r="B5458" t="s">
        <v>1133</v>
      </c>
      <c r="C5458" t="s">
        <v>11903</v>
      </c>
      <c r="D5458" t="s">
        <v>11904</v>
      </c>
      <c r="E5458" t="s">
        <v>1719</v>
      </c>
    </row>
    <row r="5459" spans="1:5" x14ac:dyDescent="0.2">
      <c r="A5459">
        <v>5459</v>
      </c>
      <c r="B5459" t="s">
        <v>1133</v>
      </c>
      <c r="C5459" t="s">
        <v>11905</v>
      </c>
      <c r="D5459" t="s">
        <v>11906</v>
      </c>
      <c r="E5459" t="s">
        <v>1719</v>
      </c>
    </row>
    <row r="5460" spans="1:5" x14ac:dyDescent="0.2">
      <c r="A5460">
        <v>5460</v>
      </c>
      <c r="B5460" t="s">
        <v>1133</v>
      </c>
      <c r="C5460" t="s">
        <v>11907</v>
      </c>
      <c r="D5460" t="s">
        <v>11908</v>
      </c>
      <c r="E5460" t="s">
        <v>1719</v>
      </c>
    </row>
    <row r="5461" spans="1:5" x14ac:dyDescent="0.2">
      <c r="A5461">
        <v>5461</v>
      </c>
      <c r="B5461" t="s">
        <v>1133</v>
      </c>
      <c r="C5461" t="s">
        <v>11909</v>
      </c>
      <c r="D5461" t="s">
        <v>11910</v>
      </c>
      <c r="E5461" t="s">
        <v>1719</v>
      </c>
    </row>
    <row r="5462" spans="1:5" x14ac:dyDescent="0.2">
      <c r="A5462">
        <v>5462</v>
      </c>
      <c r="B5462" t="s">
        <v>1133</v>
      </c>
      <c r="C5462" t="s">
        <v>11911</v>
      </c>
      <c r="D5462" t="s">
        <v>11912</v>
      </c>
      <c r="E5462" t="s">
        <v>1719</v>
      </c>
    </row>
    <row r="5463" spans="1:5" x14ac:dyDescent="0.2">
      <c r="A5463">
        <v>5463</v>
      </c>
      <c r="B5463" t="s">
        <v>1133</v>
      </c>
      <c r="C5463" t="s">
        <v>11913</v>
      </c>
      <c r="D5463" t="s">
        <v>11914</v>
      </c>
      <c r="E5463" t="s">
        <v>1719</v>
      </c>
    </row>
    <row r="5464" spans="1:5" x14ac:dyDescent="0.2">
      <c r="A5464">
        <v>5464</v>
      </c>
      <c r="B5464" t="s">
        <v>1133</v>
      </c>
      <c r="C5464" t="s">
        <v>11915</v>
      </c>
      <c r="D5464" t="s">
        <v>11916</v>
      </c>
      <c r="E5464" t="s">
        <v>1719</v>
      </c>
    </row>
    <row r="5465" spans="1:5" x14ac:dyDescent="0.2">
      <c r="A5465">
        <v>5465</v>
      </c>
      <c r="B5465" t="s">
        <v>1133</v>
      </c>
      <c r="C5465" t="s">
        <v>11917</v>
      </c>
      <c r="D5465" t="s">
        <v>11918</v>
      </c>
      <c r="E5465" t="s">
        <v>1719</v>
      </c>
    </row>
    <row r="5466" spans="1:5" x14ac:dyDescent="0.2">
      <c r="A5466">
        <v>5466</v>
      </c>
      <c r="B5466" t="s">
        <v>1081</v>
      </c>
      <c r="C5466" t="s">
        <v>11919</v>
      </c>
      <c r="D5466" t="s">
        <v>11920</v>
      </c>
      <c r="E5466" t="s">
        <v>2365</v>
      </c>
    </row>
    <row r="5467" spans="1:5" x14ac:dyDescent="0.2">
      <c r="A5467">
        <v>5467</v>
      </c>
      <c r="B5467" t="s">
        <v>1081</v>
      </c>
      <c r="C5467" t="s">
        <v>11921</v>
      </c>
      <c r="D5467" t="s">
        <v>11922</v>
      </c>
      <c r="E5467" t="s">
        <v>2365</v>
      </c>
    </row>
    <row r="5468" spans="1:5" x14ac:dyDescent="0.2">
      <c r="A5468">
        <v>5468</v>
      </c>
      <c r="B5468" t="s">
        <v>1081</v>
      </c>
      <c r="C5468" t="s">
        <v>11923</v>
      </c>
      <c r="D5468" t="s">
        <v>11924</v>
      </c>
      <c r="E5468" t="s">
        <v>2365</v>
      </c>
    </row>
    <row r="5469" spans="1:5" x14ac:dyDescent="0.2">
      <c r="A5469">
        <v>5469</v>
      </c>
      <c r="B5469" t="s">
        <v>1081</v>
      </c>
      <c r="C5469" t="s">
        <v>11925</v>
      </c>
      <c r="D5469" t="s">
        <v>11926</v>
      </c>
      <c r="E5469" t="s">
        <v>2365</v>
      </c>
    </row>
    <row r="5470" spans="1:5" x14ac:dyDescent="0.2">
      <c r="A5470">
        <v>5470</v>
      </c>
      <c r="B5470" t="s">
        <v>1081</v>
      </c>
      <c r="C5470" t="s">
        <v>11927</v>
      </c>
      <c r="D5470" t="s">
        <v>11928</v>
      </c>
      <c r="E5470" t="s">
        <v>2365</v>
      </c>
    </row>
    <row r="5471" spans="1:5" x14ac:dyDescent="0.2">
      <c r="A5471">
        <v>5471</v>
      </c>
      <c r="B5471" t="s">
        <v>1081</v>
      </c>
      <c r="C5471" t="s">
        <v>11929</v>
      </c>
      <c r="D5471" t="s">
        <v>8980</v>
      </c>
      <c r="E5471" t="s">
        <v>2365</v>
      </c>
    </row>
    <row r="5472" spans="1:5" x14ac:dyDescent="0.2">
      <c r="A5472">
        <v>5472</v>
      </c>
      <c r="B5472" t="s">
        <v>1081</v>
      </c>
      <c r="C5472" t="s">
        <v>11930</v>
      </c>
      <c r="D5472" t="s">
        <v>11931</v>
      </c>
      <c r="E5472" t="s">
        <v>2365</v>
      </c>
    </row>
    <row r="5473" spans="1:5" x14ac:dyDescent="0.2">
      <c r="A5473">
        <v>5473</v>
      </c>
      <c r="B5473" t="s">
        <v>1081</v>
      </c>
      <c r="C5473" t="s">
        <v>11932</v>
      </c>
      <c r="D5473" t="s">
        <v>11933</v>
      </c>
      <c r="E5473" t="s">
        <v>2365</v>
      </c>
    </row>
    <row r="5474" spans="1:5" x14ac:dyDescent="0.2">
      <c r="A5474">
        <v>5474</v>
      </c>
      <c r="B5474" t="s">
        <v>1081</v>
      </c>
      <c r="C5474" t="s">
        <v>11934</v>
      </c>
      <c r="D5474" t="s">
        <v>11935</v>
      </c>
      <c r="E5474" t="s">
        <v>2365</v>
      </c>
    </row>
    <row r="5475" spans="1:5" x14ac:dyDescent="0.2">
      <c r="A5475">
        <v>5475</v>
      </c>
      <c r="B5475" t="s">
        <v>1081</v>
      </c>
      <c r="C5475" t="s">
        <v>11936</v>
      </c>
      <c r="D5475" t="s">
        <v>11937</v>
      </c>
      <c r="E5475" t="s">
        <v>2365</v>
      </c>
    </row>
    <row r="5476" spans="1:5" x14ac:dyDescent="0.2">
      <c r="A5476">
        <v>5476</v>
      </c>
      <c r="B5476" t="s">
        <v>1081</v>
      </c>
      <c r="C5476" t="s">
        <v>11938</v>
      </c>
      <c r="D5476" t="s">
        <v>11939</v>
      </c>
      <c r="E5476" t="s">
        <v>2365</v>
      </c>
    </row>
    <row r="5477" spans="1:5" x14ac:dyDescent="0.2">
      <c r="A5477">
        <v>5477</v>
      </c>
      <c r="B5477" t="s">
        <v>1081</v>
      </c>
      <c r="C5477" t="s">
        <v>11940</v>
      </c>
      <c r="D5477" t="s">
        <v>11941</v>
      </c>
      <c r="E5477" t="s">
        <v>2365</v>
      </c>
    </row>
    <row r="5478" spans="1:5" x14ac:dyDescent="0.2">
      <c r="A5478">
        <v>5478</v>
      </c>
      <c r="B5478" t="s">
        <v>1081</v>
      </c>
      <c r="C5478" t="s">
        <v>11942</v>
      </c>
      <c r="D5478" t="s">
        <v>11943</v>
      </c>
      <c r="E5478" t="s">
        <v>2365</v>
      </c>
    </row>
    <row r="5479" spans="1:5" x14ac:dyDescent="0.2">
      <c r="A5479">
        <v>5479</v>
      </c>
      <c r="B5479" t="s">
        <v>1081</v>
      </c>
      <c r="C5479" t="s">
        <v>11944</v>
      </c>
      <c r="D5479" t="s">
        <v>11945</v>
      </c>
      <c r="E5479" t="s">
        <v>2365</v>
      </c>
    </row>
    <row r="5480" spans="1:5" x14ac:dyDescent="0.2">
      <c r="A5480">
        <v>5480</v>
      </c>
      <c r="B5480" t="s">
        <v>1081</v>
      </c>
      <c r="C5480" t="s">
        <v>11946</v>
      </c>
      <c r="D5480" t="s">
        <v>11947</v>
      </c>
      <c r="E5480" t="s">
        <v>2365</v>
      </c>
    </row>
    <row r="5481" spans="1:5" x14ac:dyDescent="0.2">
      <c r="A5481">
        <v>5481</v>
      </c>
      <c r="B5481" t="s">
        <v>1081</v>
      </c>
      <c r="C5481" t="s">
        <v>11948</v>
      </c>
      <c r="D5481" t="s">
        <v>11949</v>
      </c>
      <c r="E5481" t="s">
        <v>2365</v>
      </c>
    </row>
    <row r="5482" spans="1:5" x14ac:dyDescent="0.2">
      <c r="A5482">
        <v>5482</v>
      </c>
      <c r="B5482" t="s">
        <v>1081</v>
      </c>
      <c r="C5482" t="s">
        <v>11950</v>
      </c>
      <c r="D5482" t="s">
        <v>11951</v>
      </c>
      <c r="E5482" t="s">
        <v>2365</v>
      </c>
    </row>
    <row r="5483" spans="1:5" x14ac:dyDescent="0.2">
      <c r="A5483">
        <v>5483</v>
      </c>
      <c r="B5483" t="s">
        <v>1081</v>
      </c>
      <c r="C5483" t="s">
        <v>11952</v>
      </c>
      <c r="D5483" t="s">
        <v>11953</v>
      </c>
      <c r="E5483" t="s">
        <v>2164</v>
      </c>
    </row>
    <row r="5484" spans="1:5" x14ac:dyDescent="0.2">
      <c r="A5484">
        <v>5484</v>
      </c>
      <c r="B5484" t="s">
        <v>1081</v>
      </c>
      <c r="C5484" t="s">
        <v>11954</v>
      </c>
      <c r="D5484" t="s">
        <v>11955</v>
      </c>
      <c r="E5484" t="s">
        <v>2365</v>
      </c>
    </row>
    <row r="5485" spans="1:5" x14ac:dyDescent="0.2">
      <c r="A5485">
        <v>5485</v>
      </c>
      <c r="B5485" t="s">
        <v>1081</v>
      </c>
      <c r="C5485" t="s">
        <v>11956</v>
      </c>
      <c r="D5485" t="s">
        <v>11957</v>
      </c>
      <c r="E5485" t="s">
        <v>2365</v>
      </c>
    </row>
    <row r="5486" spans="1:5" x14ac:dyDescent="0.2">
      <c r="A5486">
        <v>5486</v>
      </c>
      <c r="B5486" t="s">
        <v>1081</v>
      </c>
      <c r="C5486" t="s">
        <v>11958</v>
      </c>
      <c r="D5486" t="s">
        <v>11959</v>
      </c>
      <c r="E5486" t="s">
        <v>2365</v>
      </c>
    </row>
    <row r="5487" spans="1:5" x14ac:dyDescent="0.2">
      <c r="A5487">
        <v>5487</v>
      </c>
      <c r="B5487" t="s">
        <v>1083</v>
      </c>
      <c r="C5487" t="s">
        <v>11960</v>
      </c>
      <c r="D5487" t="s">
        <v>2720</v>
      </c>
      <c r="E5487" t="s">
        <v>1719</v>
      </c>
    </row>
    <row r="5488" spans="1:5" x14ac:dyDescent="0.2">
      <c r="A5488">
        <v>5488</v>
      </c>
      <c r="B5488" t="s">
        <v>1083</v>
      </c>
      <c r="C5488" t="s">
        <v>11961</v>
      </c>
      <c r="D5488" t="s">
        <v>11962</v>
      </c>
      <c r="E5488" t="s">
        <v>1719</v>
      </c>
    </row>
    <row r="5489" spans="1:5" x14ac:dyDescent="0.2">
      <c r="A5489">
        <v>5489</v>
      </c>
      <c r="B5489" t="s">
        <v>1083</v>
      </c>
      <c r="C5489" t="s">
        <v>11963</v>
      </c>
      <c r="D5489" t="s">
        <v>4191</v>
      </c>
      <c r="E5489" t="s">
        <v>1719</v>
      </c>
    </row>
    <row r="5490" spans="1:5" x14ac:dyDescent="0.2">
      <c r="A5490">
        <v>5490</v>
      </c>
      <c r="B5490" t="s">
        <v>1083</v>
      </c>
      <c r="C5490" t="s">
        <v>11964</v>
      </c>
      <c r="D5490" t="s">
        <v>11965</v>
      </c>
      <c r="E5490" t="s">
        <v>1719</v>
      </c>
    </row>
    <row r="5491" spans="1:5" x14ac:dyDescent="0.2">
      <c r="A5491">
        <v>5491</v>
      </c>
      <c r="B5491" t="s">
        <v>1083</v>
      </c>
      <c r="C5491" t="s">
        <v>11966</v>
      </c>
      <c r="D5491" t="s">
        <v>11967</v>
      </c>
      <c r="E5491" t="s">
        <v>1719</v>
      </c>
    </row>
    <row r="5492" spans="1:5" x14ac:dyDescent="0.2">
      <c r="A5492">
        <v>5492</v>
      </c>
      <c r="B5492" t="s">
        <v>1083</v>
      </c>
      <c r="C5492" t="s">
        <v>11968</v>
      </c>
      <c r="D5492" t="s">
        <v>11969</v>
      </c>
      <c r="E5492" t="s">
        <v>1719</v>
      </c>
    </row>
    <row r="5493" spans="1:5" x14ac:dyDescent="0.2">
      <c r="A5493">
        <v>5493</v>
      </c>
      <c r="B5493" t="s">
        <v>1083</v>
      </c>
      <c r="C5493" t="s">
        <v>11970</v>
      </c>
      <c r="D5493" t="s">
        <v>4193</v>
      </c>
      <c r="E5493" t="s">
        <v>1719</v>
      </c>
    </row>
    <row r="5494" spans="1:5" x14ac:dyDescent="0.2">
      <c r="A5494">
        <v>5494</v>
      </c>
      <c r="B5494" t="s">
        <v>1083</v>
      </c>
      <c r="C5494" t="s">
        <v>11971</v>
      </c>
      <c r="D5494" t="s">
        <v>2736</v>
      </c>
      <c r="E5494" t="s">
        <v>1719</v>
      </c>
    </row>
    <row r="5495" spans="1:5" x14ac:dyDescent="0.2">
      <c r="A5495">
        <v>5495</v>
      </c>
      <c r="B5495" t="s">
        <v>1083</v>
      </c>
      <c r="C5495" t="s">
        <v>11972</v>
      </c>
      <c r="D5495" t="s">
        <v>4197</v>
      </c>
      <c r="E5495" t="s">
        <v>1719</v>
      </c>
    </row>
    <row r="5496" spans="1:5" x14ac:dyDescent="0.2">
      <c r="A5496">
        <v>5496</v>
      </c>
      <c r="B5496" t="s">
        <v>1085</v>
      </c>
      <c r="C5496" t="s">
        <v>11973</v>
      </c>
      <c r="D5496" t="s">
        <v>11974</v>
      </c>
      <c r="E5496" t="s">
        <v>1719</v>
      </c>
    </row>
    <row r="5497" spans="1:5" x14ac:dyDescent="0.2">
      <c r="A5497">
        <v>5497</v>
      </c>
      <c r="B5497" t="s">
        <v>1085</v>
      </c>
      <c r="C5497" t="s">
        <v>11975</v>
      </c>
      <c r="D5497" t="s">
        <v>11976</v>
      </c>
      <c r="E5497" t="s">
        <v>1719</v>
      </c>
    </row>
    <row r="5498" spans="1:5" x14ac:dyDescent="0.2">
      <c r="A5498">
        <v>5498</v>
      </c>
      <c r="B5498" t="s">
        <v>1085</v>
      </c>
      <c r="C5498" t="s">
        <v>11977</v>
      </c>
      <c r="D5498" t="s">
        <v>11978</v>
      </c>
      <c r="E5498" t="s">
        <v>1719</v>
      </c>
    </row>
    <row r="5499" spans="1:5" x14ac:dyDescent="0.2">
      <c r="A5499">
        <v>5499</v>
      </c>
      <c r="B5499" t="s">
        <v>1085</v>
      </c>
      <c r="C5499" t="s">
        <v>11979</v>
      </c>
      <c r="D5499" t="s">
        <v>11980</v>
      </c>
      <c r="E5499" t="s">
        <v>1719</v>
      </c>
    </row>
    <row r="5500" spans="1:5" x14ac:dyDescent="0.2">
      <c r="A5500">
        <v>5500</v>
      </c>
      <c r="B5500" t="s">
        <v>1085</v>
      </c>
      <c r="C5500" t="s">
        <v>11981</v>
      </c>
      <c r="D5500" t="s">
        <v>11982</v>
      </c>
      <c r="E5500" t="s">
        <v>1719</v>
      </c>
    </row>
    <row r="5501" spans="1:5" x14ac:dyDescent="0.2">
      <c r="A5501">
        <v>5501</v>
      </c>
      <c r="B5501" t="s">
        <v>1085</v>
      </c>
      <c r="C5501" t="s">
        <v>11983</v>
      </c>
      <c r="D5501" t="s">
        <v>11984</v>
      </c>
      <c r="E5501" t="s">
        <v>1719</v>
      </c>
    </row>
    <row r="5502" spans="1:5" x14ac:dyDescent="0.2">
      <c r="A5502">
        <v>5502</v>
      </c>
      <c r="B5502" t="s">
        <v>1085</v>
      </c>
      <c r="C5502" t="s">
        <v>11985</v>
      </c>
      <c r="D5502" t="s">
        <v>11986</v>
      </c>
      <c r="E5502" t="s">
        <v>1719</v>
      </c>
    </row>
    <row r="5503" spans="1:5" x14ac:dyDescent="0.2">
      <c r="A5503">
        <v>5503</v>
      </c>
      <c r="B5503" t="s">
        <v>1085</v>
      </c>
      <c r="C5503" t="s">
        <v>11987</v>
      </c>
      <c r="D5503" t="s">
        <v>11988</v>
      </c>
      <c r="E5503" t="s">
        <v>1719</v>
      </c>
    </row>
    <row r="5504" spans="1:5" x14ac:dyDescent="0.2">
      <c r="A5504">
        <v>5504</v>
      </c>
      <c r="B5504" t="s">
        <v>1085</v>
      </c>
      <c r="C5504" t="s">
        <v>11989</v>
      </c>
      <c r="D5504" t="s">
        <v>11990</v>
      </c>
      <c r="E5504" t="s">
        <v>1719</v>
      </c>
    </row>
    <row r="5505" spans="1:5" x14ac:dyDescent="0.2">
      <c r="A5505">
        <v>5505</v>
      </c>
      <c r="B5505" t="s">
        <v>1085</v>
      </c>
      <c r="C5505" t="s">
        <v>11991</v>
      </c>
      <c r="D5505" t="s">
        <v>11992</v>
      </c>
      <c r="E5505" t="s">
        <v>1719</v>
      </c>
    </row>
  </sheetData>
  <autoFilter ref="A1:E1"/>
  <conditionalFormatting sqref="C1:C1048576">
    <cfRule type="duplicateValues" dxfId="2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N6028"/>
  <sheetViews>
    <sheetView zoomScaleNormal="100" workbookViewId="0">
      <pane ySplit="2" topLeftCell="A3" activePane="bottomLeft" state="frozen"/>
      <selection pane="bottomLeft" activeCell="E17" sqref="E17"/>
    </sheetView>
  </sheetViews>
  <sheetFormatPr defaultColWidth="9.42578125" defaultRowHeight="12.75" x14ac:dyDescent="0.2"/>
  <cols>
    <col min="1" max="1" width="7.85546875" style="50" hidden="1" customWidth="1"/>
    <col min="2" max="2" width="25.5703125" style="54" customWidth="1"/>
    <col min="3" max="3" width="12.140625" style="47" customWidth="1"/>
    <col min="4" max="4" width="14.28515625" style="47" customWidth="1"/>
    <col min="5" max="5" width="13.140625" style="47" customWidth="1"/>
    <col min="6" max="6" width="11.28515625" style="55" customWidth="1"/>
    <col min="7" max="7" width="15.85546875" style="54" customWidth="1"/>
    <col min="8" max="8" width="11.7109375" style="63" customWidth="1"/>
    <col min="9" max="9" width="9.42578125" style="63" customWidth="1"/>
    <col min="10" max="10" width="14.85546875" style="63" customWidth="1"/>
    <col min="11" max="11" width="29.28515625" style="63" customWidth="1"/>
    <col min="12" max="12" width="15.28515625" style="63" customWidth="1"/>
    <col min="13" max="13" width="18.140625" style="63" customWidth="1"/>
    <col min="14" max="14" width="20" style="63" customWidth="1"/>
    <col min="15" max="16384" width="9.42578125" style="63"/>
  </cols>
  <sheetData>
    <row r="1" spans="1:14" x14ac:dyDescent="0.2">
      <c r="B1" s="93" t="s">
        <v>13956</v>
      </c>
      <c r="C1" s="94"/>
      <c r="D1" s="94"/>
      <c r="E1" s="94"/>
      <c r="F1" s="94"/>
      <c r="G1" s="89" t="s">
        <v>13973</v>
      </c>
      <c r="H1" s="90"/>
      <c r="I1" s="90"/>
      <c r="J1" s="90"/>
      <c r="K1" s="91" t="s">
        <v>13957</v>
      </c>
      <c r="L1" s="92"/>
      <c r="M1" s="92"/>
      <c r="N1" s="92"/>
    </row>
    <row r="2" spans="1:14" s="3" customFormat="1" ht="41.25" customHeight="1" thickBot="1" x14ac:dyDescent="0.25">
      <c r="A2" s="67" t="s">
        <v>13954</v>
      </c>
      <c r="B2" s="68" t="s">
        <v>13955</v>
      </c>
      <c r="C2" s="68" t="s">
        <v>1714</v>
      </c>
      <c r="D2" s="68" t="s">
        <v>1715</v>
      </c>
      <c r="E2" s="68" t="s">
        <v>1716</v>
      </c>
      <c r="F2" s="68" t="s">
        <v>11994</v>
      </c>
      <c r="G2" s="69" t="s">
        <v>13955</v>
      </c>
      <c r="H2" s="69" t="s">
        <v>1714</v>
      </c>
      <c r="I2" s="69" t="s">
        <v>1715</v>
      </c>
      <c r="J2" s="69" t="s">
        <v>1716</v>
      </c>
      <c r="K2" s="70" t="s">
        <v>13955</v>
      </c>
      <c r="L2" s="70" t="s">
        <v>1714</v>
      </c>
      <c r="M2" s="70" t="s">
        <v>1715</v>
      </c>
      <c r="N2" s="70" t="s">
        <v>1716</v>
      </c>
    </row>
    <row r="3" spans="1:14" x14ac:dyDescent="0.2">
      <c r="A3" s="51">
        <v>2</v>
      </c>
      <c r="B3" s="54" t="s">
        <v>500</v>
      </c>
      <c r="C3" s="47" t="s">
        <v>1722</v>
      </c>
      <c r="D3" s="47" t="s">
        <v>1723</v>
      </c>
      <c r="E3" s="47" t="s">
        <v>1719</v>
      </c>
      <c r="F3" s="55" t="b">
        <f>EXACT(B3,K3)</f>
        <v>1</v>
      </c>
      <c r="G3" s="54" t="b">
        <v>1</v>
      </c>
      <c r="H3" s="54" t="b">
        <v>1</v>
      </c>
      <c r="I3" s="54" t="b">
        <v>1</v>
      </c>
      <c r="J3" s="54" t="b">
        <v>1</v>
      </c>
      <c r="K3" s="63" t="s">
        <v>500</v>
      </c>
      <c r="L3" s="63" t="s">
        <v>1722</v>
      </c>
      <c r="M3" s="63" t="s">
        <v>1723</v>
      </c>
      <c r="N3" s="63" t="s">
        <v>1719</v>
      </c>
    </row>
    <row r="4" spans="1:14" x14ac:dyDescent="0.2">
      <c r="A4" s="51">
        <v>3</v>
      </c>
      <c r="B4" s="54" t="s">
        <v>500</v>
      </c>
      <c r="C4" s="47" t="s">
        <v>1726</v>
      </c>
      <c r="D4" s="47" t="s">
        <v>1727</v>
      </c>
      <c r="E4" s="47" t="s">
        <v>1719</v>
      </c>
      <c r="F4" s="55" t="b">
        <v>1</v>
      </c>
      <c r="G4" s="54" t="b">
        <v>1</v>
      </c>
      <c r="H4" s="54" t="b">
        <v>1</v>
      </c>
      <c r="I4" s="54" t="b">
        <v>1</v>
      </c>
      <c r="J4" s="54" t="b">
        <v>1</v>
      </c>
      <c r="K4" s="63" t="s">
        <v>500</v>
      </c>
      <c r="L4" s="63" t="s">
        <v>1726</v>
      </c>
      <c r="M4" s="63" t="s">
        <v>1727</v>
      </c>
      <c r="N4" s="63" t="s">
        <v>1719</v>
      </c>
    </row>
    <row r="5" spans="1:14" x14ac:dyDescent="0.2">
      <c r="A5" s="51">
        <v>4</v>
      </c>
      <c r="B5" s="54" t="s">
        <v>500</v>
      </c>
      <c r="C5" s="47" t="s">
        <v>1724</v>
      </c>
      <c r="D5" s="47" t="s">
        <v>1725</v>
      </c>
      <c r="E5" s="47" t="s">
        <v>1719</v>
      </c>
      <c r="F5" s="55" t="b">
        <v>1</v>
      </c>
      <c r="G5" s="54" t="b">
        <v>1</v>
      </c>
      <c r="H5" s="54" t="b">
        <v>1</v>
      </c>
      <c r="I5" s="54" t="b">
        <v>1</v>
      </c>
      <c r="J5" s="54" t="b">
        <v>1</v>
      </c>
      <c r="K5" s="63" t="s">
        <v>500</v>
      </c>
      <c r="L5" s="63" t="s">
        <v>1724</v>
      </c>
      <c r="M5" s="63" t="s">
        <v>1725</v>
      </c>
      <c r="N5" s="63" t="s">
        <v>1719</v>
      </c>
    </row>
    <row r="6" spans="1:14" x14ac:dyDescent="0.2">
      <c r="A6" s="51">
        <v>5</v>
      </c>
      <c r="B6" s="56" t="s">
        <v>500</v>
      </c>
      <c r="C6" s="47" t="s">
        <v>1717</v>
      </c>
      <c r="D6" s="47" t="s">
        <v>1718</v>
      </c>
      <c r="E6" s="47" t="s">
        <v>1719</v>
      </c>
      <c r="F6" s="55" t="b">
        <v>1</v>
      </c>
      <c r="G6" s="54" t="b">
        <v>1</v>
      </c>
      <c r="H6" s="54" t="b">
        <v>1</v>
      </c>
      <c r="I6" s="54" t="b">
        <v>1</v>
      </c>
      <c r="J6" s="54" t="b">
        <v>1</v>
      </c>
      <c r="K6" s="63" t="s">
        <v>500</v>
      </c>
      <c r="L6" s="63" t="s">
        <v>1717</v>
      </c>
      <c r="M6" s="63" t="s">
        <v>1718</v>
      </c>
      <c r="N6" s="63" t="s">
        <v>1719</v>
      </c>
    </row>
    <row r="7" spans="1:14" x14ac:dyDescent="0.2">
      <c r="A7" s="51">
        <v>6</v>
      </c>
      <c r="B7" s="54" t="s">
        <v>500</v>
      </c>
      <c r="C7" s="47" t="s">
        <v>1720</v>
      </c>
      <c r="D7" s="47" t="s">
        <v>1721</v>
      </c>
      <c r="E7" s="47" t="s">
        <v>1719</v>
      </c>
      <c r="F7" s="55" t="b">
        <v>1</v>
      </c>
      <c r="G7" s="54" t="b">
        <v>1</v>
      </c>
      <c r="H7" s="54" t="b">
        <v>1</v>
      </c>
      <c r="I7" s="54" t="b">
        <v>1</v>
      </c>
      <c r="J7" s="54" t="b">
        <v>1</v>
      </c>
      <c r="K7" s="63" t="s">
        <v>500</v>
      </c>
      <c r="L7" s="63" t="s">
        <v>1720</v>
      </c>
      <c r="M7" s="63" t="s">
        <v>1721</v>
      </c>
      <c r="N7" s="63" t="s">
        <v>1719</v>
      </c>
    </row>
    <row r="8" spans="1:14" x14ac:dyDescent="0.2">
      <c r="A8" s="51">
        <v>7</v>
      </c>
      <c r="B8" s="54" t="s">
        <v>500</v>
      </c>
      <c r="C8" s="47" t="s">
        <v>1728</v>
      </c>
      <c r="D8" s="47" t="s">
        <v>1729</v>
      </c>
      <c r="E8" s="47" t="s">
        <v>1719</v>
      </c>
      <c r="F8" s="55" t="b">
        <v>1</v>
      </c>
      <c r="G8" s="54" t="b">
        <v>1</v>
      </c>
      <c r="H8" s="54" t="b">
        <v>1</v>
      </c>
      <c r="I8" s="54" t="b">
        <v>1</v>
      </c>
      <c r="J8" s="54" t="b">
        <v>1</v>
      </c>
      <c r="K8" s="63" t="s">
        <v>500</v>
      </c>
      <c r="L8" s="63" t="s">
        <v>1728</v>
      </c>
      <c r="M8" s="63" t="s">
        <v>1729</v>
      </c>
      <c r="N8" s="63" t="s">
        <v>1719</v>
      </c>
    </row>
    <row r="9" spans="1:14" x14ac:dyDescent="0.2">
      <c r="A9" s="51">
        <v>8</v>
      </c>
      <c r="B9" s="54" t="s">
        <v>500</v>
      </c>
      <c r="C9" s="47" t="s">
        <v>1730</v>
      </c>
      <c r="D9" s="47" t="s">
        <v>1731</v>
      </c>
      <c r="E9" s="47" t="s">
        <v>1719</v>
      </c>
      <c r="F9" s="55" t="b">
        <v>1</v>
      </c>
      <c r="G9" s="54" t="b">
        <v>1</v>
      </c>
      <c r="H9" s="54" t="b">
        <v>1</v>
      </c>
      <c r="I9" s="54" t="b">
        <v>1</v>
      </c>
      <c r="J9" s="54" t="b">
        <v>1</v>
      </c>
      <c r="K9" s="63" t="s">
        <v>500</v>
      </c>
      <c r="L9" s="63" t="s">
        <v>1730</v>
      </c>
      <c r="M9" s="63" t="s">
        <v>1731</v>
      </c>
      <c r="N9" s="63" t="s">
        <v>1719</v>
      </c>
    </row>
    <row r="10" spans="1:14" x14ac:dyDescent="0.2">
      <c r="A10" s="51">
        <v>9</v>
      </c>
      <c r="B10" s="54" t="s">
        <v>500</v>
      </c>
      <c r="C10" s="47" t="s">
        <v>1732</v>
      </c>
      <c r="D10" s="47" t="s">
        <v>1733</v>
      </c>
      <c r="E10" s="47" t="s">
        <v>1719</v>
      </c>
      <c r="F10" s="55" t="b">
        <v>1</v>
      </c>
      <c r="G10" s="54" t="b">
        <v>1</v>
      </c>
      <c r="H10" s="54" t="b">
        <v>1</v>
      </c>
      <c r="I10" s="54" t="b">
        <v>1</v>
      </c>
      <c r="J10" s="54" t="b">
        <v>1</v>
      </c>
      <c r="K10" s="63" t="s">
        <v>500</v>
      </c>
      <c r="L10" s="63" t="s">
        <v>1732</v>
      </c>
      <c r="M10" s="63" t="s">
        <v>1733</v>
      </c>
      <c r="N10" s="63" t="s">
        <v>1719</v>
      </c>
    </row>
    <row r="11" spans="1:14" x14ac:dyDescent="0.2">
      <c r="A11" s="51">
        <v>10</v>
      </c>
      <c r="B11" s="54" t="s">
        <v>500</v>
      </c>
      <c r="C11" s="47" t="s">
        <v>1734</v>
      </c>
      <c r="D11" s="47" t="s">
        <v>1735</v>
      </c>
      <c r="E11" s="47" t="s">
        <v>1719</v>
      </c>
      <c r="F11" s="55" t="b">
        <v>1</v>
      </c>
      <c r="G11" s="54" t="b">
        <v>1</v>
      </c>
      <c r="H11" s="54" t="b">
        <v>1</v>
      </c>
      <c r="I11" s="54" t="b">
        <v>1</v>
      </c>
      <c r="J11" s="54" t="b">
        <v>1</v>
      </c>
      <c r="K11" s="63" t="s">
        <v>500</v>
      </c>
      <c r="L11" s="63" t="s">
        <v>1734</v>
      </c>
      <c r="M11" s="63" t="s">
        <v>1735</v>
      </c>
      <c r="N11" s="63" t="s">
        <v>1719</v>
      </c>
    </row>
    <row r="12" spans="1:14" x14ac:dyDescent="0.2">
      <c r="A12" s="51">
        <v>11</v>
      </c>
      <c r="B12" s="54" t="s">
        <v>500</v>
      </c>
      <c r="C12" s="47" t="s">
        <v>1736</v>
      </c>
      <c r="D12" s="47" t="s">
        <v>1737</v>
      </c>
      <c r="E12" s="47" t="s">
        <v>1719</v>
      </c>
      <c r="F12" s="55" t="b">
        <v>1</v>
      </c>
      <c r="G12" s="54" t="b">
        <v>1</v>
      </c>
      <c r="H12" s="54" t="b">
        <v>1</v>
      </c>
      <c r="I12" s="54" t="b">
        <v>1</v>
      </c>
      <c r="J12" s="54" t="b">
        <v>1</v>
      </c>
      <c r="K12" s="63" t="s">
        <v>500</v>
      </c>
      <c r="L12" s="63" t="s">
        <v>1736</v>
      </c>
      <c r="M12" s="63" t="s">
        <v>1737</v>
      </c>
      <c r="N12" s="63" t="s">
        <v>1719</v>
      </c>
    </row>
    <row r="13" spans="1:14" x14ac:dyDescent="0.2">
      <c r="A13" s="51">
        <v>12</v>
      </c>
      <c r="B13" s="54" t="s">
        <v>500</v>
      </c>
      <c r="C13" s="47" t="s">
        <v>1738</v>
      </c>
      <c r="D13" s="47" t="s">
        <v>1739</v>
      </c>
      <c r="E13" s="47" t="s">
        <v>1719</v>
      </c>
      <c r="F13" s="55" t="b">
        <v>1</v>
      </c>
      <c r="G13" s="54" t="b">
        <v>1</v>
      </c>
      <c r="H13" s="54" t="b">
        <v>1</v>
      </c>
      <c r="I13" s="54" t="b">
        <v>1</v>
      </c>
      <c r="J13" s="54" t="b">
        <v>1</v>
      </c>
      <c r="K13" s="63" t="s">
        <v>500</v>
      </c>
      <c r="L13" s="63" t="s">
        <v>1738</v>
      </c>
      <c r="M13" s="63" t="s">
        <v>1739</v>
      </c>
      <c r="N13" s="63" t="s">
        <v>1719</v>
      </c>
    </row>
    <row r="14" spans="1:14" x14ac:dyDescent="0.2">
      <c r="A14" s="51">
        <v>13</v>
      </c>
      <c r="B14" s="54" t="s">
        <v>500</v>
      </c>
      <c r="C14" s="47" t="s">
        <v>1740</v>
      </c>
      <c r="D14" s="47" t="s">
        <v>1741</v>
      </c>
      <c r="E14" s="47" t="s">
        <v>1719</v>
      </c>
      <c r="F14" s="55" t="b">
        <v>1</v>
      </c>
      <c r="G14" s="54" t="b">
        <v>1</v>
      </c>
      <c r="H14" s="54" t="b">
        <v>1</v>
      </c>
      <c r="I14" s="54" t="b">
        <v>1</v>
      </c>
      <c r="J14" s="54" t="b">
        <v>1</v>
      </c>
      <c r="K14" s="63" t="s">
        <v>500</v>
      </c>
      <c r="L14" s="63" t="s">
        <v>1740</v>
      </c>
      <c r="M14" s="63" t="s">
        <v>1741</v>
      </c>
      <c r="N14" s="63" t="s">
        <v>1719</v>
      </c>
    </row>
    <row r="15" spans="1:14" x14ac:dyDescent="0.2">
      <c r="A15" s="51">
        <v>14</v>
      </c>
      <c r="B15" s="54" t="s">
        <v>500</v>
      </c>
      <c r="C15" s="47" t="s">
        <v>1742</v>
      </c>
      <c r="D15" s="47" t="s">
        <v>1743</v>
      </c>
      <c r="E15" s="47" t="s">
        <v>1719</v>
      </c>
      <c r="F15" s="55" t="b">
        <v>1</v>
      </c>
      <c r="G15" s="54" t="b">
        <v>1</v>
      </c>
      <c r="H15" s="54" t="b">
        <v>1</v>
      </c>
      <c r="I15" s="54" t="b">
        <v>1</v>
      </c>
      <c r="J15" s="54" t="b">
        <v>1</v>
      </c>
      <c r="K15" s="63" t="s">
        <v>500</v>
      </c>
      <c r="L15" s="63" t="s">
        <v>1742</v>
      </c>
      <c r="M15" s="63" t="s">
        <v>1743</v>
      </c>
      <c r="N15" s="63" t="s">
        <v>1719</v>
      </c>
    </row>
    <row r="16" spans="1:14" x14ac:dyDescent="0.2">
      <c r="A16" s="51">
        <v>15</v>
      </c>
      <c r="B16" s="54" t="s">
        <v>500</v>
      </c>
      <c r="C16" s="47" t="s">
        <v>1752</v>
      </c>
      <c r="D16" s="47" t="s">
        <v>1753</v>
      </c>
      <c r="E16" s="47" t="s">
        <v>1719</v>
      </c>
      <c r="F16" s="55" t="b">
        <v>1</v>
      </c>
      <c r="G16" s="54" t="b">
        <v>1</v>
      </c>
      <c r="H16" s="54" t="b">
        <v>1</v>
      </c>
      <c r="I16" s="54" t="b">
        <v>1</v>
      </c>
      <c r="J16" s="54" t="b">
        <v>1</v>
      </c>
      <c r="K16" s="63" t="s">
        <v>500</v>
      </c>
      <c r="L16" s="63" t="s">
        <v>1752</v>
      </c>
      <c r="M16" s="63" t="s">
        <v>1753</v>
      </c>
      <c r="N16" s="63" t="s">
        <v>1719</v>
      </c>
    </row>
    <row r="17" spans="1:14" x14ac:dyDescent="0.2">
      <c r="A17" s="51">
        <v>16</v>
      </c>
      <c r="B17" s="54" t="s">
        <v>500</v>
      </c>
      <c r="C17" s="47" t="s">
        <v>1744</v>
      </c>
      <c r="D17" s="47" t="s">
        <v>1745</v>
      </c>
      <c r="E17" s="47" t="s">
        <v>1719</v>
      </c>
      <c r="F17" s="55" t="b">
        <v>1</v>
      </c>
      <c r="G17" s="54" t="b">
        <v>1</v>
      </c>
      <c r="H17" s="54" t="b">
        <v>1</v>
      </c>
      <c r="I17" s="54" t="b">
        <v>1</v>
      </c>
      <c r="J17" s="54" t="b">
        <v>1</v>
      </c>
      <c r="K17" s="63" t="s">
        <v>500</v>
      </c>
      <c r="L17" s="63" t="s">
        <v>1744</v>
      </c>
      <c r="M17" s="63" t="s">
        <v>1745</v>
      </c>
      <c r="N17" s="63" t="s">
        <v>1719</v>
      </c>
    </row>
    <row r="18" spans="1:14" x14ac:dyDescent="0.2">
      <c r="A18" s="51">
        <v>17</v>
      </c>
      <c r="B18" s="54" t="s">
        <v>500</v>
      </c>
      <c r="C18" s="47" t="s">
        <v>1754</v>
      </c>
      <c r="D18" s="47" t="s">
        <v>1755</v>
      </c>
      <c r="E18" s="47" t="s">
        <v>1719</v>
      </c>
      <c r="F18" s="55" t="b">
        <v>1</v>
      </c>
      <c r="G18" s="54" t="b">
        <v>1</v>
      </c>
      <c r="H18" s="54" t="b">
        <v>1</v>
      </c>
      <c r="I18" s="54" t="b">
        <v>1</v>
      </c>
      <c r="J18" s="54" t="b">
        <v>1</v>
      </c>
      <c r="K18" s="63" t="s">
        <v>500</v>
      </c>
      <c r="L18" s="63" t="s">
        <v>1754</v>
      </c>
      <c r="M18" s="63" t="s">
        <v>1755</v>
      </c>
      <c r="N18" s="63" t="s">
        <v>1719</v>
      </c>
    </row>
    <row r="19" spans="1:14" x14ac:dyDescent="0.2">
      <c r="A19" s="51">
        <v>18</v>
      </c>
      <c r="B19" s="54" t="s">
        <v>500</v>
      </c>
      <c r="C19" s="47" t="s">
        <v>1750</v>
      </c>
      <c r="D19" s="47" t="s">
        <v>1751</v>
      </c>
      <c r="E19" s="47" t="s">
        <v>1719</v>
      </c>
      <c r="F19" s="55" t="b">
        <v>1</v>
      </c>
      <c r="G19" s="54" t="b">
        <v>1</v>
      </c>
      <c r="H19" s="54" t="b">
        <v>1</v>
      </c>
      <c r="I19" s="54" t="b">
        <v>1</v>
      </c>
      <c r="J19" s="54" t="b">
        <v>1</v>
      </c>
      <c r="K19" s="63" t="s">
        <v>500</v>
      </c>
      <c r="L19" s="63" t="s">
        <v>1750</v>
      </c>
      <c r="M19" s="63" t="s">
        <v>1751</v>
      </c>
      <c r="N19" s="63" t="s">
        <v>1719</v>
      </c>
    </row>
    <row r="20" spans="1:14" x14ac:dyDescent="0.2">
      <c r="A20" s="51">
        <v>19</v>
      </c>
      <c r="B20" s="54" t="s">
        <v>500</v>
      </c>
      <c r="C20" s="47" t="s">
        <v>1746</v>
      </c>
      <c r="D20" s="47" t="s">
        <v>1747</v>
      </c>
      <c r="E20" s="47" t="s">
        <v>1719</v>
      </c>
      <c r="F20" s="55" t="b">
        <v>1</v>
      </c>
      <c r="G20" s="54" t="b">
        <v>1</v>
      </c>
      <c r="H20" s="54" t="b">
        <v>1</v>
      </c>
      <c r="I20" s="54" t="b">
        <v>1</v>
      </c>
      <c r="J20" s="54" t="b">
        <v>1</v>
      </c>
      <c r="K20" s="63" t="s">
        <v>500</v>
      </c>
      <c r="L20" s="63" t="s">
        <v>1746</v>
      </c>
      <c r="M20" s="63" t="s">
        <v>1747</v>
      </c>
      <c r="N20" s="63" t="s">
        <v>1719</v>
      </c>
    </row>
    <row r="21" spans="1:14" x14ac:dyDescent="0.2">
      <c r="A21" s="51">
        <v>20</v>
      </c>
      <c r="B21" s="54" t="s">
        <v>500</v>
      </c>
      <c r="C21" s="47" t="s">
        <v>1748</v>
      </c>
      <c r="D21" s="47" t="s">
        <v>11997</v>
      </c>
      <c r="E21" s="47" t="s">
        <v>1719</v>
      </c>
      <c r="F21" s="55" t="b">
        <v>1</v>
      </c>
      <c r="G21" s="54" t="b">
        <v>1</v>
      </c>
      <c r="H21" s="54" t="b">
        <v>1</v>
      </c>
      <c r="I21" s="65" t="b">
        <v>0</v>
      </c>
      <c r="J21" s="54" t="b">
        <v>1</v>
      </c>
      <c r="K21" s="63" t="s">
        <v>500</v>
      </c>
      <c r="L21" s="63" t="s">
        <v>1748</v>
      </c>
      <c r="M21" s="63" t="s">
        <v>1749</v>
      </c>
      <c r="N21" s="63" t="s">
        <v>1719</v>
      </c>
    </row>
    <row r="22" spans="1:14" x14ac:dyDescent="0.2">
      <c r="A22" s="51">
        <v>21</v>
      </c>
      <c r="B22" s="54" t="s">
        <v>500</v>
      </c>
      <c r="C22" s="47" t="s">
        <v>1756</v>
      </c>
      <c r="D22" s="47" t="s">
        <v>1757</v>
      </c>
      <c r="E22" s="47" t="s">
        <v>1719</v>
      </c>
      <c r="F22" s="55" t="b">
        <v>1</v>
      </c>
      <c r="G22" s="54" t="b">
        <v>1</v>
      </c>
      <c r="H22" s="54" t="b">
        <v>1</v>
      </c>
      <c r="I22" s="54" t="b">
        <v>1</v>
      </c>
      <c r="J22" s="54" t="b">
        <v>1</v>
      </c>
      <c r="K22" s="63" t="s">
        <v>500</v>
      </c>
      <c r="L22" s="63" t="s">
        <v>1756</v>
      </c>
      <c r="M22" s="63" t="s">
        <v>1757</v>
      </c>
      <c r="N22" s="63" t="s">
        <v>1719</v>
      </c>
    </row>
    <row r="23" spans="1:14" x14ac:dyDescent="0.2">
      <c r="A23" s="51">
        <v>22</v>
      </c>
      <c r="B23" s="54" t="s">
        <v>500</v>
      </c>
      <c r="C23" s="47" t="s">
        <v>1758</v>
      </c>
      <c r="D23" s="47" t="s">
        <v>1759</v>
      </c>
      <c r="E23" s="47" t="s">
        <v>1719</v>
      </c>
      <c r="F23" s="55" t="b">
        <v>1</v>
      </c>
      <c r="G23" s="54" t="b">
        <v>1</v>
      </c>
      <c r="H23" s="54" t="b">
        <v>1</v>
      </c>
      <c r="I23" s="54" t="b">
        <v>1</v>
      </c>
      <c r="J23" s="54" t="b">
        <v>1</v>
      </c>
      <c r="K23" s="63" t="s">
        <v>500</v>
      </c>
      <c r="L23" s="63" t="s">
        <v>1758</v>
      </c>
      <c r="M23" s="63" t="s">
        <v>1759</v>
      </c>
      <c r="N23" s="63" t="s">
        <v>1719</v>
      </c>
    </row>
    <row r="24" spans="1:14" x14ac:dyDescent="0.2">
      <c r="A24" s="51">
        <v>23</v>
      </c>
      <c r="B24" s="54" t="s">
        <v>500</v>
      </c>
      <c r="C24" s="47" t="s">
        <v>1760</v>
      </c>
      <c r="D24" s="47" t="s">
        <v>1761</v>
      </c>
      <c r="E24" s="47" t="s">
        <v>1719</v>
      </c>
      <c r="F24" s="55" t="b">
        <v>1</v>
      </c>
      <c r="G24" s="54" t="b">
        <v>1</v>
      </c>
      <c r="H24" s="54" t="b">
        <v>1</v>
      </c>
      <c r="I24" s="54" t="b">
        <v>1</v>
      </c>
      <c r="J24" s="54" t="b">
        <v>1</v>
      </c>
      <c r="K24" s="63" t="s">
        <v>500</v>
      </c>
      <c r="L24" s="63" t="s">
        <v>1760</v>
      </c>
      <c r="M24" s="63" t="s">
        <v>1761</v>
      </c>
      <c r="N24" s="63" t="s">
        <v>1719</v>
      </c>
    </row>
    <row r="25" spans="1:14" x14ac:dyDescent="0.2">
      <c r="A25" s="51">
        <v>24</v>
      </c>
      <c r="B25" s="54" t="s">
        <v>500</v>
      </c>
      <c r="C25" s="47" t="s">
        <v>1762</v>
      </c>
      <c r="D25" s="47" t="s">
        <v>1763</v>
      </c>
      <c r="E25" s="47" t="s">
        <v>1719</v>
      </c>
      <c r="F25" s="55" t="b">
        <v>1</v>
      </c>
      <c r="G25" s="54" t="b">
        <v>1</v>
      </c>
      <c r="H25" s="54" t="b">
        <v>1</v>
      </c>
      <c r="I25" s="54" t="b">
        <v>1</v>
      </c>
      <c r="J25" s="54" t="b">
        <v>1</v>
      </c>
      <c r="K25" s="63" t="s">
        <v>500</v>
      </c>
      <c r="L25" s="63" t="s">
        <v>1762</v>
      </c>
      <c r="M25" s="63" t="s">
        <v>1763</v>
      </c>
      <c r="N25" s="63" t="s">
        <v>1719</v>
      </c>
    </row>
    <row r="26" spans="1:14" x14ac:dyDescent="0.2">
      <c r="A26" s="51">
        <v>25</v>
      </c>
      <c r="B26" s="54" t="s">
        <v>500</v>
      </c>
      <c r="C26" s="47" t="s">
        <v>1764</v>
      </c>
      <c r="D26" s="47" t="s">
        <v>1765</v>
      </c>
      <c r="E26" s="47" t="s">
        <v>1719</v>
      </c>
      <c r="F26" s="55" t="b">
        <v>1</v>
      </c>
      <c r="G26" s="54" t="b">
        <v>1</v>
      </c>
      <c r="H26" s="54" t="b">
        <v>1</v>
      </c>
      <c r="I26" s="54" t="b">
        <v>1</v>
      </c>
      <c r="J26" s="54" t="b">
        <v>1</v>
      </c>
      <c r="K26" s="63" t="s">
        <v>500</v>
      </c>
      <c r="L26" s="63" t="s">
        <v>1764</v>
      </c>
      <c r="M26" s="63" t="s">
        <v>1765</v>
      </c>
      <c r="N26" s="63" t="s">
        <v>1719</v>
      </c>
    </row>
    <row r="27" spans="1:14" x14ac:dyDescent="0.2">
      <c r="A27" s="51">
        <v>26</v>
      </c>
      <c r="B27" s="54" t="s">
        <v>500</v>
      </c>
      <c r="C27" s="47" t="s">
        <v>1770</v>
      </c>
      <c r="D27" s="47" t="s">
        <v>11999</v>
      </c>
      <c r="E27" s="47" t="s">
        <v>1719</v>
      </c>
      <c r="F27" s="55" t="b">
        <v>1</v>
      </c>
      <c r="G27" s="54" t="b">
        <v>1</v>
      </c>
      <c r="H27" s="54" t="b">
        <v>1</v>
      </c>
      <c r="I27" s="65" t="b">
        <v>0</v>
      </c>
      <c r="J27" s="54" t="b">
        <v>1</v>
      </c>
      <c r="K27" s="63" t="s">
        <v>500</v>
      </c>
      <c r="L27" s="63" t="s">
        <v>1770</v>
      </c>
      <c r="M27" s="63" t="s">
        <v>1771</v>
      </c>
      <c r="N27" s="63" t="s">
        <v>1719</v>
      </c>
    </row>
    <row r="28" spans="1:14" x14ac:dyDescent="0.2">
      <c r="A28" s="51">
        <v>27</v>
      </c>
      <c r="B28" s="54" t="s">
        <v>500</v>
      </c>
      <c r="C28" s="47" t="s">
        <v>1772</v>
      </c>
      <c r="D28" s="47" t="s">
        <v>1773</v>
      </c>
      <c r="E28" s="47" t="s">
        <v>1719</v>
      </c>
      <c r="F28" s="55" t="b">
        <v>1</v>
      </c>
      <c r="G28" s="54" t="b">
        <v>1</v>
      </c>
      <c r="H28" s="54" t="b">
        <v>1</v>
      </c>
      <c r="I28" s="54" t="b">
        <v>1</v>
      </c>
      <c r="J28" s="54" t="b">
        <v>1</v>
      </c>
      <c r="K28" s="63" t="s">
        <v>500</v>
      </c>
      <c r="L28" s="63" t="s">
        <v>1772</v>
      </c>
      <c r="M28" s="63" t="s">
        <v>1773</v>
      </c>
      <c r="N28" s="63" t="s">
        <v>1719</v>
      </c>
    </row>
    <row r="29" spans="1:14" x14ac:dyDescent="0.2">
      <c r="A29" s="51">
        <v>28</v>
      </c>
      <c r="B29" s="54" t="s">
        <v>500</v>
      </c>
      <c r="C29" s="47" t="s">
        <v>1768</v>
      </c>
      <c r="D29" s="47" t="s">
        <v>11998</v>
      </c>
      <c r="E29" s="47" t="s">
        <v>1719</v>
      </c>
      <c r="F29" s="55" t="b">
        <v>1</v>
      </c>
      <c r="G29" s="54" t="b">
        <v>1</v>
      </c>
      <c r="H29" s="54" t="b">
        <v>1</v>
      </c>
      <c r="I29" s="65" t="b">
        <v>0</v>
      </c>
      <c r="J29" s="54" t="b">
        <v>1</v>
      </c>
      <c r="K29" s="63" t="s">
        <v>500</v>
      </c>
      <c r="L29" s="63" t="s">
        <v>1768</v>
      </c>
      <c r="M29" s="63" t="s">
        <v>1769</v>
      </c>
      <c r="N29" s="63" t="s">
        <v>1719</v>
      </c>
    </row>
    <row r="30" spans="1:14" x14ac:dyDescent="0.2">
      <c r="A30" s="51">
        <v>29</v>
      </c>
      <c r="B30" s="54" t="s">
        <v>500</v>
      </c>
      <c r="C30" s="47" t="s">
        <v>1766</v>
      </c>
      <c r="D30" s="47" t="s">
        <v>1767</v>
      </c>
      <c r="E30" s="47" t="s">
        <v>1719</v>
      </c>
      <c r="F30" s="55" t="b">
        <v>1</v>
      </c>
      <c r="G30" s="54" t="b">
        <v>1</v>
      </c>
      <c r="H30" s="54" t="b">
        <v>1</v>
      </c>
      <c r="I30" s="54" t="b">
        <v>1</v>
      </c>
      <c r="J30" s="54" t="b">
        <v>1</v>
      </c>
      <c r="K30" s="63" t="s">
        <v>500</v>
      </c>
      <c r="L30" s="63" t="s">
        <v>1766</v>
      </c>
      <c r="M30" s="63" t="s">
        <v>1767</v>
      </c>
      <c r="N30" s="63" t="s">
        <v>1719</v>
      </c>
    </row>
    <row r="31" spans="1:14" x14ac:dyDescent="0.2">
      <c r="A31" s="51">
        <v>30</v>
      </c>
      <c r="B31" s="54" t="s">
        <v>500</v>
      </c>
      <c r="C31" s="47" t="s">
        <v>1774</v>
      </c>
      <c r="D31" s="47" t="s">
        <v>1775</v>
      </c>
      <c r="E31" s="47" t="s">
        <v>1719</v>
      </c>
      <c r="F31" s="55" t="b">
        <v>1</v>
      </c>
      <c r="G31" s="54" t="b">
        <v>1</v>
      </c>
      <c r="H31" s="54" t="b">
        <v>1</v>
      </c>
      <c r="I31" s="54" t="b">
        <v>1</v>
      </c>
      <c r="J31" s="54" t="b">
        <v>1</v>
      </c>
      <c r="K31" s="63" t="s">
        <v>500</v>
      </c>
      <c r="L31" s="63" t="s">
        <v>1774</v>
      </c>
      <c r="M31" s="63" t="s">
        <v>1775</v>
      </c>
      <c r="N31" s="63" t="s">
        <v>1719</v>
      </c>
    </row>
    <row r="32" spans="1:14" x14ac:dyDescent="0.2">
      <c r="A32" s="51">
        <v>31</v>
      </c>
      <c r="B32" s="54" t="s">
        <v>500</v>
      </c>
      <c r="C32" s="47" t="s">
        <v>1776</v>
      </c>
      <c r="D32" s="47" t="s">
        <v>1777</v>
      </c>
      <c r="E32" s="47" t="s">
        <v>1719</v>
      </c>
      <c r="F32" s="55" t="b">
        <v>1</v>
      </c>
      <c r="G32" s="54" t="b">
        <v>1</v>
      </c>
      <c r="H32" s="54" t="b">
        <v>1</v>
      </c>
      <c r="I32" s="54" t="b">
        <v>1</v>
      </c>
      <c r="J32" s="54" t="b">
        <v>1</v>
      </c>
      <c r="K32" s="63" t="s">
        <v>500</v>
      </c>
      <c r="L32" s="63" t="s">
        <v>1776</v>
      </c>
      <c r="M32" s="63" t="s">
        <v>1777</v>
      </c>
      <c r="N32" s="63" t="s">
        <v>1719</v>
      </c>
    </row>
    <row r="33" spans="1:14" x14ac:dyDescent="0.2">
      <c r="A33" s="51">
        <v>32</v>
      </c>
      <c r="B33" s="54" t="s">
        <v>500</v>
      </c>
      <c r="C33" s="47" t="s">
        <v>1778</v>
      </c>
      <c r="D33" s="47" t="s">
        <v>1779</v>
      </c>
      <c r="E33" s="47" t="s">
        <v>1719</v>
      </c>
      <c r="F33" s="55" t="b">
        <v>1</v>
      </c>
      <c r="G33" s="54" t="b">
        <v>1</v>
      </c>
      <c r="H33" s="54" t="b">
        <v>1</v>
      </c>
      <c r="I33" s="54" t="b">
        <v>1</v>
      </c>
      <c r="J33" s="54" t="b">
        <v>1</v>
      </c>
      <c r="K33" s="63" t="s">
        <v>500</v>
      </c>
      <c r="L33" s="63" t="s">
        <v>1778</v>
      </c>
      <c r="M33" s="63" t="s">
        <v>1779</v>
      </c>
      <c r="N33" s="63" t="s">
        <v>1719</v>
      </c>
    </row>
    <row r="34" spans="1:14" x14ac:dyDescent="0.2">
      <c r="A34" s="51">
        <v>33</v>
      </c>
      <c r="B34" s="54" t="s">
        <v>500</v>
      </c>
      <c r="C34" s="47" t="s">
        <v>1780</v>
      </c>
      <c r="D34" s="47" t="s">
        <v>1781</v>
      </c>
      <c r="E34" s="47" t="s">
        <v>1719</v>
      </c>
      <c r="F34" s="55" t="b">
        <v>1</v>
      </c>
      <c r="G34" s="54" t="b">
        <v>1</v>
      </c>
      <c r="H34" s="54" t="b">
        <v>1</v>
      </c>
      <c r="I34" s="54" t="b">
        <v>1</v>
      </c>
      <c r="J34" s="54" t="b">
        <v>1</v>
      </c>
      <c r="K34" s="63" t="s">
        <v>500</v>
      </c>
      <c r="L34" s="63" t="s">
        <v>1780</v>
      </c>
      <c r="M34" s="63" t="s">
        <v>1781</v>
      </c>
      <c r="N34" s="63" t="s">
        <v>1719</v>
      </c>
    </row>
    <row r="35" spans="1:14" x14ac:dyDescent="0.2">
      <c r="A35" s="51">
        <v>34</v>
      </c>
      <c r="B35" s="54" t="s">
        <v>500</v>
      </c>
      <c r="C35" s="47" t="s">
        <v>1782</v>
      </c>
      <c r="D35" s="47" t="s">
        <v>1783</v>
      </c>
      <c r="E35" s="47" t="s">
        <v>1719</v>
      </c>
      <c r="F35" s="55" t="b">
        <v>1</v>
      </c>
      <c r="G35" s="54" t="b">
        <v>1</v>
      </c>
      <c r="H35" s="54" t="b">
        <v>1</v>
      </c>
      <c r="I35" s="54" t="b">
        <v>1</v>
      </c>
      <c r="J35" s="54" t="b">
        <v>1</v>
      </c>
      <c r="K35" s="63" t="s">
        <v>500</v>
      </c>
      <c r="L35" s="63" t="s">
        <v>1782</v>
      </c>
      <c r="M35" s="63" t="s">
        <v>1783</v>
      </c>
      <c r="N35" s="63" t="s">
        <v>1719</v>
      </c>
    </row>
    <row r="36" spans="1:14" x14ac:dyDescent="0.2">
      <c r="A36" s="51">
        <v>35</v>
      </c>
      <c r="B36" s="54" t="s">
        <v>500</v>
      </c>
      <c r="C36" s="47" t="s">
        <v>1784</v>
      </c>
      <c r="D36" s="47" t="s">
        <v>1785</v>
      </c>
      <c r="E36" s="47" t="s">
        <v>1719</v>
      </c>
      <c r="F36" s="55" t="b">
        <v>1</v>
      </c>
      <c r="G36" s="54" t="b">
        <v>1</v>
      </c>
      <c r="H36" s="54" t="b">
        <v>1</v>
      </c>
      <c r="I36" s="54" t="b">
        <v>1</v>
      </c>
      <c r="J36" s="54" t="b">
        <v>1</v>
      </c>
      <c r="K36" s="63" t="s">
        <v>500</v>
      </c>
      <c r="L36" s="63" t="s">
        <v>1784</v>
      </c>
      <c r="M36" s="63" t="s">
        <v>1785</v>
      </c>
      <c r="N36" s="63" t="s">
        <v>1719</v>
      </c>
    </row>
    <row r="37" spans="1:14" x14ac:dyDescent="0.2">
      <c r="A37" s="51">
        <v>36</v>
      </c>
      <c r="B37" s="54" t="s">
        <v>505</v>
      </c>
      <c r="C37" s="47" t="s">
        <v>1786</v>
      </c>
      <c r="D37" s="47" t="s">
        <v>1787</v>
      </c>
      <c r="E37" s="47" t="s">
        <v>1788</v>
      </c>
      <c r="F37" s="55" t="b">
        <v>1</v>
      </c>
      <c r="G37" s="54" t="b">
        <v>1</v>
      </c>
      <c r="H37" s="54" t="b">
        <v>1</v>
      </c>
      <c r="I37" s="54" t="b">
        <v>1</v>
      </c>
      <c r="J37" s="54" t="b">
        <v>1</v>
      </c>
      <c r="K37" s="63" t="s">
        <v>505</v>
      </c>
      <c r="L37" s="63" t="s">
        <v>1786</v>
      </c>
      <c r="M37" s="63" t="s">
        <v>1787</v>
      </c>
      <c r="N37" s="63" t="s">
        <v>1788</v>
      </c>
    </row>
    <row r="38" spans="1:14" x14ac:dyDescent="0.2">
      <c r="A38" s="51">
        <v>37</v>
      </c>
      <c r="B38" s="54" t="s">
        <v>505</v>
      </c>
      <c r="C38" s="47" t="s">
        <v>1800</v>
      </c>
      <c r="D38" s="47" t="s">
        <v>1801</v>
      </c>
      <c r="E38" s="47" t="s">
        <v>1788</v>
      </c>
      <c r="F38" s="55" t="b">
        <v>1</v>
      </c>
      <c r="G38" s="54" t="b">
        <v>1</v>
      </c>
      <c r="H38" s="54" t="b">
        <v>1</v>
      </c>
      <c r="I38" s="54" t="b">
        <v>1</v>
      </c>
      <c r="J38" s="54" t="b">
        <v>1</v>
      </c>
      <c r="K38" s="63" t="s">
        <v>505</v>
      </c>
      <c r="L38" s="63" t="s">
        <v>1800</v>
      </c>
      <c r="M38" s="63" t="s">
        <v>1801</v>
      </c>
      <c r="N38" s="63" t="s">
        <v>1788</v>
      </c>
    </row>
    <row r="39" spans="1:14" x14ac:dyDescent="0.2">
      <c r="A39" s="51">
        <v>38</v>
      </c>
      <c r="B39" s="54" t="s">
        <v>505</v>
      </c>
      <c r="C39" s="47" t="s">
        <v>1803</v>
      </c>
      <c r="D39" s="47" t="s">
        <v>1804</v>
      </c>
      <c r="E39" s="47" t="s">
        <v>1788</v>
      </c>
      <c r="F39" s="55" t="b">
        <v>1</v>
      </c>
      <c r="G39" s="54" t="b">
        <v>1</v>
      </c>
      <c r="H39" s="54" t="b">
        <v>1</v>
      </c>
      <c r="I39" s="54" t="b">
        <v>1</v>
      </c>
      <c r="J39" s="54" t="b">
        <v>1</v>
      </c>
      <c r="K39" s="63" t="s">
        <v>505</v>
      </c>
      <c r="L39" s="63" t="s">
        <v>1803</v>
      </c>
      <c r="M39" s="63" t="s">
        <v>1804</v>
      </c>
      <c r="N39" s="63" t="s">
        <v>1788</v>
      </c>
    </row>
    <row r="40" spans="1:14" x14ac:dyDescent="0.2">
      <c r="A40" s="51">
        <v>39</v>
      </c>
      <c r="B40" s="54" t="s">
        <v>505</v>
      </c>
      <c r="C40" s="47" t="s">
        <v>1806</v>
      </c>
      <c r="D40" s="47" t="s">
        <v>1807</v>
      </c>
      <c r="E40" s="47" t="s">
        <v>1788</v>
      </c>
      <c r="F40" s="55" t="b">
        <v>1</v>
      </c>
      <c r="G40" s="54" t="b">
        <v>1</v>
      </c>
      <c r="H40" s="54" t="b">
        <v>1</v>
      </c>
      <c r="I40" s="54" t="b">
        <v>1</v>
      </c>
      <c r="J40" s="54" t="b">
        <v>1</v>
      </c>
      <c r="K40" s="63" t="s">
        <v>505</v>
      </c>
      <c r="L40" s="63" t="s">
        <v>1806</v>
      </c>
      <c r="M40" s="63" t="s">
        <v>1807</v>
      </c>
      <c r="N40" s="63" t="s">
        <v>1788</v>
      </c>
    </row>
    <row r="41" spans="1:14" x14ac:dyDescent="0.2">
      <c r="A41" s="51">
        <v>40</v>
      </c>
      <c r="B41" s="54" t="s">
        <v>505</v>
      </c>
      <c r="C41" s="47" t="s">
        <v>1809</v>
      </c>
      <c r="D41" s="47" t="s">
        <v>1810</v>
      </c>
      <c r="E41" s="47" t="s">
        <v>1788</v>
      </c>
      <c r="F41" s="55" t="b">
        <v>1</v>
      </c>
      <c r="G41" s="54" t="b">
        <v>1</v>
      </c>
      <c r="H41" s="54" t="b">
        <v>1</v>
      </c>
      <c r="I41" s="54" t="b">
        <v>1</v>
      </c>
      <c r="J41" s="54" t="b">
        <v>1</v>
      </c>
      <c r="K41" s="63" t="s">
        <v>505</v>
      </c>
      <c r="L41" s="63" t="s">
        <v>1809</v>
      </c>
      <c r="M41" s="63" t="s">
        <v>1810</v>
      </c>
      <c r="N41" s="63" t="s">
        <v>1788</v>
      </c>
    </row>
    <row r="42" spans="1:14" x14ac:dyDescent="0.2">
      <c r="A42" s="51">
        <v>41</v>
      </c>
      <c r="B42" s="54" t="s">
        <v>505</v>
      </c>
      <c r="C42" s="47" t="s">
        <v>1820</v>
      </c>
      <c r="D42" s="47" t="s">
        <v>1821</v>
      </c>
      <c r="E42" s="47" t="s">
        <v>1788</v>
      </c>
      <c r="F42" s="55" t="b">
        <v>1</v>
      </c>
      <c r="G42" s="54" t="b">
        <v>1</v>
      </c>
      <c r="H42" s="54" t="b">
        <v>1</v>
      </c>
      <c r="I42" s="54" t="b">
        <v>1</v>
      </c>
      <c r="J42" s="54" t="b">
        <v>1</v>
      </c>
      <c r="K42" s="63" t="s">
        <v>505</v>
      </c>
      <c r="L42" s="63" t="s">
        <v>1820</v>
      </c>
      <c r="M42" s="63" t="s">
        <v>1821</v>
      </c>
      <c r="N42" s="63" t="s">
        <v>1788</v>
      </c>
    </row>
    <row r="43" spans="1:14" x14ac:dyDescent="0.2">
      <c r="A43" s="51">
        <v>42</v>
      </c>
      <c r="B43" s="54" t="s">
        <v>505</v>
      </c>
      <c r="C43" s="47" t="s">
        <v>1825</v>
      </c>
      <c r="D43" s="47" t="s">
        <v>1826</v>
      </c>
      <c r="E43" s="47" t="s">
        <v>1788</v>
      </c>
      <c r="F43" s="55" t="b">
        <v>1</v>
      </c>
      <c r="G43" s="54" t="b">
        <v>1</v>
      </c>
      <c r="H43" s="54" t="b">
        <v>1</v>
      </c>
      <c r="I43" s="54" t="b">
        <v>1</v>
      </c>
      <c r="J43" s="54" t="b">
        <v>1</v>
      </c>
      <c r="K43" s="63" t="s">
        <v>505</v>
      </c>
      <c r="L43" s="63" t="s">
        <v>1825</v>
      </c>
      <c r="M43" s="63" t="s">
        <v>1826</v>
      </c>
      <c r="N43" s="63" t="s">
        <v>1788</v>
      </c>
    </row>
    <row r="44" spans="1:14" x14ac:dyDescent="0.2">
      <c r="A44" s="51">
        <v>43</v>
      </c>
      <c r="B44" s="54" t="s">
        <v>505</v>
      </c>
      <c r="C44" s="47" t="s">
        <v>1832</v>
      </c>
      <c r="D44" s="47" t="s">
        <v>1833</v>
      </c>
      <c r="E44" s="47" t="s">
        <v>1788</v>
      </c>
      <c r="F44" s="55" t="b">
        <v>1</v>
      </c>
      <c r="G44" s="54" t="b">
        <v>1</v>
      </c>
      <c r="H44" s="54" t="b">
        <v>1</v>
      </c>
      <c r="I44" s="54" t="b">
        <v>1</v>
      </c>
      <c r="J44" s="54" t="b">
        <v>1</v>
      </c>
      <c r="K44" s="63" t="s">
        <v>505</v>
      </c>
      <c r="L44" s="63" t="s">
        <v>1832</v>
      </c>
      <c r="M44" s="63" t="s">
        <v>1833</v>
      </c>
      <c r="N44" s="63" t="s">
        <v>1788</v>
      </c>
    </row>
    <row r="45" spans="1:14" x14ac:dyDescent="0.2">
      <c r="A45" s="51">
        <v>44</v>
      </c>
      <c r="B45" s="54" t="s">
        <v>505</v>
      </c>
      <c r="C45" s="47" t="s">
        <v>1797</v>
      </c>
      <c r="D45" s="47" t="s">
        <v>1798</v>
      </c>
      <c r="E45" s="47" t="s">
        <v>1788</v>
      </c>
      <c r="F45" s="55" t="b">
        <v>1</v>
      </c>
      <c r="G45" s="54" t="b">
        <v>1</v>
      </c>
      <c r="H45" s="54" t="b">
        <v>1</v>
      </c>
      <c r="I45" s="54" t="b">
        <v>1</v>
      </c>
      <c r="J45" s="54" t="b">
        <v>1</v>
      </c>
      <c r="K45" s="63" t="s">
        <v>505</v>
      </c>
      <c r="L45" s="63" t="s">
        <v>1797</v>
      </c>
      <c r="M45" s="63" t="s">
        <v>1798</v>
      </c>
      <c r="N45" s="63" t="s">
        <v>1788</v>
      </c>
    </row>
    <row r="46" spans="1:14" x14ac:dyDescent="0.2">
      <c r="A46" s="51">
        <v>45</v>
      </c>
      <c r="B46" s="54" t="s">
        <v>505</v>
      </c>
      <c r="C46" s="47" t="s">
        <v>1857</v>
      </c>
      <c r="D46" s="47" t="s">
        <v>1858</v>
      </c>
      <c r="E46" s="47" t="s">
        <v>1788</v>
      </c>
      <c r="F46" s="55" t="b">
        <v>1</v>
      </c>
      <c r="G46" s="54" t="b">
        <v>1</v>
      </c>
      <c r="H46" s="54" t="b">
        <v>1</v>
      </c>
      <c r="I46" s="54" t="b">
        <v>1</v>
      </c>
      <c r="J46" s="54" t="b">
        <v>1</v>
      </c>
      <c r="K46" s="63" t="s">
        <v>505</v>
      </c>
      <c r="L46" s="63" t="s">
        <v>1857</v>
      </c>
      <c r="M46" s="63" t="s">
        <v>1858</v>
      </c>
      <c r="N46" s="63" t="s">
        <v>1788</v>
      </c>
    </row>
    <row r="47" spans="1:14" x14ac:dyDescent="0.2">
      <c r="A47" s="51">
        <v>46</v>
      </c>
      <c r="B47" s="54" t="s">
        <v>505</v>
      </c>
      <c r="C47" s="47" t="s">
        <v>1864</v>
      </c>
      <c r="D47" s="47" t="s">
        <v>1865</v>
      </c>
      <c r="E47" s="47" t="s">
        <v>1788</v>
      </c>
      <c r="F47" s="55" t="b">
        <v>1</v>
      </c>
      <c r="G47" s="54" t="b">
        <v>1</v>
      </c>
      <c r="H47" s="54" t="b">
        <v>1</v>
      </c>
      <c r="I47" s="54" t="b">
        <v>1</v>
      </c>
      <c r="J47" s="54" t="b">
        <v>1</v>
      </c>
      <c r="K47" s="63" t="s">
        <v>505</v>
      </c>
      <c r="L47" s="63" t="s">
        <v>1864</v>
      </c>
      <c r="M47" s="63" t="s">
        <v>1865</v>
      </c>
      <c r="N47" s="63" t="s">
        <v>1788</v>
      </c>
    </row>
    <row r="48" spans="1:14" x14ac:dyDescent="0.2">
      <c r="A48" s="51">
        <v>47</v>
      </c>
      <c r="B48" s="54" t="s">
        <v>505</v>
      </c>
      <c r="C48" s="47" t="s">
        <v>1869</v>
      </c>
      <c r="D48" s="47" t="s">
        <v>1870</v>
      </c>
      <c r="E48" s="47" t="s">
        <v>1788</v>
      </c>
      <c r="F48" s="55" t="b">
        <v>1</v>
      </c>
      <c r="G48" s="54" t="b">
        <v>1</v>
      </c>
      <c r="H48" s="54" t="b">
        <v>1</v>
      </c>
      <c r="I48" s="54" t="b">
        <v>1</v>
      </c>
      <c r="J48" s="54" t="b">
        <v>1</v>
      </c>
      <c r="K48" s="63" t="s">
        <v>505</v>
      </c>
      <c r="L48" s="63" t="s">
        <v>1869</v>
      </c>
      <c r="M48" s="63" t="s">
        <v>1870</v>
      </c>
      <c r="N48" s="63" t="s">
        <v>1788</v>
      </c>
    </row>
    <row r="49" spans="1:14" x14ac:dyDescent="0.2">
      <c r="A49" s="51">
        <v>48</v>
      </c>
      <c r="B49" s="54" t="s">
        <v>505</v>
      </c>
      <c r="C49" s="47" t="s">
        <v>1789</v>
      </c>
      <c r="D49" s="47" t="s">
        <v>1787</v>
      </c>
      <c r="E49" s="48" t="s">
        <v>1790</v>
      </c>
      <c r="F49" s="66" t="b">
        <v>0</v>
      </c>
      <c r="G49" s="54" t="b">
        <v>1</v>
      </c>
      <c r="H49" s="54" t="b">
        <v>1</v>
      </c>
      <c r="I49" s="54" t="b">
        <v>1</v>
      </c>
      <c r="J49" s="54" t="b">
        <v>1</v>
      </c>
      <c r="K49" s="63" t="s">
        <v>505</v>
      </c>
      <c r="L49" s="63" t="s">
        <v>1789</v>
      </c>
      <c r="M49" s="63" t="s">
        <v>1787</v>
      </c>
      <c r="N49" s="63" t="s">
        <v>1790</v>
      </c>
    </row>
    <row r="50" spans="1:14" x14ac:dyDescent="0.2">
      <c r="A50" s="51">
        <v>49</v>
      </c>
      <c r="B50" s="54" t="s">
        <v>505</v>
      </c>
      <c r="C50" s="47" t="s">
        <v>1791</v>
      </c>
      <c r="D50" s="47" t="s">
        <v>1792</v>
      </c>
      <c r="E50" s="48" t="s">
        <v>1790</v>
      </c>
      <c r="F50" s="66" t="b">
        <v>0</v>
      </c>
      <c r="G50" s="54" t="b">
        <v>1</v>
      </c>
      <c r="H50" s="54" t="b">
        <v>1</v>
      </c>
      <c r="I50" s="54" t="b">
        <v>1</v>
      </c>
      <c r="J50" s="54" t="b">
        <v>1</v>
      </c>
      <c r="K50" s="63" t="s">
        <v>505</v>
      </c>
      <c r="L50" s="63" t="s">
        <v>1791</v>
      </c>
      <c r="M50" s="63" t="s">
        <v>1792</v>
      </c>
      <c r="N50" s="63" t="s">
        <v>1790</v>
      </c>
    </row>
    <row r="51" spans="1:14" x14ac:dyDescent="0.2">
      <c r="A51" s="51">
        <v>50</v>
      </c>
      <c r="B51" s="54" t="s">
        <v>505</v>
      </c>
      <c r="C51" s="47" t="s">
        <v>1799</v>
      </c>
      <c r="D51" s="47" t="s">
        <v>1798</v>
      </c>
      <c r="E51" s="48" t="s">
        <v>1790</v>
      </c>
      <c r="F51" s="66" t="b">
        <v>0</v>
      </c>
      <c r="G51" s="54" t="b">
        <v>1</v>
      </c>
      <c r="H51" s="54" t="b">
        <v>1</v>
      </c>
      <c r="I51" s="54" t="b">
        <v>1</v>
      </c>
      <c r="J51" s="54" t="b">
        <v>1</v>
      </c>
      <c r="K51" s="63" t="s">
        <v>505</v>
      </c>
      <c r="L51" s="63" t="s">
        <v>1799</v>
      </c>
      <c r="M51" s="63" t="s">
        <v>1798</v>
      </c>
      <c r="N51" s="63" t="s">
        <v>1790</v>
      </c>
    </row>
    <row r="52" spans="1:14" x14ac:dyDescent="0.2">
      <c r="A52" s="51">
        <v>51</v>
      </c>
      <c r="B52" s="54" t="s">
        <v>505</v>
      </c>
      <c r="C52" s="47" t="s">
        <v>1793</v>
      </c>
      <c r="D52" s="47" t="s">
        <v>1794</v>
      </c>
      <c r="E52" s="48" t="s">
        <v>1790</v>
      </c>
      <c r="F52" s="66" t="b">
        <v>0</v>
      </c>
      <c r="G52" s="54" t="b">
        <v>1</v>
      </c>
      <c r="H52" s="54" t="b">
        <v>1</v>
      </c>
      <c r="I52" s="54" t="b">
        <v>1</v>
      </c>
      <c r="J52" s="54" t="b">
        <v>1</v>
      </c>
      <c r="K52" s="63" t="s">
        <v>505</v>
      </c>
      <c r="L52" s="63" t="s">
        <v>1793</v>
      </c>
      <c r="M52" s="63" t="s">
        <v>1794</v>
      </c>
      <c r="N52" s="63" t="s">
        <v>1790</v>
      </c>
    </row>
    <row r="53" spans="1:14" x14ac:dyDescent="0.2">
      <c r="A53" s="51">
        <v>52</v>
      </c>
      <c r="B53" s="54" t="s">
        <v>505</v>
      </c>
      <c r="C53" s="47" t="s">
        <v>1802</v>
      </c>
      <c r="D53" s="47" t="s">
        <v>1801</v>
      </c>
      <c r="E53" s="48" t="s">
        <v>1790</v>
      </c>
      <c r="F53" s="66" t="b">
        <v>0</v>
      </c>
      <c r="G53" s="54" t="b">
        <v>1</v>
      </c>
      <c r="H53" s="54" t="b">
        <v>1</v>
      </c>
      <c r="I53" s="54" t="b">
        <v>1</v>
      </c>
      <c r="J53" s="54" t="b">
        <v>1</v>
      </c>
      <c r="K53" s="63" t="s">
        <v>505</v>
      </c>
      <c r="L53" s="63" t="s">
        <v>1802</v>
      </c>
      <c r="M53" s="63" t="s">
        <v>1801</v>
      </c>
      <c r="N53" s="63" t="s">
        <v>1790</v>
      </c>
    </row>
    <row r="54" spans="1:14" x14ac:dyDescent="0.2">
      <c r="A54" s="51">
        <v>53</v>
      </c>
      <c r="B54" s="54" t="s">
        <v>505</v>
      </c>
      <c r="C54" s="47" t="s">
        <v>1795</v>
      </c>
      <c r="D54" s="47" t="s">
        <v>1796</v>
      </c>
      <c r="E54" s="48" t="s">
        <v>1790</v>
      </c>
      <c r="F54" s="66" t="b">
        <v>0</v>
      </c>
      <c r="G54" s="54" t="b">
        <v>1</v>
      </c>
      <c r="H54" s="54" t="b">
        <v>1</v>
      </c>
      <c r="I54" s="54" t="b">
        <v>1</v>
      </c>
      <c r="J54" s="54" t="b">
        <v>1</v>
      </c>
      <c r="K54" s="63" t="s">
        <v>505</v>
      </c>
      <c r="L54" s="63" t="s">
        <v>1795</v>
      </c>
      <c r="M54" s="63" t="s">
        <v>1796</v>
      </c>
      <c r="N54" s="63" t="s">
        <v>1790</v>
      </c>
    </row>
    <row r="55" spans="1:14" x14ac:dyDescent="0.2">
      <c r="A55" s="51">
        <v>54</v>
      </c>
      <c r="B55" s="54" t="s">
        <v>505</v>
      </c>
      <c r="C55" s="47" t="s">
        <v>1805</v>
      </c>
      <c r="D55" s="47" t="s">
        <v>1804</v>
      </c>
      <c r="E55" s="48" t="s">
        <v>1790</v>
      </c>
      <c r="F55" s="66" t="b">
        <v>0</v>
      </c>
      <c r="G55" s="54" t="b">
        <v>1</v>
      </c>
      <c r="H55" s="54" t="b">
        <v>1</v>
      </c>
      <c r="I55" s="54" t="b">
        <v>1</v>
      </c>
      <c r="J55" s="54" t="b">
        <v>1</v>
      </c>
      <c r="K55" s="63" t="s">
        <v>505</v>
      </c>
      <c r="L55" s="63" t="s">
        <v>1805</v>
      </c>
      <c r="M55" s="63" t="s">
        <v>1804</v>
      </c>
      <c r="N55" s="63" t="s">
        <v>1790</v>
      </c>
    </row>
    <row r="56" spans="1:14" x14ac:dyDescent="0.2">
      <c r="A56" s="51">
        <v>55</v>
      </c>
      <c r="B56" s="54" t="s">
        <v>505</v>
      </c>
      <c r="C56" s="47" t="s">
        <v>1818</v>
      </c>
      <c r="D56" s="47" t="s">
        <v>1819</v>
      </c>
      <c r="E56" s="48" t="s">
        <v>1790</v>
      </c>
      <c r="F56" s="66" t="b">
        <v>0</v>
      </c>
      <c r="G56" s="54" t="b">
        <v>1</v>
      </c>
      <c r="H56" s="54" t="b">
        <v>1</v>
      </c>
      <c r="I56" s="54" t="b">
        <v>1</v>
      </c>
      <c r="J56" s="54" t="b">
        <v>1</v>
      </c>
      <c r="K56" s="63" t="s">
        <v>505</v>
      </c>
      <c r="L56" s="63" t="s">
        <v>1818</v>
      </c>
      <c r="M56" s="63" t="s">
        <v>1819</v>
      </c>
      <c r="N56" s="63" t="s">
        <v>1790</v>
      </c>
    </row>
    <row r="57" spans="1:14" x14ac:dyDescent="0.2">
      <c r="A57" s="51">
        <v>56</v>
      </c>
      <c r="B57" s="54" t="s">
        <v>505</v>
      </c>
      <c r="C57" s="47" t="s">
        <v>1808</v>
      </c>
      <c r="D57" s="47" t="s">
        <v>1807</v>
      </c>
      <c r="E57" s="48" t="s">
        <v>1790</v>
      </c>
      <c r="F57" s="66" t="b">
        <v>0</v>
      </c>
      <c r="G57" s="54" t="b">
        <v>1</v>
      </c>
      <c r="H57" s="54" t="b">
        <v>1</v>
      </c>
      <c r="I57" s="54" t="b">
        <v>1</v>
      </c>
      <c r="J57" s="54" t="b">
        <v>1</v>
      </c>
      <c r="K57" s="63" t="s">
        <v>505</v>
      </c>
      <c r="L57" s="63" t="s">
        <v>1808</v>
      </c>
      <c r="M57" s="63" t="s">
        <v>1807</v>
      </c>
      <c r="N57" s="63" t="s">
        <v>1790</v>
      </c>
    </row>
    <row r="58" spans="1:14" x14ac:dyDescent="0.2">
      <c r="A58" s="51">
        <v>57</v>
      </c>
      <c r="B58" s="54" t="s">
        <v>505</v>
      </c>
      <c r="C58" s="47" t="s">
        <v>1811</v>
      </c>
      <c r="D58" s="47" t="s">
        <v>1810</v>
      </c>
      <c r="E58" s="48" t="s">
        <v>1790</v>
      </c>
      <c r="F58" s="66" t="b">
        <v>0</v>
      </c>
      <c r="G58" s="54" t="b">
        <v>1</v>
      </c>
      <c r="H58" s="54" t="b">
        <v>1</v>
      </c>
      <c r="I58" s="54" t="b">
        <v>1</v>
      </c>
      <c r="J58" s="54" t="b">
        <v>1</v>
      </c>
      <c r="K58" s="63" t="s">
        <v>505</v>
      </c>
      <c r="L58" s="63" t="s">
        <v>1811</v>
      </c>
      <c r="M58" s="63" t="s">
        <v>1810</v>
      </c>
      <c r="N58" s="63" t="s">
        <v>1790</v>
      </c>
    </row>
    <row r="59" spans="1:14" x14ac:dyDescent="0.2">
      <c r="A59" s="51">
        <v>58</v>
      </c>
      <c r="B59" s="54" t="s">
        <v>505</v>
      </c>
      <c r="C59" s="47" t="s">
        <v>1812</v>
      </c>
      <c r="D59" s="47" t="s">
        <v>1813</v>
      </c>
      <c r="E59" s="48" t="s">
        <v>1790</v>
      </c>
      <c r="F59" s="66" t="b">
        <v>0</v>
      </c>
      <c r="G59" s="54" t="b">
        <v>1</v>
      </c>
      <c r="H59" s="54" t="b">
        <v>1</v>
      </c>
      <c r="I59" s="54" t="b">
        <v>1</v>
      </c>
      <c r="J59" s="54" t="b">
        <v>1</v>
      </c>
      <c r="K59" s="63" t="s">
        <v>505</v>
      </c>
      <c r="L59" s="63" t="s">
        <v>1812</v>
      </c>
      <c r="M59" s="63" t="s">
        <v>1813</v>
      </c>
      <c r="N59" s="63" t="s">
        <v>1790</v>
      </c>
    </row>
    <row r="60" spans="1:14" x14ac:dyDescent="0.2">
      <c r="A60" s="51">
        <v>59</v>
      </c>
      <c r="B60" s="54" t="s">
        <v>505</v>
      </c>
      <c r="C60" s="47" t="s">
        <v>1814</v>
      </c>
      <c r="D60" s="47" t="s">
        <v>1815</v>
      </c>
      <c r="E60" s="48" t="s">
        <v>1790</v>
      </c>
      <c r="F60" s="66" t="b">
        <v>0</v>
      </c>
      <c r="G60" s="54" t="b">
        <v>1</v>
      </c>
      <c r="H60" s="54" t="b">
        <v>1</v>
      </c>
      <c r="I60" s="54" t="b">
        <v>1</v>
      </c>
      <c r="J60" s="54" t="b">
        <v>1</v>
      </c>
      <c r="K60" s="63" t="s">
        <v>505</v>
      </c>
      <c r="L60" s="63" t="s">
        <v>1814</v>
      </c>
      <c r="M60" s="63" t="s">
        <v>1815</v>
      </c>
      <c r="N60" s="63" t="s">
        <v>1790</v>
      </c>
    </row>
    <row r="61" spans="1:14" x14ac:dyDescent="0.2">
      <c r="A61" s="51">
        <v>60</v>
      </c>
      <c r="B61" s="54" t="s">
        <v>505</v>
      </c>
      <c r="C61" s="47" t="s">
        <v>1816</v>
      </c>
      <c r="D61" s="47" t="s">
        <v>1817</v>
      </c>
      <c r="E61" s="48" t="s">
        <v>1790</v>
      </c>
      <c r="F61" s="66" t="b">
        <v>0</v>
      </c>
      <c r="G61" s="54" t="b">
        <v>1</v>
      </c>
      <c r="H61" s="54" t="b">
        <v>1</v>
      </c>
      <c r="I61" s="54" t="b">
        <v>1</v>
      </c>
      <c r="J61" s="54" t="b">
        <v>1</v>
      </c>
      <c r="K61" s="63" t="s">
        <v>505</v>
      </c>
      <c r="L61" s="63" t="s">
        <v>1816</v>
      </c>
      <c r="M61" s="63" t="s">
        <v>1817</v>
      </c>
      <c r="N61" s="63" t="s">
        <v>1790</v>
      </c>
    </row>
    <row r="62" spans="1:14" x14ac:dyDescent="0.2">
      <c r="A62" s="51">
        <v>61</v>
      </c>
      <c r="B62" s="54" t="s">
        <v>505</v>
      </c>
      <c r="C62" s="47" t="s">
        <v>1828</v>
      </c>
      <c r="D62" s="47" t="s">
        <v>1829</v>
      </c>
      <c r="E62" s="48" t="s">
        <v>1790</v>
      </c>
      <c r="F62" s="66" t="b">
        <v>0</v>
      </c>
      <c r="G62" s="54" t="b">
        <v>1</v>
      </c>
      <c r="H62" s="54" t="b">
        <v>1</v>
      </c>
      <c r="I62" s="54" t="b">
        <v>1</v>
      </c>
      <c r="J62" s="54" t="b">
        <v>1</v>
      </c>
      <c r="K62" s="63" t="s">
        <v>505</v>
      </c>
      <c r="L62" s="63" t="s">
        <v>1828</v>
      </c>
      <c r="M62" s="63" t="s">
        <v>1829</v>
      </c>
      <c r="N62" s="63" t="s">
        <v>1790</v>
      </c>
    </row>
    <row r="63" spans="1:14" x14ac:dyDescent="0.2">
      <c r="A63" s="51">
        <v>62</v>
      </c>
      <c r="B63" s="54" t="s">
        <v>505</v>
      </c>
      <c r="C63" s="47" t="s">
        <v>1830</v>
      </c>
      <c r="D63" s="47" t="s">
        <v>1831</v>
      </c>
      <c r="E63" s="48" t="s">
        <v>1790</v>
      </c>
      <c r="F63" s="66" t="b">
        <v>0</v>
      </c>
      <c r="G63" s="54" t="b">
        <v>1</v>
      </c>
      <c r="H63" s="54" t="b">
        <v>1</v>
      </c>
      <c r="I63" s="54" t="b">
        <v>1</v>
      </c>
      <c r="J63" s="54" t="b">
        <v>1</v>
      </c>
      <c r="K63" s="63" t="s">
        <v>505</v>
      </c>
      <c r="L63" s="63" t="s">
        <v>1830</v>
      </c>
      <c r="M63" s="63" t="s">
        <v>1831</v>
      </c>
      <c r="N63" s="63" t="s">
        <v>1790</v>
      </c>
    </row>
    <row r="64" spans="1:14" x14ac:dyDescent="0.2">
      <c r="A64" s="51">
        <v>63</v>
      </c>
      <c r="B64" s="54" t="s">
        <v>505</v>
      </c>
      <c r="C64" s="47" t="s">
        <v>1822</v>
      </c>
      <c r="D64" s="47" t="s">
        <v>1821</v>
      </c>
      <c r="E64" s="48" t="s">
        <v>1790</v>
      </c>
      <c r="F64" s="66" t="b">
        <v>0</v>
      </c>
      <c r="G64" s="54" t="b">
        <v>1</v>
      </c>
      <c r="H64" s="54" t="b">
        <v>1</v>
      </c>
      <c r="I64" s="54" t="b">
        <v>1</v>
      </c>
      <c r="J64" s="54" t="b">
        <v>1</v>
      </c>
      <c r="K64" s="63" t="s">
        <v>505</v>
      </c>
      <c r="L64" s="63" t="s">
        <v>1822</v>
      </c>
      <c r="M64" s="63" t="s">
        <v>1821</v>
      </c>
      <c r="N64" s="63" t="s">
        <v>1790</v>
      </c>
    </row>
    <row r="65" spans="1:14" x14ac:dyDescent="0.2">
      <c r="A65" s="51">
        <v>64</v>
      </c>
      <c r="B65" s="54" t="s">
        <v>505</v>
      </c>
      <c r="C65" s="47" t="s">
        <v>1823</v>
      </c>
      <c r="D65" s="47" t="s">
        <v>1824</v>
      </c>
      <c r="E65" s="48" t="s">
        <v>1790</v>
      </c>
      <c r="F65" s="66" t="b">
        <v>0</v>
      </c>
      <c r="G65" s="54" t="b">
        <v>1</v>
      </c>
      <c r="H65" s="54" t="b">
        <v>1</v>
      </c>
      <c r="I65" s="54" t="b">
        <v>1</v>
      </c>
      <c r="J65" s="54" t="b">
        <v>1</v>
      </c>
      <c r="K65" s="63" t="s">
        <v>505</v>
      </c>
      <c r="L65" s="63" t="s">
        <v>1823</v>
      </c>
      <c r="M65" s="63" t="s">
        <v>1824</v>
      </c>
      <c r="N65" s="63" t="s">
        <v>1790</v>
      </c>
    </row>
    <row r="66" spans="1:14" x14ac:dyDescent="0.2">
      <c r="A66" s="51">
        <v>65</v>
      </c>
      <c r="B66" s="54" t="s">
        <v>505</v>
      </c>
      <c r="C66" s="47" t="s">
        <v>1827</v>
      </c>
      <c r="D66" s="47" t="s">
        <v>1826</v>
      </c>
      <c r="E66" s="48" t="s">
        <v>1790</v>
      </c>
      <c r="F66" s="66" t="b">
        <v>0</v>
      </c>
      <c r="G66" s="54" t="b">
        <v>1</v>
      </c>
      <c r="H66" s="54" t="b">
        <v>1</v>
      </c>
      <c r="I66" s="54" t="b">
        <v>1</v>
      </c>
      <c r="J66" s="54" t="b">
        <v>1</v>
      </c>
      <c r="K66" s="63" t="s">
        <v>505</v>
      </c>
      <c r="L66" s="63" t="s">
        <v>1827</v>
      </c>
      <c r="M66" s="63" t="s">
        <v>1826</v>
      </c>
      <c r="N66" s="63" t="s">
        <v>1790</v>
      </c>
    </row>
    <row r="67" spans="1:14" x14ac:dyDescent="0.2">
      <c r="A67" s="51">
        <v>66</v>
      </c>
      <c r="B67" s="54" t="s">
        <v>505</v>
      </c>
      <c r="C67" s="47" t="s">
        <v>1835</v>
      </c>
      <c r="D67" s="47" t="s">
        <v>1836</v>
      </c>
      <c r="E67" s="48" t="s">
        <v>1790</v>
      </c>
      <c r="F67" s="66" t="b">
        <v>0</v>
      </c>
      <c r="G67" s="54" t="b">
        <v>1</v>
      </c>
      <c r="H67" s="54" t="b">
        <v>1</v>
      </c>
      <c r="I67" s="54" t="b">
        <v>1</v>
      </c>
      <c r="J67" s="54" t="b">
        <v>1</v>
      </c>
      <c r="K67" s="63" t="s">
        <v>505</v>
      </c>
      <c r="L67" s="63" t="s">
        <v>1835</v>
      </c>
      <c r="M67" s="63" t="s">
        <v>1836</v>
      </c>
      <c r="N67" s="63" t="s">
        <v>1790</v>
      </c>
    </row>
    <row r="68" spans="1:14" x14ac:dyDescent="0.2">
      <c r="A68" s="51">
        <v>67</v>
      </c>
      <c r="B68" s="54" t="s">
        <v>505</v>
      </c>
      <c r="C68" s="47" t="s">
        <v>1834</v>
      </c>
      <c r="D68" s="47" t="s">
        <v>1833</v>
      </c>
      <c r="E68" s="48" t="s">
        <v>1790</v>
      </c>
      <c r="F68" s="66" t="b">
        <v>0</v>
      </c>
      <c r="G68" s="54" t="b">
        <v>1</v>
      </c>
      <c r="H68" s="54" t="b">
        <v>1</v>
      </c>
      <c r="I68" s="54" t="b">
        <v>1</v>
      </c>
      <c r="J68" s="54" t="b">
        <v>1</v>
      </c>
      <c r="K68" s="63" t="s">
        <v>505</v>
      </c>
      <c r="L68" s="63" t="s">
        <v>1834</v>
      </c>
      <c r="M68" s="63" t="s">
        <v>1833</v>
      </c>
      <c r="N68" s="63" t="s">
        <v>1790</v>
      </c>
    </row>
    <row r="69" spans="1:14" x14ac:dyDescent="0.2">
      <c r="A69" s="51">
        <v>68</v>
      </c>
      <c r="B69" s="54" t="s">
        <v>505</v>
      </c>
      <c r="C69" s="47" t="s">
        <v>1837</v>
      </c>
      <c r="D69" s="47" t="s">
        <v>1838</v>
      </c>
      <c r="E69" s="48" t="s">
        <v>1790</v>
      </c>
      <c r="F69" s="66" t="b">
        <v>0</v>
      </c>
      <c r="G69" s="54" t="b">
        <v>1</v>
      </c>
      <c r="H69" s="54" t="b">
        <v>1</v>
      </c>
      <c r="I69" s="54" t="b">
        <v>1</v>
      </c>
      <c r="J69" s="54" t="b">
        <v>1</v>
      </c>
      <c r="K69" s="63" t="s">
        <v>505</v>
      </c>
      <c r="L69" s="63" t="s">
        <v>1837</v>
      </c>
      <c r="M69" s="63" t="s">
        <v>1838</v>
      </c>
      <c r="N69" s="63" t="s">
        <v>1790</v>
      </c>
    </row>
    <row r="70" spans="1:14" x14ac:dyDescent="0.2">
      <c r="A70" s="51">
        <v>69</v>
      </c>
      <c r="B70" s="54" t="s">
        <v>505</v>
      </c>
      <c r="C70" s="47" t="s">
        <v>1839</v>
      </c>
      <c r="D70" s="47" t="s">
        <v>1840</v>
      </c>
      <c r="E70" s="48" t="s">
        <v>1790</v>
      </c>
      <c r="F70" s="66" t="b">
        <v>0</v>
      </c>
      <c r="G70" s="54" t="b">
        <v>1</v>
      </c>
      <c r="H70" s="54" t="b">
        <v>1</v>
      </c>
      <c r="I70" s="54" t="b">
        <v>1</v>
      </c>
      <c r="J70" s="54" t="b">
        <v>1</v>
      </c>
      <c r="K70" s="63" t="s">
        <v>505</v>
      </c>
      <c r="L70" s="63" t="s">
        <v>1839</v>
      </c>
      <c r="M70" s="63" t="s">
        <v>1840</v>
      </c>
      <c r="N70" s="63" t="s">
        <v>1790</v>
      </c>
    </row>
    <row r="71" spans="1:14" x14ac:dyDescent="0.2">
      <c r="A71" s="51">
        <v>70</v>
      </c>
      <c r="B71" s="54" t="s">
        <v>505</v>
      </c>
      <c r="C71" s="47" t="s">
        <v>1841</v>
      </c>
      <c r="D71" s="47" t="s">
        <v>1842</v>
      </c>
      <c r="E71" s="48" t="s">
        <v>1790</v>
      </c>
      <c r="F71" s="66" t="b">
        <v>0</v>
      </c>
      <c r="G71" s="54" t="b">
        <v>1</v>
      </c>
      <c r="H71" s="54" t="b">
        <v>1</v>
      </c>
      <c r="I71" s="54" t="b">
        <v>1</v>
      </c>
      <c r="J71" s="54" t="b">
        <v>1</v>
      </c>
      <c r="K71" s="63" t="s">
        <v>505</v>
      </c>
      <c r="L71" s="63" t="s">
        <v>1841</v>
      </c>
      <c r="M71" s="63" t="s">
        <v>1842</v>
      </c>
      <c r="N71" s="63" t="s">
        <v>1790</v>
      </c>
    </row>
    <row r="72" spans="1:14" x14ac:dyDescent="0.2">
      <c r="A72" s="51">
        <v>71</v>
      </c>
      <c r="B72" s="54" t="s">
        <v>505</v>
      </c>
      <c r="C72" s="47" t="s">
        <v>1845</v>
      </c>
      <c r="D72" s="47" t="s">
        <v>1846</v>
      </c>
      <c r="E72" s="48" t="s">
        <v>1790</v>
      </c>
      <c r="F72" s="66" t="b">
        <v>0</v>
      </c>
      <c r="G72" s="54" t="b">
        <v>1</v>
      </c>
      <c r="H72" s="54" t="b">
        <v>1</v>
      </c>
      <c r="I72" s="54" t="b">
        <v>1</v>
      </c>
      <c r="J72" s="54" t="b">
        <v>1</v>
      </c>
      <c r="K72" s="63" t="s">
        <v>505</v>
      </c>
      <c r="L72" s="63" t="s">
        <v>1845</v>
      </c>
      <c r="M72" s="63" t="s">
        <v>1846</v>
      </c>
      <c r="N72" s="63" t="s">
        <v>1790</v>
      </c>
    </row>
    <row r="73" spans="1:14" x14ac:dyDescent="0.2">
      <c r="A73" s="51">
        <v>72</v>
      </c>
      <c r="B73" s="54" t="s">
        <v>505</v>
      </c>
      <c r="C73" s="47" t="s">
        <v>1843</v>
      </c>
      <c r="D73" s="47" t="s">
        <v>1844</v>
      </c>
      <c r="E73" s="48" t="s">
        <v>1790</v>
      </c>
      <c r="F73" s="66" t="b">
        <v>0</v>
      </c>
      <c r="G73" s="54" t="b">
        <v>1</v>
      </c>
      <c r="H73" s="54" t="b">
        <v>1</v>
      </c>
      <c r="I73" s="54" t="b">
        <v>1</v>
      </c>
      <c r="J73" s="54" t="b">
        <v>1</v>
      </c>
      <c r="K73" s="63" t="s">
        <v>505</v>
      </c>
      <c r="L73" s="63" t="s">
        <v>1843</v>
      </c>
      <c r="M73" s="63" t="s">
        <v>1844</v>
      </c>
      <c r="N73" s="63" t="s">
        <v>1790</v>
      </c>
    </row>
    <row r="74" spans="1:14" x14ac:dyDescent="0.2">
      <c r="A74" s="51">
        <v>73</v>
      </c>
      <c r="B74" s="54" t="s">
        <v>505</v>
      </c>
      <c r="C74" s="47" t="s">
        <v>1849</v>
      </c>
      <c r="D74" s="47" t="s">
        <v>1850</v>
      </c>
      <c r="E74" s="48" t="s">
        <v>1790</v>
      </c>
      <c r="F74" s="66" t="b">
        <v>0</v>
      </c>
      <c r="G74" s="54" t="b">
        <v>1</v>
      </c>
      <c r="H74" s="54" t="b">
        <v>1</v>
      </c>
      <c r="I74" s="54" t="b">
        <v>1</v>
      </c>
      <c r="J74" s="54" t="b">
        <v>1</v>
      </c>
      <c r="K74" s="63" t="s">
        <v>505</v>
      </c>
      <c r="L74" s="63" t="s">
        <v>1849</v>
      </c>
      <c r="M74" s="63" t="s">
        <v>1850</v>
      </c>
      <c r="N74" s="63" t="s">
        <v>1790</v>
      </c>
    </row>
    <row r="75" spans="1:14" x14ac:dyDescent="0.2">
      <c r="A75" s="51">
        <v>74</v>
      </c>
      <c r="B75" s="54" t="s">
        <v>505</v>
      </c>
      <c r="C75" s="47" t="s">
        <v>1847</v>
      </c>
      <c r="D75" s="47" t="s">
        <v>1848</v>
      </c>
      <c r="E75" s="48" t="s">
        <v>1790</v>
      </c>
      <c r="F75" s="66" t="b">
        <v>0</v>
      </c>
      <c r="G75" s="54" t="b">
        <v>1</v>
      </c>
      <c r="H75" s="54" t="b">
        <v>1</v>
      </c>
      <c r="I75" s="54" t="b">
        <v>1</v>
      </c>
      <c r="J75" s="54" t="b">
        <v>1</v>
      </c>
      <c r="K75" s="63" t="s">
        <v>505</v>
      </c>
      <c r="L75" s="63" t="s">
        <v>1847</v>
      </c>
      <c r="M75" s="63" t="s">
        <v>1848</v>
      </c>
      <c r="N75" s="63" t="s">
        <v>1790</v>
      </c>
    </row>
    <row r="76" spans="1:14" x14ac:dyDescent="0.2">
      <c r="A76" s="51">
        <v>75</v>
      </c>
      <c r="B76" s="54" t="s">
        <v>505</v>
      </c>
      <c r="C76" s="47" t="s">
        <v>1853</v>
      </c>
      <c r="D76" s="47" t="s">
        <v>1854</v>
      </c>
      <c r="E76" s="48" t="s">
        <v>1790</v>
      </c>
      <c r="F76" s="66" t="b">
        <v>0</v>
      </c>
      <c r="G76" s="54" t="b">
        <v>1</v>
      </c>
      <c r="H76" s="54" t="b">
        <v>1</v>
      </c>
      <c r="I76" s="54" t="b">
        <v>1</v>
      </c>
      <c r="J76" s="54" t="b">
        <v>1</v>
      </c>
      <c r="K76" s="63" t="s">
        <v>505</v>
      </c>
      <c r="L76" s="63" t="s">
        <v>1853</v>
      </c>
      <c r="M76" s="63" t="s">
        <v>1854</v>
      </c>
      <c r="N76" s="63" t="s">
        <v>1790</v>
      </c>
    </row>
    <row r="77" spans="1:14" x14ac:dyDescent="0.2">
      <c r="A77" s="51">
        <v>76</v>
      </c>
      <c r="B77" s="54" t="s">
        <v>505</v>
      </c>
      <c r="C77" s="47" t="s">
        <v>1851</v>
      </c>
      <c r="D77" s="47" t="s">
        <v>1852</v>
      </c>
      <c r="E77" s="48" t="s">
        <v>1790</v>
      </c>
      <c r="F77" s="66" t="b">
        <v>0</v>
      </c>
      <c r="G77" s="54" t="b">
        <v>1</v>
      </c>
      <c r="H77" s="54" t="b">
        <v>1</v>
      </c>
      <c r="I77" s="54" t="b">
        <v>1</v>
      </c>
      <c r="J77" s="54" t="b">
        <v>1</v>
      </c>
      <c r="K77" s="63" t="s">
        <v>505</v>
      </c>
      <c r="L77" s="63" t="s">
        <v>1851</v>
      </c>
      <c r="M77" s="63" t="s">
        <v>1852</v>
      </c>
      <c r="N77" s="63" t="s">
        <v>1790</v>
      </c>
    </row>
    <row r="78" spans="1:14" x14ac:dyDescent="0.2">
      <c r="A78" s="51">
        <v>77</v>
      </c>
      <c r="B78" s="54" t="s">
        <v>505</v>
      </c>
      <c r="C78" s="47" t="s">
        <v>1859</v>
      </c>
      <c r="D78" s="47" t="s">
        <v>1858</v>
      </c>
      <c r="E78" s="48" t="s">
        <v>1790</v>
      </c>
      <c r="F78" s="66" t="b">
        <v>0</v>
      </c>
      <c r="G78" s="54" t="b">
        <v>1</v>
      </c>
      <c r="H78" s="54" t="b">
        <v>1</v>
      </c>
      <c r="I78" s="54" t="b">
        <v>1</v>
      </c>
      <c r="J78" s="54" t="b">
        <v>1</v>
      </c>
      <c r="K78" s="63" t="s">
        <v>505</v>
      </c>
      <c r="L78" s="63" t="s">
        <v>1859</v>
      </c>
      <c r="M78" s="63" t="s">
        <v>1858</v>
      </c>
      <c r="N78" s="63" t="s">
        <v>1790</v>
      </c>
    </row>
    <row r="79" spans="1:14" x14ac:dyDescent="0.2">
      <c r="A79" s="51">
        <v>78</v>
      </c>
      <c r="B79" s="54" t="s">
        <v>505</v>
      </c>
      <c r="C79" s="47" t="s">
        <v>1860</v>
      </c>
      <c r="D79" s="47" t="s">
        <v>1861</v>
      </c>
      <c r="E79" s="48" t="s">
        <v>1790</v>
      </c>
      <c r="F79" s="66" t="b">
        <v>0</v>
      </c>
      <c r="G79" s="54" t="b">
        <v>1</v>
      </c>
      <c r="H79" s="54" t="b">
        <v>1</v>
      </c>
      <c r="I79" s="54" t="b">
        <v>1</v>
      </c>
      <c r="J79" s="54" t="b">
        <v>1</v>
      </c>
      <c r="K79" s="63" t="s">
        <v>505</v>
      </c>
      <c r="L79" s="63" t="s">
        <v>1860</v>
      </c>
      <c r="M79" s="63" t="s">
        <v>1861</v>
      </c>
      <c r="N79" s="63" t="s">
        <v>1790</v>
      </c>
    </row>
    <row r="80" spans="1:14" x14ac:dyDescent="0.2">
      <c r="A80" s="51">
        <v>79</v>
      </c>
      <c r="B80" s="54" t="s">
        <v>505</v>
      </c>
      <c r="C80" s="47" t="s">
        <v>1855</v>
      </c>
      <c r="D80" s="47" t="s">
        <v>1856</v>
      </c>
      <c r="E80" s="48" t="s">
        <v>1790</v>
      </c>
      <c r="F80" s="66" t="b">
        <v>0</v>
      </c>
      <c r="G80" s="54" t="b">
        <v>1</v>
      </c>
      <c r="H80" s="54" t="b">
        <v>1</v>
      </c>
      <c r="I80" s="54" t="b">
        <v>1</v>
      </c>
      <c r="J80" s="54" t="b">
        <v>1</v>
      </c>
      <c r="K80" s="63" t="s">
        <v>505</v>
      </c>
      <c r="L80" s="63" t="s">
        <v>1855</v>
      </c>
      <c r="M80" s="63" t="s">
        <v>1856</v>
      </c>
      <c r="N80" s="63" t="s">
        <v>1790</v>
      </c>
    </row>
    <row r="81" spans="1:14" x14ac:dyDescent="0.2">
      <c r="A81" s="51">
        <v>80</v>
      </c>
      <c r="B81" s="54" t="s">
        <v>505</v>
      </c>
      <c r="C81" s="47" t="s">
        <v>1862</v>
      </c>
      <c r="D81" s="47" t="s">
        <v>1863</v>
      </c>
      <c r="E81" s="48" t="s">
        <v>1790</v>
      </c>
      <c r="F81" s="66" t="b">
        <v>0</v>
      </c>
      <c r="G81" s="54" t="b">
        <v>1</v>
      </c>
      <c r="H81" s="54" t="b">
        <v>1</v>
      </c>
      <c r="I81" s="54" t="b">
        <v>1</v>
      </c>
      <c r="J81" s="54" t="b">
        <v>1</v>
      </c>
      <c r="K81" s="63" t="s">
        <v>505</v>
      </c>
      <c r="L81" s="63" t="s">
        <v>1862</v>
      </c>
      <c r="M81" s="63" t="s">
        <v>1863</v>
      </c>
      <c r="N81" s="63" t="s">
        <v>1790</v>
      </c>
    </row>
    <row r="82" spans="1:14" x14ac:dyDescent="0.2">
      <c r="A82" s="51">
        <v>81</v>
      </c>
      <c r="B82" s="54" t="s">
        <v>505</v>
      </c>
      <c r="C82" s="47" t="s">
        <v>1867</v>
      </c>
      <c r="D82" s="47" t="s">
        <v>1868</v>
      </c>
      <c r="E82" s="48" t="s">
        <v>1790</v>
      </c>
      <c r="F82" s="66" t="b">
        <v>0</v>
      </c>
      <c r="G82" s="54" t="b">
        <v>1</v>
      </c>
      <c r="H82" s="54" t="b">
        <v>1</v>
      </c>
      <c r="I82" s="54" t="b">
        <v>1</v>
      </c>
      <c r="J82" s="54" t="b">
        <v>1</v>
      </c>
      <c r="K82" s="63" t="s">
        <v>505</v>
      </c>
      <c r="L82" s="63" t="s">
        <v>1867</v>
      </c>
      <c r="M82" s="63" t="s">
        <v>1868</v>
      </c>
      <c r="N82" s="63" t="s">
        <v>1790</v>
      </c>
    </row>
    <row r="83" spans="1:14" x14ac:dyDescent="0.2">
      <c r="A83" s="51">
        <v>82</v>
      </c>
      <c r="B83" s="54" t="s">
        <v>505</v>
      </c>
      <c r="C83" s="47" t="s">
        <v>1866</v>
      </c>
      <c r="D83" s="47" t="s">
        <v>1865</v>
      </c>
      <c r="E83" s="48" t="s">
        <v>1790</v>
      </c>
      <c r="F83" s="66" t="b">
        <v>0</v>
      </c>
      <c r="G83" s="54" t="b">
        <v>1</v>
      </c>
      <c r="H83" s="54" t="b">
        <v>1</v>
      </c>
      <c r="I83" s="54" t="b">
        <v>1</v>
      </c>
      <c r="J83" s="54" t="b">
        <v>1</v>
      </c>
      <c r="K83" s="63" t="s">
        <v>505</v>
      </c>
      <c r="L83" s="63" t="s">
        <v>1866</v>
      </c>
      <c r="M83" s="63" t="s">
        <v>1865</v>
      </c>
      <c r="N83" s="63" t="s">
        <v>1790</v>
      </c>
    </row>
    <row r="84" spans="1:14" x14ac:dyDescent="0.2">
      <c r="A84" s="51">
        <v>83</v>
      </c>
      <c r="B84" s="54" t="s">
        <v>505</v>
      </c>
      <c r="C84" s="47" t="s">
        <v>1871</v>
      </c>
      <c r="D84" s="47" t="s">
        <v>1870</v>
      </c>
      <c r="E84" s="48" t="s">
        <v>1790</v>
      </c>
      <c r="F84" s="66" t="b">
        <v>0</v>
      </c>
      <c r="G84" s="54" t="b">
        <v>1</v>
      </c>
      <c r="H84" s="54" t="b">
        <v>1</v>
      </c>
      <c r="I84" s="54" t="b">
        <v>1</v>
      </c>
      <c r="J84" s="54" t="b">
        <v>1</v>
      </c>
      <c r="K84" s="63" t="s">
        <v>505</v>
      </c>
      <c r="L84" s="63" t="s">
        <v>1871</v>
      </c>
      <c r="M84" s="63" t="s">
        <v>1870</v>
      </c>
      <c r="N84" s="63" t="s">
        <v>1790</v>
      </c>
    </row>
    <row r="85" spans="1:14" x14ac:dyDescent="0.2">
      <c r="A85" s="51">
        <v>84</v>
      </c>
      <c r="B85" s="54" t="s">
        <v>507</v>
      </c>
      <c r="C85" s="47" t="s">
        <v>1872</v>
      </c>
      <c r="D85" s="47" t="s">
        <v>1873</v>
      </c>
      <c r="E85" s="47" t="s">
        <v>1719</v>
      </c>
      <c r="F85" s="55" t="b">
        <v>1</v>
      </c>
      <c r="G85" s="54" t="b">
        <v>1</v>
      </c>
      <c r="H85" s="54" t="b">
        <v>1</v>
      </c>
      <c r="I85" s="54" t="b">
        <v>1</v>
      </c>
      <c r="J85" s="54" t="b">
        <v>1</v>
      </c>
      <c r="K85" s="63" t="s">
        <v>507</v>
      </c>
      <c r="L85" s="63" t="s">
        <v>1872</v>
      </c>
      <c r="M85" s="63" t="s">
        <v>1873</v>
      </c>
      <c r="N85" s="63" t="s">
        <v>1719</v>
      </c>
    </row>
    <row r="86" spans="1:14" x14ac:dyDescent="0.2">
      <c r="A86" s="51">
        <v>85</v>
      </c>
      <c r="B86" s="54" t="s">
        <v>507</v>
      </c>
      <c r="C86" s="47" t="s">
        <v>1898</v>
      </c>
      <c r="D86" s="47" t="s">
        <v>1899</v>
      </c>
      <c r="E86" s="47" t="s">
        <v>1719</v>
      </c>
      <c r="F86" s="55" t="b">
        <v>1</v>
      </c>
      <c r="G86" s="54" t="b">
        <v>1</v>
      </c>
      <c r="H86" s="54" t="b">
        <v>1</v>
      </c>
      <c r="I86" s="54" t="b">
        <v>1</v>
      </c>
      <c r="J86" s="54" t="b">
        <v>1</v>
      </c>
      <c r="K86" s="63" t="s">
        <v>507</v>
      </c>
      <c r="L86" s="63" t="s">
        <v>1898</v>
      </c>
      <c r="M86" s="63" t="s">
        <v>1899</v>
      </c>
      <c r="N86" s="63" t="s">
        <v>1719</v>
      </c>
    </row>
    <row r="87" spans="1:14" x14ac:dyDescent="0.2">
      <c r="A87" s="51">
        <v>86</v>
      </c>
      <c r="B87" s="54" t="s">
        <v>507</v>
      </c>
      <c r="C87" s="47" t="s">
        <v>1920</v>
      </c>
      <c r="D87" s="47" t="s">
        <v>1921</v>
      </c>
      <c r="E87" s="47" t="s">
        <v>1719</v>
      </c>
      <c r="F87" s="55" t="b">
        <v>1</v>
      </c>
      <c r="G87" s="54" t="b">
        <v>1</v>
      </c>
      <c r="H87" s="54" t="b">
        <v>1</v>
      </c>
      <c r="I87" s="54" t="b">
        <v>1</v>
      </c>
      <c r="J87" s="54" t="b">
        <v>1</v>
      </c>
      <c r="K87" s="63" t="s">
        <v>507</v>
      </c>
      <c r="L87" s="63" t="s">
        <v>1920</v>
      </c>
      <c r="M87" s="63" t="s">
        <v>1921</v>
      </c>
      <c r="N87" s="63" t="s">
        <v>1719</v>
      </c>
    </row>
    <row r="88" spans="1:14" x14ac:dyDescent="0.2">
      <c r="A88" s="51">
        <v>87</v>
      </c>
      <c r="B88" s="54" t="s">
        <v>507</v>
      </c>
      <c r="C88" s="47" t="s">
        <v>1938</v>
      </c>
      <c r="D88" s="47" t="s">
        <v>1939</v>
      </c>
      <c r="E88" s="47" t="s">
        <v>1719</v>
      </c>
      <c r="F88" s="55" t="b">
        <v>1</v>
      </c>
      <c r="G88" s="54" t="b">
        <v>1</v>
      </c>
      <c r="H88" s="54" t="b">
        <v>1</v>
      </c>
      <c r="I88" s="54" t="b">
        <v>1</v>
      </c>
      <c r="J88" s="54" t="b">
        <v>1</v>
      </c>
      <c r="K88" s="63" t="s">
        <v>507</v>
      </c>
      <c r="L88" s="63" t="s">
        <v>1938</v>
      </c>
      <c r="M88" s="63" t="s">
        <v>1939</v>
      </c>
      <c r="N88" s="63" t="s">
        <v>1719</v>
      </c>
    </row>
    <row r="89" spans="1:14" x14ac:dyDescent="0.2">
      <c r="A89" s="51">
        <v>88</v>
      </c>
      <c r="B89" s="54" t="s">
        <v>507</v>
      </c>
      <c r="C89" s="47" t="s">
        <v>1882</v>
      </c>
      <c r="D89" s="47" t="s">
        <v>1883</v>
      </c>
      <c r="E89" s="47" t="s">
        <v>1719</v>
      </c>
      <c r="F89" s="55" t="b">
        <v>1</v>
      </c>
      <c r="G89" s="54" t="b">
        <v>1</v>
      </c>
      <c r="H89" s="54" t="b">
        <v>1</v>
      </c>
      <c r="I89" s="54" t="b">
        <v>1</v>
      </c>
      <c r="J89" s="54" t="b">
        <v>1</v>
      </c>
      <c r="K89" s="63" t="s">
        <v>507</v>
      </c>
      <c r="L89" s="63" t="s">
        <v>1882</v>
      </c>
      <c r="M89" s="63" t="s">
        <v>1883</v>
      </c>
      <c r="N89" s="63" t="s">
        <v>1719</v>
      </c>
    </row>
    <row r="90" spans="1:14" x14ac:dyDescent="0.2">
      <c r="A90" s="51">
        <v>89</v>
      </c>
      <c r="B90" s="54" t="s">
        <v>507</v>
      </c>
      <c r="C90" s="47" t="s">
        <v>1896</v>
      </c>
      <c r="D90" s="47" t="s">
        <v>12001</v>
      </c>
      <c r="E90" s="47" t="s">
        <v>1719</v>
      </c>
      <c r="F90" s="55" t="b">
        <v>1</v>
      </c>
      <c r="G90" s="54" t="b">
        <v>1</v>
      </c>
      <c r="H90" s="54" t="b">
        <v>1</v>
      </c>
      <c r="I90" s="65" t="b">
        <v>0</v>
      </c>
      <c r="J90" s="54" t="b">
        <v>1</v>
      </c>
      <c r="K90" s="63" t="s">
        <v>507</v>
      </c>
      <c r="L90" s="63" t="s">
        <v>1896</v>
      </c>
      <c r="M90" s="63" t="s">
        <v>1897</v>
      </c>
      <c r="N90" s="63" t="s">
        <v>1719</v>
      </c>
    </row>
    <row r="91" spans="1:14" x14ac:dyDescent="0.2">
      <c r="A91" s="51">
        <v>90</v>
      </c>
      <c r="B91" s="54" t="s">
        <v>507</v>
      </c>
      <c r="C91" s="47" t="s">
        <v>1884</v>
      </c>
      <c r="D91" s="47" t="s">
        <v>1885</v>
      </c>
      <c r="E91" s="47" t="s">
        <v>1719</v>
      </c>
      <c r="F91" s="55" t="b">
        <v>1</v>
      </c>
      <c r="G91" s="54" t="b">
        <v>1</v>
      </c>
      <c r="H91" s="54" t="b">
        <v>1</v>
      </c>
      <c r="I91" s="54" t="b">
        <v>1</v>
      </c>
      <c r="J91" s="54" t="b">
        <v>1</v>
      </c>
      <c r="K91" s="63" t="s">
        <v>507</v>
      </c>
      <c r="L91" s="63" t="s">
        <v>1884</v>
      </c>
      <c r="M91" s="63" t="s">
        <v>1885</v>
      </c>
      <c r="N91" s="63" t="s">
        <v>1719</v>
      </c>
    </row>
    <row r="92" spans="1:14" x14ac:dyDescent="0.2">
      <c r="A92" s="51">
        <v>91</v>
      </c>
      <c r="B92" s="54" t="s">
        <v>507</v>
      </c>
      <c r="C92" s="47" t="s">
        <v>1894</v>
      </c>
      <c r="D92" s="47" t="s">
        <v>1895</v>
      </c>
      <c r="E92" s="47" t="s">
        <v>1719</v>
      </c>
      <c r="F92" s="55" t="b">
        <v>1</v>
      </c>
      <c r="G92" s="54" t="b">
        <v>1</v>
      </c>
      <c r="H92" s="54" t="b">
        <v>1</v>
      </c>
      <c r="I92" s="54" t="b">
        <v>1</v>
      </c>
      <c r="J92" s="54" t="b">
        <v>1</v>
      </c>
      <c r="K92" s="63" t="s">
        <v>507</v>
      </c>
      <c r="L92" s="63" t="s">
        <v>1894</v>
      </c>
      <c r="M92" s="63" t="s">
        <v>1895</v>
      </c>
      <c r="N92" s="63" t="s">
        <v>1719</v>
      </c>
    </row>
    <row r="93" spans="1:14" x14ac:dyDescent="0.2">
      <c r="A93" s="51">
        <v>92</v>
      </c>
      <c r="B93" s="54" t="s">
        <v>507</v>
      </c>
      <c r="C93" s="47" t="s">
        <v>1886</v>
      </c>
      <c r="D93" s="47" t="s">
        <v>1887</v>
      </c>
      <c r="E93" s="47" t="s">
        <v>1719</v>
      </c>
      <c r="F93" s="55" t="b">
        <v>1</v>
      </c>
      <c r="G93" s="54" t="b">
        <v>1</v>
      </c>
      <c r="H93" s="54" t="b">
        <v>1</v>
      </c>
      <c r="I93" s="54" t="b">
        <v>1</v>
      </c>
      <c r="J93" s="54" t="b">
        <v>1</v>
      </c>
      <c r="K93" s="63" t="s">
        <v>507</v>
      </c>
      <c r="L93" s="63" t="s">
        <v>1886</v>
      </c>
      <c r="M93" s="63" t="s">
        <v>1887</v>
      </c>
      <c r="N93" s="63" t="s">
        <v>1719</v>
      </c>
    </row>
    <row r="94" spans="1:14" x14ac:dyDescent="0.2">
      <c r="A94" s="51">
        <v>93</v>
      </c>
      <c r="B94" s="54" t="s">
        <v>507</v>
      </c>
      <c r="C94" s="47" t="s">
        <v>1890</v>
      </c>
      <c r="D94" s="47" t="s">
        <v>1891</v>
      </c>
      <c r="E94" s="47" t="s">
        <v>1719</v>
      </c>
      <c r="F94" s="55" t="b">
        <v>1</v>
      </c>
      <c r="G94" s="54" t="b">
        <v>1</v>
      </c>
      <c r="H94" s="54" t="b">
        <v>1</v>
      </c>
      <c r="I94" s="54" t="b">
        <v>1</v>
      </c>
      <c r="J94" s="54" t="b">
        <v>1</v>
      </c>
      <c r="K94" s="63" t="s">
        <v>507</v>
      </c>
      <c r="L94" s="63" t="s">
        <v>1890</v>
      </c>
      <c r="M94" s="63" t="s">
        <v>1891</v>
      </c>
      <c r="N94" s="63" t="s">
        <v>1719</v>
      </c>
    </row>
    <row r="95" spans="1:14" x14ac:dyDescent="0.2">
      <c r="A95" s="51">
        <v>94</v>
      </c>
      <c r="B95" s="54" t="s">
        <v>507</v>
      </c>
      <c r="C95" s="47" t="s">
        <v>1952</v>
      </c>
      <c r="D95" s="47" t="s">
        <v>12004</v>
      </c>
      <c r="E95" s="47" t="s">
        <v>1719</v>
      </c>
      <c r="F95" s="55" t="b">
        <v>1</v>
      </c>
      <c r="G95" s="54" t="b">
        <v>1</v>
      </c>
      <c r="H95" s="54" t="b">
        <v>1</v>
      </c>
      <c r="I95" s="65" t="b">
        <v>0</v>
      </c>
      <c r="J95" s="54" t="b">
        <v>1</v>
      </c>
      <c r="K95" s="63" t="s">
        <v>507</v>
      </c>
      <c r="L95" s="63" t="s">
        <v>1952</v>
      </c>
      <c r="M95" s="63" t="s">
        <v>1953</v>
      </c>
      <c r="N95" s="63" t="s">
        <v>1719</v>
      </c>
    </row>
    <row r="96" spans="1:14" x14ac:dyDescent="0.2">
      <c r="A96" s="51">
        <v>95</v>
      </c>
      <c r="B96" s="54" t="s">
        <v>507</v>
      </c>
      <c r="C96" s="47" t="s">
        <v>1966</v>
      </c>
      <c r="D96" s="47" t="s">
        <v>1967</v>
      </c>
      <c r="E96" s="47" t="s">
        <v>1719</v>
      </c>
      <c r="F96" s="55" t="b">
        <v>1</v>
      </c>
      <c r="G96" s="54" t="b">
        <v>1</v>
      </c>
      <c r="H96" s="54" t="b">
        <v>1</v>
      </c>
      <c r="I96" s="54" t="b">
        <v>1</v>
      </c>
      <c r="J96" s="54" t="b">
        <v>1</v>
      </c>
      <c r="K96" s="63" t="s">
        <v>507</v>
      </c>
      <c r="L96" s="63" t="s">
        <v>1966</v>
      </c>
      <c r="M96" s="63" t="s">
        <v>1967</v>
      </c>
      <c r="N96" s="63" t="s">
        <v>1719</v>
      </c>
    </row>
    <row r="97" spans="1:14" x14ac:dyDescent="0.2">
      <c r="A97" s="51">
        <v>96</v>
      </c>
      <c r="B97" s="54" t="s">
        <v>507</v>
      </c>
      <c r="C97" s="47" t="s">
        <v>1964</v>
      </c>
      <c r="D97" s="47" t="s">
        <v>1965</v>
      </c>
      <c r="E97" s="47" t="s">
        <v>1719</v>
      </c>
      <c r="F97" s="55" t="b">
        <v>1</v>
      </c>
      <c r="G97" s="54" t="b">
        <v>1</v>
      </c>
      <c r="H97" s="54" t="b">
        <v>1</v>
      </c>
      <c r="I97" s="54" t="b">
        <v>1</v>
      </c>
      <c r="J97" s="54" t="b">
        <v>1</v>
      </c>
      <c r="K97" s="63" t="s">
        <v>507</v>
      </c>
      <c r="L97" s="63" t="s">
        <v>1964</v>
      </c>
      <c r="M97" s="63" t="s">
        <v>1965</v>
      </c>
      <c r="N97" s="63" t="s">
        <v>1719</v>
      </c>
    </row>
    <row r="98" spans="1:14" x14ac:dyDescent="0.2">
      <c r="A98" s="51">
        <v>97</v>
      </c>
      <c r="B98" s="54" t="s">
        <v>507</v>
      </c>
      <c r="C98" s="47" t="s">
        <v>1954</v>
      </c>
      <c r="D98" s="47" t="s">
        <v>1955</v>
      </c>
      <c r="E98" s="47" t="s">
        <v>1719</v>
      </c>
      <c r="F98" s="55" t="b">
        <v>1</v>
      </c>
      <c r="G98" s="54" t="b">
        <v>1</v>
      </c>
      <c r="H98" s="54" t="b">
        <v>1</v>
      </c>
      <c r="I98" s="54" t="b">
        <v>1</v>
      </c>
      <c r="J98" s="54" t="b">
        <v>1</v>
      </c>
      <c r="K98" s="63" t="s">
        <v>507</v>
      </c>
      <c r="L98" s="63" t="s">
        <v>1954</v>
      </c>
      <c r="M98" s="63" t="s">
        <v>1955</v>
      </c>
      <c r="N98" s="63" t="s">
        <v>1719</v>
      </c>
    </row>
    <row r="99" spans="1:14" x14ac:dyDescent="0.2">
      <c r="A99" s="51">
        <v>98</v>
      </c>
      <c r="B99" s="54" t="s">
        <v>507</v>
      </c>
      <c r="C99" s="47" t="s">
        <v>1962</v>
      </c>
      <c r="D99" s="47" t="s">
        <v>1963</v>
      </c>
      <c r="E99" s="47" t="s">
        <v>1719</v>
      </c>
      <c r="F99" s="55" t="b">
        <v>1</v>
      </c>
      <c r="G99" s="54" t="b">
        <v>1</v>
      </c>
      <c r="H99" s="54" t="b">
        <v>1</v>
      </c>
      <c r="I99" s="54" t="b">
        <v>1</v>
      </c>
      <c r="J99" s="54" t="b">
        <v>1</v>
      </c>
      <c r="K99" s="63" t="s">
        <v>507</v>
      </c>
      <c r="L99" s="63" t="s">
        <v>1962</v>
      </c>
      <c r="M99" s="63" t="s">
        <v>1963</v>
      </c>
      <c r="N99" s="63" t="s">
        <v>1719</v>
      </c>
    </row>
    <row r="100" spans="1:14" x14ac:dyDescent="0.2">
      <c r="A100" s="51">
        <v>99</v>
      </c>
      <c r="B100" s="54" t="s">
        <v>507</v>
      </c>
      <c r="C100" s="47" t="s">
        <v>1874</v>
      </c>
      <c r="D100" s="47" t="s">
        <v>1875</v>
      </c>
      <c r="E100" s="47" t="s">
        <v>1719</v>
      </c>
      <c r="F100" s="55" t="b">
        <v>1</v>
      </c>
      <c r="G100" s="54" t="b">
        <v>1</v>
      </c>
      <c r="H100" s="54" t="b">
        <v>1</v>
      </c>
      <c r="I100" s="54" t="b">
        <v>1</v>
      </c>
      <c r="J100" s="54" t="b">
        <v>1</v>
      </c>
      <c r="K100" s="63" t="s">
        <v>507</v>
      </c>
      <c r="L100" s="63" t="s">
        <v>1874</v>
      </c>
      <c r="M100" s="63" t="s">
        <v>1875</v>
      </c>
      <c r="N100" s="63" t="s">
        <v>1719</v>
      </c>
    </row>
    <row r="101" spans="1:14" x14ac:dyDescent="0.2">
      <c r="A101" s="51">
        <v>100</v>
      </c>
      <c r="B101" s="54" t="s">
        <v>507</v>
      </c>
      <c r="C101" s="47" t="s">
        <v>1902</v>
      </c>
      <c r="D101" s="47" t="s">
        <v>1903</v>
      </c>
      <c r="E101" s="47" t="s">
        <v>1719</v>
      </c>
      <c r="F101" s="55" t="b">
        <v>1</v>
      </c>
      <c r="G101" s="54" t="b">
        <v>1</v>
      </c>
      <c r="H101" s="54" t="b">
        <v>1</v>
      </c>
      <c r="I101" s="54" t="b">
        <v>1</v>
      </c>
      <c r="J101" s="54" t="b">
        <v>1</v>
      </c>
      <c r="K101" s="63" t="s">
        <v>507</v>
      </c>
      <c r="L101" s="63" t="s">
        <v>1902</v>
      </c>
      <c r="M101" s="63" t="s">
        <v>1903</v>
      </c>
      <c r="N101" s="63" t="s">
        <v>1719</v>
      </c>
    </row>
    <row r="102" spans="1:14" x14ac:dyDescent="0.2">
      <c r="A102" s="51">
        <v>101</v>
      </c>
      <c r="B102" s="54" t="s">
        <v>507</v>
      </c>
      <c r="C102" s="47" t="s">
        <v>1916</v>
      </c>
      <c r="D102" s="47" t="s">
        <v>1917</v>
      </c>
      <c r="E102" s="47" t="s">
        <v>1719</v>
      </c>
      <c r="F102" s="55" t="b">
        <v>1</v>
      </c>
      <c r="G102" s="54" t="b">
        <v>1</v>
      </c>
      <c r="H102" s="54" t="b">
        <v>1</v>
      </c>
      <c r="I102" s="54" t="b">
        <v>1</v>
      </c>
      <c r="J102" s="54" t="b">
        <v>1</v>
      </c>
      <c r="K102" s="63" t="s">
        <v>507</v>
      </c>
      <c r="L102" s="63" t="s">
        <v>1916</v>
      </c>
      <c r="M102" s="63" t="s">
        <v>1917</v>
      </c>
      <c r="N102" s="63" t="s">
        <v>1719</v>
      </c>
    </row>
    <row r="103" spans="1:14" x14ac:dyDescent="0.2">
      <c r="A103" s="51">
        <v>102</v>
      </c>
      <c r="B103" s="54" t="s">
        <v>507</v>
      </c>
      <c r="C103" s="47" t="s">
        <v>1950</v>
      </c>
      <c r="D103" s="47" t="s">
        <v>1951</v>
      </c>
      <c r="E103" s="47" t="s">
        <v>1719</v>
      </c>
      <c r="F103" s="55" t="b">
        <v>1</v>
      </c>
      <c r="G103" s="54" t="b">
        <v>1</v>
      </c>
      <c r="H103" s="54" t="b">
        <v>1</v>
      </c>
      <c r="I103" s="54" t="b">
        <v>1</v>
      </c>
      <c r="J103" s="54" t="b">
        <v>1</v>
      </c>
      <c r="K103" s="63" t="s">
        <v>507</v>
      </c>
      <c r="L103" s="63" t="s">
        <v>1950</v>
      </c>
      <c r="M103" s="63" t="s">
        <v>1951</v>
      </c>
      <c r="N103" s="63" t="s">
        <v>1719</v>
      </c>
    </row>
    <row r="104" spans="1:14" x14ac:dyDescent="0.2">
      <c r="A104" s="51">
        <v>103</v>
      </c>
      <c r="B104" s="54" t="s">
        <v>507</v>
      </c>
      <c r="C104" s="47" t="s">
        <v>1942</v>
      </c>
      <c r="D104" s="47" t="s">
        <v>1943</v>
      </c>
      <c r="E104" s="47" t="s">
        <v>1719</v>
      </c>
      <c r="F104" s="55" t="b">
        <v>1</v>
      </c>
      <c r="G104" s="54" t="b">
        <v>1</v>
      </c>
      <c r="H104" s="54" t="b">
        <v>1</v>
      </c>
      <c r="I104" s="54" t="b">
        <v>1</v>
      </c>
      <c r="J104" s="54" t="b">
        <v>1</v>
      </c>
      <c r="K104" s="63" t="s">
        <v>507</v>
      </c>
      <c r="L104" s="63" t="s">
        <v>1942</v>
      </c>
      <c r="M104" s="63" t="s">
        <v>1943</v>
      </c>
      <c r="N104" s="63" t="s">
        <v>1719</v>
      </c>
    </row>
    <row r="105" spans="1:14" x14ac:dyDescent="0.2">
      <c r="A105" s="51">
        <v>104</v>
      </c>
      <c r="B105" s="54" t="s">
        <v>507</v>
      </c>
      <c r="C105" s="47" t="s">
        <v>1946</v>
      </c>
      <c r="D105" s="47" t="s">
        <v>1947</v>
      </c>
      <c r="E105" s="47" t="s">
        <v>1719</v>
      </c>
      <c r="F105" s="55" t="b">
        <v>1</v>
      </c>
      <c r="G105" s="54" t="b">
        <v>1</v>
      </c>
      <c r="H105" s="54" t="b">
        <v>1</v>
      </c>
      <c r="I105" s="54" t="b">
        <v>1</v>
      </c>
      <c r="J105" s="54" t="b">
        <v>1</v>
      </c>
      <c r="K105" s="63" t="s">
        <v>507</v>
      </c>
      <c r="L105" s="63" t="s">
        <v>1946</v>
      </c>
      <c r="M105" s="63" t="s">
        <v>1947</v>
      </c>
      <c r="N105" s="63" t="s">
        <v>1719</v>
      </c>
    </row>
    <row r="106" spans="1:14" x14ac:dyDescent="0.2">
      <c r="A106" s="51">
        <v>105</v>
      </c>
      <c r="B106" s="54" t="s">
        <v>507</v>
      </c>
      <c r="C106" s="47" t="s">
        <v>1944</v>
      </c>
      <c r="D106" s="47" t="s">
        <v>1945</v>
      </c>
      <c r="E106" s="47" t="s">
        <v>1719</v>
      </c>
      <c r="F106" s="55" t="b">
        <v>1</v>
      </c>
      <c r="G106" s="54" t="b">
        <v>1</v>
      </c>
      <c r="H106" s="54" t="b">
        <v>1</v>
      </c>
      <c r="I106" s="54" t="b">
        <v>1</v>
      </c>
      <c r="J106" s="54" t="b">
        <v>1</v>
      </c>
      <c r="K106" s="63" t="s">
        <v>507</v>
      </c>
      <c r="L106" s="63" t="s">
        <v>1944</v>
      </c>
      <c r="M106" s="63" t="s">
        <v>1945</v>
      </c>
      <c r="N106" s="63" t="s">
        <v>1719</v>
      </c>
    </row>
    <row r="107" spans="1:14" x14ac:dyDescent="0.2">
      <c r="A107" s="51">
        <v>106</v>
      </c>
      <c r="B107" s="54" t="s">
        <v>507</v>
      </c>
      <c r="C107" s="47" t="s">
        <v>1876</v>
      </c>
      <c r="D107" s="47" t="s">
        <v>1877</v>
      </c>
      <c r="E107" s="47" t="s">
        <v>1719</v>
      </c>
      <c r="F107" s="55" t="b">
        <v>1</v>
      </c>
      <c r="G107" s="54" t="b">
        <v>1</v>
      </c>
      <c r="H107" s="54" t="b">
        <v>1</v>
      </c>
      <c r="I107" s="54" t="b">
        <v>1</v>
      </c>
      <c r="J107" s="54" t="b">
        <v>1</v>
      </c>
      <c r="K107" s="63" t="s">
        <v>507</v>
      </c>
      <c r="L107" s="63" t="s">
        <v>1876</v>
      </c>
      <c r="M107" s="63" t="s">
        <v>1877</v>
      </c>
      <c r="N107" s="63" t="s">
        <v>1719</v>
      </c>
    </row>
    <row r="108" spans="1:14" x14ac:dyDescent="0.2">
      <c r="A108" s="51">
        <v>107</v>
      </c>
      <c r="B108" s="54" t="s">
        <v>507</v>
      </c>
      <c r="C108" s="47" t="s">
        <v>1912</v>
      </c>
      <c r="D108" s="47" t="s">
        <v>1913</v>
      </c>
      <c r="E108" s="47" t="s">
        <v>1719</v>
      </c>
      <c r="F108" s="55" t="b">
        <v>1</v>
      </c>
      <c r="G108" s="54" t="b">
        <v>1</v>
      </c>
      <c r="H108" s="54" t="b">
        <v>1</v>
      </c>
      <c r="I108" s="54" t="b">
        <v>1</v>
      </c>
      <c r="J108" s="54" t="b">
        <v>1</v>
      </c>
      <c r="K108" s="63" t="s">
        <v>507</v>
      </c>
      <c r="L108" s="63" t="s">
        <v>1912</v>
      </c>
      <c r="M108" s="63" t="s">
        <v>1913</v>
      </c>
      <c r="N108" s="63" t="s">
        <v>1719</v>
      </c>
    </row>
    <row r="109" spans="1:14" x14ac:dyDescent="0.2">
      <c r="A109" s="51">
        <v>108</v>
      </c>
      <c r="B109" s="54" t="s">
        <v>507</v>
      </c>
      <c r="C109" s="47" t="s">
        <v>1900</v>
      </c>
      <c r="D109" s="47" t="s">
        <v>1901</v>
      </c>
      <c r="E109" s="47" t="s">
        <v>1719</v>
      </c>
      <c r="F109" s="55" t="b">
        <v>1</v>
      </c>
      <c r="G109" s="54" t="b">
        <v>1</v>
      </c>
      <c r="H109" s="54" t="b">
        <v>1</v>
      </c>
      <c r="I109" s="54" t="b">
        <v>1</v>
      </c>
      <c r="J109" s="54" t="b">
        <v>1</v>
      </c>
      <c r="K109" s="63" t="s">
        <v>507</v>
      </c>
      <c r="L109" s="63" t="s">
        <v>1900</v>
      </c>
      <c r="M109" s="63" t="s">
        <v>1901</v>
      </c>
      <c r="N109" s="63" t="s">
        <v>1719</v>
      </c>
    </row>
    <row r="110" spans="1:14" x14ac:dyDescent="0.2">
      <c r="A110" s="51">
        <v>109</v>
      </c>
      <c r="B110" s="54" t="s">
        <v>507</v>
      </c>
      <c r="C110" s="47" t="s">
        <v>1930</v>
      </c>
      <c r="D110" s="47" t="s">
        <v>1931</v>
      </c>
      <c r="E110" s="47" t="s">
        <v>1719</v>
      </c>
      <c r="F110" s="55" t="b">
        <v>1</v>
      </c>
      <c r="G110" s="54" t="b">
        <v>1</v>
      </c>
      <c r="H110" s="54" t="b">
        <v>1</v>
      </c>
      <c r="I110" s="54" t="b">
        <v>1</v>
      </c>
      <c r="J110" s="54" t="b">
        <v>1</v>
      </c>
      <c r="K110" s="63" t="s">
        <v>507</v>
      </c>
      <c r="L110" s="63" t="s">
        <v>1930</v>
      </c>
      <c r="M110" s="63" t="s">
        <v>1931</v>
      </c>
      <c r="N110" s="63" t="s">
        <v>1719</v>
      </c>
    </row>
    <row r="111" spans="1:14" x14ac:dyDescent="0.2">
      <c r="A111" s="51">
        <v>110</v>
      </c>
      <c r="B111" s="54" t="s">
        <v>507</v>
      </c>
      <c r="C111" s="47" t="s">
        <v>1926</v>
      </c>
      <c r="D111" s="47" t="s">
        <v>1927</v>
      </c>
      <c r="E111" s="47" t="s">
        <v>1719</v>
      </c>
      <c r="F111" s="55" t="b">
        <v>1</v>
      </c>
      <c r="G111" s="54" t="b">
        <v>1</v>
      </c>
      <c r="H111" s="54" t="b">
        <v>1</v>
      </c>
      <c r="I111" s="54" t="b">
        <v>1</v>
      </c>
      <c r="J111" s="54" t="b">
        <v>1</v>
      </c>
      <c r="K111" s="63" t="s">
        <v>507</v>
      </c>
      <c r="L111" s="63" t="s">
        <v>1926</v>
      </c>
      <c r="M111" s="63" t="s">
        <v>1927</v>
      </c>
      <c r="N111" s="63" t="s">
        <v>1719</v>
      </c>
    </row>
    <row r="112" spans="1:14" x14ac:dyDescent="0.2">
      <c r="A112" s="51">
        <v>111</v>
      </c>
      <c r="B112" s="54" t="s">
        <v>507</v>
      </c>
      <c r="C112" s="47" t="s">
        <v>1928</v>
      </c>
      <c r="D112" s="47" t="s">
        <v>12003</v>
      </c>
      <c r="E112" s="47" t="s">
        <v>1719</v>
      </c>
      <c r="F112" s="55" t="b">
        <v>1</v>
      </c>
      <c r="G112" s="54" t="b">
        <v>1</v>
      </c>
      <c r="H112" s="54" t="b">
        <v>1</v>
      </c>
      <c r="I112" s="65" t="b">
        <v>0</v>
      </c>
      <c r="J112" s="54" t="b">
        <v>1</v>
      </c>
      <c r="K112" s="63" t="s">
        <v>507</v>
      </c>
      <c r="L112" s="63" t="s">
        <v>1928</v>
      </c>
      <c r="M112" s="63" t="s">
        <v>1929</v>
      </c>
      <c r="N112" s="63" t="s">
        <v>1719</v>
      </c>
    </row>
    <row r="113" spans="1:14" x14ac:dyDescent="0.2">
      <c r="A113" s="51">
        <v>112</v>
      </c>
      <c r="B113" s="54" t="s">
        <v>507</v>
      </c>
      <c r="C113" s="47" t="s">
        <v>1922</v>
      </c>
      <c r="D113" s="47" t="s">
        <v>1923</v>
      </c>
      <c r="E113" s="47" t="s">
        <v>1719</v>
      </c>
      <c r="F113" s="55" t="b">
        <v>1</v>
      </c>
      <c r="G113" s="54" t="b">
        <v>1</v>
      </c>
      <c r="H113" s="54" t="b">
        <v>1</v>
      </c>
      <c r="I113" s="54" t="b">
        <v>1</v>
      </c>
      <c r="J113" s="54" t="b">
        <v>1</v>
      </c>
      <c r="K113" s="63" t="s">
        <v>507</v>
      </c>
      <c r="L113" s="63" t="s">
        <v>1922</v>
      </c>
      <c r="M113" s="63" t="s">
        <v>1923</v>
      </c>
      <c r="N113" s="63" t="s">
        <v>1719</v>
      </c>
    </row>
    <row r="114" spans="1:14" x14ac:dyDescent="0.2">
      <c r="A114" s="51">
        <v>113</v>
      </c>
      <c r="B114" s="54" t="s">
        <v>507</v>
      </c>
      <c r="C114" s="47" t="s">
        <v>1936</v>
      </c>
      <c r="D114" s="47" t="s">
        <v>1937</v>
      </c>
      <c r="E114" s="47" t="s">
        <v>1719</v>
      </c>
      <c r="F114" s="55" t="b">
        <v>1</v>
      </c>
      <c r="G114" s="54" t="b">
        <v>1</v>
      </c>
      <c r="H114" s="54" t="b">
        <v>1</v>
      </c>
      <c r="I114" s="54" t="b">
        <v>1</v>
      </c>
      <c r="J114" s="54" t="b">
        <v>1</v>
      </c>
      <c r="K114" s="63" t="s">
        <v>507</v>
      </c>
      <c r="L114" s="63" t="s">
        <v>1936</v>
      </c>
      <c r="M114" s="63" t="s">
        <v>1937</v>
      </c>
      <c r="N114" s="63" t="s">
        <v>1719</v>
      </c>
    </row>
    <row r="115" spans="1:14" x14ac:dyDescent="0.2">
      <c r="A115" s="51">
        <v>114</v>
      </c>
      <c r="B115" s="54" t="s">
        <v>507</v>
      </c>
      <c r="C115" s="47" t="s">
        <v>1934</v>
      </c>
      <c r="D115" s="47" t="s">
        <v>1935</v>
      </c>
      <c r="E115" s="47" t="s">
        <v>1719</v>
      </c>
      <c r="F115" s="55" t="b">
        <v>1</v>
      </c>
      <c r="G115" s="54" t="b">
        <v>1</v>
      </c>
      <c r="H115" s="54" t="b">
        <v>1</v>
      </c>
      <c r="I115" s="54" t="b">
        <v>1</v>
      </c>
      <c r="J115" s="54" t="b">
        <v>1</v>
      </c>
      <c r="K115" s="63" t="s">
        <v>507</v>
      </c>
      <c r="L115" s="63" t="s">
        <v>1934</v>
      </c>
      <c r="M115" s="63" t="s">
        <v>1935</v>
      </c>
      <c r="N115" s="63" t="s">
        <v>1719</v>
      </c>
    </row>
    <row r="116" spans="1:14" x14ac:dyDescent="0.2">
      <c r="A116" s="51">
        <v>115</v>
      </c>
      <c r="B116" s="54" t="s">
        <v>507</v>
      </c>
      <c r="C116" s="47" t="s">
        <v>1904</v>
      </c>
      <c r="D116" s="47" t="s">
        <v>1905</v>
      </c>
      <c r="E116" s="47" t="s">
        <v>1719</v>
      </c>
      <c r="F116" s="55" t="b">
        <v>1</v>
      </c>
      <c r="G116" s="54" t="b">
        <v>1</v>
      </c>
      <c r="H116" s="54" t="b">
        <v>1</v>
      </c>
      <c r="I116" s="54" t="b">
        <v>1</v>
      </c>
      <c r="J116" s="54" t="b">
        <v>1</v>
      </c>
      <c r="K116" s="63" t="s">
        <v>507</v>
      </c>
      <c r="L116" s="63" t="s">
        <v>1904</v>
      </c>
      <c r="M116" s="63" t="s">
        <v>1905</v>
      </c>
      <c r="N116" s="63" t="s">
        <v>1719</v>
      </c>
    </row>
    <row r="117" spans="1:14" x14ac:dyDescent="0.2">
      <c r="A117" s="51">
        <v>116</v>
      </c>
      <c r="B117" s="54" t="s">
        <v>507</v>
      </c>
      <c r="C117" s="47" t="s">
        <v>1914</v>
      </c>
      <c r="D117" s="47" t="s">
        <v>1915</v>
      </c>
      <c r="E117" s="47" t="s">
        <v>1719</v>
      </c>
      <c r="F117" s="55" t="b">
        <v>1</v>
      </c>
      <c r="G117" s="54" t="b">
        <v>1</v>
      </c>
      <c r="H117" s="54" t="b">
        <v>1</v>
      </c>
      <c r="I117" s="54" t="b">
        <v>1</v>
      </c>
      <c r="J117" s="54" t="b">
        <v>1</v>
      </c>
      <c r="K117" s="63" t="s">
        <v>507</v>
      </c>
      <c r="L117" s="63" t="s">
        <v>1914</v>
      </c>
      <c r="M117" s="63" t="s">
        <v>1915</v>
      </c>
      <c r="N117" s="63" t="s">
        <v>1719</v>
      </c>
    </row>
    <row r="118" spans="1:14" x14ac:dyDescent="0.2">
      <c r="A118" s="51">
        <v>117</v>
      </c>
      <c r="B118" s="54" t="s">
        <v>507</v>
      </c>
      <c r="C118" s="47" t="s">
        <v>1888</v>
      </c>
      <c r="D118" s="47" t="s">
        <v>1889</v>
      </c>
      <c r="E118" s="47" t="s">
        <v>1719</v>
      </c>
      <c r="F118" s="55" t="b">
        <v>1</v>
      </c>
      <c r="G118" s="54" t="b">
        <v>1</v>
      </c>
      <c r="H118" s="54" t="b">
        <v>1</v>
      </c>
      <c r="I118" s="54" t="b">
        <v>1</v>
      </c>
      <c r="J118" s="54" t="b">
        <v>1</v>
      </c>
      <c r="K118" s="63" t="s">
        <v>507</v>
      </c>
      <c r="L118" s="63" t="s">
        <v>1888</v>
      </c>
      <c r="M118" s="63" t="s">
        <v>1889</v>
      </c>
      <c r="N118" s="63" t="s">
        <v>1719</v>
      </c>
    </row>
    <row r="119" spans="1:14" x14ac:dyDescent="0.2">
      <c r="A119" s="51">
        <v>118</v>
      </c>
      <c r="B119" s="54" t="s">
        <v>507</v>
      </c>
      <c r="C119" s="47" t="s">
        <v>1892</v>
      </c>
      <c r="D119" s="47" t="s">
        <v>12002</v>
      </c>
      <c r="E119" s="47" t="s">
        <v>1719</v>
      </c>
      <c r="F119" s="55" t="b">
        <v>1</v>
      </c>
      <c r="G119" s="54" t="b">
        <v>1</v>
      </c>
      <c r="H119" s="54" t="b">
        <v>1</v>
      </c>
      <c r="I119" s="65" t="b">
        <v>0</v>
      </c>
      <c r="J119" s="54" t="b">
        <v>1</v>
      </c>
      <c r="K119" s="63" t="s">
        <v>507</v>
      </c>
      <c r="L119" s="63" t="s">
        <v>1892</v>
      </c>
      <c r="M119" s="63" t="s">
        <v>1893</v>
      </c>
      <c r="N119" s="63" t="s">
        <v>1719</v>
      </c>
    </row>
    <row r="120" spans="1:14" x14ac:dyDescent="0.2">
      <c r="A120" s="51">
        <v>119</v>
      </c>
      <c r="B120" s="54" t="s">
        <v>507</v>
      </c>
      <c r="C120" s="47" t="s">
        <v>1908</v>
      </c>
      <c r="D120" s="47" t="s">
        <v>1909</v>
      </c>
      <c r="E120" s="47" t="s">
        <v>1719</v>
      </c>
      <c r="F120" s="55" t="b">
        <v>1</v>
      </c>
      <c r="G120" s="54" t="b">
        <v>1</v>
      </c>
      <c r="H120" s="54" t="b">
        <v>1</v>
      </c>
      <c r="I120" s="54" t="b">
        <v>1</v>
      </c>
      <c r="J120" s="54" t="b">
        <v>1</v>
      </c>
      <c r="K120" s="63" t="s">
        <v>507</v>
      </c>
      <c r="L120" s="63" t="s">
        <v>1908</v>
      </c>
      <c r="M120" s="63" t="s">
        <v>1909</v>
      </c>
      <c r="N120" s="63" t="s">
        <v>1719</v>
      </c>
    </row>
    <row r="121" spans="1:14" x14ac:dyDescent="0.2">
      <c r="A121" s="51">
        <v>120</v>
      </c>
      <c r="B121" s="54" t="s">
        <v>507</v>
      </c>
      <c r="C121" s="47" t="s">
        <v>1956</v>
      </c>
      <c r="D121" s="47" t="s">
        <v>1957</v>
      </c>
      <c r="E121" s="47" t="s">
        <v>1719</v>
      </c>
      <c r="F121" s="55" t="b">
        <v>1</v>
      </c>
      <c r="G121" s="54" t="b">
        <v>1</v>
      </c>
      <c r="H121" s="54" t="b">
        <v>1</v>
      </c>
      <c r="I121" s="54" t="b">
        <v>1</v>
      </c>
      <c r="J121" s="54" t="b">
        <v>1</v>
      </c>
      <c r="K121" s="63" t="s">
        <v>507</v>
      </c>
      <c r="L121" s="63" t="s">
        <v>1956</v>
      </c>
      <c r="M121" s="63" t="s">
        <v>1957</v>
      </c>
      <c r="N121" s="63" t="s">
        <v>1719</v>
      </c>
    </row>
    <row r="122" spans="1:14" x14ac:dyDescent="0.2">
      <c r="A122" s="51">
        <v>121</v>
      </c>
      <c r="B122" s="54" t="s">
        <v>507</v>
      </c>
      <c r="C122" s="47" t="s">
        <v>1960</v>
      </c>
      <c r="D122" s="47" t="s">
        <v>1961</v>
      </c>
      <c r="E122" s="47" t="s">
        <v>1719</v>
      </c>
      <c r="F122" s="55" t="b">
        <v>1</v>
      </c>
      <c r="G122" s="54" t="b">
        <v>1</v>
      </c>
      <c r="H122" s="54" t="b">
        <v>1</v>
      </c>
      <c r="I122" s="54" t="b">
        <v>1</v>
      </c>
      <c r="J122" s="54" t="b">
        <v>1</v>
      </c>
      <c r="K122" s="63" t="s">
        <v>507</v>
      </c>
      <c r="L122" s="63" t="s">
        <v>1960</v>
      </c>
      <c r="M122" s="63" t="s">
        <v>1961</v>
      </c>
      <c r="N122" s="63" t="s">
        <v>1719</v>
      </c>
    </row>
    <row r="123" spans="1:14" x14ac:dyDescent="0.2">
      <c r="A123" s="51">
        <v>122</v>
      </c>
      <c r="B123" s="54" t="s">
        <v>507</v>
      </c>
      <c r="C123" s="47" t="s">
        <v>1906</v>
      </c>
      <c r="D123" s="47" t="s">
        <v>1907</v>
      </c>
      <c r="E123" s="47" t="s">
        <v>1719</v>
      </c>
      <c r="F123" s="55" t="b">
        <v>1</v>
      </c>
      <c r="G123" s="54" t="b">
        <v>1</v>
      </c>
      <c r="H123" s="54" t="b">
        <v>1</v>
      </c>
      <c r="I123" s="54" t="b">
        <v>1</v>
      </c>
      <c r="J123" s="54" t="b">
        <v>1</v>
      </c>
      <c r="K123" s="63" t="s">
        <v>507</v>
      </c>
      <c r="L123" s="63" t="s">
        <v>1906</v>
      </c>
      <c r="M123" s="63" t="s">
        <v>1907</v>
      </c>
      <c r="N123" s="63" t="s">
        <v>1719</v>
      </c>
    </row>
    <row r="124" spans="1:14" x14ac:dyDescent="0.2">
      <c r="A124" s="51">
        <v>123</v>
      </c>
      <c r="B124" s="54" t="s">
        <v>507</v>
      </c>
      <c r="C124" s="47" t="s">
        <v>1918</v>
      </c>
      <c r="D124" s="47" t="s">
        <v>1919</v>
      </c>
      <c r="E124" s="47" t="s">
        <v>1719</v>
      </c>
      <c r="F124" s="55" t="b">
        <v>1</v>
      </c>
      <c r="G124" s="54" t="b">
        <v>1</v>
      </c>
      <c r="H124" s="54" t="b">
        <v>1</v>
      </c>
      <c r="I124" s="54" t="b">
        <v>1</v>
      </c>
      <c r="J124" s="54" t="b">
        <v>1</v>
      </c>
      <c r="K124" s="63" t="s">
        <v>507</v>
      </c>
      <c r="L124" s="63" t="s">
        <v>1918</v>
      </c>
      <c r="M124" s="63" t="s">
        <v>1919</v>
      </c>
      <c r="N124" s="63" t="s">
        <v>1719</v>
      </c>
    </row>
    <row r="125" spans="1:14" x14ac:dyDescent="0.2">
      <c r="A125" s="51">
        <v>124</v>
      </c>
      <c r="B125" s="54" t="s">
        <v>507</v>
      </c>
      <c r="C125" s="47" t="s">
        <v>1948</v>
      </c>
      <c r="D125" s="47" t="s">
        <v>1949</v>
      </c>
      <c r="E125" s="47" t="s">
        <v>1719</v>
      </c>
      <c r="F125" s="55" t="b">
        <v>1</v>
      </c>
      <c r="G125" s="54" t="b">
        <v>1</v>
      </c>
      <c r="H125" s="54" t="b">
        <v>1</v>
      </c>
      <c r="I125" s="54" t="b">
        <v>1</v>
      </c>
      <c r="J125" s="54" t="b">
        <v>1</v>
      </c>
      <c r="K125" s="63" t="s">
        <v>507</v>
      </c>
      <c r="L125" s="63" t="s">
        <v>1948</v>
      </c>
      <c r="M125" s="63" t="s">
        <v>1949</v>
      </c>
      <c r="N125" s="63" t="s">
        <v>1719</v>
      </c>
    </row>
    <row r="126" spans="1:14" x14ac:dyDescent="0.2">
      <c r="A126" s="51">
        <v>125</v>
      </c>
      <c r="B126" s="54" t="s">
        <v>507</v>
      </c>
      <c r="C126" s="47" t="s">
        <v>1958</v>
      </c>
      <c r="D126" s="47" t="s">
        <v>1959</v>
      </c>
      <c r="E126" s="47" t="s">
        <v>1719</v>
      </c>
      <c r="F126" s="55" t="b">
        <v>1</v>
      </c>
      <c r="G126" s="54" t="b">
        <v>1</v>
      </c>
      <c r="H126" s="54" t="b">
        <v>1</v>
      </c>
      <c r="I126" s="54" t="b">
        <v>1</v>
      </c>
      <c r="J126" s="54" t="b">
        <v>1</v>
      </c>
      <c r="K126" s="63" t="s">
        <v>507</v>
      </c>
      <c r="L126" s="63" t="s">
        <v>1958</v>
      </c>
      <c r="M126" s="63" t="s">
        <v>1959</v>
      </c>
      <c r="N126" s="63" t="s">
        <v>1719</v>
      </c>
    </row>
    <row r="127" spans="1:14" x14ac:dyDescent="0.2">
      <c r="A127" s="51">
        <v>126</v>
      </c>
      <c r="B127" s="54" t="s">
        <v>507</v>
      </c>
      <c r="C127" s="47" t="s">
        <v>1924</v>
      </c>
      <c r="D127" s="47" t="s">
        <v>1925</v>
      </c>
      <c r="E127" s="47" t="s">
        <v>1719</v>
      </c>
      <c r="F127" s="55" t="b">
        <v>1</v>
      </c>
      <c r="G127" s="54" t="b">
        <v>1</v>
      </c>
      <c r="H127" s="54" t="b">
        <v>1</v>
      </c>
      <c r="I127" s="54" t="b">
        <v>1</v>
      </c>
      <c r="J127" s="54" t="b">
        <v>1</v>
      </c>
      <c r="K127" s="63" t="s">
        <v>507</v>
      </c>
      <c r="L127" s="63" t="s">
        <v>1924</v>
      </c>
      <c r="M127" s="63" t="s">
        <v>1925</v>
      </c>
      <c r="N127" s="63" t="s">
        <v>1719</v>
      </c>
    </row>
    <row r="128" spans="1:14" x14ac:dyDescent="0.2">
      <c r="A128" s="51">
        <v>127</v>
      </c>
      <c r="B128" s="54" t="s">
        <v>507</v>
      </c>
      <c r="C128" s="47" t="s">
        <v>1878</v>
      </c>
      <c r="D128" s="47" t="s">
        <v>1879</v>
      </c>
      <c r="E128" s="47" t="s">
        <v>1719</v>
      </c>
      <c r="F128" s="55" t="b">
        <v>1</v>
      </c>
      <c r="G128" s="54" t="b">
        <v>1</v>
      </c>
      <c r="H128" s="54" t="b">
        <v>1</v>
      </c>
      <c r="I128" s="54" t="b">
        <v>1</v>
      </c>
      <c r="J128" s="54" t="b">
        <v>1</v>
      </c>
      <c r="K128" s="63" t="s">
        <v>507</v>
      </c>
      <c r="L128" s="63" t="s">
        <v>1878</v>
      </c>
      <c r="M128" s="63" t="s">
        <v>1879</v>
      </c>
      <c r="N128" s="63" t="s">
        <v>1719</v>
      </c>
    </row>
    <row r="129" spans="1:14" x14ac:dyDescent="0.2">
      <c r="A129" s="51">
        <v>128</v>
      </c>
      <c r="B129" s="54" t="s">
        <v>507</v>
      </c>
      <c r="C129" s="47" t="s">
        <v>1932</v>
      </c>
      <c r="D129" s="47" t="s">
        <v>1933</v>
      </c>
      <c r="E129" s="47" t="s">
        <v>1719</v>
      </c>
      <c r="F129" s="55" t="b">
        <v>1</v>
      </c>
      <c r="G129" s="54" t="b">
        <v>1</v>
      </c>
      <c r="H129" s="54" t="b">
        <v>1</v>
      </c>
      <c r="I129" s="54" t="b">
        <v>1</v>
      </c>
      <c r="J129" s="54" t="b">
        <v>1</v>
      </c>
      <c r="K129" s="63" t="s">
        <v>507</v>
      </c>
      <c r="L129" s="63" t="s">
        <v>1932</v>
      </c>
      <c r="M129" s="63" t="s">
        <v>1933</v>
      </c>
      <c r="N129" s="63" t="s">
        <v>1719</v>
      </c>
    </row>
    <row r="130" spans="1:14" x14ac:dyDescent="0.2">
      <c r="A130" s="51">
        <v>129</v>
      </c>
      <c r="B130" s="54" t="s">
        <v>507</v>
      </c>
      <c r="C130" s="47" t="s">
        <v>1880</v>
      </c>
      <c r="D130" s="47" t="s">
        <v>12000</v>
      </c>
      <c r="E130" s="47" t="s">
        <v>1719</v>
      </c>
      <c r="F130" s="55" t="b">
        <v>1</v>
      </c>
      <c r="G130" s="54" t="b">
        <v>1</v>
      </c>
      <c r="H130" s="54" t="b">
        <v>1</v>
      </c>
      <c r="I130" s="65" t="b">
        <v>0</v>
      </c>
      <c r="J130" s="54" t="b">
        <v>1</v>
      </c>
      <c r="K130" s="63" t="s">
        <v>507</v>
      </c>
      <c r="L130" s="63" t="s">
        <v>1880</v>
      </c>
      <c r="M130" s="63" t="s">
        <v>1881</v>
      </c>
      <c r="N130" s="63" t="s">
        <v>1719</v>
      </c>
    </row>
    <row r="131" spans="1:14" x14ac:dyDescent="0.2">
      <c r="A131" s="51">
        <v>130</v>
      </c>
      <c r="B131" s="54" t="s">
        <v>507</v>
      </c>
      <c r="C131" s="47" t="s">
        <v>1910</v>
      </c>
      <c r="D131" s="47" t="s">
        <v>1911</v>
      </c>
      <c r="E131" s="47" t="s">
        <v>1719</v>
      </c>
      <c r="F131" s="55" t="b">
        <v>1</v>
      </c>
      <c r="G131" s="54" t="b">
        <v>1</v>
      </c>
      <c r="H131" s="54" t="b">
        <v>1</v>
      </c>
      <c r="I131" s="54" t="b">
        <v>1</v>
      </c>
      <c r="J131" s="54" t="b">
        <v>1</v>
      </c>
      <c r="K131" s="63" t="s">
        <v>507</v>
      </c>
      <c r="L131" s="63" t="s">
        <v>1910</v>
      </c>
      <c r="M131" s="63" t="s">
        <v>1911</v>
      </c>
      <c r="N131" s="63" t="s">
        <v>1719</v>
      </c>
    </row>
    <row r="132" spans="1:14" x14ac:dyDescent="0.2">
      <c r="A132" s="51">
        <v>131</v>
      </c>
      <c r="B132" s="54" t="s">
        <v>507</v>
      </c>
      <c r="C132" s="47" t="s">
        <v>1940</v>
      </c>
      <c r="D132" s="47" t="s">
        <v>1941</v>
      </c>
      <c r="E132" s="47" t="s">
        <v>1719</v>
      </c>
      <c r="F132" s="55" t="b">
        <v>1</v>
      </c>
      <c r="G132" s="54" t="b">
        <v>1</v>
      </c>
      <c r="H132" s="54" t="b">
        <v>1</v>
      </c>
      <c r="I132" s="54" t="b">
        <v>1</v>
      </c>
      <c r="J132" s="54" t="b">
        <v>1</v>
      </c>
      <c r="K132" s="63" t="s">
        <v>507</v>
      </c>
      <c r="L132" s="63" t="s">
        <v>1940</v>
      </c>
      <c r="M132" s="63" t="s">
        <v>1941</v>
      </c>
      <c r="N132" s="63" t="s">
        <v>1719</v>
      </c>
    </row>
    <row r="133" spans="1:14" x14ac:dyDescent="0.2">
      <c r="A133" s="51">
        <v>132</v>
      </c>
      <c r="B133" s="54" t="s">
        <v>511</v>
      </c>
      <c r="C133" s="47" t="s">
        <v>1971</v>
      </c>
      <c r="D133" s="47" t="s">
        <v>1972</v>
      </c>
      <c r="E133" s="47" t="s">
        <v>1970</v>
      </c>
      <c r="F133" s="55" t="b">
        <v>1</v>
      </c>
      <c r="G133" s="54" t="b">
        <v>1</v>
      </c>
      <c r="H133" s="54" t="b">
        <v>1</v>
      </c>
      <c r="I133" s="54" t="b">
        <v>1</v>
      </c>
      <c r="J133" s="54" t="b">
        <v>1</v>
      </c>
      <c r="K133" s="63" t="s">
        <v>511</v>
      </c>
      <c r="L133" s="63" t="s">
        <v>1971</v>
      </c>
      <c r="M133" s="63" t="s">
        <v>1972</v>
      </c>
      <c r="N133" s="63" t="s">
        <v>1970</v>
      </c>
    </row>
    <row r="134" spans="1:14" x14ac:dyDescent="0.2">
      <c r="A134" s="51">
        <v>133</v>
      </c>
      <c r="B134" s="54" t="s">
        <v>511</v>
      </c>
      <c r="C134" s="47" t="s">
        <v>1973</v>
      </c>
      <c r="D134" s="47" t="s">
        <v>1974</v>
      </c>
      <c r="E134" s="47" t="s">
        <v>1970</v>
      </c>
      <c r="F134" s="55" t="b">
        <v>1</v>
      </c>
      <c r="G134" s="54" t="b">
        <v>1</v>
      </c>
      <c r="H134" s="54" t="b">
        <v>1</v>
      </c>
      <c r="I134" s="54" t="b">
        <v>1</v>
      </c>
      <c r="J134" s="54" t="b">
        <v>1</v>
      </c>
      <c r="K134" s="63" t="s">
        <v>511</v>
      </c>
      <c r="L134" s="63" t="s">
        <v>1973</v>
      </c>
      <c r="M134" s="63" t="s">
        <v>1974</v>
      </c>
      <c r="N134" s="63" t="s">
        <v>1970</v>
      </c>
    </row>
    <row r="135" spans="1:14" x14ac:dyDescent="0.2">
      <c r="A135" s="51">
        <v>134</v>
      </c>
      <c r="B135" s="54" t="s">
        <v>511</v>
      </c>
      <c r="C135" s="47" t="s">
        <v>1977</v>
      </c>
      <c r="D135" s="47" t="s">
        <v>1978</v>
      </c>
      <c r="E135" s="47" t="s">
        <v>1970</v>
      </c>
      <c r="F135" s="55" t="b">
        <v>1</v>
      </c>
      <c r="G135" s="54" t="b">
        <v>1</v>
      </c>
      <c r="H135" s="54" t="b">
        <v>1</v>
      </c>
      <c r="I135" s="54" t="b">
        <v>1</v>
      </c>
      <c r="J135" s="54" t="b">
        <v>1</v>
      </c>
      <c r="K135" s="63" t="s">
        <v>511</v>
      </c>
      <c r="L135" s="63" t="s">
        <v>1977</v>
      </c>
      <c r="M135" s="63" t="s">
        <v>1978</v>
      </c>
      <c r="N135" s="63" t="s">
        <v>1970</v>
      </c>
    </row>
    <row r="136" spans="1:14" x14ac:dyDescent="0.2">
      <c r="A136" s="51">
        <v>135</v>
      </c>
      <c r="B136" s="54" t="s">
        <v>511</v>
      </c>
      <c r="C136" s="47" t="s">
        <v>1979</v>
      </c>
      <c r="D136" s="47" t="s">
        <v>1980</v>
      </c>
      <c r="E136" s="47" t="s">
        <v>1970</v>
      </c>
      <c r="F136" s="55" t="b">
        <v>1</v>
      </c>
      <c r="G136" s="54" t="b">
        <v>1</v>
      </c>
      <c r="H136" s="54" t="b">
        <v>1</v>
      </c>
      <c r="I136" s="54" t="b">
        <v>1</v>
      </c>
      <c r="J136" s="54" t="b">
        <v>1</v>
      </c>
      <c r="K136" s="63" t="s">
        <v>511</v>
      </c>
      <c r="L136" s="63" t="s">
        <v>1979</v>
      </c>
      <c r="M136" s="63" t="s">
        <v>1980</v>
      </c>
      <c r="N136" s="63" t="s">
        <v>1970</v>
      </c>
    </row>
    <row r="137" spans="1:14" x14ac:dyDescent="0.2">
      <c r="A137" s="51">
        <v>136</v>
      </c>
      <c r="B137" s="54" t="s">
        <v>511</v>
      </c>
      <c r="C137" s="47" t="s">
        <v>1981</v>
      </c>
      <c r="D137" s="47" t="s">
        <v>1982</v>
      </c>
      <c r="E137" s="47" t="s">
        <v>1970</v>
      </c>
      <c r="F137" s="55" t="b">
        <v>1</v>
      </c>
      <c r="G137" s="54" t="b">
        <v>1</v>
      </c>
      <c r="H137" s="54" t="b">
        <v>1</v>
      </c>
      <c r="I137" s="54" t="b">
        <v>1</v>
      </c>
      <c r="J137" s="54" t="b">
        <v>1</v>
      </c>
      <c r="K137" s="63" t="s">
        <v>511</v>
      </c>
      <c r="L137" s="63" t="s">
        <v>1981</v>
      </c>
      <c r="M137" s="63" t="s">
        <v>1982</v>
      </c>
      <c r="N137" s="63" t="s">
        <v>1970</v>
      </c>
    </row>
    <row r="138" spans="1:14" x14ac:dyDescent="0.2">
      <c r="A138" s="51">
        <v>137</v>
      </c>
      <c r="B138" s="54" t="s">
        <v>511</v>
      </c>
      <c r="C138" s="47" t="s">
        <v>1968</v>
      </c>
      <c r="D138" s="47" t="s">
        <v>1969</v>
      </c>
      <c r="E138" s="47" t="s">
        <v>1970</v>
      </c>
      <c r="F138" s="55" t="b">
        <v>1</v>
      </c>
      <c r="G138" s="54" t="b">
        <v>1</v>
      </c>
      <c r="H138" s="54" t="b">
        <v>1</v>
      </c>
      <c r="I138" s="54" t="b">
        <v>1</v>
      </c>
      <c r="J138" s="54" t="b">
        <v>1</v>
      </c>
      <c r="K138" s="63" t="s">
        <v>511</v>
      </c>
      <c r="L138" s="63" t="s">
        <v>1968</v>
      </c>
      <c r="M138" s="63" t="s">
        <v>1969</v>
      </c>
      <c r="N138" s="63" t="s">
        <v>1970</v>
      </c>
    </row>
    <row r="139" spans="1:14" x14ac:dyDescent="0.2">
      <c r="A139" s="51">
        <v>138</v>
      </c>
      <c r="B139" s="54" t="s">
        <v>511</v>
      </c>
      <c r="C139" s="47" t="s">
        <v>1975</v>
      </c>
      <c r="D139" s="47" t="s">
        <v>1976</v>
      </c>
      <c r="E139" s="47" t="s">
        <v>1970</v>
      </c>
      <c r="F139" s="55" t="b">
        <v>1</v>
      </c>
      <c r="G139" s="54" t="b">
        <v>1</v>
      </c>
      <c r="H139" s="54" t="b">
        <v>1</v>
      </c>
      <c r="I139" s="54" t="b">
        <v>1</v>
      </c>
      <c r="J139" s="54" t="b">
        <v>1</v>
      </c>
      <c r="K139" s="63" t="s">
        <v>511</v>
      </c>
      <c r="L139" s="63" t="s">
        <v>1975</v>
      </c>
      <c r="M139" s="63" t="s">
        <v>1976</v>
      </c>
      <c r="N139" s="63" t="s">
        <v>1970</v>
      </c>
    </row>
    <row r="140" spans="1:14" x14ac:dyDescent="0.2">
      <c r="A140" s="51">
        <v>139</v>
      </c>
      <c r="B140" s="54" t="s">
        <v>513</v>
      </c>
      <c r="C140" s="47" t="s">
        <v>1983</v>
      </c>
      <c r="D140" s="47" t="s">
        <v>1984</v>
      </c>
      <c r="E140" s="47" t="s">
        <v>1719</v>
      </c>
      <c r="F140" s="55" t="b">
        <v>1</v>
      </c>
      <c r="G140" s="54" t="b">
        <v>1</v>
      </c>
      <c r="H140" s="54" t="b">
        <v>1</v>
      </c>
      <c r="I140" s="54" t="b">
        <v>1</v>
      </c>
      <c r="J140" s="54" t="b">
        <v>1</v>
      </c>
      <c r="K140" s="63" t="s">
        <v>513</v>
      </c>
      <c r="L140" s="63" t="s">
        <v>1983</v>
      </c>
      <c r="M140" s="63" t="s">
        <v>1984</v>
      </c>
      <c r="N140" s="63" t="s">
        <v>1719</v>
      </c>
    </row>
    <row r="141" spans="1:14" x14ac:dyDescent="0.2">
      <c r="A141" s="51">
        <v>140</v>
      </c>
      <c r="B141" s="54" t="s">
        <v>513</v>
      </c>
      <c r="C141" s="47" t="s">
        <v>1985</v>
      </c>
      <c r="D141" s="47" t="s">
        <v>1986</v>
      </c>
      <c r="E141" s="47" t="s">
        <v>1719</v>
      </c>
      <c r="F141" s="55" t="b">
        <v>1</v>
      </c>
      <c r="G141" s="54" t="b">
        <v>1</v>
      </c>
      <c r="H141" s="54" t="b">
        <v>1</v>
      </c>
      <c r="I141" s="54" t="b">
        <v>1</v>
      </c>
      <c r="J141" s="54" t="b">
        <v>1</v>
      </c>
      <c r="K141" s="63" t="s">
        <v>513</v>
      </c>
      <c r="L141" s="63" t="s">
        <v>1985</v>
      </c>
      <c r="M141" s="63" t="s">
        <v>1986</v>
      </c>
      <c r="N141" s="63" t="s">
        <v>1719</v>
      </c>
    </row>
    <row r="142" spans="1:14" x14ac:dyDescent="0.2">
      <c r="A142" s="51">
        <v>141</v>
      </c>
      <c r="B142" s="54" t="s">
        <v>513</v>
      </c>
      <c r="C142" s="47" t="s">
        <v>1987</v>
      </c>
      <c r="D142" s="47" t="s">
        <v>1988</v>
      </c>
      <c r="E142" s="47" t="s">
        <v>1719</v>
      </c>
      <c r="F142" s="55" t="b">
        <v>1</v>
      </c>
      <c r="G142" s="54" t="b">
        <v>1</v>
      </c>
      <c r="H142" s="54" t="b">
        <v>1</v>
      </c>
      <c r="I142" s="54" t="b">
        <v>1</v>
      </c>
      <c r="J142" s="54" t="b">
        <v>1</v>
      </c>
      <c r="K142" s="63" t="s">
        <v>513</v>
      </c>
      <c r="L142" s="63" t="s">
        <v>1987</v>
      </c>
      <c r="M142" s="63" t="s">
        <v>1988</v>
      </c>
      <c r="N142" s="63" t="s">
        <v>1719</v>
      </c>
    </row>
    <row r="143" spans="1:14" x14ac:dyDescent="0.2">
      <c r="A143" s="51">
        <v>142</v>
      </c>
      <c r="B143" s="54" t="s">
        <v>513</v>
      </c>
      <c r="C143" s="47" t="s">
        <v>1989</v>
      </c>
      <c r="D143" s="47" t="s">
        <v>1990</v>
      </c>
      <c r="E143" s="47" t="s">
        <v>1719</v>
      </c>
      <c r="F143" s="55" t="b">
        <v>1</v>
      </c>
      <c r="G143" s="54" t="b">
        <v>1</v>
      </c>
      <c r="H143" s="54" t="b">
        <v>1</v>
      </c>
      <c r="I143" s="54" t="b">
        <v>1</v>
      </c>
      <c r="J143" s="54" t="b">
        <v>1</v>
      </c>
      <c r="K143" s="63" t="s">
        <v>513</v>
      </c>
      <c r="L143" s="63" t="s">
        <v>1989</v>
      </c>
      <c r="M143" s="63" t="s">
        <v>1990</v>
      </c>
      <c r="N143" s="63" t="s">
        <v>1719</v>
      </c>
    </row>
    <row r="144" spans="1:14" x14ac:dyDescent="0.2">
      <c r="A144" s="51">
        <v>143</v>
      </c>
      <c r="B144" s="54" t="s">
        <v>513</v>
      </c>
      <c r="C144" s="47" t="s">
        <v>1991</v>
      </c>
      <c r="D144" s="47" t="s">
        <v>12005</v>
      </c>
      <c r="E144" s="47" t="s">
        <v>1719</v>
      </c>
      <c r="F144" s="55" t="b">
        <v>1</v>
      </c>
      <c r="G144" s="54" t="b">
        <v>1</v>
      </c>
      <c r="H144" s="54" t="b">
        <v>1</v>
      </c>
      <c r="I144" s="65" t="b">
        <v>0</v>
      </c>
      <c r="J144" s="54" t="b">
        <v>1</v>
      </c>
      <c r="K144" s="63" t="s">
        <v>513</v>
      </c>
      <c r="L144" s="63" t="s">
        <v>1991</v>
      </c>
      <c r="M144" s="63" t="s">
        <v>1992</v>
      </c>
      <c r="N144" s="63" t="s">
        <v>1719</v>
      </c>
    </row>
    <row r="145" spans="1:14" x14ac:dyDescent="0.2">
      <c r="A145" s="51">
        <v>144</v>
      </c>
      <c r="B145" s="54" t="s">
        <v>513</v>
      </c>
      <c r="C145" s="47" t="s">
        <v>1997</v>
      </c>
      <c r="D145" s="47" t="s">
        <v>1998</v>
      </c>
      <c r="E145" s="47" t="s">
        <v>1719</v>
      </c>
      <c r="F145" s="55" t="b">
        <v>1</v>
      </c>
      <c r="G145" s="54" t="b">
        <v>1</v>
      </c>
      <c r="H145" s="54" t="b">
        <v>1</v>
      </c>
      <c r="I145" s="54" t="b">
        <v>1</v>
      </c>
      <c r="J145" s="54" t="b">
        <v>1</v>
      </c>
      <c r="K145" s="63" t="s">
        <v>513</v>
      </c>
      <c r="L145" s="63" t="s">
        <v>1997</v>
      </c>
      <c r="M145" s="63" t="s">
        <v>1998</v>
      </c>
      <c r="N145" s="63" t="s">
        <v>1719</v>
      </c>
    </row>
    <row r="146" spans="1:14" x14ac:dyDescent="0.2">
      <c r="A146" s="51">
        <v>145</v>
      </c>
      <c r="B146" s="54" t="s">
        <v>513</v>
      </c>
      <c r="C146" s="47" t="s">
        <v>1993</v>
      </c>
      <c r="D146" s="47" t="s">
        <v>12006</v>
      </c>
      <c r="E146" s="47" t="s">
        <v>1719</v>
      </c>
      <c r="F146" s="55" t="b">
        <v>1</v>
      </c>
      <c r="G146" s="54" t="b">
        <v>1</v>
      </c>
      <c r="H146" s="54" t="b">
        <v>1</v>
      </c>
      <c r="I146" s="65" t="b">
        <v>0</v>
      </c>
      <c r="J146" s="54" t="b">
        <v>1</v>
      </c>
      <c r="K146" s="63" t="s">
        <v>513</v>
      </c>
      <c r="L146" s="63" t="s">
        <v>1993</v>
      </c>
      <c r="M146" s="63" t="s">
        <v>1994</v>
      </c>
      <c r="N146" s="63" t="s">
        <v>1719</v>
      </c>
    </row>
    <row r="147" spans="1:14" x14ac:dyDescent="0.2">
      <c r="A147" s="51">
        <v>146</v>
      </c>
      <c r="B147" s="54" t="s">
        <v>513</v>
      </c>
      <c r="C147" s="47" t="s">
        <v>1995</v>
      </c>
      <c r="D147" s="47" t="s">
        <v>12007</v>
      </c>
      <c r="E147" s="47" t="s">
        <v>1719</v>
      </c>
      <c r="F147" s="55" t="b">
        <v>1</v>
      </c>
      <c r="G147" s="54" t="b">
        <v>1</v>
      </c>
      <c r="H147" s="54" t="b">
        <v>1</v>
      </c>
      <c r="I147" s="65" t="b">
        <v>0</v>
      </c>
      <c r="J147" s="54" t="b">
        <v>1</v>
      </c>
      <c r="K147" s="63" t="s">
        <v>513</v>
      </c>
      <c r="L147" s="63" t="s">
        <v>1995</v>
      </c>
      <c r="M147" s="63" t="s">
        <v>1996</v>
      </c>
      <c r="N147" s="63" t="s">
        <v>1719</v>
      </c>
    </row>
    <row r="148" spans="1:14" x14ac:dyDescent="0.2">
      <c r="A148" s="51">
        <v>147</v>
      </c>
      <c r="B148" s="54" t="s">
        <v>513</v>
      </c>
      <c r="C148" s="47" t="s">
        <v>1999</v>
      </c>
      <c r="D148" s="47" t="s">
        <v>2000</v>
      </c>
      <c r="E148" s="47" t="s">
        <v>1719</v>
      </c>
      <c r="F148" s="55" t="b">
        <v>1</v>
      </c>
      <c r="G148" s="54" t="b">
        <v>1</v>
      </c>
      <c r="H148" s="54" t="b">
        <v>1</v>
      </c>
      <c r="I148" s="54" t="b">
        <v>1</v>
      </c>
      <c r="J148" s="54" t="b">
        <v>1</v>
      </c>
      <c r="K148" s="63" t="s">
        <v>513</v>
      </c>
      <c r="L148" s="63" t="s">
        <v>1999</v>
      </c>
      <c r="M148" s="63" t="s">
        <v>2000</v>
      </c>
      <c r="N148" s="63" t="s">
        <v>1719</v>
      </c>
    </row>
    <row r="149" spans="1:14" x14ac:dyDescent="0.2">
      <c r="A149" s="51">
        <v>148</v>
      </c>
      <c r="B149" s="54" t="s">
        <v>513</v>
      </c>
      <c r="C149" s="47" t="s">
        <v>2001</v>
      </c>
      <c r="D149" s="47" t="s">
        <v>2002</v>
      </c>
      <c r="E149" s="47" t="s">
        <v>1719</v>
      </c>
      <c r="F149" s="55" t="b">
        <v>1</v>
      </c>
      <c r="G149" s="54" t="b">
        <v>1</v>
      </c>
      <c r="H149" s="54" t="b">
        <v>1</v>
      </c>
      <c r="I149" s="54" t="b">
        <v>1</v>
      </c>
      <c r="J149" s="54" t="b">
        <v>1</v>
      </c>
      <c r="K149" s="63" t="s">
        <v>513</v>
      </c>
      <c r="L149" s="63" t="s">
        <v>2001</v>
      </c>
      <c r="M149" s="63" t="s">
        <v>2002</v>
      </c>
      <c r="N149" s="63" t="s">
        <v>1719</v>
      </c>
    </row>
    <row r="150" spans="1:14" x14ac:dyDescent="0.2">
      <c r="A150" s="51">
        <v>149</v>
      </c>
      <c r="B150" s="54" t="s">
        <v>513</v>
      </c>
      <c r="C150" s="47" t="s">
        <v>2005</v>
      </c>
      <c r="D150" s="47" t="s">
        <v>2006</v>
      </c>
      <c r="E150" s="47" t="s">
        <v>1719</v>
      </c>
      <c r="F150" s="55" t="b">
        <v>1</v>
      </c>
      <c r="G150" s="54" t="b">
        <v>1</v>
      </c>
      <c r="H150" s="54" t="b">
        <v>1</v>
      </c>
      <c r="I150" s="54" t="b">
        <v>1</v>
      </c>
      <c r="J150" s="54" t="b">
        <v>1</v>
      </c>
      <c r="K150" s="63" t="s">
        <v>513</v>
      </c>
      <c r="L150" s="63" t="s">
        <v>2005</v>
      </c>
      <c r="M150" s="63" t="s">
        <v>2006</v>
      </c>
      <c r="N150" s="63" t="s">
        <v>1719</v>
      </c>
    </row>
    <row r="151" spans="1:14" x14ac:dyDescent="0.2">
      <c r="A151" s="51">
        <v>150</v>
      </c>
      <c r="B151" s="54" t="s">
        <v>513</v>
      </c>
      <c r="C151" s="47" t="s">
        <v>2007</v>
      </c>
      <c r="D151" s="47" t="s">
        <v>2008</v>
      </c>
      <c r="E151" s="47" t="s">
        <v>1719</v>
      </c>
      <c r="F151" s="55" t="b">
        <v>1</v>
      </c>
      <c r="G151" s="54" t="b">
        <v>1</v>
      </c>
      <c r="H151" s="54" t="b">
        <v>1</v>
      </c>
      <c r="I151" s="54" t="b">
        <v>1</v>
      </c>
      <c r="J151" s="54" t="b">
        <v>1</v>
      </c>
      <c r="K151" s="63" t="s">
        <v>513</v>
      </c>
      <c r="L151" s="63" t="s">
        <v>2007</v>
      </c>
      <c r="M151" s="63" t="s">
        <v>2008</v>
      </c>
      <c r="N151" s="63" t="s">
        <v>1719</v>
      </c>
    </row>
    <row r="152" spans="1:14" x14ac:dyDescent="0.2">
      <c r="A152" s="51">
        <v>151</v>
      </c>
      <c r="B152" s="54" t="s">
        <v>513</v>
      </c>
      <c r="C152" s="47" t="s">
        <v>2003</v>
      </c>
      <c r="D152" s="47" t="s">
        <v>2004</v>
      </c>
      <c r="E152" s="47" t="s">
        <v>1719</v>
      </c>
      <c r="F152" s="55" t="b">
        <v>1</v>
      </c>
      <c r="G152" s="54" t="b">
        <v>1</v>
      </c>
      <c r="H152" s="54" t="b">
        <v>1</v>
      </c>
      <c r="I152" s="54" t="b">
        <v>1</v>
      </c>
      <c r="J152" s="54" t="b">
        <v>1</v>
      </c>
      <c r="K152" s="63" t="s">
        <v>513</v>
      </c>
      <c r="L152" s="63" t="s">
        <v>2003</v>
      </c>
      <c r="M152" s="63" t="s">
        <v>2004</v>
      </c>
      <c r="N152" s="63" t="s">
        <v>1719</v>
      </c>
    </row>
    <row r="153" spans="1:14" x14ac:dyDescent="0.2">
      <c r="A153" s="51">
        <v>152</v>
      </c>
      <c r="B153" s="54" t="s">
        <v>513</v>
      </c>
      <c r="C153" s="47" t="s">
        <v>2009</v>
      </c>
      <c r="D153" s="47" t="s">
        <v>12008</v>
      </c>
      <c r="E153" s="47" t="s">
        <v>1719</v>
      </c>
      <c r="F153" s="55" t="b">
        <v>1</v>
      </c>
      <c r="G153" s="54" t="b">
        <v>1</v>
      </c>
      <c r="H153" s="54" t="b">
        <v>1</v>
      </c>
      <c r="I153" s="65" t="b">
        <v>0</v>
      </c>
      <c r="J153" s="54" t="b">
        <v>1</v>
      </c>
      <c r="K153" s="63" t="s">
        <v>513</v>
      </c>
      <c r="L153" s="63" t="s">
        <v>2009</v>
      </c>
      <c r="M153" s="63" t="s">
        <v>2010</v>
      </c>
      <c r="N153" s="63" t="s">
        <v>1719</v>
      </c>
    </row>
    <row r="154" spans="1:14" x14ac:dyDescent="0.2">
      <c r="A154" s="51">
        <v>153</v>
      </c>
      <c r="B154" s="54" t="s">
        <v>513</v>
      </c>
      <c r="C154" s="47" t="s">
        <v>2011</v>
      </c>
      <c r="D154" s="47" t="s">
        <v>2012</v>
      </c>
      <c r="E154" s="47" t="s">
        <v>1719</v>
      </c>
      <c r="F154" s="55" t="b">
        <v>1</v>
      </c>
      <c r="G154" s="54" t="b">
        <v>1</v>
      </c>
      <c r="H154" s="54" t="b">
        <v>1</v>
      </c>
      <c r="I154" s="54" t="b">
        <v>1</v>
      </c>
      <c r="J154" s="54" t="b">
        <v>1</v>
      </c>
      <c r="K154" s="63" t="s">
        <v>513</v>
      </c>
      <c r="L154" s="63" t="s">
        <v>2011</v>
      </c>
      <c r="M154" s="63" t="s">
        <v>2012</v>
      </c>
      <c r="N154" s="63" t="s">
        <v>1719</v>
      </c>
    </row>
    <row r="155" spans="1:14" x14ac:dyDescent="0.2">
      <c r="A155" s="51">
        <v>154</v>
      </c>
      <c r="B155" s="54" t="s">
        <v>513</v>
      </c>
      <c r="C155" s="47" t="s">
        <v>2013</v>
      </c>
      <c r="D155" s="47" t="s">
        <v>2014</v>
      </c>
      <c r="E155" s="47" t="s">
        <v>1719</v>
      </c>
      <c r="F155" s="55" t="b">
        <v>1</v>
      </c>
      <c r="G155" s="54" t="b">
        <v>1</v>
      </c>
      <c r="H155" s="54" t="b">
        <v>1</v>
      </c>
      <c r="I155" s="54" t="b">
        <v>1</v>
      </c>
      <c r="J155" s="54" t="b">
        <v>1</v>
      </c>
      <c r="K155" s="63" t="s">
        <v>513</v>
      </c>
      <c r="L155" s="63" t="s">
        <v>2013</v>
      </c>
      <c r="M155" s="63" t="s">
        <v>2014</v>
      </c>
      <c r="N155" s="63" t="s">
        <v>1719</v>
      </c>
    </row>
    <row r="156" spans="1:14" x14ac:dyDescent="0.2">
      <c r="A156" s="51">
        <v>155</v>
      </c>
      <c r="B156" s="54" t="s">
        <v>513</v>
      </c>
      <c r="C156" s="47" t="s">
        <v>2015</v>
      </c>
      <c r="D156" s="47" t="s">
        <v>2016</v>
      </c>
      <c r="E156" s="47" t="s">
        <v>1719</v>
      </c>
      <c r="F156" s="55" t="b">
        <v>1</v>
      </c>
      <c r="G156" s="54" t="b">
        <v>1</v>
      </c>
      <c r="H156" s="54" t="b">
        <v>1</v>
      </c>
      <c r="I156" s="54" t="b">
        <v>1</v>
      </c>
      <c r="J156" s="54" t="b">
        <v>1</v>
      </c>
      <c r="K156" s="63" t="s">
        <v>513</v>
      </c>
      <c r="L156" s="63" t="s">
        <v>2015</v>
      </c>
      <c r="M156" s="63" t="s">
        <v>2016</v>
      </c>
      <c r="N156" s="63" t="s">
        <v>1719</v>
      </c>
    </row>
    <row r="157" spans="1:14" x14ac:dyDescent="0.2">
      <c r="A157" s="51">
        <v>156</v>
      </c>
      <c r="B157" s="54" t="s">
        <v>513</v>
      </c>
      <c r="C157" s="47" t="s">
        <v>2017</v>
      </c>
      <c r="D157" s="47" t="s">
        <v>2018</v>
      </c>
      <c r="E157" s="47" t="s">
        <v>1719</v>
      </c>
      <c r="F157" s="55" t="b">
        <v>1</v>
      </c>
      <c r="G157" s="54" t="b">
        <v>1</v>
      </c>
      <c r="H157" s="54" t="b">
        <v>1</v>
      </c>
      <c r="I157" s="54" t="b">
        <v>1</v>
      </c>
      <c r="J157" s="54" t="b">
        <v>1</v>
      </c>
      <c r="K157" s="63" t="s">
        <v>513</v>
      </c>
      <c r="L157" s="63" t="s">
        <v>2017</v>
      </c>
      <c r="M157" s="63" t="s">
        <v>2018</v>
      </c>
      <c r="N157" s="63" t="s">
        <v>1719</v>
      </c>
    </row>
    <row r="158" spans="1:14" x14ac:dyDescent="0.2">
      <c r="A158" s="51">
        <v>157</v>
      </c>
      <c r="B158" s="54" t="s">
        <v>519</v>
      </c>
      <c r="C158" s="47" t="s">
        <v>2024</v>
      </c>
      <c r="D158" s="47" t="s">
        <v>2025</v>
      </c>
      <c r="E158" s="47" t="s">
        <v>1970</v>
      </c>
      <c r="F158" s="55" t="b">
        <v>1</v>
      </c>
      <c r="G158" s="54" t="b">
        <v>1</v>
      </c>
      <c r="H158" s="54" t="b">
        <v>1</v>
      </c>
      <c r="I158" s="54" t="b">
        <v>1</v>
      </c>
      <c r="J158" s="54" t="b">
        <v>1</v>
      </c>
      <c r="K158" s="63" t="s">
        <v>519</v>
      </c>
      <c r="L158" s="63" t="s">
        <v>2024</v>
      </c>
      <c r="M158" s="63" t="s">
        <v>2025</v>
      </c>
      <c r="N158" s="63" t="s">
        <v>1970</v>
      </c>
    </row>
    <row r="159" spans="1:14" x14ac:dyDescent="0.2">
      <c r="A159" s="51">
        <v>158</v>
      </c>
      <c r="B159" s="54" t="s">
        <v>519</v>
      </c>
      <c r="C159" s="47" t="s">
        <v>2026</v>
      </c>
      <c r="D159" s="47" t="s">
        <v>2518</v>
      </c>
      <c r="E159" s="47" t="s">
        <v>1970</v>
      </c>
      <c r="F159" s="55" t="b">
        <v>1</v>
      </c>
      <c r="G159" s="54" t="b">
        <v>1</v>
      </c>
      <c r="H159" s="54" t="b">
        <v>1</v>
      </c>
      <c r="I159" s="65" t="b">
        <v>0</v>
      </c>
      <c r="J159" s="54" t="b">
        <v>1</v>
      </c>
      <c r="K159" s="63" t="s">
        <v>519</v>
      </c>
      <c r="L159" s="63" t="s">
        <v>2026</v>
      </c>
      <c r="M159" s="63" t="s">
        <v>2027</v>
      </c>
      <c r="N159" s="63" t="s">
        <v>1970</v>
      </c>
    </row>
    <row r="160" spans="1:14" x14ac:dyDescent="0.2">
      <c r="A160" s="51">
        <v>159</v>
      </c>
      <c r="B160" s="54" t="s">
        <v>519</v>
      </c>
      <c r="C160" s="47" t="s">
        <v>2028</v>
      </c>
      <c r="D160" s="47" t="s">
        <v>2029</v>
      </c>
      <c r="E160" s="47" t="s">
        <v>1970</v>
      </c>
      <c r="F160" s="55" t="b">
        <v>1</v>
      </c>
      <c r="G160" s="54" t="b">
        <v>1</v>
      </c>
      <c r="H160" s="54" t="b">
        <v>1</v>
      </c>
      <c r="I160" s="54" t="b">
        <v>1</v>
      </c>
      <c r="J160" s="54" t="b">
        <v>1</v>
      </c>
      <c r="K160" s="63" t="s">
        <v>519</v>
      </c>
      <c r="L160" s="63" t="s">
        <v>2028</v>
      </c>
      <c r="M160" s="63" t="s">
        <v>2029</v>
      </c>
      <c r="N160" s="63" t="s">
        <v>1970</v>
      </c>
    </row>
    <row r="161" spans="1:14" x14ac:dyDescent="0.2">
      <c r="A161" s="51">
        <v>160</v>
      </c>
      <c r="B161" s="54" t="s">
        <v>519</v>
      </c>
      <c r="C161" s="47" t="s">
        <v>2030</v>
      </c>
      <c r="D161" s="47" t="s">
        <v>2031</v>
      </c>
      <c r="E161" s="47" t="s">
        <v>1970</v>
      </c>
      <c r="F161" s="55" t="b">
        <v>1</v>
      </c>
      <c r="G161" s="54" t="b">
        <v>1</v>
      </c>
      <c r="H161" s="54" t="b">
        <v>1</v>
      </c>
      <c r="I161" s="54" t="b">
        <v>1</v>
      </c>
      <c r="J161" s="54" t="b">
        <v>1</v>
      </c>
      <c r="K161" s="63" t="s">
        <v>519</v>
      </c>
      <c r="L161" s="63" t="s">
        <v>2030</v>
      </c>
      <c r="M161" s="63" t="s">
        <v>2031</v>
      </c>
      <c r="N161" s="63" t="s">
        <v>1970</v>
      </c>
    </row>
    <row r="162" spans="1:14" x14ac:dyDescent="0.2">
      <c r="A162" s="51">
        <v>161</v>
      </c>
      <c r="B162" s="54" t="s">
        <v>519</v>
      </c>
      <c r="C162" s="47" t="s">
        <v>2032</v>
      </c>
      <c r="D162" s="47" t="s">
        <v>2033</v>
      </c>
      <c r="E162" s="47" t="s">
        <v>1970</v>
      </c>
      <c r="F162" s="55" t="b">
        <v>1</v>
      </c>
      <c r="G162" s="54" t="b">
        <v>1</v>
      </c>
      <c r="H162" s="54" t="b">
        <v>1</v>
      </c>
      <c r="I162" s="54" t="b">
        <v>1</v>
      </c>
      <c r="J162" s="54" t="b">
        <v>1</v>
      </c>
      <c r="K162" s="63" t="s">
        <v>519</v>
      </c>
      <c r="L162" s="63" t="s">
        <v>2032</v>
      </c>
      <c r="M162" s="63" t="s">
        <v>2033</v>
      </c>
      <c r="N162" s="63" t="s">
        <v>1970</v>
      </c>
    </row>
    <row r="163" spans="1:14" x14ac:dyDescent="0.2">
      <c r="A163" s="51">
        <v>162</v>
      </c>
      <c r="B163" s="54" t="s">
        <v>519</v>
      </c>
      <c r="C163" s="47" t="s">
        <v>2034</v>
      </c>
      <c r="D163" s="47" t="s">
        <v>2035</v>
      </c>
      <c r="E163" s="47" t="s">
        <v>1970</v>
      </c>
      <c r="F163" s="55" t="b">
        <v>1</v>
      </c>
      <c r="G163" s="54" t="b">
        <v>1</v>
      </c>
      <c r="H163" s="54" t="b">
        <v>1</v>
      </c>
      <c r="I163" s="54" t="b">
        <v>1</v>
      </c>
      <c r="J163" s="54" t="b">
        <v>1</v>
      </c>
      <c r="K163" s="63" t="s">
        <v>519</v>
      </c>
      <c r="L163" s="63" t="s">
        <v>2034</v>
      </c>
      <c r="M163" s="63" t="s">
        <v>2035</v>
      </c>
      <c r="N163" s="63" t="s">
        <v>1970</v>
      </c>
    </row>
    <row r="164" spans="1:14" x14ac:dyDescent="0.2">
      <c r="A164" s="51">
        <v>163</v>
      </c>
      <c r="B164" s="54" t="s">
        <v>519</v>
      </c>
      <c r="C164" s="47" t="s">
        <v>2019</v>
      </c>
      <c r="D164" s="47" t="s">
        <v>2020</v>
      </c>
      <c r="E164" s="47" t="s">
        <v>2021</v>
      </c>
      <c r="F164" s="55" t="b">
        <v>1</v>
      </c>
      <c r="G164" s="54" t="b">
        <v>1</v>
      </c>
      <c r="H164" s="54" t="b">
        <v>1</v>
      </c>
      <c r="I164" s="54" t="b">
        <v>1</v>
      </c>
      <c r="J164" s="54" t="b">
        <v>1</v>
      </c>
      <c r="K164" s="63" t="s">
        <v>519</v>
      </c>
      <c r="L164" s="63" t="s">
        <v>2019</v>
      </c>
      <c r="M164" s="63" t="s">
        <v>2020</v>
      </c>
      <c r="N164" s="63" t="s">
        <v>2021</v>
      </c>
    </row>
    <row r="165" spans="1:14" x14ac:dyDescent="0.2">
      <c r="A165" s="51">
        <v>164</v>
      </c>
      <c r="B165" s="54" t="s">
        <v>519</v>
      </c>
      <c r="C165" s="47" t="s">
        <v>2022</v>
      </c>
      <c r="D165" s="47" t="s">
        <v>2023</v>
      </c>
      <c r="E165" s="47" t="s">
        <v>2021</v>
      </c>
      <c r="F165" s="55" t="b">
        <v>1</v>
      </c>
      <c r="G165" s="54" t="b">
        <v>1</v>
      </c>
      <c r="H165" s="54" t="b">
        <v>1</v>
      </c>
      <c r="I165" s="54" t="b">
        <v>1</v>
      </c>
      <c r="J165" s="54" t="b">
        <v>1</v>
      </c>
      <c r="K165" s="63" t="s">
        <v>519</v>
      </c>
      <c r="L165" s="63" t="s">
        <v>2022</v>
      </c>
      <c r="M165" s="63" t="s">
        <v>2023</v>
      </c>
      <c r="N165" s="63" t="s">
        <v>2021</v>
      </c>
    </row>
    <row r="166" spans="1:14" x14ac:dyDescent="0.2">
      <c r="A166" s="51">
        <v>165</v>
      </c>
      <c r="B166" s="54" t="s">
        <v>521</v>
      </c>
      <c r="C166" s="47" t="s">
        <v>2069</v>
      </c>
      <c r="D166" s="47" t="s">
        <v>2070</v>
      </c>
      <c r="E166" s="47" t="s">
        <v>1719</v>
      </c>
      <c r="F166" s="55" t="b">
        <v>1</v>
      </c>
      <c r="G166" s="54" t="b">
        <v>1</v>
      </c>
      <c r="H166" s="54" t="b">
        <v>1</v>
      </c>
      <c r="I166" s="54" t="b">
        <v>1</v>
      </c>
      <c r="J166" s="54" t="b">
        <v>1</v>
      </c>
      <c r="K166" s="63" t="s">
        <v>521</v>
      </c>
      <c r="L166" s="63" t="s">
        <v>2069</v>
      </c>
      <c r="M166" s="63" t="s">
        <v>2070</v>
      </c>
      <c r="N166" s="63" t="s">
        <v>1719</v>
      </c>
    </row>
    <row r="167" spans="1:14" x14ac:dyDescent="0.2">
      <c r="A167" s="51">
        <v>166</v>
      </c>
      <c r="B167" s="54" t="s">
        <v>521</v>
      </c>
      <c r="C167" s="47" t="s">
        <v>2036</v>
      </c>
      <c r="D167" s="47" t="s">
        <v>2037</v>
      </c>
      <c r="E167" s="47" t="s">
        <v>1719</v>
      </c>
      <c r="F167" s="55" t="b">
        <v>1</v>
      </c>
      <c r="G167" s="54" t="b">
        <v>1</v>
      </c>
      <c r="H167" s="54" t="b">
        <v>1</v>
      </c>
      <c r="I167" s="54" t="b">
        <v>1</v>
      </c>
      <c r="J167" s="54" t="b">
        <v>1</v>
      </c>
      <c r="K167" s="63" t="s">
        <v>521</v>
      </c>
      <c r="L167" s="63" t="s">
        <v>2036</v>
      </c>
      <c r="M167" s="63" t="s">
        <v>2037</v>
      </c>
      <c r="N167" s="63" t="s">
        <v>1719</v>
      </c>
    </row>
    <row r="168" spans="1:14" x14ac:dyDescent="0.2">
      <c r="A168" s="51">
        <v>167</v>
      </c>
      <c r="B168" s="54" t="s">
        <v>521</v>
      </c>
      <c r="C168" s="47" t="s">
        <v>2044</v>
      </c>
      <c r="D168" s="47" t="s">
        <v>12009</v>
      </c>
      <c r="E168" s="47" t="s">
        <v>8770</v>
      </c>
      <c r="F168" s="55" t="b">
        <v>1</v>
      </c>
      <c r="G168" s="54" t="b">
        <v>1</v>
      </c>
      <c r="H168" s="54" t="b">
        <v>1</v>
      </c>
      <c r="I168" s="65" t="b">
        <v>0</v>
      </c>
      <c r="J168" s="65" t="b">
        <v>0</v>
      </c>
      <c r="K168" s="63" t="s">
        <v>521</v>
      </c>
      <c r="L168" s="63" t="s">
        <v>2044</v>
      </c>
      <c r="M168" s="63" t="s">
        <v>2045</v>
      </c>
      <c r="N168" s="63" t="s">
        <v>2046</v>
      </c>
    </row>
    <row r="169" spans="1:14" x14ac:dyDescent="0.2">
      <c r="A169" s="51">
        <v>168</v>
      </c>
      <c r="B169" s="54" t="s">
        <v>521</v>
      </c>
      <c r="C169" s="47" t="s">
        <v>2073</v>
      </c>
      <c r="D169" s="47" t="s">
        <v>2074</v>
      </c>
      <c r="E169" s="47" t="s">
        <v>1719</v>
      </c>
      <c r="F169" s="55" t="b">
        <v>1</v>
      </c>
      <c r="G169" s="54" t="b">
        <v>1</v>
      </c>
      <c r="H169" s="54" t="b">
        <v>1</v>
      </c>
      <c r="I169" s="54" t="b">
        <v>1</v>
      </c>
      <c r="J169" s="54" t="b">
        <v>1</v>
      </c>
      <c r="K169" s="63" t="s">
        <v>521</v>
      </c>
      <c r="L169" s="63" t="s">
        <v>2073</v>
      </c>
      <c r="M169" s="63" t="s">
        <v>2074</v>
      </c>
      <c r="N169" s="63" t="s">
        <v>1719</v>
      </c>
    </row>
    <row r="170" spans="1:14" x14ac:dyDescent="0.2">
      <c r="A170" s="51">
        <v>169</v>
      </c>
      <c r="B170" s="54" t="s">
        <v>521</v>
      </c>
      <c r="C170" s="47" t="s">
        <v>2051</v>
      </c>
      <c r="D170" s="47" t="s">
        <v>2052</v>
      </c>
      <c r="E170" s="47" t="s">
        <v>1719</v>
      </c>
      <c r="F170" s="55" t="b">
        <v>1</v>
      </c>
      <c r="G170" s="54" t="b">
        <v>1</v>
      </c>
      <c r="H170" s="54" t="b">
        <v>1</v>
      </c>
      <c r="I170" s="54" t="b">
        <v>1</v>
      </c>
      <c r="J170" s="54" t="b">
        <v>1</v>
      </c>
      <c r="K170" s="63" t="s">
        <v>521</v>
      </c>
      <c r="L170" s="63" t="s">
        <v>2051</v>
      </c>
      <c r="M170" s="63" t="s">
        <v>2052</v>
      </c>
      <c r="N170" s="63" t="s">
        <v>1719</v>
      </c>
    </row>
    <row r="171" spans="1:14" x14ac:dyDescent="0.2">
      <c r="A171" s="51">
        <v>170</v>
      </c>
      <c r="B171" s="54" t="s">
        <v>521</v>
      </c>
      <c r="C171" s="47" t="s">
        <v>2059</v>
      </c>
      <c r="D171" s="47" t="s">
        <v>2060</v>
      </c>
      <c r="E171" s="47" t="s">
        <v>1719</v>
      </c>
      <c r="F171" s="55" t="b">
        <v>1</v>
      </c>
      <c r="G171" s="54" t="b">
        <v>1</v>
      </c>
      <c r="H171" s="54" t="b">
        <v>1</v>
      </c>
      <c r="I171" s="54" t="b">
        <v>1</v>
      </c>
      <c r="J171" s="54" t="b">
        <v>1</v>
      </c>
      <c r="K171" s="63" t="s">
        <v>521</v>
      </c>
      <c r="L171" s="63" t="s">
        <v>2059</v>
      </c>
      <c r="M171" s="63" t="s">
        <v>2060</v>
      </c>
      <c r="N171" s="63" t="s">
        <v>1719</v>
      </c>
    </row>
    <row r="172" spans="1:14" x14ac:dyDescent="0.2">
      <c r="A172" s="51">
        <v>171</v>
      </c>
      <c r="B172" s="54" t="s">
        <v>521</v>
      </c>
      <c r="C172" s="47" t="s">
        <v>2079</v>
      </c>
      <c r="D172" s="47" t="s">
        <v>2080</v>
      </c>
      <c r="E172" s="47" t="s">
        <v>1719</v>
      </c>
      <c r="F172" s="55" t="b">
        <v>1</v>
      </c>
      <c r="G172" s="54" t="b">
        <v>1</v>
      </c>
      <c r="H172" s="54" t="b">
        <v>1</v>
      </c>
      <c r="I172" s="54" t="b">
        <v>1</v>
      </c>
      <c r="J172" s="54" t="b">
        <v>1</v>
      </c>
      <c r="K172" s="63" t="s">
        <v>521</v>
      </c>
      <c r="L172" s="63" t="s">
        <v>2079</v>
      </c>
      <c r="M172" s="63" t="s">
        <v>2080</v>
      </c>
      <c r="N172" s="63" t="s">
        <v>1719</v>
      </c>
    </row>
    <row r="173" spans="1:14" x14ac:dyDescent="0.2">
      <c r="A173" s="51">
        <v>172</v>
      </c>
      <c r="B173" s="54" t="s">
        <v>521</v>
      </c>
      <c r="C173" s="47" t="s">
        <v>2040</v>
      </c>
      <c r="D173" s="47" t="s">
        <v>2041</v>
      </c>
      <c r="E173" s="47" t="s">
        <v>1719</v>
      </c>
      <c r="F173" s="55" t="b">
        <v>1</v>
      </c>
      <c r="G173" s="54" t="b">
        <v>1</v>
      </c>
      <c r="H173" s="54" t="b">
        <v>1</v>
      </c>
      <c r="I173" s="54" t="b">
        <v>1</v>
      </c>
      <c r="J173" s="54" t="b">
        <v>1</v>
      </c>
      <c r="K173" s="63" t="s">
        <v>521</v>
      </c>
      <c r="L173" s="63" t="s">
        <v>2040</v>
      </c>
      <c r="M173" s="63" t="s">
        <v>2041</v>
      </c>
      <c r="N173" s="63" t="s">
        <v>1719</v>
      </c>
    </row>
    <row r="174" spans="1:14" x14ac:dyDescent="0.2">
      <c r="A174" s="51">
        <v>173</v>
      </c>
      <c r="B174" s="54" t="s">
        <v>521</v>
      </c>
      <c r="C174" s="47" t="s">
        <v>2071</v>
      </c>
      <c r="D174" s="47" t="s">
        <v>2072</v>
      </c>
      <c r="E174" s="47" t="s">
        <v>1719</v>
      </c>
      <c r="F174" s="55" t="b">
        <v>1</v>
      </c>
      <c r="G174" s="54" t="b">
        <v>1</v>
      </c>
      <c r="H174" s="54" t="b">
        <v>1</v>
      </c>
      <c r="I174" s="54" t="b">
        <v>1</v>
      </c>
      <c r="J174" s="54" t="b">
        <v>1</v>
      </c>
      <c r="K174" s="63" t="s">
        <v>521</v>
      </c>
      <c r="L174" s="63" t="s">
        <v>2071</v>
      </c>
      <c r="M174" s="63" t="s">
        <v>2072</v>
      </c>
      <c r="N174" s="63" t="s">
        <v>1719</v>
      </c>
    </row>
    <row r="175" spans="1:14" x14ac:dyDescent="0.2">
      <c r="A175" s="51">
        <v>174</v>
      </c>
      <c r="B175" s="54" t="s">
        <v>521</v>
      </c>
      <c r="C175" s="47" t="s">
        <v>2038</v>
      </c>
      <c r="D175" s="47" t="s">
        <v>2039</v>
      </c>
      <c r="E175" s="47" t="s">
        <v>1719</v>
      </c>
      <c r="F175" s="55" t="b">
        <v>1</v>
      </c>
      <c r="G175" s="54" t="b">
        <v>1</v>
      </c>
      <c r="H175" s="54" t="b">
        <v>1</v>
      </c>
      <c r="I175" s="54" t="b">
        <v>1</v>
      </c>
      <c r="J175" s="54" t="b">
        <v>1</v>
      </c>
      <c r="K175" s="63" t="s">
        <v>521</v>
      </c>
      <c r="L175" s="63" t="s">
        <v>2038</v>
      </c>
      <c r="M175" s="63" t="s">
        <v>2039</v>
      </c>
      <c r="N175" s="63" t="s">
        <v>1719</v>
      </c>
    </row>
    <row r="176" spans="1:14" x14ac:dyDescent="0.2">
      <c r="A176" s="51">
        <v>175</v>
      </c>
      <c r="B176" s="54" t="s">
        <v>521</v>
      </c>
      <c r="C176" s="47" t="s">
        <v>2057</v>
      </c>
      <c r="D176" s="47" t="s">
        <v>2058</v>
      </c>
      <c r="E176" s="47" t="s">
        <v>1719</v>
      </c>
      <c r="F176" s="55" t="b">
        <v>1</v>
      </c>
      <c r="G176" s="54" t="b">
        <v>1</v>
      </c>
      <c r="H176" s="54" t="b">
        <v>1</v>
      </c>
      <c r="I176" s="54" t="b">
        <v>1</v>
      </c>
      <c r="J176" s="54" t="b">
        <v>1</v>
      </c>
      <c r="K176" s="63" t="s">
        <v>521</v>
      </c>
      <c r="L176" s="63" t="s">
        <v>2057</v>
      </c>
      <c r="M176" s="63" t="s">
        <v>2058</v>
      </c>
      <c r="N176" s="63" t="s">
        <v>1719</v>
      </c>
    </row>
    <row r="177" spans="1:14" x14ac:dyDescent="0.2">
      <c r="A177" s="51">
        <v>176</v>
      </c>
      <c r="B177" s="54" t="s">
        <v>521</v>
      </c>
      <c r="C177" s="47" t="s">
        <v>2061</v>
      </c>
      <c r="D177" s="47" t="s">
        <v>2062</v>
      </c>
      <c r="E177" s="47" t="s">
        <v>1719</v>
      </c>
      <c r="F177" s="55" t="b">
        <v>1</v>
      </c>
      <c r="G177" s="54" t="b">
        <v>1</v>
      </c>
      <c r="H177" s="54" t="b">
        <v>1</v>
      </c>
      <c r="I177" s="54" t="b">
        <v>1</v>
      </c>
      <c r="J177" s="54" t="b">
        <v>1</v>
      </c>
      <c r="K177" s="63" t="s">
        <v>521</v>
      </c>
      <c r="L177" s="63" t="s">
        <v>2061</v>
      </c>
      <c r="M177" s="63" t="s">
        <v>2062</v>
      </c>
      <c r="N177" s="63" t="s">
        <v>1719</v>
      </c>
    </row>
    <row r="178" spans="1:14" x14ac:dyDescent="0.2">
      <c r="A178" s="51">
        <v>177</v>
      </c>
      <c r="B178" s="54" t="s">
        <v>521</v>
      </c>
      <c r="C178" s="47" t="s">
        <v>2063</v>
      </c>
      <c r="D178" s="47" t="s">
        <v>2064</v>
      </c>
      <c r="E178" s="47" t="s">
        <v>1719</v>
      </c>
      <c r="F178" s="55" t="b">
        <v>1</v>
      </c>
      <c r="G178" s="54" t="b">
        <v>1</v>
      </c>
      <c r="H178" s="54" t="b">
        <v>1</v>
      </c>
      <c r="I178" s="54" t="b">
        <v>1</v>
      </c>
      <c r="J178" s="54" t="b">
        <v>1</v>
      </c>
      <c r="K178" s="63" t="s">
        <v>521</v>
      </c>
      <c r="L178" s="63" t="s">
        <v>2063</v>
      </c>
      <c r="M178" s="63" t="s">
        <v>2064</v>
      </c>
      <c r="N178" s="63" t="s">
        <v>1719</v>
      </c>
    </row>
    <row r="179" spans="1:14" x14ac:dyDescent="0.2">
      <c r="A179" s="51">
        <v>178</v>
      </c>
      <c r="B179" s="54" t="s">
        <v>521</v>
      </c>
      <c r="C179" s="47" t="s">
        <v>2053</v>
      </c>
      <c r="D179" s="47" t="s">
        <v>2054</v>
      </c>
      <c r="E179" s="47" t="s">
        <v>1719</v>
      </c>
      <c r="F179" s="55" t="b">
        <v>1</v>
      </c>
      <c r="G179" s="54" t="b">
        <v>1</v>
      </c>
      <c r="H179" s="54" t="b">
        <v>1</v>
      </c>
      <c r="I179" s="54" t="b">
        <v>1</v>
      </c>
      <c r="J179" s="54" t="b">
        <v>1</v>
      </c>
      <c r="K179" s="63" t="s">
        <v>521</v>
      </c>
      <c r="L179" s="63" t="s">
        <v>2053</v>
      </c>
      <c r="M179" s="63" t="s">
        <v>2054</v>
      </c>
      <c r="N179" s="63" t="s">
        <v>1719</v>
      </c>
    </row>
    <row r="180" spans="1:14" x14ac:dyDescent="0.2">
      <c r="A180" s="51">
        <v>179</v>
      </c>
      <c r="B180" s="54" t="s">
        <v>521</v>
      </c>
      <c r="C180" s="47" t="s">
        <v>2065</v>
      </c>
      <c r="D180" s="47" t="s">
        <v>2066</v>
      </c>
      <c r="E180" s="47" t="s">
        <v>1719</v>
      </c>
      <c r="F180" s="55" t="b">
        <v>1</v>
      </c>
      <c r="G180" s="54" t="b">
        <v>1</v>
      </c>
      <c r="H180" s="54" t="b">
        <v>1</v>
      </c>
      <c r="I180" s="54" t="b">
        <v>1</v>
      </c>
      <c r="J180" s="54" t="b">
        <v>1</v>
      </c>
      <c r="K180" s="63" t="s">
        <v>521</v>
      </c>
      <c r="L180" s="63" t="s">
        <v>2065</v>
      </c>
      <c r="M180" s="63" t="s">
        <v>2066</v>
      </c>
      <c r="N180" s="63" t="s">
        <v>1719</v>
      </c>
    </row>
    <row r="181" spans="1:14" x14ac:dyDescent="0.2">
      <c r="A181" s="51">
        <v>180</v>
      </c>
      <c r="B181" s="54" t="s">
        <v>521</v>
      </c>
      <c r="C181" s="47" t="s">
        <v>2067</v>
      </c>
      <c r="D181" s="47" t="s">
        <v>2068</v>
      </c>
      <c r="E181" s="47" t="s">
        <v>1719</v>
      </c>
      <c r="F181" s="55" t="b">
        <v>1</v>
      </c>
      <c r="G181" s="54" t="b">
        <v>1</v>
      </c>
      <c r="H181" s="54" t="b">
        <v>1</v>
      </c>
      <c r="I181" s="54" t="b">
        <v>1</v>
      </c>
      <c r="J181" s="54" t="b">
        <v>1</v>
      </c>
      <c r="K181" s="63" t="s">
        <v>521</v>
      </c>
      <c r="L181" s="63" t="s">
        <v>2067</v>
      </c>
      <c r="M181" s="63" t="s">
        <v>2068</v>
      </c>
      <c r="N181" s="63" t="s">
        <v>1719</v>
      </c>
    </row>
    <row r="182" spans="1:14" x14ac:dyDescent="0.2">
      <c r="A182" s="51">
        <v>181</v>
      </c>
      <c r="B182" s="54" t="s">
        <v>521</v>
      </c>
      <c r="C182" s="47" t="s">
        <v>2077</v>
      </c>
      <c r="D182" s="47" t="s">
        <v>2078</v>
      </c>
      <c r="E182" s="47" t="s">
        <v>1719</v>
      </c>
      <c r="F182" s="55" t="b">
        <v>1</v>
      </c>
      <c r="G182" s="54" t="b">
        <v>1</v>
      </c>
      <c r="H182" s="54" t="b">
        <v>1</v>
      </c>
      <c r="I182" s="54" t="b">
        <v>1</v>
      </c>
      <c r="J182" s="54" t="b">
        <v>1</v>
      </c>
      <c r="K182" s="63" t="s">
        <v>521</v>
      </c>
      <c r="L182" s="63" t="s">
        <v>2077</v>
      </c>
      <c r="M182" s="63" t="s">
        <v>2078</v>
      </c>
      <c r="N182" s="63" t="s">
        <v>1719</v>
      </c>
    </row>
    <row r="183" spans="1:14" x14ac:dyDescent="0.2">
      <c r="A183" s="51">
        <v>182</v>
      </c>
      <c r="B183" s="54" t="s">
        <v>521</v>
      </c>
      <c r="C183" s="47" t="s">
        <v>2083</v>
      </c>
      <c r="D183" s="47" t="s">
        <v>2084</v>
      </c>
      <c r="E183" s="47" t="s">
        <v>1719</v>
      </c>
      <c r="F183" s="55" t="b">
        <v>1</v>
      </c>
      <c r="G183" s="54" t="b">
        <v>1</v>
      </c>
      <c r="H183" s="54" t="b">
        <v>1</v>
      </c>
      <c r="I183" s="54" t="b">
        <v>1</v>
      </c>
      <c r="J183" s="54" t="b">
        <v>1</v>
      </c>
      <c r="K183" s="63" t="s">
        <v>521</v>
      </c>
      <c r="L183" s="63" t="s">
        <v>2083</v>
      </c>
      <c r="M183" s="63" t="s">
        <v>2084</v>
      </c>
      <c r="N183" s="63" t="s">
        <v>1719</v>
      </c>
    </row>
    <row r="184" spans="1:14" x14ac:dyDescent="0.2">
      <c r="A184" s="51">
        <v>183</v>
      </c>
      <c r="B184" s="54" t="s">
        <v>521</v>
      </c>
      <c r="C184" s="47" t="s">
        <v>2042</v>
      </c>
      <c r="D184" s="47" t="s">
        <v>2043</v>
      </c>
      <c r="E184" s="47" t="s">
        <v>1719</v>
      </c>
      <c r="F184" s="55" t="b">
        <v>1</v>
      </c>
      <c r="G184" s="54" t="b">
        <v>1</v>
      </c>
      <c r="H184" s="54" t="b">
        <v>1</v>
      </c>
      <c r="I184" s="54" t="b">
        <v>1</v>
      </c>
      <c r="J184" s="54" t="b">
        <v>1</v>
      </c>
      <c r="K184" s="63" t="s">
        <v>521</v>
      </c>
      <c r="L184" s="63" t="s">
        <v>2042</v>
      </c>
      <c r="M184" s="63" t="s">
        <v>2043</v>
      </c>
      <c r="N184" s="63" t="s">
        <v>1719</v>
      </c>
    </row>
    <row r="185" spans="1:14" x14ac:dyDescent="0.2">
      <c r="A185" s="51">
        <v>184</v>
      </c>
      <c r="B185" s="54" t="s">
        <v>521</v>
      </c>
      <c r="C185" s="47" t="s">
        <v>2081</v>
      </c>
      <c r="D185" s="47" t="s">
        <v>12010</v>
      </c>
      <c r="E185" s="47" t="s">
        <v>1719</v>
      </c>
      <c r="F185" s="55" t="b">
        <v>1</v>
      </c>
      <c r="G185" s="54" t="b">
        <v>1</v>
      </c>
      <c r="H185" s="54" t="b">
        <v>1</v>
      </c>
      <c r="I185" s="65" t="b">
        <v>0</v>
      </c>
      <c r="J185" s="54" t="b">
        <v>1</v>
      </c>
      <c r="K185" s="63" t="s">
        <v>521</v>
      </c>
      <c r="L185" s="63" t="s">
        <v>2081</v>
      </c>
      <c r="M185" s="63" t="s">
        <v>2082</v>
      </c>
      <c r="N185" s="63" t="s">
        <v>1719</v>
      </c>
    </row>
    <row r="186" spans="1:14" x14ac:dyDescent="0.2">
      <c r="A186" s="51">
        <v>185</v>
      </c>
      <c r="B186" s="54" t="s">
        <v>521</v>
      </c>
      <c r="C186" s="47" t="s">
        <v>2047</v>
      </c>
      <c r="D186" s="47" t="s">
        <v>2048</v>
      </c>
      <c r="E186" s="47" t="s">
        <v>1719</v>
      </c>
      <c r="F186" s="55" t="b">
        <v>1</v>
      </c>
      <c r="G186" s="54" t="b">
        <v>1</v>
      </c>
      <c r="H186" s="54" t="b">
        <v>1</v>
      </c>
      <c r="I186" s="54" t="b">
        <v>1</v>
      </c>
      <c r="J186" s="54" t="b">
        <v>1</v>
      </c>
      <c r="K186" s="63" t="s">
        <v>521</v>
      </c>
      <c r="L186" s="63" t="s">
        <v>2047</v>
      </c>
      <c r="M186" s="63" t="s">
        <v>2048</v>
      </c>
      <c r="N186" s="63" t="s">
        <v>1719</v>
      </c>
    </row>
    <row r="187" spans="1:14" x14ac:dyDescent="0.2">
      <c r="A187" s="51">
        <v>186</v>
      </c>
      <c r="B187" s="54" t="s">
        <v>521</v>
      </c>
      <c r="C187" s="47" t="s">
        <v>2049</v>
      </c>
      <c r="D187" s="47" t="s">
        <v>2050</v>
      </c>
      <c r="E187" s="47" t="s">
        <v>1719</v>
      </c>
      <c r="F187" s="55" t="b">
        <v>1</v>
      </c>
      <c r="G187" s="54" t="b">
        <v>1</v>
      </c>
      <c r="H187" s="54" t="b">
        <v>1</v>
      </c>
      <c r="I187" s="54" t="b">
        <v>1</v>
      </c>
      <c r="J187" s="54" t="b">
        <v>1</v>
      </c>
      <c r="K187" s="63" t="s">
        <v>521</v>
      </c>
      <c r="L187" s="63" t="s">
        <v>2049</v>
      </c>
      <c r="M187" s="63" t="s">
        <v>2050</v>
      </c>
      <c r="N187" s="63" t="s">
        <v>1719</v>
      </c>
    </row>
    <row r="188" spans="1:14" x14ac:dyDescent="0.2">
      <c r="A188" s="51">
        <v>187</v>
      </c>
      <c r="B188" s="54" t="s">
        <v>521</v>
      </c>
      <c r="C188" s="47" t="s">
        <v>2055</v>
      </c>
      <c r="D188" s="47" t="s">
        <v>2056</v>
      </c>
      <c r="E188" s="47" t="s">
        <v>1719</v>
      </c>
      <c r="F188" s="55" t="b">
        <v>1</v>
      </c>
      <c r="G188" s="54" t="b">
        <v>1</v>
      </c>
      <c r="H188" s="54" t="b">
        <v>1</v>
      </c>
      <c r="I188" s="54" t="b">
        <v>1</v>
      </c>
      <c r="J188" s="54" t="b">
        <v>1</v>
      </c>
      <c r="K188" s="63" t="s">
        <v>521</v>
      </c>
      <c r="L188" s="63" t="s">
        <v>2055</v>
      </c>
      <c r="M188" s="63" t="s">
        <v>2056</v>
      </c>
      <c r="N188" s="63" t="s">
        <v>1719</v>
      </c>
    </row>
    <row r="189" spans="1:14" x14ac:dyDescent="0.2">
      <c r="A189" s="51">
        <v>188</v>
      </c>
      <c r="B189" s="54" t="s">
        <v>521</v>
      </c>
      <c r="C189" s="47" t="s">
        <v>2075</v>
      </c>
      <c r="D189" s="47" t="s">
        <v>2076</v>
      </c>
      <c r="E189" s="47" t="s">
        <v>1719</v>
      </c>
      <c r="F189" s="55" t="b">
        <v>1</v>
      </c>
      <c r="G189" s="54" t="b">
        <v>1</v>
      </c>
      <c r="H189" s="54" t="b">
        <v>1</v>
      </c>
      <c r="I189" s="54" t="b">
        <v>1</v>
      </c>
      <c r="J189" s="54" t="b">
        <v>1</v>
      </c>
      <c r="K189" s="63" t="s">
        <v>521</v>
      </c>
      <c r="L189" s="63" t="s">
        <v>2075</v>
      </c>
      <c r="M189" s="63" t="s">
        <v>2076</v>
      </c>
      <c r="N189" s="63" t="s">
        <v>1719</v>
      </c>
    </row>
    <row r="190" spans="1:14" x14ac:dyDescent="0.2">
      <c r="A190" s="51">
        <v>189</v>
      </c>
      <c r="B190" s="54" t="s">
        <v>523</v>
      </c>
      <c r="C190" s="47" t="s">
        <v>2085</v>
      </c>
      <c r="D190" s="47" t="s">
        <v>12011</v>
      </c>
      <c r="E190" s="47" t="s">
        <v>1790</v>
      </c>
      <c r="F190" s="55" t="b">
        <v>1</v>
      </c>
      <c r="G190" s="54" t="b">
        <v>1</v>
      </c>
      <c r="H190" s="54" t="b">
        <v>1</v>
      </c>
      <c r="I190" s="65" t="b">
        <v>0</v>
      </c>
      <c r="J190" s="65" t="b">
        <v>0</v>
      </c>
      <c r="K190" s="63" t="s">
        <v>523</v>
      </c>
      <c r="L190" s="63" t="s">
        <v>2085</v>
      </c>
      <c r="M190" s="63" t="s">
        <v>2086</v>
      </c>
      <c r="N190" s="63" t="s">
        <v>2087</v>
      </c>
    </row>
    <row r="191" spans="1:14" x14ac:dyDescent="0.2">
      <c r="A191" s="51">
        <v>190</v>
      </c>
      <c r="B191" s="54" t="s">
        <v>523</v>
      </c>
      <c r="C191" s="47" t="s">
        <v>2088</v>
      </c>
      <c r="D191" s="47" t="s">
        <v>2089</v>
      </c>
      <c r="E191" s="47" t="s">
        <v>1790</v>
      </c>
      <c r="F191" s="55" t="b">
        <v>1</v>
      </c>
      <c r="G191" s="54" t="b">
        <v>1</v>
      </c>
      <c r="H191" s="54" t="b">
        <v>1</v>
      </c>
      <c r="I191" s="54" t="b">
        <v>1</v>
      </c>
      <c r="J191" s="65" t="b">
        <v>0</v>
      </c>
      <c r="K191" s="63" t="s">
        <v>523</v>
      </c>
      <c r="L191" s="63" t="s">
        <v>2088</v>
      </c>
      <c r="M191" s="63" t="s">
        <v>2089</v>
      </c>
      <c r="N191" s="63" t="s">
        <v>2087</v>
      </c>
    </row>
    <row r="192" spans="1:14" x14ac:dyDescent="0.2">
      <c r="A192" s="51">
        <v>191</v>
      </c>
      <c r="B192" s="54" t="s">
        <v>523</v>
      </c>
      <c r="C192" s="47" t="s">
        <v>2090</v>
      </c>
      <c r="D192" s="47" t="s">
        <v>2091</v>
      </c>
      <c r="E192" s="47" t="s">
        <v>1790</v>
      </c>
      <c r="F192" s="55" t="b">
        <v>1</v>
      </c>
      <c r="G192" s="54" t="b">
        <v>1</v>
      </c>
      <c r="H192" s="54" t="b">
        <v>1</v>
      </c>
      <c r="I192" s="54" t="b">
        <v>1</v>
      </c>
      <c r="J192" s="65" t="b">
        <v>0</v>
      </c>
      <c r="K192" s="63" t="s">
        <v>523</v>
      </c>
      <c r="L192" s="63" t="s">
        <v>2090</v>
      </c>
      <c r="M192" s="63" t="s">
        <v>2091</v>
      </c>
      <c r="N192" s="63" t="s">
        <v>2087</v>
      </c>
    </row>
    <row r="193" spans="1:14" x14ac:dyDescent="0.2">
      <c r="A193" s="51">
        <v>192</v>
      </c>
      <c r="B193" s="54" t="s">
        <v>523</v>
      </c>
      <c r="C193" s="47" t="s">
        <v>2092</v>
      </c>
      <c r="D193" s="47" t="s">
        <v>12019</v>
      </c>
      <c r="E193" s="47" t="s">
        <v>2046</v>
      </c>
      <c r="F193" s="55" t="b">
        <v>1</v>
      </c>
      <c r="G193" s="54" t="b">
        <v>1</v>
      </c>
      <c r="H193" s="54" t="b">
        <v>1</v>
      </c>
      <c r="I193" s="65" t="b">
        <v>0</v>
      </c>
      <c r="J193" s="54" t="b">
        <v>1</v>
      </c>
      <c r="K193" s="63" t="s">
        <v>523</v>
      </c>
      <c r="L193" s="63" t="s">
        <v>2092</v>
      </c>
      <c r="M193" s="63" t="s">
        <v>2093</v>
      </c>
      <c r="N193" s="63" t="s">
        <v>2046</v>
      </c>
    </row>
    <row r="194" spans="1:14" x14ac:dyDescent="0.2">
      <c r="A194" s="51">
        <v>193</v>
      </c>
      <c r="B194" s="54" t="s">
        <v>523</v>
      </c>
      <c r="C194" s="47" t="s">
        <v>2094</v>
      </c>
      <c r="D194" s="47" t="s">
        <v>12012</v>
      </c>
      <c r="E194" s="47" t="s">
        <v>1790</v>
      </c>
      <c r="F194" s="55" t="b">
        <v>1</v>
      </c>
      <c r="G194" s="54" t="b">
        <v>1</v>
      </c>
      <c r="H194" s="54" t="b">
        <v>1</v>
      </c>
      <c r="I194" s="65" t="b">
        <v>0</v>
      </c>
      <c r="J194" s="65" t="b">
        <v>0</v>
      </c>
      <c r="K194" s="63" t="s">
        <v>523</v>
      </c>
      <c r="L194" s="63" t="s">
        <v>2094</v>
      </c>
      <c r="M194" s="63" t="s">
        <v>2095</v>
      </c>
      <c r="N194" s="63" t="s">
        <v>2087</v>
      </c>
    </row>
    <row r="195" spans="1:14" x14ac:dyDescent="0.2">
      <c r="A195" s="51">
        <v>194</v>
      </c>
      <c r="B195" s="54" t="s">
        <v>523</v>
      </c>
      <c r="C195" s="47" t="s">
        <v>2096</v>
      </c>
      <c r="D195" s="47" t="s">
        <v>12013</v>
      </c>
      <c r="E195" s="47" t="s">
        <v>1790</v>
      </c>
      <c r="F195" s="55" t="b">
        <v>1</v>
      </c>
      <c r="G195" s="54" t="b">
        <v>1</v>
      </c>
      <c r="H195" s="54" t="b">
        <v>1</v>
      </c>
      <c r="I195" s="65" t="b">
        <v>0</v>
      </c>
      <c r="J195" s="65" t="b">
        <v>0</v>
      </c>
      <c r="K195" s="63" t="s">
        <v>523</v>
      </c>
      <c r="L195" s="63" t="s">
        <v>2096</v>
      </c>
      <c r="M195" s="63" t="s">
        <v>2097</v>
      </c>
      <c r="N195" s="63" t="s">
        <v>2087</v>
      </c>
    </row>
    <row r="196" spans="1:14" x14ac:dyDescent="0.2">
      <c r="A196" s="51">
        <v>195</v>
      </c>
      <c r="B196" s="54" t="s">
        <v>523</v>
      </c>
      <c r="C196" s="47" t="s">
        <v>2098</v>
      </c>
      <c r="D196" s="47" t="s">
        <v>12014</v>
      </c>
      <c r="E196" s="47" t="s">
        <v>1790</v>
      </c>
      <c r="F196" s="55" t="b">
        <v>1</v>
      </c>
      <c r="G196" s="54" t="b">
        <v>1</v>
      </c>
      <c r="H196" s="54" t="b">
        <v>1</v>
      </c>
      <c r="I196" s="65" t="b">
        <v>0</v>
      </c>
      <c r="J196" s="65" t="b">
        <v>0</v>
      </c>
      <c r="K196" s="63" t="s">
        <v>523</v>
      </c>
      <c r="L196" s="63" t="s">
        <v>2098</v>
      </c>
      <c r="M196" s="63" t="s">
        <v>2099</v>
      </c>
      <c r="N196" s="63" t="s">
        <v>2087</v>
      </c>
    </row>
    <row r="197" spans="1:14" x14ac:dyDescent="0.2">
      <c r="A197" s="51">
        <v>196</v>
      </c>
      <c r="B197" s="54" t="s">
        <v>523</v>
      </c>
      <c r="C197" s="47" t="s">
        <v>2106</v>
      </c>
      <c r="D197" s="47" t="s">
        <v>12015</v>
      </c>
      <c r="E197" s="47" t="s">
        <v>1790</v>
      </c>
      <c r="F197" s="55" t="b">
        <v>1</v>
      </c>
      <c r="G197" s="54" t="b">
        <v>1</v>
      </c>
      <c r="H197" s="54" t="b">
        <v>1</v>
      </c>
      <c r="I197" s="65" t="b">
        <v>0</v>
      </c>
      <c r="J197" s="65" t="b">
        <v>0</v>
      </c>
      <c r="K197" s="63" t="s">
        <v>523</v>
      </c>
      <c r="L197" s="63" t="s">
        <v>2106</v>
      </c>
      <c r="M197" s="63" t="s">
        <v>2107</v>
      </c>
      <c r="N197" s="63" t="s">
        <v>2087</v>
      </c>
    </row>
    <row r="198" spans="1:14" x14ac:dyDescent="0.2">
      <c r="A198" s="51">
        <v>197</v>
      </c>
      <c r="B198" s="54" t="s">
        <v>523</v>
      </c>
      <c r="C198" s="47" t="s">
        <v>2100</v>
      </c>
      <c r="D198" s="47" t="s">
        <v>12016</v>
      </c>
      <c r="E198" s="47" t="s">
        <v>1790</v>
      </c>
      <c r="F198" s="55" t="b">
        <v>1</v>
      </c>
      <c r="G198" s="54" t="b">
        <v>1</v>
      </c>
      <c r="H198" s="54" t="b">
        <v>1</v>
      </c>
      <c r="I198" s="65" t="b">
        <v>0</v>
      </c>
      <c r="J198" s="65" t="b">
        <v>0</v>
      </c>
      <c r="K198" s="63" t="s">
        <v>523</v>
      </c>
      <c r="L198" s="63" t="s">
        <v>2100</v>
      </c>
      <c r="M198" s="63" t="s">
        <v>2101</v>
      </c>
      <c r="N198" s="63" t="s">
        <v>2087</v>
      </c>
    </row>
    <row r="199" spans="1:14" x14ac:dyDescent="0.2">
      <c r="A199" s="51">
        <v>198</v>
      </c>
      <c r="B199" s="54" t="s">
        <v>523</v>
      </c>
      <c r="C199" s="47" t="s">
        <v>2102</v>
      </c>
      <c r="D199" s="47" t="s">
        <v>12017</v>
      </c>
      <c r="E199" s="47" t="s">
        <v>1790</v>
      </c>
      <c r="F199" s="55" t="b">
        <v>1</v>
      </c>
      <c r="G199" s="54" t="b">
        <v>1</v>
      </c>
      <c r="H199" s="54" t="b">
        <v>1</v>
      </c>
      <c r="I199" s="65" t="b">
        <v>0</v>
      </c>
      <c r="J199" s="65" t="b">
        <v>0</v>
      </c>
      <c r="K199" s="63" t="s">
        <v>523</v>
      </c>
      <c r="L199" s="63" t="s">
        <v>2102</v>
      </c>
      <c r="M199" s="63" t="s">
        <v>2103</v>
      </c>
      <c r="N199" s="63" t="s">
        <v>2087</v>
      </c>
    </row>
    <row r="200" spans="1:14" x14ac:dyDescent="0.2">
      <c r="A200" s="51">
        <v>199</v>
      </c>
      <c r="B200" s="54" t="s">
        <v>523</v>
      </c>
      <c r="C200" s="47" t="s">
        <v>2104</v>
      </c>
      <c r="D200" s="47" t="s">
        <v>12018</v>
      </c>
      <c r="E200" s="47" t="s">
        <v>1790</v>
      </c>
      <c r="F200" s="55" t="b">
        <v>1</v>
      </c>
      <c r="G200" s="54" t="b">
        <v>1</v>
      </c>
      <c r="H200" s="54" t="b">
        <v>1</v>
      </c>
      <c r="I200" s="65" t="b">
        <v>0</v>
      </c>
      <c r="J200" s="65" t="b">
        <v>0</v>
      </c>
      <c r="K200" s="63" t="s">
        <v>523</v>
      </c>
      <c r="L200" s="63" t="s">
        <v>2104</v>
      </c>
      <c r="M200" s="63" t="s">
        <v>2105</v>
      </c>
      <c r="N200" s="63" t="s">
        <v>2087</v>
      </c>
    </row>
    <row r="201" spans="1:14" x14ac:dyDescent="0.2">
      <c r="A201" s="51">
        <v>200</v>
      </c>
      <c r="B201" s="54" t="s">
        <v>530</v>
      </c>
      <c r="C201" s="47" t="s">
        <v>2108</v>
      </c>
      <c r="D201" s="47" t="s">
        <v>2109</v>
      </c>
      <c r="E201" s="47" t="s">
        <v>2110</v>
      </c>
      <c r="F201" s="55" t="b">
        <v>1</v>
      </c>
      <c r="G201" s="54" t="b">
        <v>1</v>
      </c>
      <c r="H201" s="54" t="b">
        <v>1</v>
      </c>
      <c r="I201" s="54" t="b">
        <v>1</v>
      </c>
      <c r="J201" s="54" t="b">
        <v>1</v>
      </c>
      <c r="K201" s="63" t="s">
        <v>530</v>
      </c>
      <c r="L201" s="63" t="s">
        <v>2108</v>
      </c>
      <c r="M201" s="63" t="s">
        <v>2109</v>
      </c>
      <c r="N201" s="63" t="s">
        <v>2110</v>
      </c>
    </row>
    <row r="202" spans="1:14" x14ac:dyDescent="0.2">
      <c r="A202" s="51">
        <v>201</v>
      </c>
      <c r="B202" s="54" t="s">
        <v>530</v>
      </c>
      <c r="C202" s="47" t="s">
        <v>2111</v>
      </c>
      <c r="D202" s="47" t="s">
        <v>2112</v>
      </c>
      <c r="E202" s="47" t="s">
        <v>2113</v>
      </c>
      <c r="F202" s="55" t="b">
        <v>1</v>
      </c>
      <c r="G202" s="54" t="b">
        <v>1</v>
      </c>
      <c r="H202" s="54" t="b">
        <v>1</v>
      </c>
      <c r="I202" s="54" t="b">
        <v>1</v>
      </c>
      <c r="J202" s="54" t="b">
        <v>1</v>
      </c>
      <c r="K202" s="63" t="s">
        <v>530</v>
      </c>
      <c r="L202" s="63" t="s">
        <v>2111</v>
      </c>
      <c r="M202" s="63" t="s">
        <v>2112</v>
      </c>
      <c r="N202" s="63" t="s">
        <v>2113</v>
      </c>
    </row>
    <row r="203" spans="1:14" x14ac:dyDescent="0.2">
      <c r="A203" s="51">
        <v>202</v>
      </c>
      <c r="B203" s="54" t="s">
        <v>530</v>
      </c>
      <c r="C203" s="47" t="s">
        <v>2114</v>
      </c>
      <c r="D203" s="47" t="s">
        <v>2115</v>
      </c>
      <c r="E203" s="47" t="s">
        <v>2110</v>
      </c>
      <c r="F203" s="55" t="b">
        <v>1</v>
      </c>
      <c r="G203" s="54" t="b">
        <v>1</v>
      </c>
      <c r="H203" s="54" t="b">
        <v>1</v>
      </c>
      <c r="I203" s="54" t="b">
        <v>1</v>
      </c>
      <c r="J203" s="54" t="b">
        <v>1</v>
      </c>
      <c r="K203" s="63" t="s">
        <v>530</v>
      </c>
      <c r="L203" s="63" t="s">
        <v>2114</v>
      </c>
      <c r="M203" s="63" t="s">
        <v>2115</v>
      </c>
      <c r="N203" s="63" t="s">
        <v>2110</v>
      </c>
    </row>
    <row r="204" spans="1:14" x14ac:dyDescent="0.2">
      <c r="A204" s="51">
        <v>203</v>
      </c>
      <c r="B204" s="54" t="s">
        <v>530</v>
      </c>
      <c r="C204" s="47" t="s">
        <v>2116</v>
      </c>
      <c r="D204" s="47" t="s">
        <v>2117</v>
      </c>
      <c r="E204" s="47" t="s">
        <v>2113</v>
      </c>
      <c r="F204" s="55" t="b">
        <v>1</v>
      </c>
      <c r="G204" s="54" t="b">
        <v>1</v>
      </c>
      <c r="H204" s="54" t="b">
        <v>1</v>
      </c>
      <c r="I204" s="54" t="b">
        <v>1</v>
      </c>
      <c r="J204" s="54" t="b">
        <v>1</v>
      </c>
      <c r="K204" s="63" t="s">
        <v>530</v>
      </c>
      <c r="L204" s="63" t="s">
        <v>2116</v>
      </c>
      <c r="M204" s="63" t="s">
        <v>2117</v>
      </c>
      <c r="N204" s="63" t="s">
        <v>2113</v>
      </c>
    </row>
    <row r="205" spans="1:14" x14ac:dyDescent="0.2">
      <c r="A205" s="51">
        <v>204</v>
      </c>
      <c r="B205" s="54" t="s">
        <v>530</v>
      </c>
      <c r="C205" s="47" t="s">
        <v>2118</v>
      </c>
      <c r="D205" s="47" t="s">
        <v>2119</v>
      </c>
      <c r="E205" s="47" t="s">
        <v>2113</v>
      </c>
      <c r="F205" s="55" t="b">
        <v>1</v>
      </c>
      <c r="G205" s="54" t="b">
        <v>1</v>
      </c>
      <c r="H205" s="54" t="b">
        <v>1</v>
      </c>
      <c r="I205" s="54" t="b">
        <v>1</v>
      </c>
      <c r="J205" s="54" t="b">
        <v>1</v>
      </c>
      <c r="K205" s="63" t="s">
        <v>530</v>
      </c>
      <c r="L205" s="63" t="s">
        <v>2118</v>
      </c>
      <c r="M205" s="63" t="s">
        <v>2119</v>
      </c>
      <c r="N205" s="63" t="s">
        <v>2113</v>
      </c>
    </row>
    <row r="206" spans="1:14" x14ac:dyDescent="0.2">
      <c r="A206" s="51">
        <v>205</v>
      </c>
      <c r="B206" s="54" t="s">
        <v>530</v>
      </c>
      <c r="C206" s="47" t="s">
        <v>2120</v>
      </c>
      <c r="D206" s="47" t="s">
        <v>2121</v>
      </c>
      <c r="E206" s="47" t="s">
        <v>2113</v>
      </c>
      <c r="F206" s="55" t="b">
        <v>1</v>
      </c>
      <c r="G206" s="54" t="b">
        <v>1</v>
      </c>
      <c r="H206" s="54" t="b">
        <v>1</v>
      </c>
      <c r="I206" s="54" t="b">
        <v>1</v>
      </c>
      <c r="J206" s="54" t="b">
        <v>1</v>
      </c>
      <c r="K206" s="63" t="s">
        <v>530</v>
      </c>
      <c r="L206" s="63" t="s">
        <v>2120</v>
      </c>
      <c r="M206" s="63" t="s">
        <v>2121</v>
      </c>
      <c r="N206" s="63" t="s">
        <v>2113</v>
      </c>
    </row>
    <row r="207" spans="1:14" x14ac:dyDescent="0.2">
      <c r="A207" s="51">
        <v>206</v>
      </c>
      <c r="B207" s="54" t="s">
        <v>530</v>
      </c>
      <c r="C207" s="47" t="s">
        <v>2122</v>
      </c>
      <c r="D207" s="47" t="s">
        <v>2123</v>
      </c>
      <c r="E207" s="47" t="s">
        <v>2113</v>
      </c>
      <c r="F207" s="55" t="b">
        <v>1</v>
      </c>
      <c r="G207" s="54" t="b">
        <v>1</v>
      </c>
      <c r="H207" s="54" t="b">
        <v>1</v>
      </c>
      <c r="I207" s="54" t="b">
        <v>1</v>
      </c>
      <c r="J207" s="54" t="b">
        <v>1</v>
      </c>
      <c r="K207" s="63" t="s">
        <v>530</v>
      </c>
      <c r="L207" s="63" t="s">
        <v>2122</v>
      </c>
      <c r="M207" s="63" t="s">
        <v>2123</v>
      </c>
      <c r="N207" s="63" t="s">
        <v>2113</v>
      </c>
    </row>
    <row r="208" spans="1:14" x14ac:dyDescent="0.2">
      <c r="A208" s="51">
        <v>207</v>
      </c>
      <c r="B208" s="54" t="s">
        <v>530</v>
      </c>
      <c r="C208" s="47" t="s">
        <v>2124</v>
      </c>
      <c r="D208" s="47" t="s">
        <v>2125</v>
      </c>
      <c r="E208" s="47" t="s">
        <v>2113</v>
      </c>
      <c r="F208" s="55" t="b">
        <v>1</v>
      </c>
      <c r="G208" s="54" t="b">
        <v>1</v>
      </c>
      <c r="H208" s="54" t="b">
        <v>1</v>
      </c>
      <c r="I208" s="54" t="b">
        <v>1</v>
      </c>
      <c r="J208" s="54" t="b">
        <v>1</v>
      </c>
      <c r="K208" s="63" t="s">
        <v>530</v>
      </c>
      <c r="L208" s="63" t="s">
        <v>2124</v>
      </c>
      <c r="M208" s="63" t="s">
        <v>2125</v>
      </c>
      <c r="N208" s="63" t="s">
        <v>2113</v>
      </c>
    </row>
    <row r="209" spans="1:14" x14ac:dyDescent="0.2">
      <c r="A209" s="51">
        <v>208</v>
      </c>
      <c r="B209" s="54" t="s">
        <v>532</v>
      </c>
      <c r="C209" s="47" t="s">
        <v>2126</v>
      </c>
      <c r="D209" s="47" t="s">
        <v>2127</v>
      </c>
      <c r="E209" s="47" t="s">
        <v>2113</v>
      </c>
      <c r="F209" s="55" t="b">
        <v>1</v>
      </c>
      <c r="G209" s="54" t="b">
        <v>1</v>
      </c>
      <c r="H209" s="54" t="b">
        <v>1</v>
      </c>
      <c r="I209" s="54" t="b">
        <v>1</v>
      </c>
      <c r="J209" s="65" t="b">
        <v>0</v>
      </c>
      <c r="K209" s="63" t="s">
        <v>532</v>
      </c>
      <c r="L209" s="63" t="s">
        <v>2126</v>
      </c>
      <c r="M209" s="63" t="s">
        <v>2127</v>
      </c>
      <c r="N209" s="63" t="s">
        <v>2128</v>
      </c>
    </row>
    <row r="210" spans="1:14" x14ac:dyDescent="0.2">
      <c r="A210" s="51">
        <v>209</v>
      </c>
      <c r="B210" s="54" t="s">
        <v>532</v>
      </c>
      <c r="C210" s="47" t="s">
        <v>2129</v>
      </c>
      <c r="D210" s="47" t="s">
        <v>2130</v>
      </c>
      <c r="E210" s="47" t="s">
        <v>2113</v>
      </c>
      <c r="F210" s="55" t="b">
        <v>1</v>
      </c>
      <c r="G210" s="54" t="b">
        <v>1</v>
      </c>
      <c r="H210" s="54" t="b">
        <v>1</v>
      </c>
      <c r="I210" s="54" t="b">
        <v>1</v>
      </c>
      <c r="J210" s="65" t="b">
        <v>0</v>
      </c>
      <c r="K210" s="63" t="s">
        <v>532</v>
      </c>
      <c r="L210" s="63" t="s">
        <v>2129</v>
      </c>
      <c r="M210" s="63" t="s">
        <v>2130</v>
      </c>
      <c r="N210" s="63" t="s">
        <v>2128</v>
      </c>
    </row>
    <row r="211" spans="1:14" x14ac:dyDescent="0.2">
      <c r="A211" s="51">
        <v>210</v>
      </c>
      <c r="B211" s="54" t="s">
        <v>532</v>
      </c>
      <c r="C211" s="47" t="s">
        <v>2131</v>
      </c>
      <c r="D211" s="47" t="s">
        <v>2132</v>
      </c>
      <c r="E211" s="47" t="s">
        <v>2113</v>
      </c>
      <c r="F211" s="55" t="b">
        <v>1</v>
      </c>
      <c r="G211" s="54" t="b">
        <v>1</v>
      </c>
      <c r="H211" s="54" t="b">
        <v>1</v>
      </c>
      <c r="I211" s="54" t="b">
        <v>1</v>
      </c>
      <c r="J211" s="65" t="b">
        <v>0</v>
      </c>
      <c r="K211" s="63" t="s">
        <v>532</v>
      </c>
      <c r="L211" s="63" t="s">
        <v>2131</v>
      </c>
      <c r="M211" s="63" t="s">
        <v>2132</v>
      </c>
      <c r="N211" s="63" t="s">
        <v>2128</v>
      </c>
    </row>
    <row r="212" spans="1:14" x14ac:dyDescent="0.2">
      <c r="A212" s="51">
        <v>211</v>
      </c>
      <c r="B212" s="54" t="s">
        <v>532</v>
      </c>
      <c r="C212" s="47" t="s">
        <v>2133</v>
      </c>
      <c r="D212" s="47" t="s">
        <v>2134</v>
      </c>
      <c r="E212" s="47" t="s">
        <v>2113</v>
      </c>
      <c r="F212" s="55" t="b">
        <v>1</v>
      </c>
      <c r="G212" s="54" t="b">
        <v>1</v>
      </c>
      <c r="H212" s="54" t="b">
        <v>1</v>
      </c>
      <c r="I212" s="54" t="b">
        <v>1</v>
      </c>
      <c r="J212" s="65" t="b">
        <v>0</v>
      </c>
      <c r="K212" s="63" t="s">
        <v>532</v>
      </c>
      <c r="L212" s="63" t="s">
        <v>2133</v>
      </c>
      <c r="M212" s="63" t="s">
        <v>2134</v>
      </c>
      <c r="N212" s="63" t="s">
        <v>2128</v>
      </c>
    </row>
    <row r="213" spans="1:14" x14ac:dyDescent="0.2">
      <c r="A213" s="51">
        <v>212</v>
      </c>
      <c r="B213" s="54" t="s">
        <v>532</v>
      </c>
      <c r="C213" s="47" t="s">
        <v>2135</v>
      </c>
      <c r="D213" s="47" t="s">
        <v>2136</v>
      </c>
      <c r="E213" s="47" t="s">
        <v>2113</v>
      </c>
      <c r="F213" s="55" t="b">
        <v>1</v>
      </c>
      <c r="G213" s="54" t="b">
        <v>1</v>
      </c>
      <c r="H213" s="54" t="b">
        <v>1</v>
      </c>
      <c r="I213" s="54" t="b">
        <v>1</v>
      </c>
      <c r="J213" s="65" t="b">
        <v>0</v>
      </c>
      <c r="K213" s="63" t="s">
        <v>532</v>
      </c>
      <c r="L213" s="63" t="s">
        <v>2135</v>
      </c>
      <c r="M213" s="63" t="s">
        <v>2136</v>
      </c>
      <c r="N213" s="63" t="s">
        <v>2128</v>
      </c>
    </row>
    <row r="214" spans="1:14" x14ac:dyDescent="0.2">
      <c r="A214" s="51">
        <v>213</v>
      </c>
      <c r="B214" s="54" t="s">
        <v>532</v>
      </c>
      <c r="C214" s="47" t="s">
        <v>2137</v>
      </c>
      <c r="D214" s="47" t="s">
        <v>2138</v>
      </c>
      <c r="E214" s="47" t="s">
        <v>2113</v>
      </c>
      <c r="F214" s="55" t="b">
        <v>1</v>
      </c>
      <c r="G214" s="54" t="b">
        <v>1</v>
      </c>
      <c r="H214" s="54" t="b">
        <v>1</v>
      </c>
      <c r="I214" s="54" t="b">
        <v>1</v>
      </c>
      <c r="J214" s="65" t="b">
        <v>0</v>
      </c>
      <c r="K214" s="63" t="s">
        <v>532</v>
      </c>
      <c r="L214" s="63" t="s">
        <v>2137</v>
      </c>
      <c r="M214" s="63" t="s">
        <v>2138</v>
      </c>
      <c r="N214" s="63" t="s">
        <v>2128</v>
      </c>
    </row>
    <row r="215" spans="1:14" x14ac:dyDescent="0.2">
      <c r="A215" s="51">
        <v>214</v>
      </c>
      <c r="B215" s="54" t="s">
        <v>532</v>
      </c>
      <c r="C215" s="47" t="s">
        <v>2139</v>
      </c>
      <c r="D215" s="47" t="s">
        <v>2140</v>
      </c>
      <c r="E215" s="47" t="s">
        <v>2113</v>
      </c>
      <c r="F215" s="55" t="b">
        <v>1</v>
      </c>
      <c r="G215" s="54" t="b">
        <v>1</v>
      </c>
      <c r="H215" s="54" t="b">
        <v>1</v>
      </c>
      <c r="I215" s="54" t="b">
        <v>1</v>
      </c>
      <c r="J215" s="65" t="b">
        <v>0</v>
      </c>
      <c r="K215" s="63" t="s">
        <v>532</v>
      </c>
      <c r="L215" s="63" t="s">
        <v>2139</v>
      </c>
      <c r="M215" s="63" t="s">
        <v>2140</v>
      </c>
      <c r="N215" s="63" t="s">
        <v>2128</v>
      </c>
    </row>
    <row r="216" spans="1:14" x14ac:dyDescent="0.2">
      <c r="A216" s="51">
        <v>215</v>
      </c>
      <c r="B216" s="54" t="s">
        <v>532</v>
      </c>
      <c r="C216" s="47" t="s">
        <v>2141</v>
      </c>
      <c r="D216" s="47" t="s">
        <v>2142</v>
      </c>
      <c r="E216" s="47" t="s">
        <v>2113</v>
      </c>
      <c r="F216" s="55" t="b">
        <v>1</v>
      </c>
      <c r="G216" s="54" t="b">
        <v>1</v>
      </c>
      <c r="H216" s="54" t="b">
        <v>1</v>
      </c>
      <c r="I216" s="54" t="b">
        <v>1</v>
      </c>
      <c r="J216" s="65" t="b">
        <v>0</v>
      </c>
      <c r="K216" s="63" t="s">
        <v>532</v>
      </c>
      <c r="L216" s="63" t="s">
        <v>2141</v>
      </c>
      <c r="M216" s="63" t="s">
        <v>2142</v>
      </c>
      <c r="N216" s="63" t="s">
        <v>2128</v>
      </c>
    </row>
    <row r="217" spans="1:14" x14ac:dyDescent="0.2">
      <c r="A217" s="51">
        <v>216</v>
      </c>
      <c r="B217" s="54" t="s">
        <v>532</v>
      </c>
      <c r="C217" s="47" t="s">
        <v>2143</v>
      </c>
      <c r="D217" s="47" t="s">
        <v>2144</v>
      </c>
      <c r="E217" s="47" t="s">
        <v>2113</v>
      </c>
      <c r="F217" s="55" t="b">
        <v>1</v>
      </c>
      <c r="G217" s="54" t="b">
        <v>1</v>
      </c>
      <c r="H217" s="54" t="b">
        <v>1</v>
      </c>
      <c r="I217" s="54" t="b">
        <v>1</v>
      </c>
      <c r="J217" s="65" t="b">
        <v>0</v>
      </c>
      <c r="K217" s="63" t="s">
        <v>532</v>
      </c>
      <c r="L217" s="63" t="s">
        <v>2143</v>
      </c>
      <c r="M217" s="63" t="s">
        <v>2144</v>
      </c>
      <c r="N217" s="63" t="s">
        <v>2128</v>
      </c>
    </row>
    <row r="218" spans="1:14" x14ac:dyDescent="0.2">
      <c r="A218" s="51">
        <v>217</v>
      </c>
      <c r="B218" s="54" t="s">
        <v>534</v>
      </c>
      <c r="C218" s="47" t="s">
        <v>2145</v>
      </c>
      <c r="D218" s="47" t="s">
        <v>2146</v>
      </c>
      <c r="E218" s="47" t="s">
        <v>1790</v>
      </c>
      <c r="F218" s="55" t="b">
        <v>1</v>
      </c>
      <c r="G218" s="54" t="b">
        <v>1</v>
      </c>
      <c r="H218" s="54" t="b">
        <v>1</v>
      </c>
      <c r="I218" s="54" t="b">
        <v>1</v>
      </c>
      <c r="J218" s="65" t="b">
        <v>0</v>
      </c>
      <c r="K218" s="63" t="s">
        <v>534</v>
      </c>
      <c r="L218" s="63" t="s">
        <v>2145</v>
      </c>
      <c r="M218" s="63" t="s">
        <v>2146</v>
      </c>
      <c r="N218" s="63" t="s">
        <v>2147</v>
      </c>
    </row>
    <row r="219" spans="1:14" x14ac:dyDescent="0.2">
      <c r="A219" s="51">
        <v>218</v>
      </c>
      <c r="B219" s="54" t="s">
        <v>534</v>
      </c>
      <c r="C219" s="47" t="s">
        <v>2156</v>
      </c>
      <c r="D219" s="47" t="s">
        <v>2157</v>
      </c>
      <c r="E219" s="47" t="s">
        <v>1790</v>
      </c>
      <c r="F219" s="55" t="b">
        <v>1</v>
      </c>
      <c r="G219" s="54" t="b">
        <v>1</v>
      </c>
      <c r="H219" s="54" t="b">
        <v>1</v>
      </c>
      <c r="I219" s="54" t="b">
        <v>1</v>
      </c>
      <c r="J219" s="65" t="b">
        <v>0</v>
      </c>
      <c r="K219" s="63" t="s">
        <v>534</v>
      </c>
      <c r="L219" s="63" t="s">
        <v>2156</v>
      </c>
      <c r="M219" s="63" t="s">
        <v>2157</v>
      </c>
      <c r="N219" s="63" t="s">
        <v>2147</v>
      </c>
    </row>
    <row r="220" spans="1:14" x14ac:dyDescent="0.2">
      <c r="A220" s="51">
        <v>219</v>
      </c>
      <c r="B220" s="54" t="s">
        <v>534</v>
      </c>
      <c r="C220" s="47" t="s">
        <v>2150</v>
      </c>
      <c r="D220" s="47" t="s">
        <v>12020</v>
      </c>
      <c r="E220" s="47" t="s">
        <v>1790</v>
      </c>
      <c r="F220" s="55" t="b">
        <v>1</v>
      </c>
      <c r="G220" s="54" t="b">
        <v>1</v>
      </c>
      <c r="H220" s="54" t="b">
        <v>1</v>
      </c>
      <c r="I220" s="65" t="b">
        <v>0</v>
      </c>
      <c r="J220" s="65" t="b">
        <v>0</v>
      </c>
      <c r="K220" s="63" t="s">
        <v>534</v>
      </c>
      <c r="L220" s="63" t="s">
        <v>2150</v>
      </c>
      <c r="M220" s="63" t="s">
        <v>2151</v>
      </c>
      <c r="N220" s="63" t="s">
        <v>2147</v>
      </c>
    </row>
    <row r="221" spans="1:14" x14ac:dyDescent="0.2">
      <c r="A221" s="51">
        <v>220</v>
      </c>
      <c r="B221" s="54" t="s">
        <v>534</v>
      </c>
      <c r="C221" s="47" t="s">
        <v>2152</v>
      </c>
      <c r="D221" s="47" t="s">
        <v>2153</v>
      </c>
      <c r="E221" s="47" t="s">
        <v>1790</v>
      </c>
      <c r="F221" s="55" t="b">
        <v>1</v>
      </c>
      <c r="G221" s="54" t="b">
        <v>1</v>
      </c>
      <c r="H221" s="54" t="b">
        <v>1</v>
      </c>
      <c r="I221" s="54" t="b">
        <v>1</v>
      </c>
      <c r="J221" s="65" t="b">
        <v>0</v>
      </c>
      <c r="K221" s="63" t="s">
        <v>534</v>
      </c>
      <c r="L221" s="63" t="s">
        <v>2152</v>
      </c>
      <c r="M221" s="63" t="s">
        <v>2153</v>
      </c>
      <c r="N221" s="63" t="s">
        <v>2147</v>
      </c>
    </row>
    <row r="222" spans="1:14" x14ac:dyDescent="0.2">
      <c r="A222" s="51">
        <v>221</v>
      </c>
      <c r="B222" s="54" t="s">
        <v>534</v>
      </c>
      <c r="C222" s="47" t="s">
        <v>2154</v>
      </c>
      <c r="D222" s="47" t="s">
        <v>2155</v>
      </c>
      <c r="E222" s="47" t="s">
        <v>1790</v>
      </c>
      <c r="F222" s="55" t="b">
        <v>1</v>
      </c>
      <c r="G222" s="54" t="b">
        <v>1</v>
      </c>
      <c r="H222" s="54" t="b">
        <v>1</v>
      </c>
      <c r="I222" s="54" t="b">
        <v>1</v>
      </c>
      <c r="J222" s="65" t="b">
        <v>0</v>
      </c>
      <c r="K222" s="63" t="s">
        <v>534</v>
      </c>
      <c r="L222" s="63" t="s">
        <v>2154</v>
      </c>
      <c r="M222" s="63" t="s">
        <v>2155</v>
      </c>
      <c r="N222" s="63" t="s">
        <v>2147</v>
      </c>
    </row>
    <row r="223" spans="1:14" x14ac:dyDescent="0.2">
      <c r="A223" s="51">
        <v>222</v>
      </c>
      <c r="B223" s="54" t="s">
        <v>534</v>
      </c>
      <c r="C223" s="47" t="s">
        <v>2158</v>
      </c>
      <c r="D223" s="47" t="s">
        <v>2159</v>
      </c>
      <c r="E223" s="47" t="s">
        <v>1790</v>
      </c>
      <c r="F223" s="55" t="b">
        <v>1</v>
      </c>
      <c r="G223" s="54" t="b">
        <v>1</v>
      </c>
      <c r="H223" s="54" t="b">
        <v>1</v>
      </c>
      <c r="I223" s="54" t="b">
        <v>1</v>
      </c>
      <c r="J223" s="65" t="b">
        <v>0</v>
      </c>
      <c r="K223" s="63" t="s">
        <v>534</v>
      </c>
      <c r="L223" s="63" t="s">
        <v>2158</v>
      </c>
      <c r="M223" s="63" t="s">
        <v>2159</v>
      </c>
      <c r="N223" s="63" t="s">
        <v>2147</v>
      </c>
    </row>
    <row r="224" spans="1:14" x14ac:dyDescent="0.2">
      <c r="A224" s="51">
        <v>223</v>
      </c>
      <c r="B224" s="54" t="s">
        <v>534</v>
      </c>
      <c r="C224" s="47" t="s">
        <v>2148</v>
      </c>
      <c r="D224" s="47" t="s">
        <v>2149</v>
      </c>
      <c r="E224" s="47" t="s">
        <v>1790</v>
      </c>
      <c r="F224" s="55" t="b">
        <v>1</v>
      </c>
      <c r="G224" s="54" t="b">
        <v>1</v>
      </c>
      <c r="H224" s="54" t="b">
        <v>1</v>
      </c>
      <c r="I224" s="54" t="b">
        <v>1</v>
      </c>
      <c r="J224" s="65" t="b">
        <v>0</v>
      </c>
      <c r="K224" s="63" t="s">
        <v>534</v>
      </c>
      <c r="L224" s="63" t="s">
        <v>2148</v>
      </c>
      <c r="M224" s="63" t="s">
        <v>2149</v>
      </c>
      <c r="N224" s="63" t="s">
        <v>2147</v>
      </c>
    </row>
    <row r="225" spans="1:14" x14ac:dyDescent="0.2">
      <c r="A225" s="51">
        <v>224</v>
      </c>
      <c r="B225" s="54" t="s">
        <v>534</v>
      </c>
      <c r="C225" s="47" t="s">
        <v>2162</v>
      </c>
      <c r="D225" s="47" t="s">
        <v>2163</v>
      </c>
      <c r="E225" s="47" t="s">
        <v>2046</v>
      </c>
      <c r="F225" s="55" t="b">
        <v>1</v>
      </c>
      <c r="G225" s="54" t="b">
        <v>1</v>
      </c>
      <c r="H225" s="54" t="b">
        <v>1</v>
      </c>
      <c r="I225" s="54" t="b">
        <v>1</v>
      </c>
      <c r="J225" s="65" t="b">
        <v>0</v>
      </c>
      <c r="K225" s="63" t="s">
        <v>534</v>
      </c>
      <c r="L225" s="63" t="s">
        <v>2162</v>
      </c>
      <c r="M225" s="63" t="s">
        <v>2163</v>
      </c>
      <c r="N225" s="63" t="s">
        <v>2164</v>
      </c>
    </row>
    <row r="226" spans="1:14" x14ac:dyDescent="0.2">
      <c r="A226" s="51">
        <v>225</v>
      </c>
      <c r="B226" s="54" t="s">
        <v>534</v>
      </c>
      <c r="C226" s="47" t="s">
        <v>2160</v>
      </c>
      <c r="D226" s="47" t="s">
        <v>2161</v>
      </c>
      <c r="E226" s="47" t="s">
        <v>1790</v>
      </c>
      <c r="F226" s="55" t="b">
        <v>1</v>
      </c>
      <c r="G226" s="54" t="b">
        <v>1</v>
      </c>
      <c r="H226" s="54" t="b">
        <v>1</v>
      </c>
      <c r="I226" s="54" t="b">
        <v>1</v>
      </c>
      <c r="J226" s="65" t="b">
        <v>0</v>
      </c>
      <c r="K226" s="63" t="s">
        <v>534</v>
      </c>
      <c r="L226" s="63" t="s">
        <v>2160</v>
      </c>
      <c r="M226" s="63" t="s">
        <v>2161</v>
      </c>
      <c r="N226" s="63" t="s">
        <v>2147</v>
      </c>
    </row>
    <row r="227" spans="1:14" x14ac:dyDescent="0.2">
      <c r="A227" s="51">
        <v>226</v>
      </c>
      <c r="B227" s="54" t="s">
        <v>534</v>
      </c>
      <c r="C227" s="47" t="s">
        <v>2165</v>
      </c>
      <c r="D227" s="47" t="s">
        <v>2166</v>
      </c>
      <c r="E227" s="47" t="s">
        <v>1790</v>
      </c>
      <c r="F227" s="55" t="b">
        <v>1</v>
      </c>
      <c r="G227" s="54" t="b">
        <v>1</v>
      </c>
      <c r="H227" s="54" t="b">
        <v>1</v>
      </c>
      <c r="I227" s="54" t="b">
        <v>1</v>
      </c>
      <c r="J227" s="65" t="b">
        <v>0</v>
      </c>
      <c r="K227" s="63" t="s">
        <v>534</v>
      </c>
      <c r="L227" s="63" t="s">
        <v>2165</v>
      </c>
      <c r="M227" s="63" t="s">
        <v>2166</v>
      </c>
      <c r="N227" s="63" t="s">
        <v>2147</v>
      </c>
    </row>
    <row r="228" spans="1:14" x14ac:dyDescent="0.2">
      <c r="A228" s="51">
        <v>227</v>
      </c>
      <c r="B228" s="54" t="s">
        <v>534</v>
      </c>
      <c r="C228" s="47" t="s">
        <v>2171</v>
      </c>
      <c r="D228" s="47" t="s">
        <v>2172</v>
      </c>
      <c r="E228" s="47" t="s">
        <v>1790</v>
      </c>
      <c r="F228" s="55" t="b">
        <v>1</v>
      </c>
      <c r="G228" s="54" t="b">
        <v>1</v>
      </c>
      <c r="H228" s="54" t="b">
        <v>1</v>
      </c>
      <c r="I228" s="54" t="b">
        <v>1</v>
      </c>
      <c r="J228" s="65" t="b">
        <v>0</v>
      </c>
      <c r="K228" s="63" t="s">
        <v>534</v>
      </c>
      <c r="L228" s="63" t="s">
        <v>2171</v>
      </c>
      <c r="M228" s="63" t="s">
        <v>2172</v>
      </c>
      <c r="N228" s="63" t="s">
        <v>2147</v>
      </c>
    </row>
    <row r="229" spans="1:14" x14ac:dyDescent="0.2">
      <c r="A229" s="51">
        <v>228</v>
      </c>
      <c r="B229" s="54" t="s">
        <v>534</v>
      </c>
      <c r="C229" s="47" t="s">
        <v>2167</v>
      </c>
      <c r="D229" s="47" t="s">
        <v>2168</v>
      </c>
      <c r="E229" s="47" t="s">
        <v>1790</v>
      </c>
      <c r="F229" s="55" t="b">
        <v>1</v>
      </c>
      <c r="G229" s="54" t="b">
        <v>1</v>
      </c>
      <c r="H229" s="54" t="b">
        <v>1</v>
      </c>
      <c r="I229" s="54" t="b">
        <v>1</v>
      </c>
      <c r="J229" s="65" t="b">
        <v>0</v>
      </c>
      <c r="K229" s="63" t="s">
        <v>534</v>
      </c>
      <c r="L229" s="63" t="s">
        <v>2167</v>
      </c>
      <c r="M229" s="63" t="s">
        <v>2168</v>
      </c>
      <c r="N229" s="63" t="s">
        <v>2147</v>
      </c>
    </row>
    <row r="230" spans="1:14" x14ac:dyDescent="0.2">
      <c r="A230" s="51">
        <v>229</v>
      </c>
      <c r="B230" s="54" t="s">
        <v>534</v>
      </c>
      <c r="C230" s="47" t="s">
        <v>2169</v>
      </c>
      <c r="D230" s="47" t="s">
        <v>2170</v>
      </c>
      <c r="E230" s="47" t="s">
        <v>1790</v>
      </c>
      <c r="F230" s="55" t="b">
        <v>1</v>
      </c>
      <c r="G230" s="54" t="b">
        <v>1</v>
      </c>
      <c r="H230" s="54" t="b">
        <v>1</v>
      </c>
      <c r="I230" s="54" t="b">
        <v>1</v>
      </c>
      <c r="J230" s="65" t="b">
        <v>0</v>
      </c>
      <c r="K230" s="63" t="s">
        <v>534</v>
      </c>
      <c r="L230" s="63" t="s">
        <v>2169</v>
      </c>
      <c r="M230" s="63" t="s">
        <v>2170</v>
      </c>
      <c r="N230" s="63" t="s">
        <v>2147</v>
      </c>
    </row>
    <row r="231" spans="1:14" x14ac:dyDescent="0.2">
      <c r="A231" s="51">
        <v>230</v>
      </c>
      <c r="B231" s="54" t="s">
        <v>534</v>
      </c>
      <c r="C231" s="47" t="s">
        <v>2175</v>
      </c>
      <c r="D231" s="47" t="s">
        <v>2176</v>
      </c>
      <c r="E231" s="47" t="s">
        <v>1790</v>
      </c>
      <c r="F231" s="55" t="b">
        <v>1</v>
      </c>
      <c r="G231" s="54" t="b">
        <v>1</v>
      </c>
      <c r="H231" s="54" t="b">
        <v>1</v>
      </c>
      <c r="I231" s="54" t="b">
        <v>1</v>
      </c>
      <c r="J231" s="65" t="b">
        <v>0</v>
      </c>
      <c r="K231" s="63" t="s">
        <v>534</v>
      </c>
      <c r="L231" s="63" t="s">
        <v>2175</v>
      </c>
      <c r="M231" s="63" t="s">
        <v>2176</v>
      </c>
      <c r="N231" s="63" t="s">
        <v>2147</v>
      </c>
    </row>
    <row r="232" spans="1:14" x14ac:dyDescent="0.2">
      <c r="A232" s="51">
        <v>231</v>
      </c>
      <c r="B232" s="54" t="s">
        <v>534</v>
      </c>
      <c r="C232" s="47" t="s">
        <v>2177</v>
      </c>
      <c r="D232" s="47" t="s">
        <v>2178</v>
      </c>
      <c r="E232" s="47" t="s">
        <v>1790</v>
      </c>
      <c r="F232" s="55" t="b">
        <v>1</v>
      </c>
      <c r="G232" s="54" t="b">
        <v>1</v>
      </c>
      <c r="H232" s="54" t="b">
        <v>1</v>
      </c>
      <c r="I232" s="54" t="b">
        <v>1</v>
      </c>
      <c r="J232" s="65" t="b">
        <v>0</v>
      </c>
      <c r="K232" s="63" t="s">
        <v>534</v>
      </c>
      <c r="L232" s="63" t="s">
        <v>2177</v>
      </c>
      <c r="M232" s="63" t="s">
        <v>2178</v>
      </c>
      <c r="N232" s="63" t="s">
        <v>2147</v>
      </c>
    </row>
    <row r="233" spans="1:14" x14ac:dyDescent="0.2">
      <c r="A233" s="51">
        <v>232</v>
      </c>
      <c r="B233" s="54" t="s">
        <v>534</v>
      </c>
      <c r="C233" s="47" t="s">
        <v>2173</v>
      </c>
      <c r="D233" s="47" t="s">
        <v>2174</v>
      </c>
      <c r="E233" s="47" t="s">
        <v>1790</v>
      </c>
      <c r="F233" s="55" t="b">
        <v>1</v>
      </c>
      <c r="G233" s="54" t="b">
        <v>1</v>
      </c>
      <c r="H233" s="54" t="b">
        <v>1</v>
      </c>
      <c r="I233" s="54" t="b">
        <v>1</v>
      </c>
      <c r="J233" s="65" t="b">
        <v>0</v>
      </c>
      <c r="K233" s="63" t="s">
        <v>534</v>
      </c>
      <c r="L233" s="63" t="s">
        <v>2173</v>
      </c>
      <c r="M233" s="63" t="s">
        <v>2174</v>
      </c>
      <c r="N233" s="63" t="s">
        <v>2147</v>
      </c>
    </row>
    <row r="234" spans="1:14" x14ac:dyDescent="0.2">
      <c r="A234" s="51">
        <v>233</v>
      </c>
      <c r="B234" s="54" t="s">
        <v>534</v>
      </c>
      <c r="C234" s="47" t="s">
        <v>2179</v>
      </c>
      <c r="D234" s="47" t="s">
        <v>2180</v>
      </c>
      <c r="E234" s="47" t="s">
        <v>1790</v>
      </c>
      <c r="F234" s="55" t="b">
        <v>1</v>
      </c>
      <c r="G234" s="54" t="b">
        <v>1</v>
      </c>
      <c r="H234" s="54" t="b">
        <v>1</v>
      </c>
      <c r="I234" s="54" t="b">
        <v>1</v>
      </c>
      <c r="J234" s="65" t="b">
        <v>0</v>
      </c>
      <c r="K234" s="63" t="s">
        <v>534</v>
      </c>
      <c r="L234" s="63" t="s">
        <v>2179</v>
      </c>
      <c r="M234" s="63" t="s">
        <v>2180</v>
      </c>
      <c r="N234" s="63" t="s">
        <v>2147</v>
      </c>
    </row>
    <row r="235" spans="1:14" x14ac:dyDescent="0.2">
      <c r="A235" s="51">
        <v>234</v>
      </c>
      <c r="B235" s="54" t="s">
        <v>534</v>
      </c>
      <c r="C235" s="47" t="s">
        <v>2181</v>
      </c>
      <c r="D235" s="47" t="s">
        <v>2182</v>
      </c>
      <c r="E235" s="47" t="s">
        <v>1790</v>
      </c>
      <c r="F235" s="55" t="b">
        <v>1</v>
      </c>
      <c r="G235" s="54" t="b">
        <v>1</v>
      </c>
      <c r="H235" s="54" t="b">
        <v>1</v>
      </c>
      <c r="I235" s="54" t="b">
        <v>1</v>
      </c>
      <c r="J235" s="65" t="b">
        <v>0</v>
      </c>
      <c r="K235" s="63" t="s">
        <v>534</v>
      </c>
      <c r="L235" s="63" t="s">
        <v>2181</v>
      </c>
      <c r="M235" s="63" t="s">
        <v>2182</v>
      </c>
      <c r="N235" s="63" t="s">
        <v>2147</v>
      </c>
    </row>
    <row r="236" spans="1:14" x14ac:dyDescent="0.2">
      <c r="A236" s="51">
        <v>235</v>
      </c>
      <c r="B236" s="54" t="s">
        <v>534</v>
      </c>
      <c r="C236" s="47" t="s">
        <v>2191</v>
      </c>
      <c r="D236" s="47" t="s">
        <v>12021</v>
      </c>
      <c r="E236" s="47" t="s">
        <v>2046</v>
      </c>
      <c r="F236" s="55" t="b">
        <v>1</v>
      </c>
      <c r="G236" s="54" t="b">
        <v>1</v>
      </c>
      <c r="H236" s="54" t="b">
        <v>1</v>
      </c>
      <c r="I236" s="65" t="b">
        <v>0</v>
      </c>
      <c r="J236" s="65" t="b">
        <v>0</v>
      </c>
      <c r="K236" s="63" t="s">
        <v>534</v>
      </c>
      <c r="L236" s="63" t="s">
        <v>2191</v>
      </c>
      <c r="M236" s="63" t="s">
        <v>2192</v>
      </c>
      <c r="N236" s="63" t="s">
        <v>2164</v>
      </c>
    </row>
    <row r="237" spans="1:14" x14ac:dyDescent="0.2">
      <c r="A237" s="51">
        <v>236</v>
      </c>
      <c r="B237" s="54" t="s">
        <v>534</v>
      </c>
      <c r="C237" s="47" t="s">
        <v>2189</v>
      </c>
      <c r="D237" s="47" t="s">
        <v>2190</v>
      </c>
      <c r="E237" s="47" t="s">
        <v>1790</v>
      </c>
      <c r="F237" s="55" t="b">
        <v>1</v>
      </c>
      <c r="G237" s="54" t="b">
        <v>1</v>
      </c>
      <c r="H237" s="54" t="b">
        <v>1</v>
      </c>
      <c r="I237" s="54" t="b">
        <v>1</v>
      </c>
      <c r="J237" s="65" t="b">
        <v>0</v>
      </c>
      <c r="K237" s="63" t="s">
        <v>534</v>
      </c>
      <c r="L237" s="63" t="s">
        <v>2189</v>
      </c>
      <c r="M237" s="63" t="s">
        <v>2190</v>
      </c>
      <c r="N237" s="63" t="s">
        <v>2147</v>
      </c>
    </row>
    <row r="238" spans="1:14" x14ac:dyDescent="0.2">
      <c r="A238" s="51">
        <v>237</v>
      </c>
      <c r="B238" s="54" t="s">
        <v>534</v>
      </c>
      <c r="C238" s="47" t="s">
        <v>2183</v>
      </c>
      <c r="D238" s="47" t="s">
        <v>2184</v>
      </c>
      <c r="E238" s="47" t="s">
        <v>1790</v>
      </c>
      <c r="F238" s="55" t="b">
        <v>1</v>
      </c>
      <c r="G238" s="54" t="b">
        <v>1</v>
      </c>
      <c r="H238" s="54" t="b">
        <v>1</v>
      </c>
      <c r="I238" s="54" t="b">
        <v>1</v>
      </c>
      <c r="J238" s="65" t="b">
        <v>0</v>
      </c>
      <c r="K238" s="63" t="s">
        <v>534</v>
      </c>
      <c r="L238" s="63" t="s">
        <v>2183</v>
      </c>
      <c r="M238" s="63" t="s">
        <v>2184</v>
      </c>
      <c r="N238" s="63" t="s">
        <v>2147</v>
      </c>
    </row>
    <row r="239" spans="1:14" x14ac:dyDescent="0.2">
      <c r="A239" s="51">
        <v>238</v>
      </c>
      <c r="B239" s="54" t="s">
        <v>534</v>
      </c>
      <c r="C239" s="47" t="s">
        <v>2187</v>
      </c>
      <c r="D239" s="47" t="s">
        <v>2188</v>
      </c>
      <c r="E239" s="47" t="s">
        <v>1790</v>
      </c>
      <c r="F239" s="55" t="b">
        <v>1</v>
      </c>
      <c r="G239" s="54" t="b">
        <v>1</v>
      </c>
      <c r="H239" s="54" t="b">
        <v>1</v>
      </c>
      <c r="I239" s="54" t="b">
        <v>1</v>
      </c>
      <c r="J239" s="65" t="b">
        <v>0</v>
      </c>
      <c r="K239" s="63" t="s">
        <v>534</v>
      </c>
      <c r="L239" s="63" t="s">
        <v>2187</v>
      </c>
      <c r="M239" s="63" t="s">
        <v>2188</v>
      </c>
      <c r="N239" s="63" t="s">
        <v>2147</v>
      </c>
    </row>
    <row r="240" spans="1:14" x14ac:dyDescent="0.2">
      <c r="A240" s="51">
        <v>239</v>
      </c>
      <c r="B240" s="54" t="s">
        <v>534</v>
      </c>
      <c r="C240" s="47" t="s">
        <v>2185</v>
      </c>
      <c r="D240" s="47" t="s">
        <v>2186</v>
      </c>
      <c r="E240" s="47" t="s">
        <v>1790</v>
      </c>
      <c r="F240" s="55" t="b">
        <v>1</v>
      </c>
      <c r="G240" s="54" t="b">
        <v>1</v>
      </c>
      <c r="H240" s="54" t="b">
        <v>1</v>
      </c>
      <c r="I240" s="54" t="b">
        <v>1</v>
      </c>
      <c r="J240" s="65" t="b">
        <v>0</v>
      </c>
      <c r="K240" s="63" t="s">
        <v>534</v>
      </c>
      <c r="L240" s="63" t="s">
        <v>2185</v>
      </c>
      <c r="M240" s="63" t="s">
        <v>2186</v>
      </c>
      <c r="N240" s="63" t="s">
        <v>2147</v>
      </c>
    </row>
    <row r="241" spans="1:14" x14ac:dyDescent="0.2">
      <c r="A241" s="51">
        <v>240</v>
      </c>
      <c r="B241" s="54" t="s">
        <v>534</v>
      </c>
      <c r="C241" s="47" t="s">
        <v>2193</v>
      </c>
      <c r="D241" s="47" t="s">
        <v>2194</v>
      </c>
      <c r="E241" s="47" t="s">
        <v>1790</v>
      </c>
      <c r="F241" s="55" t="b">
        <v>1</v>
      </c>
      <c r="G241" s="54" t="b">
        <v>1</v>
      </c>
      <c r="H241" s="54" t="b">
        <v>1</v>
      </c>
      <c r="I241" s="54" t="b">
        <v>1</v>
      </c>
      <c r="J241" s="65" t="b">
        <v>0</v>
      </c>
      <c r="K241" s="63" t="s">
        <v>534</v>
      </c>
      <c r="L241" s="63" t="s">
        <v>2193</v>
      </c>
      <c r="M241" s="63" t="s">
        <v>2194</v>
      </c>
      <c r="N241" s="63" t="s">
        <v>2147</v>
      </c>
    </row>
    <row r="242" spans="1:14" x14ac:dyDescent="0.2">
      <c r="A242" s="51">
        <v>241</v>
      </c>
      <c r="B242" s="54" t="s">
        <v>534</v>
      </c>
      <c r="C242" s="47" t="s">
        <v>2280</v>
      </c>
      <c r="D242" s="47" t="s">
        <v>2281</v>
      </c>
      <c r="E242" s="47" t="s">
        <v>1790</v>
      </c>
      <c r="F242" s="55" t="b">
        <v>1</v>
      </c>
      <c r="G242" s="54" t="b">
        <v>1</v>
      </c>
      <c r="H242" s="54" t="b">
        <v>1</v>
      </c>
      <c r="I242" s="54" t="b">
        <v>1</v>
      </c>
      <c r="J242" s="65" t="b">
        <v>0</v>
      </c>
      <c r="K242" s="63" t="s">
        <v>534</v>
      </c>
      <c r="L242" s="63" t="s">
        <v>2280</v>
      </c>
      <c r="M242" s="63" t="s">
        <v>2281</v>
      </c>
      <c r="N242" s="63" t="s">
        <v>2147</v>
      </c>
    </row>
    <row r="243" spans="1:14" x14ac:dyDescent="0.2">
      <c r="A243" s="51">
        <v>242</v>
      </c>
      <c r="B243" s="54" t="s">
        <v>534</v>
      </c>
      <c r="C243" s="47" t="s">
        <v>2282</v>
      </c>
      <c r="D243" s="47" t="s">
        <v>2283</v>
      </c>
      <c r="E243" s="47" t="s">
        <v>1790</v>
      </c>
      <c r="F243" s="55" t="b">
        <v>1</v>
      </c>
      <c r="G243" s="54" t="b">
        <v>1</v>
      </c>
      <c r="H243" s="54" t="b">
        <v>1</v>
      </c>
      <c r="I243" s="54" t="b">
        <v>1</v>
      </c>
      <c r="J243" s="65" t="b">
        <v>0</v>
      </c>
      <c r="K243" s="63" t="s">
        <v>534</v>
      </c>
      <c r="L243" s="63" t="s">
        <v>2282</v>
      </c>
      <c r="M243" s="63" t="s">
        <v>2283</v>
      </c>
      <c r="N243" s="63" t="s">
        <v>2147</v>
      </c>
    </row>
    <row r="244" spans="1:14" x14ac:dyDescent="0.2">
      <c r="A244" s="51">
        <v>243</v>
      </c>
      <c r="B244" s="54" t="s">
        <v>534</v>
      </c>
      <c r="C244" s="47" t="s">
        <v>2199</v>
      </c>
      <c r="D244" s="47" t="s">
        <v>2200</v>
      </c>
      <c r="E244" s="47" t="s">
        <v>1790</v>
      </c>
      <c r="F244" s="55" t="b">
        <v>1</v>
      </c>
      <c r="G244" s="54" t="b">
        <v>1</v>
      </c>
      <c r="H244" s="54" t="b">
        <v>1</v>
      </c>
      <c r="I244" s="54" t="b">
        <v>1</v>
      </c>
      <c r="J244" s="65" t="b">
        <v>0</v>
      </c>
      <c r="K244" s="63" t="s">
        <v>534</v>
      </c>
      <c r="L244" s="63" t="s">
        <v>2199</v>
      </c>
      <c r="M244" s="63" t="s">
        <v>2200</v>
      </c>
      <c r="N244" s="63" t="s">
        <v>2147</v>
      </c>
    </row>
    <row r="245" spans="1:14" x14ac:dyDescent="0.2">
      <c r="A245" s="51">
        <v>244</v>
      </c>
      <c r="B245" s="54" t="s">
        <v>534</v>
      </c>
      <c r="C245" s="47" t="s">
        <v>2197</v>
      </c>
      <c r="D245" s="47" t="s">
        <v>12022</v>
      </c>
      <c r="E245" s="47" t="s">
        <v>1790</v>
      </c>
      <c r="F245" s="55" t="b">
        <v>1</v>
      </c>
      <c r="G245" s="54" t="b">
        <v>1</v>
      </c>
      <c r="H245" s="54" t="b">
        <v>1</v>
      </c>
      <c r="I245" s="65" t="b">
        <v>0</v>
      </c>
      <c r="J245" s="65" t="b">
        <v>0</v>
      </c>
      <c r="K245" s="63" t="s">
        <v>534</v>
      </c>
      <c r="L245" s="63" t="s">
        <v>2197</v>
      </c>
      <c r="M245" s="63" t="s">
        <v>2198</v>
      </c>
      <c r="N245" s="63" t="s">
        <v>2147</v>
      </c>
    </row>
    <row r="246" spans="1:14" x14ac:dyDescent="0.2">
      <c r="A246" s="51">
        <v>245</v>
      </c>
      <c r="B246" s="54" t="s">
        <v>534</v>
      </c>
      <c r="C246" s="47" t="s">
        <v>2195</v>
      </c>
      <c r="D246" s="47" t="s">
        <v>2196</v>
      </c>
      <c r="E246" s="47" t="s">
        <v>1790</v>
      </c>
      <c r="F246" s="55" t="b">
        <v>1</v>
      </c>
      <c r="G246" s="54" t="b">
        <v>1</v>
      </c>
      <c r="H246" s="54" t="b">
        <v>1</v>
      </c>
      <c r="I246" s="54" t="b">
        <v>1</v>
      </c>
      <c r="J246" s="65" t="b">
        <v>0</v>
      </c>
      <c r="K246" s="63" t="s">
        <v>534</v>
      </c>
      <c r="L246" s="63" t="s">
        <v>2195</v>
      </c>
      <c r="M246" s="63" t="s">
        <v>2196</v>
      </c>
      <c r="N246" s="63" t="s">
        <v>2147</v>
      </c>
    </row>
    <row r="247" spans="1:14" x14ac:dyDescent="0.2">
      <c r="A247" s="51">
        <v>246</v>
      </c>
      <c r="B247" s="54" t="s">
        <v>534</v>
      </c>
      <c r="C247" s="47" t="s">
        <v>2207</v>
      </c>
      <c r="D247" s="47" t="s">
        <v>2206</v>
      </c>
      <c r="E247" s="47" t="s">
        <v>2046</v>
      </c>
      <c r="F247" s="55" t="b">
        <v>1</v>
      </c>
      <c r="G247" s="54" t="b">
        <v>1</v>
      </c>
      <c r="H247" s="54" t="b">
        <v>1</v>
      </c>
      <c r="I247" s="65" t="b">
        <v>0</v>
      </c>
      <c r="J247" s="65" t="b">
        <v>0</v>
      </c>
      <c r="K247" s="63" t="s">
        <v>534</v>
      </c>
      <c r="L247" s="63" t="s">
        <v>2207</v>
      </c>
      <c r="M247" s="63" t="s">
        <v>2208</v>
      </c>
      <c r="N247" s="63" t="s">
        <v>2164</v>
      </c>
    </row>
    <row r="248" spans="1:14" x14ac:dyDescent="0.2">
      <c r="A248" s="51">
        <v>247</v>
      </c>
      <c r="B248" s="54" t="s">
        <v>534</v>
      </c>
      <c r="C248" s="47" t="s">
        <v>2201</v>
      </c>
      <c r="D248" s="47" t="s">
        <v>2202</v>
      </c>
      <c r="E248" s="47" t="s">
        <v>1790</v>
      </c>
      <c r="F248" s="55" t="b">
        <v>1</v>
      </c>
      <c r="G248" s="54" t="b">
        <v>1</v>
      </c>
      <c r="H248" s="54" t="b">
        <v>1</v>
      </c>
      <c r="I248" s="54" t="b">
        <v>1</v>
      </c>
      <c r="J248" s="65" t="b">
        <v>0</v>
      </c>
      <c r="K248" s="63" t="s">
        <v>534</v>
      </c>
      <c r="L248" s="63" t="s">
        <v>2201</v>
      </c>
      <c r="M248" s="63" t="s">
        <v>2202</v>
      </c>
      <c r="N248" s="63" t="s">
        <v>2147</v>
      </c>
    </row>
    <row r="249" spans="1:14" x14ac:dyDescent="0.2">
      <c r="A249" s="51">
        <v>248</v>
      </c>
      <c r="B249" s="54" t="s">
        <v>534</v>
      </c>
      <c r="C249" s="47" t="s">
        <v>2205</v>
      </c>
      <c r="D249" s="47" t="s">
        <v>2206</v>
      </c>
      <c r="E249" s="47" t="s">
        <v>1790</v>
      </c>
      <c r="F249" s="55" t="b">
        <v>1</v>
      </c>
      <c r="G249" s="54" t="b">
        <v>1</v>
      </c>
      <c r="H249" s="54" t="b">
        <v>1</v>
      </c>
      <c r="I249" s="54" t="b">
        <v>1</v>
      </c>
      <c r="J249" s="65" t="b">
        <v>0</v>
      </c>
      <c r="K249" s="63" t="s">
        <v>534</v>
      </c>
      <c r="L249" s="63" t="s">
        <v>2205</v>
      </c>
      <c r="M249" s="63" t="s">
        <v>2206</v>
      </c>
      <c r="N249" s="63" t="s">
        <v>2147</v>
      </c>
    </row>
    <row r="250" spans="1:14" x14ac:dyDescent="0.2">
      <c r="A250" s="51">
        <v>249</v>
      </c>
      <c r="B250" s="54" t="s">
        <v>534</v>
      </c>
      <c r="C250" s="47" t="s">
        <v>2203</v>
      </c>
      <c r="D250" s="47" t="s">
        <v>2204</v>
      </c>
      <c r="E250" s="47" t="s">
        <v>1790</v>
      </c>
      <c r="F250" s="55" t="b">
        <v>1</v>
      </c>
      <c r="G250" s="54" t="b">
        <v>1</v>
      </c>
      <c r="H250" s="54" t="b">
        <v>1</v>
      </c>
      <c r="I250" s="54" t="b">
        <v>1</v>
      </c>
      <c r="J250" s="65" t="b">
        <v>0</v>
      </c>
      <c r="K250" s="63" t="s">
        <v>534</v>
      </c>
      <c r="L250" s="63" t="s">
        <v>2203</v>
      </c>
      <c r="M250" s="63" t="s">
        <v>2204</v>
      </c>
      <c r="N250" s="63" t="s">
        <v>2147</v>
      </c>
    </row>
    <row r="251" spans="1:14" x14ac:dyDescent="0.2">
      <c r="A251" s="51">
        <v>250</v>
      </c>
      <c r="B251" s="54" t="s">
        <v>534</v>
      </c>
      <c r="C251" s="47" t="s">
        <v>2209</v>
      </c>
      <c r="D251" s="47" t="s">
        <v>2210</v>
      </c>
      <c r="E251" s="47" t="s">
        <v>1790</v>
      </c>
      <c r="F251" s="55" t="b">
        <v>1</v>
      </c>
      <c r="G251" s="54" t="b">
        <v>1</v>
      </c>
      <c r="H251" s="54" t="b">
        <v>1</v>
      </c>
      <c r="I251" s="54" t="b">
        <v>1</v>
      </c>
      <c r="J251" s="65" t="b">
        <v>0</v>
      </c>
      <c r="K251" s="63" t="s">
        <v>534</v>
      </c>
      <c r="L251" s="63" t="s">
        <v>2209</v>
      </c>
      <c r="M251" s="63" t="s">
        <v>2210</v>
      </c>
      <c r="N251" s="63" t="s">
        <v>2147</v>
      </c>
    </row>
    <row r="252" spans="1:14" x14ac:dyDescent="0.2">
      <c r="A252" s="51">
        <v>251</v>
      </c>
      <c r="B252" s="54" t="s">
        <v>534</v>
      </c>
      <c r="C252" s="47" t="s">
        <v>2211</v>
      </c>
      <c r="D252" s="47" t="s">
        <v>12023</v>
      </c>
      <c r="E252" s="47" t="s">
        <v>2046</v>
      </c>
      <c r="F252" s="55" t="b">
        <v>1</v>
      </c>
      <c r="G252" s="54" t="b">
        <v>1</v>
      </c>
      <c r="H252" s="54" t="b">
        <v>1</v>
      </c>
      <c r="I252" s="65" t="b">
        <v>0</v>
      </c>
      <c r="J252" s="65" t="b">
        <v>0</v>
      </c>
      <c r="K252" s="63" t="s">
        <v>534</v>
      </c>
      <c r="L252" s="63" t="s">
        <v>2211</v>
      </c>
      <c r="M252" s="63" t="s">
        <v>2212</v>
      </c>
      <c r="N252" s="63" t="s">
        <v>2164</v>
      </c>
    </row>
    <row r="253" spans="1:14" x14ac:dyDescent="0.2">
      <c r="A253" s="51">
        <v>252</v>
      </c>
      <c r="B253" s="54" t="s">
        <v>534</v>
      </c>
      <c r="C253" s="47" t="s">
        <v>2213</v>
      </c>
      <c r="D253" s="47" t="s">
        <v>2214</v>
      </c>
      <c r="E253" s="47" t="s">
        <v>2046</v>
      </c>
      <c r="F253" s="55" t="b">
        <v>1</v>
      </c>
      <c r="G253" s="54" t="b">
        <v>1</v>
      </c>
      <c r="H253" s="54" t="b">
        <v>1</v>
      </c>
      <c r="I253" s="54" t="b">
        <v>1</v>
      </c>
      <c r="J253" s="65" t="b">
        <v>0</v>
      </c>
      <c r="K253" s="63" t="s">
        <v>534</v>
      </c>
      <c r="L253" s="63" t="s">
        <v>2213</v>
      </c>
      <c r="M253" s="63" t="s">
        <v>2214</v>
      </c>
      <c r="N253" s="63" t="s">
        <v>2164</v>
      </c>
    </row>
    <row r="254" spans="1:14" x14ac:dyDescent="0.2">
      <c r="A254" s="51">
        <v>253</v>
      </c>
      <c r="B254" s="54" t="s">
        <v>534</v>
      </c>
      <c r="C254" s="47" t="s">
        <v>2219</v>
      </c>
      <c r="D254" s="47" t="s">
        <v>2220</v>
      </c>
      <c r="E254" s="47" t="s">
        <v>1790</v>
      </c>
      <c r="F254" s="55" t="b">
        <v>1</v>
      </c>
      <c r="G254" s="54" t="b">
        <v>1</v>
      </c>
      <c r="H254" s="54" t="b">
        <v>1</v>
      </c>
      <c r="I254" s="54" t="b">
        <v>1</v>
      </c>
      <c r="J254" s="65" t="b">
        <v>0</v>
      </c>
      <c r="K254" s="63" t="s">
        <v>534</v>
      </c>
      <c r="L254" s="63" t="s">
        <v>2219</v>
      </c>
      <c r="M254" s="63" t="s">
        <v>2220</v>
      </c>
      <c r="N254" s="63" t="s">
        <v>2147</v>
      </c>
    </row>
    <row r="255" spans="1:14" x14ac:dyDescent="0.2">
      <c r="A255" s="51">
        <v>254</v>
      </c>
      <c r="B255" s="54" t="s">
        <v>534</v>
      </c>
      <c r="C255" s="47" t="s">
        <v>2215</v>
      </c>
      <c r="D255" s="47" t="s">
        <v>2216</v>
      </c>
      <c r="E255" s="47" t="s">
        <v>2046</v>
      </c>
      <c r="F255" s="55" t="b">
        <v>1</v>
      </c>
      <c r="G255" s="54" t="b">
        <v>1</v>
      </c>
      <c r="H255" s="54" t="b">
        <v>1</v>
      </c>
      <c r="I255" s="54" t="b">
        <v>1</v>
      </c>
      <c r="J255" s="65" t="b">
        <v>0</v>
      </c>
      <c r="K255" s="63" t="s">
        <v>534</v>
      </c>
      <c r="L255" s="63" t="s">
        <v>2215</v>
      </c>
      <c r="M255" s="63" t="s">
        <v>2216</v>
      </c>
      <c r="N255" s="63" t="s">
        <v>2164</v>
      </c>
    </row>
    <row r="256" spans="1:14" x14ac:dyDescent="0.2">
      <c r="A256" s="51">
        <v>255</v>
      </c>
      <c r="B256" s="54" t="s">
        <v>534</v>
      </c>
      <c r="C256" s="47" t="s">
        <v>2217</v>
      </c>
      <c r="D256" s="47" t="s">
        <v>2216</v>
      </c>
      <c r="E256" s="48" t="s">
        <v>2218</v>
      </c>
      <c r="F256" s="66" t="b">
        <v>0</v>
      </c>
      <c r="G256" s="54" t="b">
        <v>1</v>
      </c>
      <c r="H256" s="54" t="b">
        <v>1</v>
      </c>
      <c r="I256" s="54" t="b">
        <v>1</v>
      </c>
      <c r="J256" s="54" t="b">
        <v>1</v>
      </c>
      <c r="K256" s="63" t="s">
        <v>534</v>
      </c>
      <c r="L256" s="63" t="s">
        <v>2217</v>
      </c>
      <c r="M256" s="63" t="s">
        <v>2216</v>
      </c>
      <c r="N256" s="63" t="s">
        <v>2218</v>
      </c>
    </row>
    <row r="257" spans="1:14" x14ac:dyDescent="0.2">
      <c r="A257" s="51">
        <v>256</v>
      </c>
      <c r="B257" s="54" t="s">
        <v>534</v>
      </c>
      <c r="C257" s="47" t="s">
        <v>2223</v>
      </c>
      <c r="D257" s="47" t="s">
        <v>2224</v>
      </c>
      <c r="E257" s="47" t="s">
        <v>1790</v>
      </c>
      <c r="F257" s="55" t="b">
        <v>1</v>
      </c>
      <c r="G257" s="54" t="b">
        <v>1</v>
      </c>
      <c r="H257" s="54" t="b">
        <v>1</v>
      </c>
      <c r="I257" s="54" t="b">
        <v>1</v>
      </c>
      <c r="J257" s="65" t="b">
        <v>0</v>
      </c>
      <c r="K257" s="63" t="s">
        <v>534</v>
      </c>
      <c r="L257" s="63" t="s">
        <v>2223</v>
      </c>
      <c r="M257" s="63" t="s">
        <v>2224</v>
      </c>
      <c r="N257" s="63" t="s">
        <v>2147</v>
      </c>
    </row>
    <row r="258" spans="1:14" x14ac:dyDescent="0.2">
      <c r="A258" s="51">
        <v>257</v>
      </c>
      <c r="B258" s="54" t="s">
        <v>534</v>
      </c>
      <c r="C258" s="47" t="s">
        <v>2221</v>
      </c>
      <c r="D258" s="47" t="s">
        <v>2222</v>
      </c>
      <c r="E258" s="47" t="s">
        <v>1790</v>
      </c>
      <c r="F258" s="55" t="b">
        <v>1</v>
      </c>
      <c r="G258" s="54" t="b">
        <v>1</v>
      </c>
      <c r="H258" s="54" t="b">
        <v>1</v>
      </c>
      <c r="I258" s="54" t="b">
        <v>1</v>
      </c>
      <c r="J258" s="65" t="b">
        <v>0</v>
      </c>
      <c r="K258" s="63" t="s">
        <v>534</v>
      </c>
      <c r="L258" s="63" t="s">
        <v>2221</v>
      </c>
      <c r="M258" s="63" t="s">
        <v>2222</v>
      </c>
      <c r="N258" s="63" t="s">
        <v>2147</v>
      </c>
    </row>
    <row r="259" spans="1:14" x14ac:dyDescent="0.2">
      <c r="A259" s="51">
        <v>258</v>
      </c>
      <c r="B259" s="54" t="s">
        <v>534</v>
      </c>
      <c r="C259" s="47" t="s">
        <v>2237</v>
      </c>
      <c r="D259" s="47" t="s">
        <v>12024</v>
      </c>
      <c r="E259" s="47" t="s">
        <v>1790</v>
      </c>
      <c r="F259" s="55" t="b">
        <v>1</v>
      </c>
      <c r="G259" s="54" t="b">
        <v>1</v>
      </c>
      <c r="H259" s="54" t="b">
        <v>1</v>
      </c>
      <c r="I259" s="65" t="b">
        <v>0</v>
      </c>
      <c r="J259" s="65" t="b">
        <v>0</v>
      </c>
      <c r="K259" s="63" t="s">
        <v>534</v>
      </c>
      <c r="L259" s="63" t="s">
        <v>2237</v>
      </c>
      <c r="M259" s="63" t="s">
        <v>2238</v>
      </c>
      <c r="N259" s="63" t="s">
        <v>2147</v>
      </c>
    </row>
    <row r="260" spans="1:14" x14ac:dyDescent="0.2">
      <c r="A260" s="51">
        <v>259</v>
      </c>
      <c r="B260" s="54" t="s">
        <v>534</v>
      </c>
      <c r="C260" s="47" t="s">
        <v>2225</v>
      </c>
      <c r="D260" s="47" t="s">
        <v>2226</v>
      </c>
      <c r="E260" s="47" t="s">
        <v>1790</v>
      </c>
      <c r="F260" s="55" t="b">
        <v>1</v>
      </c>
      <c r="G260" s="54" t="b">
        <v>1</v>
      </c>
      <c r="H260" s="54" t="b">
        <v>1</v>
      </c>
      <c r="I260" s="54" t="b">
        <v>1</v>
      </c>
      <c r="J260" s="65" t="b">
        <v>0</v>
      </c>
      <c r="K260" s="63" t="s">
        <v>534</v>
      </c>
      <c r="L260" s="63" t="s">
        <v>2225</v>
      </c>
      <c r="M260" s="63" t="s">
        <v>2226</v>
      </c>
      <c r="N260" s="63" t="s">
        <v>2147</v>
      </c>
    </row>
    <row r="261" spans="1:14" x14ac:dyDescent="0.2">
      <c r="A261" s="51">
        <v>260</v>
      </c>
      <c r="B261" s="54" t="s">
        <v>534</v>
      </c>
      <c r="C261" s="47" t="s">
        <v>2227</v>
      </c>
      <c r="D261" s="47" t="s">
        <v>2228</v>
      </c>
      <c r="E261" s="47" t="s">
        <v>1790</v>
      </c>
      <c r="F261" s="55" t="b">
        <v>1</v>
      </c>
      <c r="G261" s="54" t="b">
        <v>1</v>
      </c>
      <c r="H261" s="54" t="b">
        <v>1</v>
      </c>
      <c r="I261" s="54" t="b">
        <v>1</v>
      </c>
      <c r="J261" s="65" t="b">
        <v>0</v>
      </c>
      <c r="K261" s="63" t="s">
        <v>534</v>
      </c>
      <c r="L261" s="63" t="s">
        <v>2227</v>
      </c>
      <c r="M261" s="63" t="s">
        <v>2228</v>
      </c>
      <c r="N261" s="63" t="s">
        <v>2147</v>
      </c>
    </row>
    <row r="262" spans="1:14" x14ac:dyDescent="0.2">
      <c r="A262" s="51">
        <v>261</v>
      </c>
      <c r="B262" s="54" t="s">
        <v>534</v>
      </c>
      <c r="C262" s="47" t="s">
        <v>2231</v>
      </c>
      <c r="D262" s="47" t="s">
        <v>2232</v>
      </c>
      <c r="E262" s="47" t="s">
        <v>1790</v>
      </c>
      <c r="F262" s="55" t="b">
        <v>1</v>
      </c>
      <c r="G262" s="54" t="b">
        <v>1</v>
      </c>
      <c r="H262" s="54" t="b">
        <v>1</v>
      </c>
      <c r="I262" s="54" t="b">
        <v>1</v>
      </c>
      <c r="J262" s="65" t="b">
        <v>0</v>
      </c>
      <c r="K262" s="63" t="s">
        <v>534</v>
      </c>
      <c r="L262" s="63" t="s">
        <v>2231</v>
      </c>
      <c r="M262" s="63" t="s">
        <v>2232</v>
      </c>
      <c r="N262" s="63" t="s">
        <v>2147</v>
      </c>
    </row>
    <row r="263" spans="1:14" x14ac:dyDescent="0.2">
      <c r="A263" s="51">
        <v>262</v>
      </c>
      <c r="B263" s="54" t="s">
        <v>534</v>
      </c>
      <c r="C263" s="47" t="s">
        <v>2233</v>
      </c>
      <c r="D263" s="47" t="s">
        <v>2234</v>
      </c>
      <c r="E263" s="47" t="s">
        <v>1790</v>
      </c>
      <c r="F263" s="55" t="b">
        <v>1</v>
      </c>
      <c r="G263" s="54" t="b">
        <v>1</v>
      </c>
      <c r="H263" s="54" t="b">
        <v>1</v>
      </c>
      <c r="I263" s="54" t="b">
        <v>1</v>
      </c>
      <c r="J263" s="65" t="b">
        <v>0</v>
      </c>
      <c r="K263" s="63" t="s">
        <v>534</v>
      </c>
      <c r="L263" s="63" t="s">
        <v>2233</v>
      </c>
      <c r="M263" s="63" t="s">
        <v>2234</v>
      </c>
      <c r="N263" s="63" t="s">
        <v>2147</v>
      </c>
    </row>
    <row r="264" spans="1:14" x14ac:dyDescent="0.2">
      <c r="A264" s="51">
        <v>263</v>
      </c>
      <c r="B264" s="54" t="s">
        <v>534</v>
      </c>
      <c r="C264" s="47" t="s">
        <v>2229</v>
      </c>
      <c r="D264" s="47" t="s">
        <v>2230</v>
      </c>
      <c r="E264" s="47" t="s">
        <v>1790</v>
      </c>
      <c r="F264" s="55" t="b">
        <v>1</v>
      </c>
      <c r="G264" s="54" t="b">
        <v>1</v>
      </c>
      <c r="H264" s="54" t="b">
        <v>1</v>
      </c>
      <c r="I264" s="54" t="b">
        <v>1</v>
      </c>
      <c r="J264" s="65" t="b">
        <v>0</v>
      </c>
      <c r="K264" s="63" t="s">
        <v>534</v>
      </c>
      <c r="L264" s="63" t="s">
        <v>2229</v>
      </c>
      <c r="M264" s="63" t="s">
        <v>2230</v>
      </c>
      <c r="N264" s="63" t="s">
        <v>2147</v>
      </c>
    </row>
    <row r="265" spans="1:14" x14ac:dyDescent="0.2">
      <c r="A265" s="51">
        <v>264</v>
      </c>
      <c r="B265" s="54" t="s">
        <v>534</v>
      </c>
      <c r="C265" s="47" t="s">
        <v>2235</v>
      </c>
      <c r="D265" s="47" t="s">
        <v>2236</v>
      </c>
      <c r="E265" s="47" t="s">
        <v>1790</v>
      </c>
      <c r="F265" s="55" t="b">
        <v>1</v>
      </c>
      <c r="G265" s="54" t="b">
        <v>1</v>
      </c>
      <c r="H265" s="54" t="b">
        <v>1</v>
      </c>
      <c r="I265" s="54" t="b">
        <v>1</v>
      </c>
      <c r="J265" s="65" t="b">
        <v>0</v>
      </c>
      <c r="K265" s="63" t="s">
        <v>534</v>
      </c>
      <c r="L265" s="63" t="s">
        <v>2235</v>
      </c>
      <c r="M265" s="63" t="s">
        <v>2236</v>
      </c>
      <c r="N265" s="63" t="s">
        <v>2147</v>
      </c>
    </row>
    <row r="266" spans="1:14" x14ac:dyDescent="0.2">
      <c r="A266" s="51">
        <v>265</v>
      </c>
      <c r="B266" s="54" t="s">
        <v>534</v>
      </c>
      <c r="C266" s="47" t="s">
        <v>2294</v>
      </c>
      <c r="D266" s="47" t="s">
        <v>12026</v>
      </c>
      <c r="E266" s="47" t="s">
        <v>2046</v>
      </c>
      <c r="F266" s="55" t="b">
        <v>1</v>
      </c>
      <c r="G266" s="54" t="b">
        <v>1</v>
      </c>
      <c r="H266" s="54" t="b">
        <v>1</v>
      </c>
      <c r="I266" s="65" t="b">
        <v>0</v>
      </c>
      <c r="J266" s="65" t="b">
        <v>0</v>
      </c>
      <c r="K266" s="63" t="s">
        <v>534</v>
      </c>
      <c r="L266" s="63" t="s">
        <v>2294</v>
      </c>
      <c r="M266" s="63" t="s">
        <v>2295</v>
      </c>
      <c r="N266" s="63" t="s">
        <v>2164</v>
      </c>
    </row>
    <row r="267" spans="1:14" x14ac:dyDescent="0.2">
      <c r="A267" s="51">
        <v>266</v>
      </c>
      <c r="B267" s="54" t="s">
        <v>534</v>
      </c>
      <c r="C267" s="47" t="s">
        <v>2241</v>
      </c>
      <c r="D267" s="47" t="s">
        <v>2242</v>
      </c>
      <c r="E267" s="47" t="s">
        <v>1790</v>
      </c>
      <c r="F267" s="55" t="b">
        <v>1</v>
      </c>
      <c r="G267" s="54" t="b">
        <v>1</v>
      </c>
      <c r="H267" s="54" t="b">
        <v>1</v>
      </c>
      <c r="I267" s="54" t="b">
        <v>1</v>
      </c>
      <c r="J267" s="65" t="b">
        <v>0</v>
      </c>
      <c r="K267" s="63" t="s">
        <v>534</v>
      </c>
      <c r="L267" s="63" t="s">
        <v>2241</v>
      </c>
      <c r="M267" s="63" t="s">
        <v>2242</v>
      </c>
      <c r="N267" s="63" t="s">
        <v>2147</v>
      </c>
    </row>
    <row r="268" spans="1:14" x14ac:dyDescent="0.2">
      <c r="A268" s="51">
        <v>267</v>
      </c>
      <c r="B268" s="54" t="s">
        <v>534</v>
      </c>
      <c r="C268" s="47" t="s">
        <v>2251</v>
      </c>
      <c r="D268" s="47" t="s">
        <v>12025</v>
      </c>
      <c r="E268" s="47" t="s">
        <v>1790</v>
      </c>
      <c r="F268" s="55" t="b">
        <v>1</v>
      </c>
      <c r="G268" s="54" t="b">
        <v>1</v>
      </c>
      <c r="H268" s="54" t="b">
        <v>1</v>
      </c>
      <c r="I268" s="65" t="b">
        <v>0</v>
      </c>
      <c r="J268" s="65" t="b">
        <v>0</v>
      </c>
      <c r="K268" s="63" t="s">
        <v>534</v>
      </c>
      <c r="L268" s="63" t="s">
        <v>2251</v>
      </c>
      <c r="M268" s="63" t="s">
        <v>2252</v>
      </c>
      <c r="N268" s="63" t="s">
        <v>2147</v>
      </c>
    </row>
    <row r="269" spans="1:14" x14ac:dyDescent="0.2">
      <c r="A269" s="51">
        <v>268</v>
      </c>
      <c r="B269" s="54" t="s">
        <v>534</v>
      </c>
      <c r="C269" s="47" t="s">
        <v>2286</v>
      </c>
      <c r="D269" s="47" t="s">
        <v>2287</v>
      </c>
      <c r="E269" s="47" t="s">
        <v>1790</v>
      </c>
      <c r="F269" s="55" t="b">
        <v>1</v>
      </c>
      <c r="G269" s="54" t="b">
        <v>1</v>
      </c>
      <c r="H269" s="54" t="b">
        <v>1</v>
      </c>
      <c r="I269" s="54" t="b">
        <v>1</v>
      </c>
      <c r="J269" s="65" t="b">
        <v>0</v>
      </c>
      <c r="K269" s="63" t="s">
        <v>534</v>
      </c>
      <c r="L269" s="63" t="s">
        <v>2286</v>
      </c>
      <c r="M269" s="63" t="s">
        <v>2287</v>
      </c>
      <c r="N269" s="63" t="s">
        <v>2147</v>
      </c>
    </row>
    <row r="270" spans="1:14" x14ac:dyDescent="0.2">
      <c r="A270" s="51">
        <v>269</v>
      </c>
      <c r="B270" s="54" t="s">
        <v>534</v>
      </c>
      <c r="C270" s="47" t="s">
        <v>2296</v>
      </c>
      <c r="D270" s="47" t="s">
        <v>12026</v>
      </c>
      <c r="E270" s="47" t="s">
        <v>1790</v>
      </c>
      <c r="F270" s="55" t="b">
        <v>1</v>
      </c>
      <c r="G270" s="54" t="b">
        <v>1</v>
      </c>
      <c r="H270" s="54" t="b">
        <v>1</v>
      </c>
      <c r="I270" s="65" t="b">
        <v>0</v>
      </c>
      <c r="J270" s="65" t="b">
        <v>0</v>
      </c>
      <c r="K270" s="63" t="s">
        <v>534</v>
      </c>
      <c r="L270" s="63" t="s">
        <v>2296</v>
      </c>
      <c r="M270" s="63" t="s">
        <v>2295</v>
      </c>
      <c r="N270" s="63" t="s">
        <v>2147</v>
      </c>
    </row>
    <row r="271" spans="1:14" x14ac:dyDescent="0.2">
      <c r="A271" s="51">
        <v>270</v>
      </c>
      <c r="B271" s="54" t="s">
        <v>534</v>
      </c>
      <c r="C271" s="47" t="s">
        <v>2243</v>
      </c>
      <c r="D271" s="47" t="s">
        <v>2244</v>
      </c>
      <c r="E271" s="47" t="s">
        <v>1790</v>
      </c>
      <c r="F271" s="55" t="b">
        <v>1</v>
      </c>
      <c r="G271" s="54" t="b">
        <v>1</v>
      </c>
      <c r="H271" s="54" t="b">
        <v>1</v>
      </c>
      <c r="I271" s="54" t="b">
        <v>1</v>
      </c>
      <c r="J271" s="65" t="b">
        <v>0</v>
      </c>
      <c r="K271" s="63" t="s">
        <v>534</v>
      </c>
      <c r="L271" s="63" t="s">
        <v>2243</v>
      </c>
      <c r="M271" s="63" t="s">
        <v>2244</v>
      </c>
      <c r="N271" s="63" t="s">
        <v>2147</v>
      </c>
    </row>
    <row r="272" spans="1:14" x14ac:dyDescent="0.2">
      <c r="A272" s="51">
        <v>271</v>
      </c>
      <c r="B272" s="54" t="s">
        <v>534</v>
      </c>
      <c r="C272" s="47" t="s">
        <v>2299</v>
      </c>
      <c r="D272" s="47" t="s">
        <v>12028</v>
      </c>
      <c r="E272" s="47" t="s">
        <v>1790</v>
      </c>
      <c r="F272" s="55" t="b">
        <v>1</v>
      </c>
      <c r="G272" s="54" t="b">
        <v>1</v>
      </c>
      <c r="H272" s="54" t="b">
        <v>1</v>
      </c>
      <c r="I272" s="65" t="b">
        <v>0</v>
      </c>
      <c r="J272" s="65" t="b">
        <v>0</v>
      </c>
      <c r="K272" s="63" t="s">
        <v>534</v>
      </c>
      <c r="L272" s="63" t="s">
        <v>2299</v>
      </c>
      <c r="M272" s="63" t="s">
        <v>2300</v>
      </c>
      <c r="N272" s="63" t="s">
        <v>2147</v>
      </c>
    </row>
    <row r="273" spans="1:14" x14ac:dyDescent="0.2">
      <c r="A273" s="51">
        <v>272</v>
      </c>
      <c r="B273" s="54" t="s">
        <v>534</v>
      </c>
      <c r="C273" s="47" t="s">
        <v>2239</v>
      </c>
      <c r="D273" s="47" t="s">
        <v>2240</v>
      </c>
      <c r="E273" s="47" t="s">
        <v>1790</v>
      </c>
      <c r="F273" s="55" t="b">
        <v>1</v>
      </c>
      <c r="G273" s="54" t="b">
        <v>1</v>
      </c>
      <c r="H273" s="54" t="b">
        <v>1</v>
      </c>
      <c r="I273" s="54" t="b">
        <v>1</v>
      </c>
      <c r="J273" s="65" t="b">
        <v>0</v>
      </c>
      <c r="K273" s="63" t="s">
        <v>534</v>
      </c>
      <c r="L273" s="63" t="s">
        <v>2239</v>
      </c>
      <c r="M273" s="63" t="s">
        <v>2240</v>
      </c>
      <c r="N273" s="63" t="s">
        <v>2147</v>
      </c>
    </row>
    <row r="274" spans="1:14" x14ac:dyDescent="0.2">
      <c r="A274" s="51">
        <v>273</v>
      </c>
      <c r="B274" s="54" t="s">
        <v>534</v>
      </c>
      <c r="C274" s="47" t="s">
        <v>2284</v>
      </c>
      <c r="D274" s="47" t="s">
        <v>2285</v>
      </c>
      <c r="E274" s="47" t="s">
        <v>1790</v>
      </c>
      <c r="F274" s="55" t="b">
        <v>1</v>
      </c>
      <c r="G274" s="54" t="b">
        <v>1</v>
      </c>
      <c r="H274" s="54" t="b">
        <v>1</v>
      </c>
      <c r="I274" s="54" t="b">
        <v>1</v>
      </c>
      <c r="J274" s="65" t="b">
        <v>0</v>
      </c>
      <c r="K274" s="63" t="s">
        <v>534</v>
      </c>
      <c r="L274" s="63" t="s">
        <v>2284</v>
      </c>
      <c r="M274" s="63" t="s">
        <v>2285</v>
      </c>
      <c r="N274" s="63" t="s">
        <v>2147</v>
      </c>
    </row>
    <row r="275" spans="1:14" x14ac:dyDescent="0.2">
      <c r="A275" s="51">
        <v>274</v>
      </c>
      <c r="B275" s="54" t="s">
        <v>534</v>
      </c>
      <c r="C275" s="47" t="s">
        <v>2247</v>
      </c>
      <c r="D275" s="47" t="s">
        <v>12029</v>
      </c>
      <c r="E275" s="47" t="s">
        <v>1790</v>
      </c>
      <c r="F275" s="55" t="b">
        <v>1</v>
      </c>
      <c r="G275" s="54" t="b">
        <v>1</v>
      </c>
      <c r="H275" s="54" t="b">
        <v>1</v>
      </c>
      <c r="I275" s="65" t="b">
        <v>0</v>
      </c>
      <c r="J275" s="65" t="b">
        <v>0</v>
      </c>
      <c r="K275" s="63" t="s">
        <v>534</v>
      </c>
      <c r="L275" s="63" t="s">
        <v>2247</v>
      </c>
      <c r="M275" s="63" t="s">
        <v>2248</v>
      </c>
      <c r="N275" s="63" t="s">
        <v>2147</v>
      </c>
    </row>
    <row r="276" spans="1:14" x14ac:dyDescent="0.2">
      <c r="A276" s="51">
        <v>275</v>
      </c>
      <c r="B276" s="54" t="s">
        <v>534</v>
      </c>
      <c r="C276" s="47" t="s">
        <v>2297</v>
      </c>
      <c r="D276" s="47" t="s">
        <v>12027</v>
      </c>
      <c r="E276" s="47" t="s">
        <v>1790</v>
      </c>
      <c r="F276" s="55" t="b">
        <v>1</v>
      </c>
      <c r="G276" s="54" t="b">
        <v>1</v>
      </c>
      <c r="H276" s="54" t="b">
        <v>1</v>
      </c>
      <c r="I276" s="65" t="b">
        <v>0</v>
      </c>
      <c r="J276" s="65" t="b">
        <v>0</v>
      </c>
      <c r="K276" s="63" t="s">
        <v>534</v>
      </c>
      <c r="L276" s="63" t="s">
        <v>2297</v>
      </c>
      <c r="M276" s="63" t="s">
        <v>2298</v>
      </c>
      <c r="N276" s="63" t="s">
        <v>2147</v>
      </c>
    </row>
    <row r="277" spans="1:14" x14ac:dyDescent="0.2">
      <c r="A277" s="51">
        <v>276</v>
      </c>
      <c r="B277" s="54" t="s">
        <v>534</v>
      </c>
      <c r="C277" s="47" t="s">
        <v>2249</v>
      </c>
      <c r="D277" s="47" t="s">
        <v>2250</v>
      </c>
      <c r="E277" s="47" t="s">
        <v>2046</v>
      </c>
      <c r="F277" s="55" t="b">
        <v>1</v>
      </c>
      <c r="G277" s="54" t="b">
        <v>1</v>
      </c>
      <c r="H277" s="54" t="b">
        <v>1</v>
      </c>
      <c r="I277" s="54" t="b">
        <v>1</v>
      </c>
      <c r="J277" s="65" t="b">
        <v>0</v>
      </c>
      <c r="K277" s="63" t="s">
        <v>534</v>
      </c>
      <c r="L277" s="63" t="s">
        <v>2249</v>
      </c>
      <c r="M277" s="63" t="s">
        <v>2250</v>
      </c>
      <c r="N277" s="63" t="s">
        <v>2164</v>
      </c>
    </row>
    <row r="278" spans="1:14" x14ac:dyDescent="0.2">
      <c r="A278" s="51">
        <v>277</v>
      </c>
      <c r="B278" s="54" t="s">
        <v>534</v>
      </c>
      <c r="C278" s="47" t="s">
        <v>2288</v>
      </c>
      <c r="D278" s="47" t="s">
        <v>2289</v>
      </c>
      <c r="E278" s="47" t="s">
        <v>1790</v>
      </c>
      <c r="F278" s="55" t="b">
        <v>1</v>
      </c>
      <c r="G278" s="54" t="b">
        <v>1</v>
      </c>
      <c r="H278" s="54" t="b">
        <v>1</v>
      </c>
      <c r="I278" s="54" t="b">
        <v>1</v>
      </c>
      <c r="J278" s="65" t="b">
        <v>0</v>
      </c>
      <c r="K278" s="63" t="s">
        <v>534</v>
      </c>
      <c r="L278" s="63" t="s">
        <v>2288</v>
      </c>
      <c r="M278" s="63" t="s">
        <v>2289</v>
      </c>
      <c r="N278" s="63" t="s">
        <v>2147</v>
      </c>
    </row>
    <row r="279" spans="1:14" x14ac:dyDescent="0.2">
      <c r="A279" s="51">
        <v>278</v>
      </c>
      <c r="B279" s="54" t="s">
        <v>534</v>
      </c>
      <c r="C279" s="47" t="s">
        <v>2245</v>
      </c>
      <c r="D279" s="47" t="s">
        <v>2246</v>
      </c>
      <c r="E279" s="47" t="s">
        <v>1790</v>
      </c>
      <c r="F279" s="55" t="b">
        <v>1</v>
      </c>
      <c r="G279" s="54" t="b">
        <v>1</v>
      </c>
      <c r="H279" s="54" t="b">
        <v>1</v>
      </c>
      <c r="I279" s="54" t="b">
        <v>1</v>
      </c>
      <c r="J279" s="65" t="b">
        <v>0</v>
      </c>
      <c r="K279" s="63" t="s">
        <v>534</v>
      </c>
      <c r="L279" s="63" t="s">
        <v>2245</v>
      </c>
      <c r="M279" s="63" t="s">
        <v>2246</v>
      </c>
      <c r="N279" s="63" t="s">
        <v>2147</v>
      </c>
    </row>
    <row r="280" spans="1:14" x14ac:dyDescent="0.2">
      <c r="A280" s="51">
        <v>279</v>
      </c>
      <c r="B280" s="54" t="s">
        <v>534</v>
      </c>
      <c r="C280" s="47" t="s">
        <v>2290</v>
      </c>
      <c r="D280" s="47" t="s">
        <v>2291</v>
      </c>
      <c r="E280" s="47" t="s">
        <v>2046</v>
      </c>
      <c r="F280" s="55" t="b">
        <v>1</v>
      </c>
      <c r="G280" s="54" t="b">
        <v>1</v>
      </c>
      <c r="H280" s="54" t="b">
        <v>1</v>
      </c>
      <c r="I280" s="54" t="b">
        <v>1</v>
      </c>
      <c r="J280" s="65" t="b">
        <v>0</v>
      </c>
      <c r="K280" s="63" t="s">
        <v>534</v>
      </c>
      <c r="L280" s="63" t="s">
        <v>2290</v>
      </c>
      <c r="M280" s="63" t="s">
        <v>2291</v>
      </c>
      <c r="N280" s="63" t="s">
        <v>2164</v>
      </c>
    </row>
    <row r="281" spans="1:14" x14ac:dyDescent="0.2">
      <c r="A281" s="51">
        <v>280</v>
      </c>
      <c r="B281" s="54" t="s">
        <v>534</v>
      </c>
      <c r="C281" s="47" t="s">
        <v>2292</v>
      </c>
      <c r="D281" s="47" t="s">
        <v>2293</v>
      </c>
      <c r="E281" s="47" t="s">
        <v>1790</v>
      </c>
      <c r="F281" s="55" t="b">
        <v>1</v>
      </c>
      <c r="G281" s="54" t="b">
        <v>1</v>
      </c>
      <c r="H281" s="54" t="b">
        <v>1</v>
      </c>
      <c r="I281" s="54" t="b">
        <v>1</v>
      </c>
      <c r="J281" s="65" t="b">
        <v>0</v>
      </c>
      <c r="K281" s="63" t="s">
        <v>534</v>
      </c>
      <c r="L281" s="63" t="s">
        <v>2292</v>
      </c>
      <c r="M281" s="63" t="s">
        <v>2293</v>
      </c>
      <c r="N281" s="63" t="s">
        <v>2147</v>
      </c>
    </row>
    <row r="282" spans="1:14" x14ac:dyDescent="0.2">
      <c r="A282" s="51">
        <v>281</v>
      </c>
      <c r="B282" s="54" t="s">
        <v>534</v>
      </c>
      <c r="C282" s="47" t="s">
        <v>2255</v>
      </c>
      <c r="D282" s="47" t="s">
        <v>12030</v>
      </c>
      <c r="E282" s="47" t="s">
        <v>1790</v>
      </c>
      <c r="F282" s="55" t="b">
        <v>1</v>
      </c>
      <c r="G282" s="54" t="b">
        <v>1</v>
      </c>
      <c r="H282" s="54" t="b">
        <v>1</v>
      </c>
      <c r="I282" s="65" t="b">
        <v>0</v>
      </c>
      <c r="J282" s="65" t="b">
        <v>0</v>
      </c>
      <c r="K282" s="63" t="s">
        <v>534</v>
      </c>
      <c r="L282" s="63" t="s">
        <v>2255</v>
      </c>
      <c r="M282" s="63" t="s">
        <v>2256</v>
      </c>
      <c r="N282" s="63" t="s">
        <v>2147</v>
      </c>
    </row>
    <row r="283" spans="1:14" x14ac:dyDescent="0.2">
      <c r="A283" s="51">
        <v>282</v>
      </c>
      <c r="B283" s="54" t="s">
        <v>534</v>
      </c>
      <c r="C283" s="47" t="s">
        <v>2253</v>
      </c>
      <c r="D283" s="47" t="s">
        <v>2254</v>
      </c>
      <c r="E283" s="47" t="s">
        <v>1790</v>
      </c>
      <c r="F283" s="55" t="b">
        <v>1</v>
      </c>
      <c r="G283" s="54" t="b">
        <v>1</v>
      </c>
      <c r="H283" s="54" t="b">
        <v>1</v>
      </c>
      <c r="I283" s="54" t="b">
        <v>1</v>
      </c>
      <c r="J283" s="65" t="b">
        <v>0</v>
      </c>
      <c r="K283" s="63" t="s">
        <v>534</v>
      </c>
      <c r="L283" s="63" t="s">
        <v>2253</v>
      </c>
      <c r="M283" s="63" t="s">
        <v>2254</v>
      </c>
      <c r="N283" s="63" t="s">
        <v>2147</v>
      </c>
    </row>
    <row r="284" spans="1:14" x14ac:dyDescent="0.2">
      <c r="A284" s="51">
        <v>283</v>
      </c>
      <c r="B284" s="54" t="s">
        <v>534</v>
      </c>
      <c r="C284" s="47" t="s">
        <v>2257</v>
      </c>
      <c r="D284" s="47" t="s">
        <v>2258</v>
      </c>
      <c r="E284" s="47" t="s">
        <v>1790</v>
      </c>
      <c r="F284" s="55" t="b">
        <v>1</v>
      </c>
      <c r="G284" s="54" t="b">
        <v>1</v>
      </c>
      <c r="H284" s="54" t="b">
        <v>1</v>
      </c>
      <c r="I284" s="54" t="b">
        <v>1</v>
      </c>
      <c r="J284" s="65" t="b">
        <v>0</v>
      </c>
      <c r="K284" s="63" t="s">
        <v>534</v>
      </c>
      <c r="L284" s="63" t="s">
        <v>2257</v>
      </c>
      <c r="M284" s="63" t="s">
        <v>2258</v>
      </c>
      <c r="N284" s="63" t="s">
        <v>2147</v>
      </c>
    </row>
    <row r="285" spans="1:14" x14ac:dyDescent="0.2">
      <c r="A285" s="51">
        <v>284</v>
      </c>
      <c r="B285" s="54" t="s">
        <v>534</v>
      </c>
      <c r="C285" s="47" t="s">
        <v>2259</v>
      </c>
      <c r="D285" s="47" t="s">
        <v>12031</v>
      </c>
      <c r="E285" s="47" t="s">
        <v>2046</v>
      </c>
      <c r="F285" s="55" t="b">
        <v>1</v>
      </c>
      <c r="G285" s="54" t="b">
        <v>1</v>
      </c>
      <c r="H285" s="54" t="b">
        <v>1</v>
      </c>
      <c r="I285" s="65" t="b">
        <v>0</v>
      </c>
      <c r="J285" s="65" t="b">
        <v>0</v>
      </c>
      <c r="K285" s="63" t="s">
        <v>534</v>
      </c>
      <c r="L285" s="63" t="s">
        <v>2259</v>
      </c>
      <c r="M285" s="63" t="s">
        <v>2260</v>
      </c>
      <c r="N285" s="63" t="s">
        <v>2164</v>
      </c>
    </row>
    <row r="286" spans="1:14" x14ac:dyDescent="0.2">
      <c r="A286" s="51">
        <v>285</v>
      </c>
      <c r="B286" s="54" t="s">
        <v>534</v>
      </c>
      <c r="C286" s="47" t="s">
        <v>2261</v>
      </c>
      <c r="D286" s="47" t="s">
        <v>2262</v>
      </c>
      <c r="E286" s="47" t="s">
        <v>1790</v>
      </c>
      <c r="F286" s="55" t="b">
        <v>1</v>
      </c>
      <c r="G286" s="54" t="b">
        <v>1</v>
      </c>
      <c r="H286" s="54" t="b">
        <v>1</v>
      </c>
      <c r="I286" s="54" t="b">
        <v>1</v>
      </c>
      <c r="J286" s="65" t="b">
        <v>0</v>
      </c>
      <c r="K286" s="63" t="s">
        <v>534</v>
      </c>
      <c r="L286" s="63" t="s">
        <v>2261</v>
      </c>
      <c r="M286" s="63" t="s">
        <v>2262</v>
      </c>
      <c r="N286" s="63" t="s">
        <v>2147</v>
      </c>
    </row>
    <row r="287" spans="1:14" x14ac:dyDescent="0.2">
      <c r="A287" s="51">
        <v>286</v>
      </c>
      <c r="B287" s="54" t="s">
        <v>534</v>
      </c>
      <c r="C287" s="47" t="s">
        <v>2263</v>
      </c>
      <c r="D287" s="47" t="s">
        <v>2264</v>
      </c>
      <c r="E287" s="47" t="s">
        <v>1790</v>
      </c>
      <c r="F287" s="55" t="b">
        <v>1</v>
      </c>
      <c r="G287" s="54" t="b">
        <v>1</v>
      </c>
      <c r="H287" s="54" t="b">
        <v>1</v>
      </c>
      <c r="I287" s="54" t="b">
        <v>1</v>
      </c>
      <c r="J287" s="65" t="b">
        <v>0</v>
      </c>
      <c r="K287" s="63" t="s">
        <v>534</v>
      </c>
      <c r="L287" s="63" t="s">
        <v>2263</v>
      </c>
      <c r="M287" s="63" t="s">
        <v>2264</v>
      </c>
      <c r="N287" s="63" t="s">
        <v>2147</v>
      </c>
    </row>
    <row r="288" spans="1:14" x14ac:dyDescent="0.2">
      <c r="A288" s="51">
        <v>287</v>
      </c>
      <c r="B288" s="54" t="s">
        <v>534</v>
      </c>
      <c r="C288" s="47" t="s">
        <v>2267</v>
      </c>
      <c r="D288" s="47" t="s">
        <v>2268</v>
      </c>
      <c r="E288" s="47" t="s">
        <v>1790</v>
      </c>
      <c r="F288" s="55" t="b">
        <v>1</v>
      </c>
      <c r="G288" s="54" t="b">
        <v>1</v>
      </c>
      <c r="H288" s="54" t="b">
        <v>1</v>
      </c>
      <c r="I288" s="54" t="b">
        <v>1</v>
      </c>
      <c r="J288" s="65" t="b">
        <v>0</v>
      </c>
      <c r="K288" s="63" t="s">
        <v>534</v>
      </c>
      <c r="L288" s="63" t="s">
        <v>2267</v>
      </c>
      <c r="M288" s="63" t="s">
        <v>2268</v>
      </c>
      <c r="N288" s="63" t="s">
        <v>2147</v>
      </c>
    </row>
    <row r="289" spans="1:14" x14ac:dyDescent="0.2">
      <c r="A289" s="51">
        <v>288</v>
      </c>
      <c r="B289" s="54" t="s">
        <v>534</v>
      </c>
      <c r="C289" s="47" t="s">
        <v>2265</v>
      </c>
      <c r="D289" s="47" t="s">
        <v>12032</v>
      </c>
      <c r="E289" s="47" t="s">
        <v>1790</v>
      </c>
      <c r="F289" s="55" t="b">
        <v>1</v>
      </c>
      <c r="G289" s="54" t="b">
        <v>1</v>
      </c>
      <c r="H289" s="54" t="b">
        <v>1</v>
      </c>
      <c r="I289" s="65" t="b">
        <v>0</v>
      </c>
      <c r="J289" s="65" t="b">
        <v>0</v>
      </c>
      <c r="K289" s="63" t="s">
        <v>534</v>
      </c>
      <c r="L289" s="63" t="s">
        <v>2265</v>
      </c>
      <c r="M289" s="63" t="s">
        <v>2266</v>
      </c>
      <c r="N289" s="63" t="s">
        <v>2147</v>
      </c>
    </row>
    <row r="290" spans="1:14" x14ac:dyDescent="0.2">
      <c r="A290" s="51">
        <v>289</v>
      </c>
      <c r="B290" s="54" t="s">
        <v>534</v>
      </c>
      <c r="C290" s="47" t="s">
        <v>2269</v>
      </c>
      <c r="D290" s="47" t="s">
        <v>2270</v>
      </c>
      <c r="E290" s="47" t="s">
        <v>1790</v>
      </c>
      <c r="F290" s="55" t="b">
        <v>1</v>
      </c>
      <c r="G290" s="54" t="b">
        <v>1</v>
      </c>
      <c r="H290" s="54" t="b">
        <v>1</v>
      </c>
      <c r="I290" s="54" t="b">
        <v>1</v>
      </c>
      <c r="J290" s="65" t="b">
        <v>0</v>
      </c>
      <c r="K290" s="63" t="s">
        <v>534</v>
      </c>
      <c r="L290" s="63" t="s">
        <v>2269</v>
      </c>
      <c r="M290" s="63" t="s">
        <v>2270</v>
      </c>
      <c r="N290" s="63" t="s">
        <v>2147</v>
      </c>
    </row>
    <row r="291" spans="1:14" x14ac:dyDescent="0.2">
      <c r="A291" s="51">
        <v>290</v>
      </c>
      <c r="B291" s="54" t="s">
        <v>534</v>
      </c>
      <c r="C291" s="47" t="s">
        <v>2271</v>
      </c>
      <c r="D291" s="47" t="s">
        <v>2272</v>
      </c>
      <c r="E291" s="47" t="s">
        <v>2046</v>
      </c>
      <c r="F291" s="55" t="b">
        <v>1</v>
      </c>
      <c r="G291" s="54" t="b">
        <v>1</v>
      </c>
      <c r="H291" s="54" t="b">
        <v>1</v>
      </c>
      <c r="I291" s="54" t="b">
        <v>1</v>
      </c>
      <c r="J291" s="65" t="b">
        <v>0</v>
      </c>
      <c r="K291" s="63" t="s">
        <v>534</v>
      </c>
      <c r="L291" s="63" t="s">
        <v>2271</v>
      </c>
      <c r="M291" s="63" t="s">
        <v>2272</v>
      </c>
      <c r="N291" s="63" t="s">
        <v>2164</v>
      </c>
    </row>
    <row r="292" spans="1:14" x14ac:dyDescent="0.2">
      <c r="A292" s="51">
        <v>291</v>
      </c>
      <c r="B292" s="54" t="s">
        <v>534</v>
      </c>
      <c r="C292" s="47" t="s">
        <v>2273</v>
      </c>
      <c r="D292" s="47" t="s">
        <v>2272</v>
      </c>
      <c r="E292" s="47" t="s">
        <v>1790</v>
      </c>
      <c r="F292" s="55" t="b">
        <v>1</v>
      </c>
      <c r="G292" s="54" t="b">
        <v>1</v>
      </c>
      <c r="H292" s="54" t="b">
        <v>1</v>
      </c>
      <c r="I292" s="54" t="b">
        <v>1</v>
      </c>
      <c r="J292" s="65" t="b">
        <v>0</v>
      </c>
      <c r="K292" s="63" t="s">
        <v>534</v>
      </c>
      <c r="L292" s="63" t="s">
        <v>2273</v>
      </c>
      <c r="M292" s="63" t="s">
        <v>2272</v>
      </c>
      <c r="N292" s="63" t="s">
        <v>2147</v>
      </c>
    </row>
    <row r="293" spans="1:14" x14ac:dyDescent="0.2">
      <c r="A293" s="51">
        <v>292</v>
      </c>
      <c r="B293" s="54" t="s">
        <v>534</v>
      </c>
      <c r="C293" s="47" t="s">
        <v>2276</v>
      </c>
      <c r="D293" s="47" t="s">
        <v>12033</v>
      </c>
      <c r="E293" s="47" t="s">
        <v>1790</v>
      </c>
      <c r="F293" s="55" t="b">
        <v>1</v>
      </c>
      <c r="G293" s="54" t="b">
        <v>1</v>
      </c>
      <c r="H293" s="54" t="b">
        <v>1</v>
      </c>
      <c r="I293" s="65" t="b">
        <v>0</v>
      </c>
      <c r="J293" s="65" t="b">
        <v>0</v>
      </c>
      <c r="K293" s="63" t="s">
        <v>534</v>
      </c>
      <c r="L293" s="63" t="s">
        <v>2276</v>
      </c>
      <c r="M293" s="63" t="s">
        <v>2277</v>
      </c>
      <c r="N293" s="63" t="s">
        <v>2147</v>
      </c>
    </row>
    <row r="294" spans="1:14" x14ac:dyDescent="0.2">
      <c r="A294" s="51">
        <v>293</v>
      </c>
      <c r="B294" s="54" t="s">
        <v>534</v>
      </c>
      <c r="C294" s="47" t="s">
        <v>2274</v>
      </c>
      <c r="D294" s="47" t="s">
        <v>2275</v>
      </c>
      <c r="E294" s="47" t="s">
        <v>1790</v>
      </c>
      <c r="F294" s="55" t="b">
        <v>1</v>
      </c>
      <c r="G294" s="54" t="b">
        <v>1</v>
      </c>
      <c r="H294" s="54" t="b">
        <v>1</v>
      </c>
      <c r="I294" s="54" t="b">
        <v>1</v>
      </c>
      <c r="J294" s="65" t="b">
        <v>0</v>
      </c>
      <c r="K294" s="63" t="s">
        <v>534</v>
      </c>
      <c r="L294" s="63" t="s">
        <v>2274</v>
      </c>
      <c r="M294" s="63" t="s">
        <v>2275</v>
      </c>
      <c r="N294" s="63" t="s">
        <v>2147</v>
      </c>
    </row>
    <row r="295" spans="1:14" x14ac:dyDescent="0.2">
      <c r="A295" s="51">
        <v>294</v>
      </c>
      <c r="B295" s="54" t="s">
        <v>534</v>
      </c>
      <c r="C295" s="47" t="s">
        <v>2278</v>
      </c>
      <c r="D295" s="47" t="s">
        <v>12034</v>
      </c>
      <c r="E295" s="47" t="s">
        <v>1790</v>
      </c>
      <c r="F295" s="55" t="b">
        <v>1</v>
      </c>
      <c r="G295" s="54" t="b">
        <v>1</v>
      </c>
      <c r="H295" s="54" t="b">
        <v>1</v>
      </c>
      <c r="I295" s="65" t="b">
        <v>0</v>
      </c>
      <c r="J295" s="65" t="b">
        <v>0</v>
      </c>
      <c r="K295" s="63" t="s">
        <v>534</v>
      </c>
      <c r="L295" s="63" t="s">
        <v>2278</v>
      </c>
      <c r="M295" s="63" t="s">
        <v>2279</v>
      </c>
      <c r="N295" s="63" t="s">
        <v>2147</v>
      </c>
    </row>
    <row r="296" spans="1:14" x14ac:dyDescent="0.2">
      <c r="A296" s="51">
        <v>295</v>
      </c>
      <c r="B296" s="54" t="s">
        <v>1097</v>
      </c>
      <c r="C296" s="47" t="s">
        <v>2301</v>
      </c>
      <c r="D296" s="47" t="s">
        <v>2302</v>
      </c>
      <c r="E296" s="47" t="s">
        <v>1790</v>
      </c>
      <c r="F296" s="55" t="b">
        <v>1</v>
      </c>
      <c r="G296" s="54" t="b">
        <v>1</v>
      </c>
      <c r="H296" s="54" t="b">
        <v>1</v>
      </c>
      <c r="I296" s="54" t="b">
        <v>1</v>
      </c>
      <c r="J296" s="54" t="b">
        <v>1</v>
      </c>
      <c r="K296" s="63" t="s">
        <v>1097</v>
      </c>
      <c r="L296" s="63" t="s">
        <v>2301</v>
      </c>
      <c r="M296" s="63" t="s">
        <v>2302</v>
      </c>
      <c r="N296" s="63" t="s">
        <v>1790</v>
      </c>
    </row>
    <row r="297" spans="1:14" x14ac:dyDescent="0.2">
      <c r="A297" s="51">
        <v>296</v>
      </c>
      <c r="B297" s="54" t="s">
        <v>1097</v>
      </c>
      <c r="C297" s="47" t="s">
        <v>2305</v>
      </c>
      <c r="D297" s="47" t="s">
        <v>2306</v>
      </c>
      <c r="E297" s="47" t="s">
        <v>1790</v>
      </c>
      <c r="F297" s="55" t="b">
        <v>1</v>
      </c>
      <c r="G297" s="54" t="b">
        <v>1</v>
      </c>
      <c r="H297" s="54" t="b">
        <v>1</v>
      </c>
      <c r="I297" s="54" t="b">
        <v>1</v>
      </c>
      <c r="J297" s="54" t="b">
        <v>1</v>
      </c>
      <c r="K297" s="63" t="s">
        <v>1097</v>
      </c>
      <c r="L297" s="63" t="s">
        <v>2305</v>
      </c>
      <c r="M297" s="63" t="s">
        <v>2306</v>
      </c>
      <c r="N297" s="63" t="s">
        <v>1790</v>
      </c>
    </row>
    <row r="298" spans="1:14" x14ac:dyDescent="0.2">
      <c r="A298" s="51">
        <v>297</v>
      </c>
      <c r="B298" s="54" t="s">
        <v>1097</v>
      </c>
      <c r="C298" s="47" t="s">
        <v>2307</v>
      </c>
      <c r="D298" s="47" t="s">
        <v>2308</v>
      </c>
      <c r="E298" s="47" t="s">
        <v>1790</v>
      </c>
      <c r="F298" s="55" t="b">
        <v>1</v>
      </c>
      <c r="G298" s="54" t="b">
        <v>1</v>
      </c>
      <c r="H298" s="54" t="b">
        <v>1</v>
      </c>
      <c r="I298" s="54" t="b">
        <v>1</v>
      </c>
      <c r="J298" s="54" t="b">
        <v>1</v>
      </c>
      <c r="K298" s="63" t="s">
        <v>1097</v>
      </c>
      <c r="L298" s="63" t="s">
        <v>2307</v>
      </c>
      <c r="M298" s="63" t="s">
        <v>2308</v>
      </c>
      <c r="N298" s="63" t="s">
        <v>1790</v>
      </c>
    </row>
    <row r="299" spans="1:14" x14ac:dyDescent="0.2">
      <c r="A299" s="51">
        <v>298</v>
      </c>
      <c r="B299" s="54" t="s">
        <v>1097</v>
      </c>
      <c r="C299" s="47" t="s">
        <v>2303</v>
      </c>
      <c r="D299" s="47" t="s">
        <v>2304</v>
      </c>
      <c r="E299" s="47" t="s">
        <v>1790</v>
      </c>
      <c r="F299" s="55" t="b">
        <v>1</v>
      </c>
      <c r="G299" s="54" t="b">
        <v>1</v>
      </c>
      <c r="H299" s="54" t="b">
        <v>1</v>
      </c>
      <c r="I299" s="54" t="b">
        <v>1</v>
      </c>
      <c r="J299" s="54" t="b">
        <v>1</v>
      </c>
      <c r="K299" s="63" t="s">
        <v>1097</v>
      </c>
      <c r="L299" s="63" t="s">
        <v>2303</v>
      </c>
      <c r="M299" s="63" t="s">
        <v>2304</v>
      </c>
      <c r="N299" s="63" t="s">
        <v>1790</v>
      </c>
    </row>
    <row r="300" spans="1:14" x14ac:dyDescent="0.2">
      <c r="A300" s="51">
        <v>299</v>
      </c>
      <c r="B300" s="54" t="s">
        <v>1097</v>
      </c>
      <c r="C300" s="47" t="s">
        <v>2315</v>
      </c>
      <c r="D300" s="47" t="s">
        <v>2316</v>
      </c>
      <c r="E300" s="47" t="s">
        <v>1790</v>
      </c>
      <c r="F300" s="55" t="b">
        <v>1</v>
      </c>
      <c r="G300" s="54" t="b">
        <v>1</v>
      </c>
      <c r="H300" s="54" t="b">
        <v>1</v>
      </c>
      <c r="I300" s="54" t="b">
        <v>1</v>
      </c>
      <c r="J300" s="54" t="b">
        <v>1</v>
      </c>
      <c r="K300" s="63" t="s">
        <v>1097</v>
      </c>
      <c r="L300" s="63" t="s">
        <v>2315</v>
      </c>
      <c r="M300" s="63" t="s">
        <v>2316</v>
      </c>
      <c r="N300" s="63" t="s">
        <v>1790</v>
      </c>
    </row>
    <row r="301" spans="1:14" x14ac:dyDescent="0.2">
      <c r="A301" s="51">
        <v>300</v>
      </c>
      <c r="B301" s="54" t="s">
        <v>1097</v>
      </c>
      <c r="C301" s="47" t="s">
        <v>2309</v>
      </c>
      <c r="D301" s="47" t="s">
        <v>2310</v>
      </c>
      <c r="E301" s="47" t="s">
        <v>1790</v>
      </c>
      <c r="F301" s="55" t="b">
        <v>1</v>
      </c>
      <c r="G301" s="54" t="b">
        <v>1</v>
      </c>
      <c r="H301" s="54" t="b">
        <v>1</v>
      </c>
      <c r="I301" s="54" t="b">
        <v>1</v>
      </c>
      <c r="J301" s="54" t="b">
        <v>1</v>
      </c>
      <c r="K301" s="63" t="s">
        <v>1097</v>
      </c>
      <c r="L301" s="63" t="s">
        <v>2309</v>
      </c>
      <c r="M301" s="63" t="s">
        <v>2310</v>
      </c>
      <c r="N301" s="63" t="s">
        <v>1790</v>
      </c>
    </row>
    <row r="302" spans="1:14" x14ac:dyDescent="0.2">
      <c r="A302" s="51">
        <v>301</v>
      </c>
      <c r="B302" s="54" t="s">
        <v>1097</v>
      </c>
      <c r="C302" s="47" t="s">
        <v>2319</v>
      </c>
      <c r="D302" s="47" t="s">
        <v>2320</v>
      </c>
      <c r="E302" s="47" t="s">
        <v>1790</v>
      </c>
      <c r="F302" s="55" t="b">
        <v>1</v>
      </c>
      <c r="G302" s="54" t="b">
        <v>1</v>
      </c>
      <c r="H302" s="54" t="b">
        <v>1</v>
      </c>
      <c r="I302" s="54" t="b">
        <v>1</v>
      </c>
      <c r="J302" s="54" t="b">
        <v>1</v>
      </c>
      <c r="K302" s="63" t="s">
        <v>1097</v>
      </c>
      <c r="L302" s="63" t="s">
        <v>2319</v>
      </c>
      <c r="M302" s="63" t="s">
        <v>2320</v>
      </c>
      <c r="N302" s="63" t="s">
        <v>1790</v>
      </c>
    </row>
    <row r="303" spans="1:14" x14ac:dyDescent="0.2">
      <c r="A303" s="51">
        <v>302</v>
      </c>
      <c r="B303" s="54" t="s">
        <v>1097</v>
      </c>
      <c r="C303" s="47" t="s">
        <v>2311</v>
      </c>
      <c r="D303" s="47" t="s">
        <v>2312</v>
      </c>
      <c r="E303" s="47" t="s">
        <v>1790</v>
      </c>
      <c r="F303" s="55" t="b">
        <v>1</v>
      </c>
      <c r="G303" s="54" t="b">
        <v>1</v>
      </c>
      <c r="H303" s="54" t="b">
        <v>1</v>
      </c>
      <c r="I303" s="54" t="b">
        <v>1</v>
      </c>
      <c r="J303" s="54" t="b">
        <v>1</v>
      </c>
      <c r="K303" s="63" t="s">
        <v>1097</v>
      </c>
      <c r="L303" s="63" t="s">
        <v>2311</v>
      </c>
      <c r="M303" s="63" t="s">
        <v>2312</v>
      </c>
      <c r="N303" s="63" t="s">
        <v>1790</v>
      </c>
    </row>
    <row r="304" spans="1:14" x14ac:dyDescent="0.2">
      <c r="A304" s="51">
        <v>303</v>
      </c>
      <c r="B304" s="54" t="s">
        <v>1097</v>
      </c>
      <c r="C304" s="47" t="s">
        <v>2313</v>
      </c>
      <c r="D304" s="47" t="s">
        <v>2314</v>
      </c>
      <c r="E304" s="47" t="s">
        <v>1790</v>
      </c>
      <c r="F304" s="55" t="b">
        <v>1</v>
      </c>
      <c r="G304" s="54" t="b">
        <v>1</v>
      </c>
      <c r="H304" s="54" t="b">
        <v>1</v>
      </c>
      <c r="I304" s="54" t="b">
        <v>1</v>
      </c>
      <c r="J304" s="54" t="b">
        <v>1</v>
      </c>
      <c r="K304" s="63" t="s">
        <v>1097</v>
      </c>
      <c r="L304" s="63" t="s">
        <v>2313</v>
      </c>
      <c r="M304" s="63" t="s">
        <v>2314</v>
      </c>
      <c r="N304" s="63" t="s">
        <v>1790</v>
      </c>
    </row>
    <row r="305" spans="1:14" x14ac:dyDescent="0.2">
      <c r="A305" s="51">
        <v>304</v>
      </c>
      <c r="B305" s="54" t="s">
        <v>1097</v>
      </c>
      <c r="C305" s="47" t="s">
        <v>2321</v>
      </c>
      <c r="D305" s="47" t="s">
        <v>2322</v>
      </c>
      <c r="E305" s="47" t="s">
        <v>1790</v>
      </c>
      <c r="F305" s="55" t="b">
        <v>1</v>
      </c>
      <c r="G305" s="54" t="b">
        <v>1</v>
      </c>
      <c r="H305" s="54" t="b">
        <v>1</v>
      </c>
      <c r="I305" s="54" t="b">
        <v>1</v>
      </c>
      <c r="J305" s="54" t="b">
        <v>1</v>
      </c>
      <c r="K305" s="63" t="s">
        <v>1097</v>
      </c>
      <c r="L305" s="63" t="s">
        <v>2321</v>
      </c>
      <c r="M305" s="63" t="s">
        <v>2322</v>
      </c>
      <c r="N305" s="63" t="s">
        <v>1790</v>
      </c>
    </row>
    <row r="306" spans="1:14" x14ac:dyDescent="0.2">
      <c r="A306" s="51">
        <v>305</v>
      </c>
      <c r="B306" s="54" t="s">
        <v>1097</v>
      </c>
      <c r="C306" s="47" t="s">
        <v>2323</v>
      </c>
      <c r="D306" s="47" t="s">
        <v>2324</v>
      </c>
      <c r="E306" s="47" t="s">
        <v>1790</v>
      </c>
      <c r="F306" s="55" t="b">
        <v>1</v>
      </c>
      <c r="G306" s="54" t="b">
        <v>1</v>
      </c>
      <c r="H306" s="54" t="b">
        <v>1</v>
      </c>
      <c r="I306" s="54" t="b">
        <v>1</v>
      </c>
      <c r="J306" s="54" t="b">
        <v>1</v>
      </c>
      <c r="K306" s="63" t="s">
        <v>1097</v>
      </c>
      <c r="L306" s="63" t="s">
        <v>2323</v>
      </c>
      <c r="M306" s="63" t="s">
        <v>2324</v>
      </c>
      <c r="N306" s="63" t="s">
        <v>1790</v>
      </c>
    </row>
    <row r="307" spans="1:14" x14ac:dyDescent="0.2">
      <c r="A307" s="51">
        <v>306</v>
      </c>
      <c r="B307" s="54" t="s">
        <v>1097</v>
      </c>
      <c r="C307" s="47" t="s">
        <v>2317</v>
      </c>
      <c r="D307" s="47" t="s">
        <v>2318</v>
      </c>
      <c r="E307" s="47" t="s">
        <v>1790</v>
      </c>
      <c r="F307" s="55" t="b">
        <v>1</v>
      </c>
      <c r="G307" s="54" t="b">
        <v>1</v>
      </c>
      <c r="H307" s="54" t="b">
        <v>1</v>
      </c>
      <c r="I307" s="54" t="b">
        <v>1</v>
      </c>
      <c r="J307" s="54" t="b">
        <v>1</v>
      </c>
      <c r="K307" s="63" t="s">
        <v>1097</v>
      </c>
      <c r="L307" s="63" t="s">
        <v>2317</v>
      </c>
      <c r="M307" s="63" t="s">
        <v>2318</v>
      </c>
      <c r="N307" s="63" t="s">
        <v>1790</v>
      </c>
    </row>
    <row r="308" spans="1:14" x14ac:dyDescent="0.2">
      <c r="A308" s="51">
        <v>307</v>
      </c>
      <c r="B308" s="54" t="s">
        <v>1097</v>
      </c>
      <c r="C308" s="47" t="s">
        <v>2325</v>
      </c>
      <c r="D308" s="47" t="s">
        <v>2326</v>
      </c>
      <c r="E308" s="47" t="s">
        <v>1790</v>
      </c>
      <c r="F308" s="55" t="b">
        <v>1</v>
      </c>
      <c r="G308" s="54" t="b">
        <v>1</v>
      </c>
      <c r="H308" s="54" t="b">
        <v>1</v>
      </c>
      <c r="I308" s="54" t="b">
        <v>1</v>
      </c>
      <c r="J308" s="54" t="b">
        <v>1</v>
      </c>
      <c r="K308" s="63" t="s">
        <v>1097</v>
      </c>
      <c r="L308" s="63" t="s">
        <v>2325</v>
      </c>
      <c r="M308" s="63" t="s">
        <v>2326</v>
      </c>
      <c r="N308" s="63" t="s">
        <v>1790</v>
      </c>
    </row>
    <row r="309" spans="1:14" x14ac:dyDescent="0.2">
      <c r="A309" s="51">
        <v>308</v>
      </c>
      <c r="B309" s="54" t="s">
        <v>1097</v>
      </c>
      <c r="C309" s="47" t="s">
        <v>2327</v>
      </c>
      <c r="D309" s="47" t="s">
        <v>2328</v>
      </c>
      <c r="E309" s="47" t="s">
        <v>1790</v>
      </c>
      <c r="F309" s="55" t="b">
        <v>1</v>
      </c>
      <c r="G309" s="54" t="b">
        <v>1</v>
      </c>
      <c r="H309" s="54" t="b">
        <v>1</v>
      </c>
      <c r="I309" s="54" t="b">
        <v>1</v>
      </c>
      <c r="J309" s="54" t="b">
        <v>1</v>
      </c>
      <c r="K309" s="63" t="s">
        <v>1097</v>
      </c>
      <c r="L309" s="63" t="s">
        <v>2327</v>
      </c>
      <c r="M309" s="63" t="s">
        <v>2328</v>
      </c>
      <c r="N309" s="63" t="s">
        <v>1790</v>
      </c>
    </row>
    <row r="310" spans="1:14" x14ac:dyDescent="0.2">
      <c r="A310" s="51">
        <v>309</v>
      </c>
      <c r="B310" s="54" t="s">
        <v>1097</v>
      </c>
      <c r="C310" s="47" t="s">
        <v>2329</v>
      </c>
      <c r="D310" s="47" t="s">
        <v>2330</v>
      </c>
      <c r="E310" s="47" t="s">
        <v>1790</v>
      </c>
      <c r="F310" s="55" t="b">
        <v>1</v>
      </c>
      <c r="G310" s="54" t="b">
        <v>1</v>
      </c>
      <c r="H310" s="54" t="b">
        <v>1</v>
      </c>
      <c r="I310" s="54" t="b">
        <v>1</v>
      </c>
      <c r="J310" s="54" t="b">
        <v>1</v>
      </c>
      <c r="K310" s="63" t="s">
        <v>1097</v>
      </c>
      <c r="L310" s="63" t="s">
        <v>2329</v>
      </c>
      <c r="M310" s="63" t="s">
        <v>2330</v>
      </c>
      <c r="N310" s="63" t="s">
        <v>1790</v>
      </c>
    </row>
    <row r="311" spans="1:14" x14ac:dyDescent="0.2">
      <c r="A311" s="51">
        <v>310</v>
      </c>
      <c r="B311" s="54" t="s">
        <v>1097</v>
      </c>
      <c r="C311" s="47" t="s">
        <v>2331</v>
      </c>
      <c r="D311" s="47" t="s">
        <v>2332</v>
      </c>
      <c r="E311" s="47" t="s">
        <v>1790</v>
      </c>
      <c r="F311" s="55" t="b">
        <v>1</v>
      </c>
      <c r="G311" s="54" t="b">
        <v>1</v>
      </c>
      <c r="H311" s="54" t="b">
        <v>1</v>
      </c>
      <c r="I311" s="54" t="b">
        <v>1</v>
      </c>
      <c r="J311" s="54" t="b">
        <v>1</v>
      </c>
      <c r="K311" s="63" t="s">
        <v>1097</v>
      </c>
      <c r="L311" s="63" t="s">
        <v>2331</v>
      </c>
      <c r="M311" s="63" t="s">
        <v>2332</v>
      </c>
      <c r="N311" s="63" t="s">
        <v>1790</v>
      </c>
    </row>
    <row r="312" spans="1:14" x14ac:dyDescent="0.2">
      <c r="A312" s="51">
        <v>311</v>
      </c>
      <c r="B312" s="54" t="s">
        <v>1097</v>
      </c>
      <c r="C312" s="47" t="s">
        <v>2333</v>
      </c>
      <c r="D312" s="47" t="s">
        <v>2334</v>
      </c>
      <c r="E312" s="47" t="s">
        <v>1790</v>
      </c>
      <c r="F312" s="55" t="b">
        <v>1</v>
      </c>
      <c r="G312" s="54" t="b">
        <v>1</v>
      </c>
      <c r="H312" s="54" t="b">
        <v>1</v>
      </c>
      <c r="I312" s="54" t="b">
        <v>1</v>
      </c>
      <c r="J312" s="54" t="b">
        <v>1</v>
      </c>
      <c r="K312" s="63" t="s">
        <v>1097</v>
      </c>
      <c r="L312" s="63" t="s">
        <v>2333</v>
      </c>
      <c r="M312" s="63" t="s">
        <v>2334</v>
      </c>
      <c r="N312" s="63" t="s">
        <v>1790</v>
      </c>
    </row>
    <row r="313" spans="1:14" x14ac:dyDescent="0.2">
      <c r="A313" s="51">
        <v>312</v>
      </c>
      <c r="B313" s="54" t="s">
        <v>1097</v>
      </c>
      <c r="C313" s="47" t="s">
        <v>2335</v>
      </c>
      <c r="D313" s="47" t="s">
        <v>2336</v>
      </c>
      <c r="E313" s="47" t="s">
        <v>1790</v>
      </c>
      <c r="F313" s="55" t="b">
        <v>1</v>
      </c>
      <c r="G313" s="54" t="b">
        <v>1</v>
      </c>
      <c r="H313" s="54" t="b">
        <v>1</v>
      </c>
      <c r="I313" s="54" t="b">
        <v>1</v>
      </c>
      <c r="J313" s="54" t="b">
        <v>1</v>
      </c>
      <c r="K313" s="63" t="s">
        <v>1097</v>
      </c>
      <c r="L313" s="63" t="s">
        <v>2335</v>
      </c>
      <c r="M313" s="63" t="s">
        <v>2336</v>
      </c>
      <c r="N313" s="63" t="s">
        <v>1790</v>
      </c>
    </row>
    <row r="314" spans="1:14" x14ac:dyDescent="0.2">
      <c r="A314" s="51">
        <v>313</v>
      </c>
      <c r="B314" s="54" t="s">
        <v>1097</v>
      </c>
      <c r="C314" s="47" t="s">
        <v>2337</v>
      </c>
      <c r="D314" s="47" t="s">
        <v>2338</v>
      </c>
      <c r="E314" s="47" t="s">
        <v>1790</v>
      </c>
      <c r="F314" s="55" t="b">
        <v>1</v>
      </c>
      <c r="G314" s="54" t="b">
        <v>1</v>
      </c>
      <c r="H314" s="54" t="b">
        <v>1</v>
      </c>
      <c r="I314" s="54" t="b">
        <v>1</v>
      </c>
      <c r="J314" s="54" t="b">
        <v>1</v>
      </c>
      <c r="K314" s="63" t="s">
        <v>1097</v>
      </c>
      <c r="L314" s="63" t="s">
        <v>2337</v>
      </c>
      <c r="M314" s="63" t="s">
        <v>2338</v>
      </c>
      <c r="N314" s="63" t="s">
        <v>1790</v>
      </c>
    </row>
    <row r="315" spans="1:14" x14ac:dyDescent="0.2">
      <c r="A315" s="51">
        <v>314</v>
      </c>
      <c r="B315" s="54" t="s">
        <v>1097</v>
      </c>
      <c r="C315" s="47" t="s">
        <v>2339</v>
      </c>
      <c r="D315" s="47" t="s">
        <v>12035</v>
      </c>
      <c r="E315" s="47" t="s">
        <v>1790</v>
      </c>
      <c r="F315" s="55" t="b">
        <v>1</v>
      </c>
      <c r="G315" s="54" t="b">
        <v>1</v>
      </c>
      <c r="H315" s="54" t="b">
        <v>1</v>
      </c>
      <c r="I315" s="65" t="b">
        <v>0</v>
      </c>
      <c r="J315" s="54" t="b">
        <v>1</v>
      </c>
      <c r="K315" s="63" t="s">
        <v>1097</v>
      </c>
      <c r="L315" s="63" t="s">
        <v>2339</v>
      </c>
      <c r="M315" s="63" t="s">
        <v>2340</v>
      </c>
      <c r="N315" s="63" t="s">
        <v>1790</v>
      </c>
    </row>
    <row r="316" spans="1:14" x14ac:dyDescent="0.2">
      <c r="A316" s="51">
        <v>315</v>
      </c>
      <c r="B316" s="54" t="s">
        <v>1097</v>
      </c>
      <c r="C316" s="47" t="s">
        <v>2345</v>
      </c>
      <c r="D316" s="47" t="s">
        <v>2346</v>
      </c>
      <c r="E316" s="47" t="s">
        <v>1790</v>
      </c>
      <c r="F316" s="55" t="b">
        <v>1</v>
      </c>
      <c r="G316" s="54" t="b">
        <v>1</v>
      </c>
      <c r="H316" s="54" t="b">
        <v>1</v>
      </c>
      <c r="I316" s="54" t="b">
        <v>1</v>
      </c>
      <c r="J316" s="54" t="b">
        <v>1</v>
      </c>
      <c r="K316" s="63" t="s">
        <v>1097</v>
      </c>
      <c r="L316" s="63" t="s">
        <v>2345</v>
      </c>
      <c r="M316" s="63" t="s">
        <v>2346</v>
      </c>
      <c r="N316" s="63" t="s">
        <v>1790</v>
      </c>
    </row>
    <row r="317" spans="1:14" x14ac:dyDescent="0.2">
      <c r="A317" s="51">
        <v>316</v>
      </c>
      <c r="B317" s="54" t="s">
        <v>1097</v>
      </c>
      <c r="C317" s="47" t="s">
        <v>2341</v>
      </c>
      <c r="D317" s="47" t="s">
        <v>2342</v>
      </c>
      <c r="E317" s="47" t="s">
        <v>1790</v>
      </c>
      <c r="F317" s="55" t="b">
        <v>1</v>
      </c>
      <c r="G317" s="54" t="b">
        <v>1</v>
      </c>
      <c r="H317" s="54" t="b">
        <v>1</v>
      </c>
      <c r="I317" s="54" t="b">
        <v>1</v>
      </c>
      <c r="J317" s="54" t="b">
        <v>1</v>
      </c>
      <c r="K317" s="63" t="s">
        <v>1097</v>
      </c>
      <c r="L317" s="63" t="s">
        <v>2341</v>
      </c>
      <c r="M317" s="63" t="s">
        <v>2342</v>
      </c>
      <c r="N317" s="63" t="s">
        <v>1790</v>
      </c>
    </row>
    <row r="318" spans="1:14" x14ac:dyDescent="0.2">
      <c r="A318" s="51">
        <v>317</v>
      </c>
      <c r="B318" s="54" t="s">
        <v>1097</v>
      </c>
      <c r="C318" s="47" t="s">
        <v>2343</v>
      </c>
      <c r="D318" s="47" t="s">
        <v>2344</v>
      </c>
      <c r="E318" s="47" t="s">
        <v>1790</v>
      </c>
      <c r="F318" s="55" t="b">
        <v>1</v>
      </c>
      <c r="G318" s="54" t="b">
        <v>1</v>
      </c>
      <c r="H318" s="54" t="b">
        <v>1</v>
      </c>
      <c r="I318" s="54" t="b">
        <v>1</v>
      </c>
      <c r="J318" s="54" t="b">
        <v>1</v>
      </c>
      <c r="K318" s="63" t="s">
        <v>1097</v>
      </c>
      <c r="L318" s="63" t="s">
        <v>2343</v>
      </c>
      <c r="M318" s="63" t="s">
        <v>2344</v>
      </c>
      <c r="N318" s="63" t="s">
        <v>1790</v>
      </c>
    </row>
    <row r="319" spans="1:14" x14ac:dyDescent="0.2">
      <c r="A319" s="51">
        <v>318</v>
      </c>
      <c r="B319" s="54" t="s">
        <v>1097</v>
      </c>
      <c r="C319" s="47" t="s">
        <v>2349</v>
      </c>
      <c r="D319" s="47" t="s">
        <v>2350</v>
      </c>
      <c r="E319" s="47" t="s">
        <v>1790</v>
      </c>
      <c r="F319" s="55" t="b">
        <v>1</v>
      </c>
      <c r="G319" s="54" t="b">
        <v>1</v>
      </c>
      <c r="H319" s="54" t="b">
        <v>1</v>
      </c>
      <c r="I319" s="54" t="b">
        <v>1</v>
      </c>
      <c r="J319" s="54" t="b">
        <v>1</v>
      </c>
      <c r="K319" s="63" t="s">
        <v>1097</v>
      </c>
      <c r="L319" s="63" t="s">
        <v>2349</v>
      </c>
      <c r="M319" s="63" t="s">
        <v>2350</v>
      </c>
      <c r="N319" s="63" t="s">
        <v>1790</v>
      </c>
    </row>
    <row r="320" spans="1:14" x14ac:dyDescent="0.2">
      <c r="A320" s="51">
        <v>319</v>
      </c>
      <c r="B320" s="54" t="s">
        <v>1097</v>
      </c>
      <c r="C320" s="47" t="s">
        <v>2347</v>
      </c>
      <c r="D320" s="47" t="s">
        <v>2348</v>
      </c>
      <c r="E320" s="47" t="s">
        <v>1790</v>
      </c>
      <c r="F320" s="55" t="b">
        <v>1</v>
      </c>
      <c r="G320" s="54" t="b">
        <v>1</v>
      </c>
      <c r="H320" s="54" t="b">
        <v>1</v>
      </c>
      <c r="I320" s="54" t="b">
        <v>1</v>
      </c>
      <c r="J320" s="54" t="b">
        <v>1</v>
      </c>
      <c r="K320" s="63" t="s">
        <v>1097</v>
      </c>
      <c r="L320" s="63" t="s">
        <v>2347</v>
      </c>
      <c r="M320" s="63" t="s">
        <v>2348</v>
      </c>
      <c r="N320" s="63" t="s">
        <v>1790</v>
      </c>
    </row>
    <row r="321" spans="1:14" x14ac:dyDescent="0.2">
      <c r="A321" s="51">
        <v>320</v>
      </c>
      <c r="B321" s="54" t="s">
        <v>1097</v>
      </c>
      <c r="C321" s="47" t="s">
        <v>2355</v>
      </c>
      <c r="D321" s="47" t="s">
        <v>2356</v>
      </c>
      <c r="E321" s="47" t="s">
        <v>1790</v>
      </c>
      <c r="F321" s="55" t="b">
        <v>1</v>
      </c>
      <c r="G321" s="54" t="b">
        <v>1</v>
      </c>
      <c r="H321" s="54" t="b">
        <v>1</v>
      </c>
      <c r="I321" s="54" t="b">
        <v>1</v>
      </c>
      <c r="J321" s="54" t="b">
        <v>1</v>
      </c>
      <c r="K321" s="63" t="s">
        <v>1097</v>
      </c>
      <c r="L321" s="63" t="s">
        <v>2355</v>
      </c>
      <c r="M321" s="63" t="s">
        <v>2356</v>
      </c>
      <c r="N321" s="63" t="s">
        <v>1790</v>
      </c>
    </row>
    <row r="322" spans="1:14" x14ac:dyDescent="0.2">
      <c r="A322" s="51">
        <v>321</v>
      </c>
      <c r="B322" s="54" t="s">
        <v>1097</v>
      </c>
      <c r="C322" s="47" t="s">
        <v>2357</v>
      </c>
      <c r="D322" s="47" t="s">
        <v>2358</v>
      </c>
      <c r="E322" s="47" t="s">
        <v>1790</v>
      </c>
      <c r="F322" s="55" t="b">
        <v>1</v>
      </c>
      <c r="G322" s="54" t="b">
        <v>1</v>
      </c>
      <c r="H322" s="54" t="b">
        <v>1</v>
      </c>
      <c r="I322" s="54" t="b">
        <v>1</v>
      </c>
      <c r="J322" s="54" t="b">
        <v>1</v>
      </c>
      <c r="K322" s="63" t="s">
        <v>1097</v>
      </c>
      <c r="L322" s="63" t="s">
        <v>2357</v>
      </c>
      <c r="M322" s="63" t="s">
        <v>2358</v>
      </c>
      <c r="N322" s="63" t="s">
        <v>1790</v>
      </c>
    </row>
    <row r="323" spans="1:14" x14ac:dyDescent="0.2">
      <c r="A323" s="51">
        <v>322</v>
      </c>
      <c r="B323" s="54" t="s">
        <v>1097</v>
      </c>
      <c r="C323" s="47" t="s">
        <v>2353</v>
      </c>
      <c r="D323" s="47" t="s">
        <v>2354</v>
      </c>
      <c r="E323" s="47" t="s">
        <v>1790</v>
      </c>
      <c r="F323" s="55" t="b">
        <v>1</v>
      </c>
      <c r="G323" s="54" t="b">
        <v>1</v>
      </c>
      <c r="H323" s="54" t="b">
        <v>1</v>
      </c>
      <c r="I323" s="54" t="b">
        <v>1</v>
      </c>
      <c r="J323" s="54" t="b">
        <v>1</v>
      </c>
      <c r="K323" s="63" t="s">
        <v>1097</v>
      </c>
      <c r="L323" s="63" t="s">
        <v>2353</v>
      </c>
      <c r="M323" s="63" t="s">
        <v>2354</v>
      </c>
      <c r="N323" s="63" t="s">
        <v>1790</v>
      </c>
    </row>
    <row r="324" spans="1:14" x14ac:dyDescent="0.2">
      <c r="A324" s="51">
        <v>323</v>
      </c>
      <c r="B324" s="54" t="s">
        <v>1097</v>
      </c>
      <c r="C324" s="47" t="s">
        <v>2351</v>
      </c>
      <c r="D324" s="47" t="s">
        <v>2352</v>
      </c>
      <c r="E324" s="47" t="s">
        <v>1790</v>
      </c>
      <c r="F324" s="55" t="b">
        <v>1</v>
      </c>
      <c r="G324" s="54" t="b">
        <v>1</v>
      </c>
      <c r="H324" s="54" t="b">
        <v>1</v>
      </c>
      <c r="I324" s="54" t="b">
        <v>1</v>
      </c>
      <c r="J324" s="54" t="b">
        <v>1</v>
      </c>
      <c r="K324" s="63" t="s">
        <v>1097</v>
      </c>
      <c r="L324" s="63" t="s">
        <v>2351</v>
      </c>
      <c r="M324" s="63" t="s">
        <v>2352</v>
      </c>
      <c r="N324" s="63" t="s">
        <v>1790</v>
      </c>
    </row>
    <row r="325" spans="1:14" x14ac:dyDescent="0.2">
      <c r="A325" s="51">
        <v>324</v>
      </c>
      <c r="B325" s="54" t="s">
        <v>1097</v>
      </c>
      <c r="C325" s="47" t="s">
        <v>2359</v>
      </c>
      <c r="D325" s="47" t="s">
        <v>2360</v>
      </c>
      <c r="E325" s="47" t="s">
        <v>1790</v>
      </c>
      <c r="F325" s="55" t="b">
        <v>1</v>
      </c>
      <c r="G325" s="54" t="b">
        <v>1</v>
      </c>
      <c r="H325" s="54" t="b">
        <v>1</v>
      </c>
      <c r="I325" s="54" t="b">
        <v>1</v>
      </c>
      <c r="J325" s="54" t="b">
        <v>1</v>
      </c>
      <c r="K325" s="63" t="s">
        <v>1097</v>
      </c>
      <c r="L325" s="63" t="s">
        <v>2359</v>
      </c>
      <c r="M325" s="63" t="s">
        <v>2360</v>
      </c>
      <c r="N325" s="63" t="s">
        <v>1790</v>
      </c>
    </row>
    <row r="326" spans="1:14" x14ac:dyDescent="0.2">
      <c r="A326" s="51">
        <v>325</v>
      </c>
      <c r="B326" s="54" t="s">
        <v>1097</v>
      </c>
      <c r="C326" s="47" t="s">
        <v>2361</v>
      </c>
      <c r="D326" s="47" t="s">
        <v>2362</v>
      </c>
      <c r="E326" s="47" t="s">
        <v>1790</v>
      </c>
      <c r="F326" s="55" t="b">
        <v>1</v>
      </c>
      <c r="G326" s="54" t="b">
        <v>1</v>
      </c>
      <c r="H326" s="54" t="b">
        <v>1</v>
      </c>
      <c r="I326" s="54" t="b">
        <v>1</v>
      </c>
      <c r="J326" s="54" t="b">
        <v>1</v>
      </c>
      <c r="K326" s="63" t="s">
        <v>1097</v>
      </c>
      <c r="L326" s="63" t="s">
        <v>2361</v>
      </c>
      <c r="M326" s="63" t="s">
        <v>2362</v>
      </c>
      <c r="N326" s="63" t="s">
        <v>1790</v>
      </c>
    </row>
    <row r="327" spans="1:14" x14ac:dyDescent="0.2">
      <c r="A327" s="51">
        <v>326</v>
      </c>
      <c r="B327" s="54" t="s">
        <v>538</v>
      </c>
      <c r="C327" s="47" t="s">
        <v>2366</v>
      </c>
      <c r="D327" s="47" t="s">
        <v>12036</v>
      </c>
      <c r="E327" s="47" t="s">
        <v>2365</v>
      </c>
      <c r="F327" s="55" t="b">
        <v>1</v>
      </c>
      <c r="G327" s="54" t="b">
        <v>1</v>
      </c>
      <c r="H327" s="54" t="b">
        <v>1</v>
      </c>
      <c r="I327" s="65" t="b">
        <v>0</v>
      </c>
      <c r="J327" s="54" t="b">
        <v>1</v>
      </c>
      <c r="K327" s="63" t="s">
        <v>538</v>
      </c>
      <c r="L327" s="63" t="s">
        <v>2366</v>
      </c>
      <c r="M327" s="63" t="s">
        <v>2367</v>
      </c>
      <c r="N327" s="63" t="s">
        <v>2365</v>
      </c>
    </row>
    <row r="328" spans="1:14" x14ac:dyDescent="0.2">
      <c r="A328" s="51">
        <v>327</v>
      </c>
      <c r="B328" s="54" t="s">
        <v>538</v>
      </c>
      <c r="C328" s="47" t="s">
        <v>2363</v>
      </c>
      <c r="D328" s="47" t="s">
        <v>2364</v>
      </c>
      <c r="E328" s="47" t="s">
        <v>2365</v>
      </c>
      <c r="F328" s="55" t="b">
        <v>1</v>
      </c>
      <c r="G328" s="54" t="b">
        <v>1</v>
      </c>
      <c r="H328" s="54" t="b">
        <v>1</v>
      </c>
      <c r="I328" s="54" t="b">
        <v>1</v>
      </c>
      <c r="J328" s="54" t="b">
        <v>1</v>
      </c>
      <c r="K328" s="63" t="s">
        <v>538</v>
      </c>
      <c r="L328" s="63" t="s">
        <v>2363</v>
      </c>
      <c r="M328" s="63" t="s">
        <v>2364</v>
      </c>
      <c r="N328" s="63" t="s">
        <v>2365</v>
      </c>
    </row>
    <row r="329" spans="1:14" x14ac:dyDescent="0.2">
      <c r="A329" s="51">
        <v>328</v>
      </c>
      <c r="B329" s="54" t="s">
        <v>538</v>
      </c>
      <c r="C329" s="47" t="s">
        <v>2368</v>
      </c>
      <c r="D329" s="47" t="s">
        <v>2369</v>
      </c>
      <c r="E329" s="47" t="s">
        <v>2365</v>
      </c>
      <c r="F329" s="55" t="b">
        <v>1</v>
      </c>
      <c r="G329" s="54" t="b">
        <v>1</v>
      </c>
      <c r="H329" s="54" t="b">
        <v>1</v>
      </c>
      <c r="I329" s="54" t="b">
        <v>1</v>
      </c>
      <c r="J329" s="54" t="b">
        <v>1</v>
      </c>
      <c r="K329" s="63" t="s">
        <v>538</v>
      </c>
      <c r="L329" s="63" t="s">
        <v>2368</v>
      </c>
      <c r="M329" s="63" t="s">
        <v>2369</v>
      </c>
      <c r="N329" s="63" t="s">
        <v>2365</v>
      </c>
    </row>
    <row r="330" spans="1:14" x14ac:dyDescent="0.2">
      <c r="A330" s="51">
        <v>329</v>
      </c>
      <c r="B330" s="54" t="s">
        <v>538</v>
      </c>
      <c r="C330" s="47" t="s">
        <v>2370</v>
      </c>
      <c r="D330" s="47" t="s">
        <v>2371</v>
      </c>
      <c r="E330" s="47" t="s">
        <v>2365</v>
      </c>
      <c r="F330" s="55" t="b">
        <v>1</v>
      </c>
      <c r="G330" s="54" t="b">
        <v>1</v>
      </c>
      <c r="H330" s="54" t="b">
        <v>1</v>
      </c>
      <c r="I330" s="54" t="b">
        <v>1</v>
      </c>
      <c r="J330" s="54" t="b">
        <v>1</v>
      </c>
      <c r="K330" s="63" t="s">
        <v>538</v>
      </c>
      <c r="L330" s="63" t="s">
        <v>2370</v>
      </c>
      <c r="M330" s="63" t="s">
        <v>2371</v>
      </c>
      <c r="N330" s="63" t="s">
        <v>2365</v>
      </c>
    </row>
    <row r="331" spans="1:14" x14ac:dyDescent="0.2">
      <c r="A331" s="51">
        <v>330</v>
      </c>
      <c r="B331" s="54" t="s">
        <v>538</v>
      </c>
      <c r="C331" s="47" t="s">
        <v>2372</v>
      </c>
      <c r="D331" s="47" t="s">
        <v>2373</v>
      </c>
      <c r="E331" s="47" t="s">
        <v>2365</v>
      </c>
      <c r="F331" s="55" t="b">
        <v>1</v>
      </c>
      <c r="G331" s="54" t="b">
        <v>1</v>
      </c>
      <c r="H331" s="54" t="b">
        <v>1</v>
      </c>
      <c r="I331" s="54" t="b">
        <v>1</v>
      </c>
      <c r="J331" s="54" t="b">
        <v>1</v>
      </c>
      <c r="K331" s="63" t="s">
        <v>538</v>
      </c>
      <c r="L331" s="63" t="s">
        <v>2372</v>
      </c>
      <c r="M331" s="63" t="s">
        <v>2373</v>
      </c>
      <c r="N331" s="63" t="s">
        <v>2365</v>
      </c>
    </row>
    <row r="332" spans="1:14" x14ac:dyDescent="0.2">
      <c r="A332" s="51">
        <v>331</v>
      </c>
      <c r="B332" s="54" t="s">
        <v>543</v>
      </c>
      <c r="C332" s="47" t="s">
        <v>2376</v>
      </c>
      <c r="D332" s="47" t="s">
        <v>2377</v>
      </c>
      <c r="E332" s="48" t="s">
        <v>1790</v>
      </c>
      <c r="F332" s="66" t="b">
        <v>0</v>
      </c>
      <c r="G332" s="54" t="b">
        <v>1</v>
      </c>
      <c r="H332" s="54" t="b">
        <v>1</v>
      </c>
      <c r="I332" s="54" t="b">
        <v>1</v>
      </c>
      <c r="J332" s="54" t="b">
        <v>1</v>
      </c>
      <c r="K332" s="63" t="s">
        <v>543</v>
      </c>
      <c r="L332" s="63" t="s">
        <v>2376</v>
      </c>
      <c r="M332" s="63" t="s">
        <v>2377</v>
      </c>
      <c r="N332" s="63" t="s">
        <v>1790</v>
      </c>
    </row>
    <row r="333" spans="1:14" x14ac:dyDescent="0.2">
      <c r="A333" s="51">
        <v>332</v>
      </c>
      <c r="B333" s="54" t="s">
        <v>543</v>
      </c>
      <c r="C333" s="47" t="s">
        <v>2378</v>
      </c>
      <c r="D333" s="47" t="s">
        <v>2379</v>
      </c>
      <c r="E333" s="48" t="s">
        <v>1790</v>
      </c>
      <c r="F333" s="66" t="b">
        <v>0</v>
      </c>
      <c r="G333" s="54" t="b">
        <v>1</v>
      </c>
      <c r="H333" s="54" t="b">
        <v>1</v>
      </c>
      <c r="I333" s="54" t="b">
        <v>1</v>
      </c>
      <c r="J333" s="54" t="b">
        <v>1</v>
      </c>
      <c r="K333" s="63" t="s">
        <v>543</v>
      </c>
      <c r="L333" s="63" t="s">
        <v>2378</v>
      </c>
      <c r="M333" s="63" t="s">
        <v>2379</v>
      </c>
      <c r="N333" s="63" t="s">
        <v>1790</v>
      </c>
    </row>
    <row r="334" spans="1:14" x14ac:dyDescent="0.2">
      <c r="A334" s="51">
        <v>333</v>
      </c>
      <c r="B334" s="54" t="s">
        <v>543</v>
      </c>
      <c r="C334" s="47" t="s">
        <v>2386</v>
      </c>
      <c r="D334" s="47" t="s">
        <v>2387</v>
      </c>
      <c r="E334" s="48" t="s">
        <v>1790</v>
      </c>
      <c r="F334" s="66" t="b">
        <v>0</v>
      </c>
      <c r="G334" s="54" t="b">
        <v>1</v>
      </c>
      <c r="H334" s="54" t="b">
        <v>1</v>
      </c>
      <c r="I334" s="54" t="b">
        <v>1</v>
      </c>
      <c r="J334" s="54" t="b">
        <v>1</v>
      </c>
      <c r="K334" s="63" t="s">
        <v>543</v>
      </c>
      <c r="L334" s="63" t="s">
        <v>2386</v>
      </c>
      <c r="M334" s="63" t="s">
        <v>2387</v>
      </c>
      <c r="N334" s="63" t="s">
        <v>1790</v>
      </c>
    </row>
    <row r="335" spans="1:14" x14ac:dyDescent="0.2">
      <c r="A335" s="51">
        <v>334</v>
      </c>
      <c r="B335" s="54" t="s">
        <v>543</v>
      </c>
      <c r="C335" s="47" t="s">
        <v>2388</v>
      </c>
      <c r="D335" s="47" t="s">
        <v>12039</v>
      </c>
      <c r="E335" s="48" t="s">
        <v>1790</v>
      </c>
      <c r="F335" s="66" t="b">
        <v>0</v>
      </c>
      <c r="G335" s="54" t="b">
        <v>1</v>
      </c>
      <c r="H335" s="54" t="b">
        <v>1</v>
      </c>
      <c r="I335" s="65" t="b">
        <v>0</v>
      </c>
      <c r="J335" s="54" t="b">
        <v>1</v>
      </c>
      <c r="K335" s="63" t="s">
        <v>543</v>
      </c>
      <c r="L335" s="63" t="s">
        <v>2388</v>
      </c>
      <c r="M335" s="63" t="s">
        <v>2389</v>
      </c>
      <c r="N335" s="63" t="s">
        <v>1790</v>
      </c>
    </row>
    <row r="336" spans="1:14" x14ac:dyDescent="0.2">
      <c r="A336" s="51">
        <v>335</v>
      </c>
      <c r="B336" s="54" t="s">
        <v>543</v>
      </c>
      <c r="C336" s="47" t="s">
        <v>2374</v>
      </c>
      <c r="D336" s="47" t="s">
        <v>12037</v>
      </c>
      <c r="E336" s="48" t="s">
        <v>1790</v>
      </c>
      <c r="F336" s="66" t="b">
        <v>0</v>
      </c>
      <c r="G336" s="54" t="b">
        <v>1</v>
      </c>
      <c r="H336" s="54" t="b">
        <v>1</v>
      </c>
      <c r="I336" s="65" t="b">
        <v>0</v>
      </c>
      <c r="J336" s="54" t="b">
        <v>1</v>
      </c>
      <c r="K336" s="63" t="s">
        <v>543</v>
      </c>
      <c r="L336" s="63" t="s">
        <v>2374</v>
      </c>
      <c r="M336" s="63" t="s">
        <v>2375</v>
      </c>
      <c r="N336" s="63" t="s">
        <v>1790</v>
      </c>
    </row>
    <row r="337" spans="1:14" x14ac:dyDescent="0.2">
      <c r="A337" s="51">
        <v>336</v>
      </c>
      <c r="B337" s="54" t="s">
        <v>543</v>
      </c>
      <c r="C337" s="47" t="s">
        <v>2380</v>
      </c>
      <c r="D337" s="47" t="s">
        <v>12038</v>
      </c>
      <c r="E337" s="48" t="s">
        <v>1790</v>
      </c>
      <c r="F337" s="66" t="b">
        <v>0</v>
      </c>
      <c r="G337" s="54" t="b">
        <v>1</v>
      </c>
      <c r="H337" s="54" t="b">
        <v>1</v>
      </c>
      <c r="I337" s="65" t="b">
        <v>0</v>
      </c>
      <c r="J337" s="54" t="b">
        <v>1</v>
      </c>
      <c r="K337" s="63" t="s">
        <v>543</v>
      </c>
      <c r="L337" s="63" t="s">
        <v>2380</v>
      </c>
      <c r="M337" s="63" t="s">
        <v>2381</v>
      </c>
      <c r="N337" s="63" t="s">
        <v>1790</v>
      </c>
    </row>
    <row r="338" spans="1:14" x14ac:dyDescent="0.2">
      <c r="A338" s="51">
        <v>337</v>
      </c>
      <c r="B338" s="54" t="s">
        <v>543</v>
      </c>
      <c r="C338" s="47" t="s">
        <v>2384</v>
      </c>
      <c r="D338" s="47" t="s">
        <v>2385</v>
      </c>
      <c r="E338" s="48" t="s">
        <v>1790</v>
      </c>
      <c r="F338" s="66" t="b">
        <v>0</v>
      </c>
      <c r="G338" s="54" t="b">
        <v>1</v>
      </c>
      <c r="H338" s="54" t="b">
        <v>1</v>
      </c>
      <c r="I338" s="54" t="b">
        <v>1</v>
      </c>
      <c r="J338" s="54" t="b">
        <v>1</v>
      </c>
      <c r="K338" s="63" t="s">
        <v>543</v>
      </c>
      <c r="L338" s="63" t="s">
        <v>2384</v>
      </c>
      <c r="M338" s="63" t="s">
        <v>2385</v>
      </c>
      <c r="N338" s="63" t="s">
        <v>1790</v>
      </c>
    </row>
    <row r="339" spans="1:14" x14ac:dyDescent="0.2">
      <c r="A339" s="51">
        <v>338</v>
      </c>
      <c r="B339" s="54" t="s">
        <v>543</v>
      </c>
      <c r="C339" s="47" t="s">
        <v>2397</v>
      </c>
      <c r="D339" s="47" t="s">
        <v>2398</v>
      </c>
      <c r="E339" s="48" t="s">
        <v>1790</v>
      </c>
      <c r="F339" s="66" t="b">
        <v>0</v>
      </c>
      <c r="G339" s="54" t="b">
        <v>1</v>
      </c>
      <c r="H339" s="54" t="b">
        <v>1</v>
      </c>
      <c r="I339" s="54" t="b">
        <v>1</v>
      </c>
      <c r="J339" s="54" t="b">
        <v>1</v>
      </c>
      <c r="K339" s="63" t="s">
        <v>543</v>
      </c>
      <c r="L339" s="63" t="s">
        <v>2397</v>
      </c>
      <c r="M339" s="63" t="s">
        <v>2398</v>
      </c>
      <c r="N339" s="63" t="s">
        <v>1790</v>
      </c>
    </row>
    <row r="340" spans="1:14" x14ac:dyDescent="0.2">
      <c r="A340" s="51">
        <v>339</v>
      </c>
      <c r="B340" s="54" t="s">
        <v>543</v>
      </c>
      <c r="C340" s="47" t="s">
        <v>2390</v>
      </c>
      <c r="D340" s="47" t="s">
        <v>12040</v>
      </c>
      <c r="E340" s="48" t="s">
        <v>1790</v>
      </c>
      <c r="F340" s="66" t="b">
        <v>0</v>
      </c>
      <c r="G340" s="54" t="b">
        <v>1</v>
      </c>
      <c r="H340" s="54" t="b">
        <v>1</v>
      </c>
      <c r="I340" s="65" t="b">
        <v>0</v>
      </c>
      <c r="J340" s="54" t="b">
        <v>1</v>
      </c>
      <c r="K340" s="63" t="s">
        <v>543</v>
      </c>
      <c r="L340" s="63" t="s">
        <v>2390</v>
      </c>
      <c r="M340" s="63" t="s">
        <v>2391</v>
      </c>
      <c r="N340" s="63" t="s">
        <v>1790</v>
      </c>
    </row>
    <row r="341" spans="1:14" x14ac:dyDescent="0.2">
      <c r="A341" s="51">
        <v>340</v>
      </c>
      <c r="B341" s="54" t="s">
        <v>543</v>
      </c>
      <c r="C341" s="47" t="s">
        <v>2392</v>
      </c>
      <c r="D341" s="47" t="s">
        <v>2393</v>
      </c>
      <c r="E341" s="48" t="s">
        <v>1790</v>
      </c>
      <c r="F341" s="66" t="b">
        <v>0</v>
      </c>
      <c r="G341" s="54" t="b">
        <v>1</v>
      </c>
      <c r="H341" s="54" t="b">
        <v>1</v>
      </c>
      <c r="I341" s="54" t="b">
        <v>1</v>
      </c>
      <c r="J341" s="54" t="b">
        <v>1</v>
      </c>
      <c r="K341" s="63" t="s">
        <v>543</v>
      </c>
      <c r="L341" s="63" t="s">
        <v>2392</v>
      </c>
      <c r="M341" s="63" t="s">
        <v>2393</v>
      </c>
      <c r="N341" s="63" t="s">
        <v>1790</v>
      </c>
    </row>
    <row r="342" spans="1:14" x14ac:dyDescent="0.2">
      <c r="A342" s="51">
        <v>341</v>
      </c>
      <c r="B342" s="54" t="s">
        <v>543</v>
      </c>
      <c r="C342" s="47" t="s">
        <v>2399</v>
      </c>
      <c r="D342" s="47" t="s">
        <v>12043</v>
      </c>
      <c r="E342" s="48" t="s">
        <v>1790</v>
      </c>
      <c r="F342" s="66" t="b">
        <v>0</v>
      </c>
      <c r="G342" s="54" t="b">
        <v>1</v>
      </c>
      <c r="H342" s="54" t="b">
        <v>1</v>
      </c>
      <c r="I342" s="65" t="b">
        <v>0</v>
      </c>
      <c r="J342" s="54" t="b">
        <v>1</v>
      </c>
      <c r="K342" s="63" t="s">
        <v>543</v>
      </c>
      <c r="L342" s="63" t="s">
        <v>2399</v>
      </c>
      <c r="M342" s="63" t="s">
        <v>2400</v>
      </c>
      <c r="N342" s="63" t="s">
        <v>1790</v>
      </c>
    </row>
    <row r="343" spans="1:14" x14ac:dyDescent="0.2">
      <c r="A343" s="51">
        <v>342</v>
      </c>
      <c r="B343" s="54" t="s">
        <v>543</v>
      </c>
      <c r="C343" s="47" t="s">
        <v>2395</v>
      </c>
      <c r="D343" s="47" t="s">
        <v>12042</v>
      </c>
      <c r="E343" s="48" t="s">
        <v>1790</v>
      </c>
      <c r="F343" s="66" t="b">
        <v>0</v>
      </c>
      <c r="G343" s="54" t="b">
        <v>1</v>
      </c>
      <c r="H343" s="54" t="b">
        <v>1</v>
      </c>
      <c r="I343" s="65" t="b">
        <v>0</v>
      </c>
      <c r="J343" s="54" t="b">
        <v>1</v>
      </c>
      <c r="K343" s="63" t="s">
        <v>543</v>
      </c>
      <c r="L343" s="63" t="s">
        <v>2395</v>
      </c>
      <c r="M343" s="63" t="s">
        <v>2396</v>
      </c>
      <c r="N343" s="63" t="s">
        <v>1790</v>
      </c>
    </row>
    <row r="344" spans="1:14" x14ac:dyDescent="0.2">
      <c r="A344" s="51">
        <v>343</v>
      </c>
      <c r="B344" s="54" t="s">
        <v>543</v>
      </c>
      <c r="C344" s="47" t="s">
        <v>2401</v>
      </c>
      <c r="D344" s="47" t="s">
        <v>2402</v>
      </c>
      <c r="E344" s="48" t="s">
        <v>1790</v>
      </c>
      <c r="F344" s="66" t="b">
        <v>0</v>
      </c>
      <c r="G344" s="54" t="b">
        <v>1</v>
      </c>
      <c r="H344" s="54" t="b">
        <v>1</v>
      </c>
      <c r="I344" s="54" t="b">
        <v>1</v>
      </c>
      <c r="J344" s="54" t="b">
        <v>1</v>
      </c>
      <c r="K344" s="63" t="s">
        <v>543</v>
      </c>
      <c r="L344" s="63" t="s">
        <v>2401</v>
      </c>
      <c r="M344" s="63" t="s">
        <v>2402</v>
      </c>
      <c r="N344" s="63" t="s">
        <v>1790</v>
      </c>
    </row>
    <row r="345" spans="1:14" x14ac:dyDescent="0.2">
      <c r="A345" s="51">
        <v>344</v>
      </c>
      <c r="B345" s="54" t="s">
        <v>543</v>
      </c>
      <c r="C345" s="47" t="s">
        <v>2404</v>
      </c>
      <c r="D345" s="47" t="s">
        <v>12044</v>
      </c>
      <c r="E345" s="48" t="s">
        <v>1790</v>
      </c>
      <c r="F345" s="66" t="b">
        <v>0</v>
      </c>
      <c r="G345" s="54" t="b">
        <v>1</v>
      </c>
      <c r="H345" s="54" t="b">
        <v>1</v>
      </c>
      <c r="I345" s="65" t="b">
        <v>0</v>
      </c>
      <c r="J345" s="54" t="b">
        <v>1</v>
      </c>
      <c r="K345" s="63" t="s">
        <v>543</v>
      </c>
      <c r="L345" s="63" t="s">
        <v>2404</v>
      </c>
      <c r="M345" s="63" t="s">
        <v>2405</v>
      </c>
      <c r="N345" s="63" t="s">
        <v>1790</v>
      </c>
    </row>
    <row r="346" spans="1:14" x14ac:dyDescent="0.2">
      <c r="A346" s="51">
        <v>345</v>
      </c>
      <c r="B346" s="54" t="s">
        <v>543</v>
      </c>
      <c r="C346" s="47" t="s">
        <v>2406</v>
      </c>
      <c r="D346" s="47" t="s">
        <v>12045</v>
      </c>
      <c r="E346" s="48" t="s">
        <v>1790</v>
      </c>
      <c r="F346" s="66" t="b">
        <v>0</v>
      </c>
      <c r="G346" s="54" t="b">
        <v>1</v>
      </c>
      <c r="H346" s="54" t="b">
        <v>1</v>
      </c>
      <c r="I346" s="65" t="b">
        <v>0</v>
      </c>
      <c r="J346" s="54" t="b">
        <v>1</v>
      </c>
      <c r="K346" s="63" t="s">
        <v>543</v>
      </c>
      <c r="L346" s="63" t="s">
        <v>2406</v>
      </c>
      <c r="M346" s="63" t="s">
        <v>2407</v>
      </c>
      <c r="N346" s="63" t="s">
        <v>1790</v>
      </c>
    </row>
    <row r="347" spans="1:14" x14ac:dyDescent="0.2">
      <c r="A347" s="51">
        <v>346</v>
      </c>
      <c r="B347" s="54" t="s">
        <v>543</v>
      </c>
      <c r="C347" s="47" t="s">
        <v>2408</v>
      </c>
      <c r="D347" s="47" t="s">
        <v>2409</v>
      </c>
      <c r="E347" s="48" t="s">
        <v>1790</v>
      </c>
      <c r="F347" s="66" t="b">
        <v>0</v>
      </c>
      <c r="G347" s="54" t="b">
        <v>1</v>
      </c>
      <c r="H347" s="54" t="b">
        <v>1</v>
      </c>
      <c r="I347" s="54" t="b">
        <v>1</v>
      </c>
      <c r="J347" s="54" t="b">
        <v>1</v>
      </c>
      <c r="K347" s="63" t="s">
        <v>543</v>
      </c>
      <c r="L347" s="63" t="s">
        <v>2408</v>
      </c>
      <c r="M347" s="63" t="s">
        <v>2409</v>
      </c>
      <c r="N347" s="63" t="s">
        <v>1790</v>
      </c>
    </row>
    <row r="348" spans="1:14" x14ac:dyDescent="0.2">
      <c r="A348" s="51">
        <v>347</v>
      </c>
      <c r="B348" s="54" t="s">
        <v>543</v>
      </c>
      <c r="C348" s="47" t="s">
        <v>2414</v>
      </c>
      <c r="D348" s="47" t="s">
        <v>12047</v>
      </c>
      <c r="E348" s="48" t="s">
        <v>1790</v>
      </c>
      <c r="F348" s="66" t="b">
        <v>0</v>
      </c>
      <c r="G348" s="54" t="b">
        <v>1</v>
      </c>
      <c r="H348" s="54" t="b">
        <v>1</v>
      </c>
      <c r="I348" s="65" t="b">
        <v>0</v>
      </c>
      <c r="J348" s="54" t="b">
        <v>1</v>
      </c>
      <c r="K348" s="63" t="s">
        <v>543</v>
      </c>
      <c r="L348" s="63" t="s">
        <v>2414</v>
      </c>
      <c r="M348" s="63" t="s">
        <v>2415</v>
      </c>
      <c r="N348" s="63" t="s">
        <v>1790</v>
      </c>
    </row>
    <row r="349" spans="1:14" x14ac:dyDescent="0.2">
      <c r="A349" s="51">
        <v>348</v>
      </c>
      <c r="B349" s="54" t="s">
        <v>543</v>
      </c>
      <c r="C349" s="47" t="s">
        <v>2412</v>
      </c>
      <c r="D349" s="47" t="s">
        <v>12046</v>
      </c>
      <c r="E349" s="48" t="s">
        <v>1790</v>
      </c>
      <c r="F349" s="66" t="b">
        <v>0</v>
      </c>
      <c r="G349" s="54" t="b">
        <v>1</v>
      </c>
      <c r="H349" s="54" t="b">
        <v>1</v>
      </c>
      <c r="I349" s="65" t="b">
        <v>0</v>
      </c>
      <c r="J349" s="54" t="b">
        <v>1</v>
      </c>
      <c r="K349" s="63" t="s">
        <v>543</v>
      </c>
      <c r="L349" s="63" t="s">
        <v>2412</v>
      </c>
      <c r="M349" s="63" t="s">
        <v>2413</v>
      </c>
      <c r="N349" s="63" t="s">
        <v>1790</v>
      </c>
    </row>
    <row r="350" spans="1:14" x14ac:dyDescent="0.2">
      <c r="A350" s="51">
        <v>349</v>
      </c>
      <c r="B350" s="54" t="s">
        <v>543</v>
      </c>
      <c r="C350" s="47" t="s">
        <v>2410</v>
      </c>
      <c r="D350" s="47" t="s">
        <v>2411</v>
      </c>
      <c r="E350" s="48" t="s">
        <v>1790</v>
      </c>
      <c r="F350" s="66" t="b">
        <v>0</v>
      </c>
      <c r="G350" s="54" t="b">
        <v>1</v>
      </c>
      <c r="H350" s="54" t="b">
        <v>1</v>
      </c>
      <c r="I350" s="54" t="b">
        <v>1</v>
      </c>
      <c r="J350" s="54" t="b">
        <v>1</v>
      </c>
      <c r="K350" s="63" t="s">
        <v>543</v>
      </c>
      <c r="L350" s="63" t="s">
        <v>2410</v>
      </c>
      <c r="M350" s="63" t="s">
        <v>2411</v>
      </c>
      <c r="N350" s="63" t="s">
        <v>1790</v>
      </c>
    </row>
    <row r="351" spans="1:14" x14ac:dyDescent="0.2">
      <c r="A351" s="51">
        <v>350</v>
      </c>
      <c r="B351" s="54" t="s">
        <v>543</v>
      </c>
      <c r="C351" s="47" t="s">
        <v>2416</v>
      </c>
      <c r="D351" s="47" t="s">
        <v>2417</v>
      </c>
      <c r="E351" s="48" t="s">
        <v>1790</v>
      </c>
      <c r="F351" s="66" t="b">
        <v>0</v>
      </c>
      <c r="G351" s="54" t="b">
        <v>1</v>
      </c>
      <c r="H351" s="54" t="b">
        <v>1</v>
      </c>
      <c r="I351" s="54" t="b">
        <v>1</v>
      </c>
      <c r="J351" s="54" t="b">
        <v>1</v>
      </c>
      <c r="K351" s="63" t="s">
        <v>543</v>
      </c>
      <c r="L351" s="63" t="s">
        <v>2416</v>
      </c>
      <c r="M351" s="63" t="s">
        <v>2417</v>
      </c>
      <c r="N351" s="63" t="s">
        <v>1790</v>
      </c>
    </row>
    <row r="352" spans="1:14" x14ac:dyDescent="0.2">
      <c r="A352" s="51">
        <v>351</v>
      </c>
      <c r="B352" s="54" t="s">
        <v>543</v>
      </c>
      <c r="C352" s="47" t="s">
        <v>2420</v>
      </c>
      <c r="D352" s="47" t="s">
        <v>12049</v>
      </c>
      <c r="E352" s="48" t="s">
        <v>1790</v>
      </c>
      <c r="F352" s="66" t="b">
        <v>0</v>
      </c>
      <c r="G352" s="54" t="b">
        <v>1</v>
      </c>
      <c r="H352" s="54" t="b">
        <v>1</v>
      </c>
      <c r="I352" s="65" t="b">
        <v>0</v>
      </c>
      <c r="J352" s="54" t="b">
        <v>1</v>
      </c>
      <c r="K352" s="63" t="s">
        <v>543</v>
      </c>
      <c r="L352" s="63" t="s">
        <v>2420</v>
      </c>
      <c r="M352" s="63" t="s">
        <v>2421</v>
      </c>
      <c r="N352" s="63" t="s">
        <v>1790</v>
      </c>
    </row>
    <row r="353" spans="1:14" x14ac:dyDescent="0.2">
      <c r="A353" s="51">
        <v>352</v>
      </c>
      <c r="B353" s="54" t="s">
        <v>543</v>
      </c>
      <c r="C353" s="47" t="s">
        <v>2422</v>
      </c>
      <c r="D353" s="47" t="s">
        <v>2423</v>
      </c>
      <c r="E353" s="48" t="s">
        <v>1790</v>
      </c>
      <c r="F353" s="66" t="b">
        <v>0</v>
      </c>
      <c r="G353" s="54" t="b">
        <v>1</v>
      </c>
      <c r="H353" s="54" t="b">
        <v>1</v>
      </c>
      <c r="I353" s="54" t="b">
        <v>1</v>
      </c>
      <c r="J353" s="54" t="b">
        <v>1</v>
      </c>
      <c r="K353" s="63" t="s">
        <v>543</v>
      </c>
      <c r="L353" s="63" t="s">
        <v>2422</v>
      </c>
      <c r="M353" s="63" t="s">
        <v>2423</v>
      </c>
      <c r="N353" s="63" t="s">
        <v>1790</v>
      </c>
    </row>
    <row r="354" spans="1:14" x14ac:dyDescent="0.2">
      <c r="A354" s="51">
        <v>353</v>
      </c>
      <c r="B354" s="54" t="s">
        <v>543</v>
      </c>
      <c r="C354" s="47" t="s">
        <v>2426</v>
      </c>
      <c r="D354" s="47" t="s">
        <v>2427</v>
      </c>
      <c r="E354" s="48" t="s">
        <v>1790</v>
      </c>
      <c r="F354" s="66" t="b">
        <v>0</v>
      </c>
      <c r="G354" s="54" t="b">
        <v>1</v>
      </c>
      <c r="H354" s="54" t="b">
        <v>1</v>
      </c>
      <c r="I354" s="54" t="b">
        <v>1</v>
      </c>
      <c r="J354" s="54" t="b">
        <v>1</v>
      </c>
      <c r="K354" s="63" t="s">
        <v>543</v>
      </c>
      <c r="L354" s="63" t="s">
        <v>2426</v>
      </c>
      <c r="M354" s="63" t="s">
        <v>2427</v>
      </c>
      <c r="N354" s="63" t="s">
        <v>1790</v>
      </c>
    </row>
    <row r="355" spans="1:14" x14ac:dyDescent="0.2">
      <c r="A355" s="51">
        <v>354</v>
      </c>
      <c r="B355" s="54" t="s">
        <v>543</v>
      </c>
      <c r="C355" s="47" t="s">
        <v>2418</v>
      </c>
      <c r="D355" s="47" t="s">
        <v>12048</v>
      </c>
      <c r="E355" s="48" t="s">
        <v>1790</v>
      </c>
      <c r="F355" s="66" t="b">
        <v>0</v>
      </c>
      <c r="G355" s="54" t="b">
        <v>1</v>
      </c>
      <c r="H355" s="54" t="b">
        <v>1</v>
      </c>
      <c r="I355" s="65" t="b">
        <v>0</v>
      </c>
      <c r="J355" s="54" t="b">
        <v>1</v>
      </c>
      <c r="K355" s="63" t="s">
        <v>543</v>
      </c>
      <c r="L355" s="63" t="s">
        <v>2418</v>
      </c>
      <c r="M355" s="63" t="s">
        <v>2419</v>
      </c>
      <c r="N355" s="63" t="s">
        <v>1790</v>
      </c>
    </row>
    <row r="356" spans="1:14" x14ac:dyDescent="0.2">
      <c r="A356" s="51">
        <v>355</v>
      </c>
      <c r="B356" s="54" t="s">
        <v>543</v>
      </c>
      <c r="C356" s="47" t="s">
        <v>2424</v>
      </c>
      <c r="D356" s="47" t="s">
        <v>12050</v>
      </c>
      <c r="E356" s="48" t="s">
        <v>1790</v>
      </c>
      <c r="F356" s="66" t="b">
        <v>0</v>
      </c>
      <c r="G356" s="54" t="b">
        <v>1</v>
      </c>
      <c r="H356" s="54" t="b">
        <v>1</v>
      </c>
      <c r="I356" s="65" t="b">
        <v>0</v>
      </c>
      <c r="J356" s="54" t="b">
        <v>1</v>
      </c>
      <c r="K356" s="63" t="s">
        <v>543</v>
      </c>
      <c r="L356" s="63" t="s">
        <v>2424</v>
      </c>
      <c r="M356" s="63" t="s">
        <v>2425</v>
      </c>
      <c r="N356" s="63" t="s">
        <v>1790</v>
      </c>
    </row>
    <row r="357" spans="1:14" x14ac:dyDescent="0.2">
      <c r="A357" s="51">
        <v>356</v>
      </c>
      <c r="B357" s="54" t="s">
        <v>543</v>
      </c>
      <c r="C357" s="47" t="s">
        <v>2433</v>
      </c>
      <c r="D357" s="47" t="s">
        <v>12052</v>
      </c>
      <c r="E357" s="48" t="s">
        <v>1790</v>
      </c>
      <c r="F357" s="66" t="b">
        <v>0</v>
      </c>
      <c r="G357" s="54" t="b">
        <v>1</v>
      </c>
      <c r="H357" s="54" t="b">
        <v>1</v>
      </c>
      <c r="I357" s="65" t="b">
        <v>0</v>
      </c>
      <c r="J357" s="54" t="b">
        <v>1</v>
      </c>
      <c r="K357" s="63" t="s">
        <v>543</v>
      </c>
      <c r="L357" s="63" t="s">
        <v>2433</v>
      </c>
      <c r="M357" s="63" t="s">
        <v>2434</v>
      </c>
      <c r="N357" s="63" t="s">
        <v>1790</v>
      </c>
    </row>
    <row r="358" spans="1:14" x14ac:dyDescent="0.2">
      <c r="A358" s="51">
        <v>357</v>
      </c>
      <c r="B358" s="54" t="s">
        <v>543</v>
      </c>
      <c r="C358" s="47" t="s">
        <v>2430</v>
      </c>
      <c r="D358" s="47" t="s">
        <v>2431</v>
      </c>
      <c r="E358" s="48" t="s">
        <v>1790</v>
      </c>
      <c r="F358" s="66" t="b">
        <v>0</v>
      </c>
      <c r="G358" s="54" t="b">
        <v>1</v>
      </c>
      <c r="H358" s="54" t="b">
        <v>1</v>
      </c>
      <c r="I358" s="54" t="b">
        <v>1</v>
      </c>
      <c r="J358" s="54" t="b">
        <v>1</v>
      </c>
      <c r="K358" s="63" t="s">
        <v>543</v>
      </c>
      <c r="L358" s="63" t="s">
        <v>2430</v>
      </c>
      <c r="M358" s="63" t="s">
        <v>2431</v>
      </c>
      <c r="N358" s="63" t="s">
        <v>1790</v>
      </c>
    </row>
    <row r="359" spans="1:14" x14ac:dyDescent="0.2">
      <c r="A359" s="51">
        <v>358</v>
      </c>
      <c r="B359" s="54" t="s">
        <v>543</v>
      </c>
      <c r="C359" s="47" t="s">
        <v>2435</v>
      </c>
      <c r="D359" s="47" t="s">
        <v>12053</v>
      </c>
      <c r="E359" s="48" t="s">
        <v>1790</v>
      </c>
      <c r="F359" s="66" t="b">
        <v>0</v>
      </c>
      <c r="G359" s="54" t="b">
        <v>1</v>
      </c>
      <c r="H359" s="54" t="b">
        <v>1</v>
      </c>
      <c r="I359" s="65" t="b">
        <v>0</v>
      </c>
      <c r="J359" s="54" t="b">
        <v>1</v>
      </c>
      <c r="K359" s="63" t="s">
        <v>543</v>
      </c>
      <c r="L359" s="63" t="s">
        <v>2435</v>
      </c>
      <c r="M359" s="63" t="s">
        <v>2436</v>
      </c>
      <c r="N359" s="63" t="s">
        <v>1790</v>
      </c>
    </row>
    <row r="360" spans="1:14" x14ac:dyDescent="0.2">
      <c r="A360" s="51">
        <v>359</v>
      </c>
      <c r="B360" s="54" t="s">
        <v>543</v>
      </c>
      <c r="C360" s="47" t="s">
        <v>2428</v>
      </c>
      <c r="D360" s="47" t="s">
        <v>12051</v>
      </c>
      <c r="E360" s="48" t="s">
        <v>1790</v>
      </c>
      <c r="F360" s="66" t="b">
        <v>0</v>
      </c>
      <c r="G360" s="54" t="b">
        <v>1</v>
      </c>
      <c r="H360" s="54" t="b">
        <v>1</v>
      </c>
      <c r="I360" s="65" t="b">
        <v>0</v>
      </c>
      <c r="J360" s="54" t="b">
        <v>1</v>
      </c>
      <c r="K360" s="63" t="s">
        <v>543</v>
      </c>
      <c r="L360" s="63" t="s">
        <v>2428</v>
      </c>
      <c r="M360" s="63" t="s">
        <v>2429</v>
      </c>
      <c r="N360" s="63" t="s">
        <v>1790</v>
      </c>
    </row>
    <row r="361" spans="1:14" x14ac:dyDescent="0.2">
      <c r="A361" s="51">
        <v>360</v>
      </c>
      <c r="B361" s="54" t="s">
        <v>543</v>
      </c>
      <c r="C361" s="47" t="s">
        <v>2437</v>
      </c>
      <c r="D361" s="47" t="s">
        <v>2438</v>
      </c>
      <c r="E361" s="48" t="s">
        <v>1790</v>
      </c>
      <c r="F361" s="66" t="b">
        <v>0</v>
      </c>
      <c r="G361" s="54" t="b">
        <v>1</v>
      </c>
      <c r="H361" s="54" t="b">
        <v>1</v>
      </c>
      <c r="I361" s="54" t="b">
        <v>1</v>
      </c>
      <c r="J361" s="54" t="b">
        <v>1</v>
      </c>
      <c r="K361" s="63" t="s">
        <v>543</v>
      </c>
      <c r="L361" s="63" t="s">
        <v>2437</v>
      </c>
      <c r="M361" s="63" t="s">
        <v>2438</v>
      </c>
      <c r="N361" s="63" t="s">
        <v>1790</v>
      </c>
    </row>
    <row r="362" spans="1:14" x14ac:dyDescent="0.2">
      <c r="A362" s="51">
        <v>361</v>
      </c>
      <c r="B362" s="54" t="s">
        <v>543</v>
      </c>
      <c r="C362" s="47" t="s">
        <v>2439</v>
      </c>
      <c r="D362" s="47" t="s">
        <v>2440</v>
      </c>
      <c r="E362" s="48" t="s">
        <v>1790</v>
      </c>
      <c r="F362" s="66" t="b">
        <v>0</v>
      </c>
      <c r="G362" s="54" t="b">
        <v>1</v>
      </c>
      <c r="H362" s="54" t="b">
        <v>1</v>
      </c>
      <c r="I362" s="54" t="b">
        <v>1</v>
      </c>
      <c r="J362" s="54" t="b">
        <v>1</v>
      </c>
      <c r="K362" s="63" t="s">
        <v>543</v>
      </c>
      <c r="L362" s="63" t="s">
        <v>2439</v>
      </c>
      <c r="M362" s="63" t="s">
        <v>2440</v>
      </c>
      <c r="N362" s="63" t="s">
        <v>1790</v>
      </c>
    </row>
    <row r="363" spans="1:14" x14ac:dyDescent="0.2">
      <c r="A363" s="51">
        <v>362</v>
      </c>
      <c r="B363" s="54" t="s">
        <v>543</v>
      </c>
      <c r="C363" s="47" t="s">
        <v>2441</v>
      </c>
      <c r="D363" s="47" t="s">
        <v>12054</v>
      </c>
      <c r="E363" s="48" t="s">
        <v>1790</v>
      </c>
      <c r="F363" s="66" t="b">
        <v>0</v>
      </c>
      <c r="G363" s="54" t="b">
        <v>1</v>
      </c>
      <c r="H363" s="54" t="b">
        <v>1</v>
      </c>
      <c r="I363" s="65" t="b">
        <v>0</v>
      </c>
      <c r="J363" s="54" t="b">
        <v>1</v>
      </c>
      <c r="K363" s="63" t="s">
        <v>543</v>
      </c>
      <c r="L363" s="63" t="s">
        <v>2441</v>
      </c>
      <c r="M363" s="63" t="s">
        <v>2442</v>
      </c>
      <c r="N363" s="63" t="s">
        <v>1790</v>
      </c>
    </row>
    <row r="364" spans="1:14" x14ac:dyDescent="0.2">
      <c r="A364" s="51">
        <v>363</v>
      </c>
      <c r="B364" s="54" t="s">
        <v>543</v>
      </c>
      <c r="C364" s="47" t="s">
        <v>2447</v>
      </c>
      <c r="D364" s="47" t="s">
        <v>12057</v>
      </c>
      <c r="E364" s="48" t="s">
        <v>1790</v>
      </c>
      <c r="F364" s="66" t="b">
        <v>0</v>
      </c>
      <c r="G364" s="54" t="b">
        <v>1</v>
      </c>
      <c r="H364" s="54" t="b">
        <v>1</v>
      </c>
      <c r="I364" s="65" t="b">
        <v>0</v>
      </c>
      <c r="J364" s="54" t="b">
        <v>1</v>
      </c>
      <c r="K364" s="63" t="s">
        <v>543</v>
      </c>
      <c r="L364" s="63" t="s">
        <v>2447</v>
      </c>
      <c r="M364" s="63" t="s">
        <v>2448</v>
      </c>
      <c r="N364" s="63" t="s">
        <v>1790</v>
      </c>
    </row>
    <row r="365" spans="1:14" x14ac:dyDescent="0.2">
      <c r="A365" s="51">
        <v>364</v>
      </c>
      <c r="B365" s="54" t="s">
        <v>543</v>
      </c>
      <c r="C365" s="47" t="s">
        <v>2455</v>
      </c>
      <c r="D365" s="47" t="s">
        <v>2456</v>
      </c>
      <c r="E365" s="48" t="s">
        <v>1790</v>
      </c>
      <c r="F365" s="66" t="b">
        <v>0</v>
      </c>
      <c r="G365" s="54" t="b">
        <v>1</v>
      </c>
      <c r="H365" s="54" t="b">
        <v>1</v>
      </c>
      <c r="I365" s="54" t="b">
        <v>1</v>
      </c>
      <c r="J365" s="54" t="b">
        <v>1</v>
      </c>
      <c r="K365" s="63" t="s">
        <v>543</v>
      </c>
      <c r="L365" s="63" t="s">
        <v>2455</v>
      </c>
      <c r="M365" s="63" t="s">
        <v>2456</v>
      </c>
      <c r="N365" s="63" t="s">
        <v>1790</v>
      </c>
    </row>
    <row r="366" spans="1:14" x14ac:dyDescent="0.2">
      <c r="A366" s="51">
        <v>365</v>
      </c>
      <c r="B366" s="54" t="s">
        <v>543</v>
      </c>
      <c r="C366" s="47" t="s">
        <v>2453</v>
      </c>
      <c r="D366" s="47" t="s">
        <v>2454</v>
      </c>
      <c r="E366" s="48" t="s">
        <v>1790</v>
      </c>
      <c r="F366" s="66" t="b">
        <v>0</v>
      </c>
      <c r="G366" s="54" t="b">
        <v>1</v>
      </c>
      <c r="H366" s="54" t="b">
        <v>1</v>
      </c>
      <c r="I366" s="54" t="b">
        <v>1</v>
      </c>
      <c r="J366" s="54" t="b">
        <v>1</v>
      </c>
      <c r="K366" s="63" t="s">
        <v>543</v>
      </c>
      <c r="L366" s="63" t="s">
        <v>2453</v>
      </c>
      <c r="M366" s="63" t="s">
        <v>2454</v>
      </c>
      <c r="N366" s="63" t="s">
        <v>1790</v>
      </c>
    </row>
    <row r="367" spans="1:14" x14ac:dyDescent="0.2">
      <c r="A367" s="51">
        <v>366</v>
      </c>
      <c r="B367" s="54" t="s">
        <v>543</v>
      </c>
      <c r="C367" s="47" t="s">
        <v>2443</v>
      </c>
      <c r="D367" s="47" t="s">
        <v>12055</v>
      </c>
      <c r="E367" s="48" t="s">
        <v>1790</v>
      </c>
      <c r="F367" s="66" t="b">
        <v>0</v>
      </c>
      <c r="G367" s="54" t="b">
        <v>1</v>
      </c>
      <c r="H367" s="54" t="b">
        <v>1</v>
      </c>
      <c r="I367" s="65" t="b">
        <v>0</v>
      </c>
      <c r="J367" s="54" t="b">
        <v>1</v>
      </c>
      <c r="K367" s="63" t="s">
        <v>543</v>
      </c>
      <c r="L367" s="63" t="s">
        <v>2443</v>
      </c>
      <c r="M367" s="63" t="s">
        <v>2444</v>
      </c>
      <c r="N367" s="63" t="s">
        <v>1790</v>
      </c>
    </row>
    <row r="368" spans="1:14" x14ac:dyDescent="0.2">
      <c r="A368" s="51">
        <v>367</v>
      </c>
      <c r="B368" s="54" t="s">
        <v>543</v>
      </c>
      <c r="C368" s="47" t="s">
        <v>2445</v>
      </c>
      <c r="D368" s="47" t="s">
        <v>12056</v>
      </c>
      <c r="E368" s="48" t="s">
        <v>1790</v>
      </c>
      <c r="F368" s="66" t="b">
        <v>0</v>
      </c>
      <c r="G368" s="54" t="b">
        <v>1</v>
      </c>
      <c r="H368" s="54" t="b">
        <v>1</v>
      </c>
      <c r="I368" s="65" t="b">
        <v>0</v>
      </c>
      <c r="J368" s="54" t="b">
        <v>1</v>
      </c>
      <c r="K368" s="63" t="s">
        <v>543</v>
      </c>
      <c r="L368" s="63" t="s">
        <v>2445</v>
      </c>
      <c r="M368" s="63" t="s">
        <v>2446</v>
      </c>
      <c r="N368" s="63" t="s">
        <v>1790</v>
      </c>
    </row>
    <row r="369" spans="1:14" x14ac:dyDescent="0.2">
      <c r="A369" s="51">
        <v>368</v>
      </c>
      <c r="B369" s="54" t="s">
        <v>543</v>
      </c>
      <c r="C369" s="47" t="s">
        <v>2451</v>
      </c>
      <c r="D369" s="47" t="s">
        <v>12058</v>
      </c>
      <c r="E369" s="48" t="s">
        <v>1790</v>
      </c>
      <c r="F369" s="66" t="b">
        <v>0</v>
      </c>
      <c r="G369" s="54" t="b">
        <v>1</v>
      </c>
      <c r="H369" s="54" t="b">
        <v>1</v>
      </c>
      <c r="I369" s="65" t="b">
        <v>0</v>
      </c>
      <c r="J369" s="54" t="b">
        <v>1</v>
      </c>
      <c r="K369" s="63" t="s">
        <v>543</v>
      </c>
      <c r="L369" s="63" t="s">
        <v>2451</v>
      </c>
      <c r="M369" s="63" t="s">
        <v>2452</v>
      </c>
      <c r="N369" s="63" t="s">
        <v>1790</v>
      </c>
    </row>
    <row r="370" spans="1:14" x14ac:dyDescent="0.2">
      <c r="A370" s="51">
        <v>369</v>
      </c>
      <c r="B370" s="54" t="s">
        <v>543</v>
      </c>
      <c r="C370" s="47" t="s">
        <v>2449</v>
      </c>
      <c r="D370" s="47" t="s">
        <v>2450</v>
      </c>
      <c r="E370" s="48" t="s">
        <v>1790</v>
      </c>
      <c r="F370" s="66" t="b">
        <v>0</v>
      </c>
      <c r="G370" s="54" t="b">
        <v>1</v>
      </c>
      <c r="H370" s="54" t="b">
        <v>1</v>
      </c>
      <c r="I370" s="54" t="b">
        <v>1</v>
      </c>
      <c r="J370" s="54" t="b">
        <v>1</v>
      </c>
      <c r="K370" s="63" t="s">
        <v>543</v>
      </c>
      <c r="L370" s="63" t="s">
        <v>2449</v>
      </c>
      <c r="M370" s="63" t="s">
        <v>2450</v>
      </c>
      <c r="N370" s="63" t="s">
        <v>1790</v>
      </c>
    </row>
    <row r="371" spans="1:14" x14ac:dyDescent="0.2">
      <c r="A371" s="51">
        <v>370</v>
      </c>
      <c r="B371" s="54" t="s">
        <v>543</v>
      </c>
      <c r="C371" s="47" t="s">
        <v>2461</v>
      </c>
      <c r="D371" s="47" t="s">
        <v>12059</v>
      </c>
      <c r="E371" s="48" t="s">
        <v>1790</v>
      </c>
      <c r="F371" s="66" t="b">
        <v>0</v>
      </c>
      <c r="G371" s="54" t="b">
        <v>1</v>
      </c>
      <c r="H371" s="54" t="b">
        <v>1</v>
      </c>
      <c r="I371" s="65" t="b">
        <v>0</v>
      </c>
      <c r="J371" s="54" t="b">
        <v>1</v>
      </c>
      <c r="K371" s="63" t="s">
        <v>543</v>
      </c>
      <c r="L371" s="63" t="s">
        <v>2461</v>
      </c>
      <c r="M371" s="63" t="s">
        <v>2462</v>
      </c>
      <c r="N371" s="63" t="s">
        <v>1790</v>
      </c>
    </row>
    <row r="372" spans="1:14" x14ac:dyDescent="0.2">
      <c r="A372" s="51">
        <v>371</v>
      </c>
      <c r="B372" s="54" t="s">
        <v>543</v>
      </c>
      <c r="C372" s="47" t="s">
        <v>2469</v>
      </c>
      <c r="D372" s="47" t="s">
        <v>2470</v>
      </c>
      <c r="E372" s="48" t="s">
        <v>1790</v>
      </c>
      <c r="F372" s="66" t="b">
        <v>0</v>
      </c>
      <c r="G372" s="54" t="b">
        <v>1</v>
      </c>
      <c r="H372" s="54" t="b">
        <v>1</v>
      </c>
      <c r="I372" s="54" t="b">
        <v>1</v>
      </c>
      <c r="J372" s="54" t="b">
        <v>1</v>
      </c>
      <c r="K372" s="63" t="s">
        <v>543</v>
      </c>
      <c r="L372" s="63" t="s">
        <v>2469</v>
      </c>
      <c r="M372" s="63" t="s">
        <v>2470</v>
      </c>
      <c r="N372" s="63" t="s">
        <v>1790</v>
      </c>
    </row>
    <row r="373" spans="1:14" x14ac:dyDescent="0.2">
      <c r="A373" s="51">
        <v>372</v>
      </c>
      <c r="B373" s="54" t="s">
        <v>543</v>
      </c>
      <c r="C373" s="47" t="s">
        <v>2463</v>
      </c>
      <c r="D373" s="47" t="s">
        <v>2464</v>
      </c>
      <c r="E373" s="48" t="s">
        <v>1790</v>
      </c>
      <c r="F373" s="66" t="b">
        <v>0</v>
      </c>
      <c r="G373" s="54" t="b">
        <v>1</v>
      </c>
      <c r="H373" s="54" t="b">
        <v>1</v>
      </c>
      <c r="I373" s="54" t="b">
        <v>1</v>
      </c>
      <c r="J373" s="54" t="b">
        <v>1</v>
      </c>
      <c r="K373" s="63" t="s">
        <v>543</v>
      </c>
      <c r="L373" s="63" t="s">
        <v>2463</v>
      </c>
      <c r="M373" s="63" t="s">
        <v>2464</v>
      </c>
      <c r="N373" s="63" t="s">
        <v>1790</v>
      </c>
    </row>
    <row r="374" spans="1:14" x14ac:dyDescent="0.2">
      <c r="A374" s="51">
        <v>373</v>
      </c>
      <c r="B374" s="54" t="s">
        <v>543</v>
      </c>
      <c r="C374" s="47" t="s">
        <v>2459</v>
      </c>
      <c r="D374" s="47" t="s">
        <v>2460</v>
      </c>
      <c r="E374" s="48" t="s">
        <v>1790</v>
      </c>
      <c r="F374" s="66" t="b">
        <v>0</v>
      </c>
      <c r="G374" s="54" t="b">
        <v>1</v>
      </c>
      <c r="H374" s="54" t="b">
        <v>1</v>
      </c>
      <c r="I374" s="54" t="b">
        <v>1</v>
      </c>
      <c r="J374" s="54" t="b">
        <v>1</v>
      </c>
      <c r="K374" s="63" t="s">
        <v>543</v>
      </c>
      <c r="L374" s="63" t="s">
        <v>2459</v>
      </c>
      <c r="M374" s="63" t="s">
        <v>2460</v>
      </c>
      <c r="N374" s="63" t="s">
        <v>1790</v>
      </c>
    </row>
    <row r="375" spans="1:14" x14ac:dyDescent="0.2">
      <c r="A375" s="51">
        <v>374</v>
      </c>
      <c r="B375" s="54" t="s">
        <v>543</v>
      </c>
      <c r="C375" s="47" t="s">
        <v>2465</v>
      </c>
      <c r="D375" s="47" t="s">
        <v>12060</v>
      </c>
      <c r="E375" s="48" t="s">
        <v>1790</v>
      </c>
      <c r="F375" s="66" t="b">
        <v>0</v>
      </c>
      <c r="G375" s="54" t="b">
        <v>1</v>
      </c>
      <c r="H375" s="54" t="b">
        <v>1</v>
      </c>
      <c r="I375" s="65" t="b">
        <v>0</v>
      </c>
      <c r="J375" s="54" t="b">
        <v>1</v>
      </c>
      <c r="K375" s="63" t="s">
        <v>543</v>
      </c>
      <c r="L375" s="63" t="s">
        <v>2465</v>
      </c>
      <c r="M375" s="63" t="s">
        <v>2466</v>
      </c>
      <c r="N375" s="63" t="s">
        <v>1790</v>
      </c>
    </row>
    <row r="376" spans="1:14" x14ac:dyDescent="0.2">
      <c r="A376" s="51">
        <v>375</v>
      </c>
      <c r="B376" s="54" t="s">
        <v>543</v>
      </c>
      <c r="C376" s="47" t="s">
        <v>2467</v>
      </c>
      <c r="D376" s="47" t="s">
        <v>12041</v>
      </c>
      <c r="E376" s="48" t="s">
        <v>1790</v>
      </c>
      <c r="F376" s="66" t="b">
        <v>0</v>
      </c>
      <c r="G376" s="54" t="b">
        <v>1</v>
      </c>
      <c r="H376" s="54" t="b">
        <v>1</v>
      </c>
      <c r="I376" s="65" t="b">
        <v>0</v>
      </c>
      <c r="J376" s="54" t="b">
        <v>1</v>
      </c>
      <c r="K376" s="63" t="s">
        <v>543</v>
      </c>
      <c r="L376" s="63" t="s">
        <v>2467</v>
      </c>
      <c r="M376" s="63" t="s">
        <v>2468</v>
      </c>
      <c r="N376" s="63" t="s">
        <v>1790</v>
      </c>
    </row>
    <row r="377" spans="1:14" x14ac:dyDescent="0.2">
      <c r="A377" s="51">
        <v>376</v>
      </c>
      <c r="B377" s="54" t="s">
        <v>543</v>
      </c>
      <c r="C377" s="47" t="s">
        <v>2471</v>
      </c>
      <c r="D377" s="47" t="s">
        <v>12061</v>
      </c>
      <c r="E377" s="48" t="s">
        <v>1790</v>
      </c>
      <c r="F377" s="66" t="b">
        <v>0</v>
      </c>
      <c r="G377" s="54" t="b">
        <v>1</v>
      </c>
      <c r="H377" s="54" t="b">
        <v>1</v>
      </c>
      <c r="I377" s="65" t="b">
        <v>0</v>
      </c>
      <c r="J377" s="54" t="b">
        <v>1</v>
      </c>
      <c r="K377" s="63" t="s">
        <v>543</v>
      </c>
      <c r="L377" s="63" t="s">
        <v>2471</v>
      </c>
      <c r="M377" s="63" t="s">
        <v>2472</v>
      </c>
      <c r="N377" s="63" t="s">
        <v>1790</v>
      </c>
    </row>
    <row r="378" spans="1:14" x14ac:dyDescent="0.2">
      <c r="A378" s="51">
        <v>377</v>
      </c>
      <c r="B378" s="54" t="s">
        <v>543</v>
      </c>
      <c r="C378" s="47" t="s">
        <v>2473</v>
      </c>
      <c r="D378" s="47" t="s">
        <v>12062</v>
      </c>
      <c r="E378" s="48" t="s">
        <v>1790</v>
      </c>
      <c r="F378" s="66" t="b">
        <v>0</v>
      </c>
      <c r="G378" s="54" t="b">
        <v>1</v>
      </c>
      <c r="H378" s="54" t="b">
        <v>1</v>
      </c>
      <c r="I378" s="65" t="b">
        <v>0</v>
      </c>
      <c r="J378" s="54" t="b">
        <v>1</v>
      </c>
      <c r="K378" s="63" t="s">
        <v>543</v>
      </c>
      <c r="L378" s="63" t="s">
        <v>2473</v>
      </c>
      <c r="M378" s="63" t="s">
        <v>2474</v>
      </c>
      <c r="N378" s="63" t="s">
        <v>1790</v>
      </c>
    </row>
    <row r="379" spans="1:14" x14ac:dyDescent="0.2">
      <c r="A379" s="51">
        <v>378</v>
      </c>
      <c r="B379" s="54" t="s">
        <v>543</v>
      </c>
      <c r="C379" s="47" t="s">
        <v>2457</v>
      </c>
      <c r="D379" s="47" t="s">
        <v>2458</v>
      </c>
      <c r="E379" s="48" t="s">
        <v>1790</v>
      </c>
      <c r="F379" s="66" t="b">
        <v>0</v>
      </c>
      <c r="G379" s="54" t="b">
        <v>1</v>
      </c>
      <c r="H379" s="54" t="b">
        <v>1</v>
      </c>
      <c r="I379" s="54" t="b">
        <v>1</v>
      </c>
      <c r="J379" s="54" t="b">
        <v>1</v>
      </c>
      <c r="K379" s="63" t="s">
        <v>543</v>
      </c>
      <c r="L379" s="63" t="s">
        <v>2457</v>
      </c>
      <c r="M379" s="63" t="s">
        <v>2458</v>
      </c>
      <c r="N379" s="63" t="s">
        <v>1790</v>
      </c>
    </row>
    <row r="380" spans="1:14" x14ac:dyDescent="0.2">
      <c r="A380" s="51">
        <v>379</v>
      </c>
      <c r="B380" s="54" t="s">
        <v>543</v>
      </c>
      <c r="C380" s="47" t="s">
        <v>2475</v>
      </c>
      <c r="D380" s="47" t="s">
        <v>12063</v>
      </c>
      <c r="E380" s="48" t="s">
        <v>1790</v>
      </c>
      <c r="F380" s="66" t="b">
        <v>0</v>
      </c>
      <c r="G380" s="54" t="b">
        <v>1</v>
      </c>
      <c r="H380" s="54" t="b">
        <v>1</v>
      </c>
      <c r="I380" s="65" t="b">
        <v>0</v>
      </c>
      <c r="J380" s="54" t="b">
        <v>1</v>
      </c>
      <c r="K380" s="63" t="s">
        <v>543</v>
      </c>
      <c r="L380" s="63" t="s">
        <v>2475</v>
      </c>
      <c r="M380" s="63" t="s">
        <v>2476</v>
      </c>
      <c r="N380" s="63" t="s">
        <v>1790</v>
      </c>
    </row>
    <row r="381" spans="1:14" x14ac:dyDescent="0.2">
      <c r="A381" s="51">
        <v>380</v>
      </c>
      <c r="B381" s="54" t="s">
        <v>543</v>
      </c>
      <c r="C381" s="47" t="s">
        <v>2481</v>
      </c>
      <c r="D381" s="47" t="s">
        <v>2482</v>
      </c>
      <c r="E381" s="48" t="s">
        <v>1790</v>
      </c>
      <c r="F381" s="66" t="b">
        <v>0</v>
      </c>
      <c r="G381" s="54" t="b">
        <v>1</v>
      </c>
      <c r="H381" s="54" t="b">
        <v>1</v>
      </c>
      <c r="I381" s="54" t="b">
        <v>1</v>
      </c>
      <c r="J381" s="54" t="b">
        <v>1</v>
      </c>
      <c r="K381" s="63" t="s">
        <v>543</v>
      </c>
      <c r="L381" s="63" t="s">
        <v>2481</v>
      </c>
      <c r="M381" s="63" t="s">
        <v>2482</v>
      </c>
      <c r="N381" s="63" t="s">
        <v>1790</v>
      </c>
    </row>
    <row r="382" spans="1:14" x14ac:dyDescent="0.2">
      <c r="A382" s="51">
        <v>381</v>
      </c>
      <c r="B382" s="54" t="s">
        <v>543</v>
      </c>
      <c r="C382" s="47" t="s">
        <v>2479</v>
      </c>
      <c r="D382" s="47" t="s">
        <v>12065</v>
      </c>
      <c r="E382" s="48" t="s">
        <v>1790</v>
      </c>
      <c r="F382" s="66" t="b">
        <v>0</v>
      </c>
      <c r="G382" s="54" t="b">
        <v>1</v>
      </c>
      <c r="H382" s="54" t="b">
        <v>1</v>
      </c>
      <c r="I382" s="65" t="b">
        <v>0</v>
      </c>
      <c r="J382" s="54" t="b">
        <v>1</v>
      </c>
      <c r="K382" s="63" t="s">
        <v>543</v>
      </c>
      <c r="L382" s="63" t="s">
        <v>2479</v>
      </c>
      <c r="M382" s="63" t="s">
        <v>2480</v>
      </c>
      <c r="N382" s="63" t="s">
        <v>1790</v>
      </c>
    </row>
    <row r="383" spans="1:14" x14ac:dyDescent="0.2">
      <c r="A383" s="51">
        <v>382</v>
      </c>
      <c r="B383" s="54" t="s">
        <v>543</v>
      </c>
      <c r="C383" s="47" t="s">
        <v>2477</v>
      </c>
      <c r="D383" s="47" t="s">
        <v>12064</v>
      </c>
      <c r="E383" s="48" t="s">
        <v>1790</v>
      </c>
      <c r="F383" s="66" t="b">
        <v>0</v>
      </c>
      <c r="G383" s="54" t="b">
        <v>1</v>
      </c>
      <c r="H383" s="54" t="b">
        <v>1</v>
      </c>
      <c r="I383" s="65" t="b">
        <v>0</v>
      </c>
      <c r="J383" s="54" t="b">
        <v>1</v>
      </c>
      <c r="K383" s="63" t="s">
        <v>543</v>
      </c>
      <c r="L383" s="63" t="s">
        <v>2477</v>
      </c>
      <c r="M383" s="63" t="s">
        <v>2478</v>
      </c>
      <c r="N383" s="63" t="s">
        <v>1790</v>
      </c>
    </row>
    <row r="384" spans="1:14" x14ac:dyDescent="0.2">
      <c r="A384" s="51">
        <v>383</v>
      </c>
      <c r="B384" s="54" t="s">
        <v>543</v>
      </c>
      <c r="C384" s="47" t="s">
        <v>2483</v>
      </c>
      <c r="D384" s="47" t="s">
        <v>12066</v>
      </c>
      <c r="E384" s="48" t="s">
        <v>1790</v>
      </c>
      <c r="F384" s="66" t="b">
        <v>0</v>
      </c>
      <c r="G384" s="54" t="b">
        <v>1</v>
      </c>
      <c r="H384" s="54" t="b">
        <v>1</v>
      </c>
      <c r="I384" s="65" t="b">
        <v>0</v>
      </c>
      <c r="J384" s="54" t="b">
        <v>1</v>
      </c>
      <c r="K384" s="63" t="s">
        <v>543</v>
      </c>
      <c r="L384" s="63" t="s">
        <v>2483</v>
      </c>
      <c r="M384" s="63" t="s">
        <v>2484</v>
      </c>
      <c r="N384" s="63" t="s">
        <v>1790</v>
      </c>
    </row>
    <row r="385" spans="1:14" x14ac:dyDescent="0.2">
      <c r="A385" s="51">
        <v>384</v>
      </c>
      <c r="B385" s="54" t="s">
        <v>543</v>
      </c>
      <c r="C385" s="47" t="s">
        <v>2485</v>
      </c>
      <c r="D385" s="47" t="s">
        <v>12067</v>
      </c>
      <c r="E385" s="48" t="s">
        <v>1790</v>
      </c>
      <c r="F385" s="66" t="b">
        <v>0</v>
      </c>
      <c r="G385" s="54" t="b">
        <v>1</v>
      </c>
      <c r="H385" s="54" t="b">
        <v>1</v>
      </c>
      <c r="I385" s="65" t="b">
        <v>0</v>
      </c>
      <c r="J385" s="54" t="b">
        <v>1</v>
      </c>
      <c r="K385" s="63" t="s">
        <v>543</v>
      </c>
      <c r="L385" s="63" t="s">
        <v>2485</v>
      </c>
      <c r="M385" s="63" t="s">
        <v>2486</v>
      </c>
      <c r="N385" s="63" t="s">
        <v>1790</v>
      </c>
    </row>
    <row r="386" spans="1:14" x14ac:dyDescent="0.2">
      <c r="A386" s="51">
        <v>385</v>
      </c>
      <c r="B386" s="54" t="s">
        <v>543</v>
      </c>
      <c r="C386" s="47" t="s">
        <v>2490</v>
      </c>
      <c r="D386" s="47" t="s">
        <v>2491</v>
      </c>
      <c r="E386" s="48" t="s">
        <v>1790</v>
      </c>
      <c r="F386" s="66" t="b">
        <v>0</v>
      </c>
      <c r="G386" s="54" t="b">
        <v>1</v>
      </c>
      <c r="H386" s="54" t="b">
        <v>1</v>
      </c>
      <c r="I386" s="54" t="b">
        <v>1</v>
      </c>
      <c r="J386" s="54" t="b">
        <v>1</v>
      </c>
      <c r="K386" s="63" t="s">
        <v>543</v>
      </c>
      <c r="L386" s="63" t="s">
        <v>2490</v>
      </c>
      <c r="M386" s="63" t="s">
        <v>2491</v>
      </c>
      <c r="N386" s="63" t="s">
        <v>1790</v>
      </c>
    </row>
    <row r="387" spans="1:14" x14ac:dyDescent="0.2">
      <c r="A387" s="51">
        <v>386</v>
      </c>
      <c r="B387" s="54" t="s">
        <v>543</v>
      </c>
      <c r="C387" s="47" t="s">
        <v>2488</v>
      </c>
      <c r="D387" s="47" t="s">
        <v>2489</v>
      </c>
      <c r="E387" s="48" t="s">
        <v>1790</v>
      </c>
      <c r="F387" s="66" t="b">
        <v>0</v>
      </c>
      <c r="G387" s="54" t="b">
        <v>1</v>
      </c>
      <c r="H387" s="54" t="b">
        <v>1</v>
      </c>
      <c r="I387" s="54" t="b">
        <v>1</v>
      </c>
      <c r="J387" s="54" t="b">
        <v>1</v>
      </c>
      <c r="K387" s="63" t="s">
        <v>543</v>
      </c>
      <c r="L387" s="63" t="s">
        <v>2488</v>
      </c>
      <c r="M387" s="63" t="s">
        <v>2489</v>
      </c>
      <c r="N387" s="63" t="s">
        <v>1790</v>
      </c>
    </row>
    <row r="388" spans="1:14" x14ac:dyDescent="0.2">
      <c r="A388" s="51">
        <v>387</v>
      </c>
      <c r="B388" s="54" t="s">
        <v>543</v>
      </c>
      <c r="C388" s="47" t="s">
        <v>2497</v>
      </c>
      <c r="D388" s="47" t="s">
        <v>2498</v>
      </c>
      <c r="E388" s="48" t="s">
        <v>1790</v>
      </c>
      <c r="F388" s="66" t="b">
        <v>0</v>
      </c>
      <c r="G388" s="54" t="b">
        <v>1</v>
      </c>
      <c r="H388" s="54" t="b">
        <v>1</v>
      </c>
      <c r="I388" s="54" t="b">
        <v>1</v>
      </c>
      <c r="J388" s="54" t="b">
        <v>1</v>
      </c>
      <c r="K388" s="63" t="s">
        <v>543</v>
      </c>
      <c r="L388" s="63" t="s">
        <v>2497</v>
      </c>
      <c r="M388" s="63" t="s">
        <v>2498</v>
      </c>
      <c r="N388" s="63" t="s">
        <v>1790</v>
      </c>
    </row>
    <row r="389" spans="1:14" x14ac:dyDescent="0.2">
      <c r="A389" s="51">
        <v>388</v>
      </c>
      <c r="B389" s="54" t="s">
        <v>543</v>
      </c>
      <c r="C389" s="47" t="s">
        <v>2493</v>
      </c>
      <c r="D389" s="47" t="s">
        <v>12068</v>
      </c>
      <c r="E389" s="48" t="s">
        <v>1790</v>
      </c>
      <c r="F389" s="66" t="b">
        <v>0</v>
      </c>
      <c r="G389" s="54" t="b">
        <v>1</v>
      </c>
      <c r="H389" s="54" t="b">
        <v>1</v>
      </c>
      <c r="I389" s="65" t="b">
        <v>0</v>
      </c>
      <c r="J389" s="54" t="b">
        <v>1</v>
      </c>
      <c r="K389" s="63" t="s">
        <v>543</v>
      </c>
      <c r="L389" s="63" t="s">
        <v>2493</v>
      </c>
      <c r="M389" s="63" t="s">
        <v>2494</v>
      </c>
      <c r="N389" s="63" t="s">
        <v>1790</v>
      </c>
    </row>
    <row r="390" spans="1:14" x14ac:dyDescent="0.2">
      <c r="A390" s="51">
        <v>389</v>
      </c>
      <c r="B390" s="54" t="s">
        <v>543</v>
      </c>
      <c r="C390" s="47" t="s">
        <v>2499</v>
      </c>
      <c r="D390" s="47" t="s">
        <v>12070</v>
      </c>
      <c r="E390" s="48" t="s">
        <v>1790</v>
      </c>
      <c r="F390" s="66" t="b">
        <v>0</v>
      </c>
      <c r="G390" s="54" t="b">
        <v>1</v>
      </c>
      <c r="H390" s="54" t="b">
        <v>1</v>
      </c>
      <c r="I390" s="65" t="b">
        <v>0</v>
      </c>
      <c r="J390" s="54" t="b">
        <v>1</v>
      </c>
      <c r="K390" s="63" t="s">
        <v>543</v>
      </c>
      <c r="L390" s="63" t="s">
        <v>2499</v>
      </c>
      <c r="M390" s="63" t="s">
        <v>2500</v>
      </c>
      <c r="N390" s="63" t="s">
        <v>1790</v>
      </c>
    </row>
    <row r="391" spans="1:14" x14ac:dyDescent="0.2">
      <c r="A391" s="51">
        <v>390</v>
      </c>
      <c r="B391" s="54" t="s">
        <v>543</v>
      </c>
      <c r="C391" s="47" t="s">
        <v>2503</v>
      </c>
      <c r="D391" s="47" t="s">
        <v>2504</v>
      </c>
      <c r="E391" s="48" t="s">
        <v>1790</v>
      </c>
      <c r="F391" s="66" t="b">
        <v>0</v>
      </c>
      <c r="G391" s="54" t="b">
        <v>1</v>
      </c>
      <c r="H391" s="54" t="b">
        <v>1</v>
      </c>
      <c r="I391" s="54" t="b">
        <v>1</v>
      </c>
      <c r="J391" s="54" t="b">
        <v>1</v>
      </c>
      <c r="K391" s="63" t="s">
        <v>543</v>
      </c>
      <c r="L391" s="63" t="s">
        <v>2503</v>
      </c>
      <c r="M391" s="63" t="s">
        <v>2504</v>
      </c>
      <c r="N391" s="63" t="s">
        <v>1790</v>
      </c>
    </row>
    <row r="392" spans="1:14" x14ac:dyDescent="0.2">
      <c r="A392" s="51">
        <v>391</v>
      </c>
      <c r="B392" s="54" t="s">
        <v>543</v>
      </c>
      <c r="C392" s="47" t="s">
        <v>2501</v>
      </c>
      <c r="D392" s="47" t="s">
        <v>12071</v>
      </c>
      <c r="E392" s="48" t="s">
        <v>1790</v>
      </c>
      <c r="F392" s="66" t="b">
        <v>0</v>
      </c>
      <c r="G392" s="54" t="b">
        <v>1</v>
      </c>
      <c r="H392" s="54" t="b">
        <v>1</v>
      </c>
      <c r="I392" s="65" t="b">
        <v>0</v>
      </c>
      <c r="J392" s="54" t="b">
        <v>1</v>
      </c>
      <c r="K392" s="63" t="s">
        <v>543</v>
      </c>
      <c r="L392" s="63" t="s">
        <v>2501</v>
      </c>
      <c r="M392" s="63" t="s">
        <v>2502</v>
      </c>
      <c r="N392" s="63" t="s">
        <v>1790</v>
      </c>
    </row>
    <row r="393" spans="1:14" x14ac:dyDescent="0.2">
      <c r="A393" s="51">
        <v>392</v>
      </c>
      <c r="B393" s="54" t="s">
        <v>543</v>
      </c>
      <c r="C393" s="47" t="s">
        <v>2495</v>
      </c>
      <c r="D393" s="47" t="s">
        <v>12069</v>
      </c>
      <c r="E393" s="48" t="s">
        <v>1790</v>
      </c>
      <c r="F393" s="66" t="b">
        <v>0</v>
      </c>
      <c r="G393" s="54" t="b">
        <v>1</v>
      </c>
      <c r="H393" s="54" t="b">
        <v>1</v>
      </c>
      <c r="I393" s="65" t="b">
        <v>0</v>
      </c>
      <c r="J393" s="54" t="b">
        <v>1</v>
      </c>
      <c r="K393" s="63" t="s">
        <v>543</v>
      </c>
      <c r="L393" s="63" t="s">
        <v>2495</v>
      </c>
      <c r="M393" s="63" t="s">
        <v>2496</v>
      </c>
      <c r="N393" s="63" t="s">
        <v>1790</v>
      </c>
    </row>
    <row r="394" spans="1:14" x14ac:dyDescent="0.2">
      <c r="A394" s="51">
        <v>393</v>
      </c>
      <c r="B394" s="54" t="s">
        <v>543</v>
      </c>
      <c r="C394" s="47" t="s">
        <v>2506</v>
      </c>
      <c r="D394" s="47" t="s">
        <v>2507</v>
      </c>
      <c r="E394" s="48" t="s">
        <v>1790</v>
      </c>
      <c r="F394" s="66" t="b">
        <v>0</v>
      </c>
      <c r="G394" s="54" t="b">
        <v>1</v>
      </c>
      <c r="H394" s="54" t="b">
        <v>1</v>
      </c>
      <c r="I394" s="54" t="b">
        <v>1</v>
      </c>
      <c r="J394" s="54" t="b">
        <v>1</v>
      </c>
      <c r="K394" s="63" t="s">
        <v>543</v>
      </c>
      <c r="L394" s="63" t="s">
        <v>2506</v>
      </c>
      <c r="M394" s="63" t="s">
        <v>2507</v>
      </c>
      <c r="N394" s="63" t="s">
        <v>1790</v>
      </c>
    </row>
    <row r="395" spans="1:14" x14ac:dyDescent="0.2">
      <c r="A395" s="51">
        <v>394</v>
      </c>
      <c r="B395" s="54" t="s">
        <v>543</v>
      </c>
      <c r="C395" s="47" t="s">
        <v>2508</v>
      </c>
      <c r="D395" s="47" t="s">
        <v>12072</v>
      </c>
      <c r="E395" s="48" t="s">
        <v>1790</v>
      </c>
      <c r="F395" s="66" t="b">
        <v>0</v>
      </c>
      <c r="G395" s="54" t="b">
        <v>1</v>
      </c>
      <c r="H395" s="54" t="b">
        <v>1</v>
      </c>
      <c r="I395" s="65" t="b">
        <v>0</v>
      </c>
      <c r="J395" s="54" t="b">
        <v>1</v>
      </c>
      <c r="K395" s="63" t="s">
        <v>543</v>
      </c>
      <c r="L395" s="63" t="s">
        <v>2508</v>
      </c>
      <c r="M395" s="63" t="s">
        <v>2509</v>
      </c>
      <c r="N395" s="63" t="s">
        <v>1790</v>
      </c>
    </row>
    <row r="396" spans="1:14" x14ac:dyDescent="0.2">
      <c r="A396" s="51">
        <v>395</v>
      </c>
      <c r="B396" s="54" t="s">
        <v>543</v>
      </c>
      <c r="C396" s="47" t="s">
        <v>2382</v>
      </c>
      <c r="D396" s="47" t="s">
        <v>12038</v>
      </c>
      <c r="E396" s="47" t="s">
        <v>2383</v>
      </c>
      <c r="F396" s="55" t="b">
        <v>1</v>
      </c>
      <c r="G396" s="54" t="b">
        <v>1</v>
      </c>
      <c r="H396" s="54" t="b">
        <v>1</v>
      </c>
      <c r="I396" s="65" t="b">
        <v>0</v>
      </c>
      <c r="J396" s="54" t="b">
        <v>1</v>
      </c>
      <c r="K396" s="63" t="s">
        <v>543</v>
      </c>
      <c r="L396" s="63" t="s">
        <v>2382</v>
      </c>
      <c r="M396" s="63" t="s">
        <v>2381</v>
      </c>
      <c r="N396" s="63" t="s">
        <v>2383</v>
      </c>
    </row>
    <row r="397" spans="1:14" x14ac:dyDescent="0.2">
      <c r="A397" s="51">
        <v>396</v>
      </c>
      <c r="B397" s="54" t="s">
        <v>543</v>
      </c>
      <c r="C397" s="47" t="s">
        <v>2394</v>
      </c>
      <c r="D397" s="47" t="s">
        <v>2393</v>
      </c>
      <c r="E397" s="47" t="s">
        <v>2383</v>
      </c>
      <c r="F397" s="55" t="b">
        <v>1</v>
      </c>
      <c r="G397" s="54" t="b">
        <v>1</v>
      </c>
      <c r="H397" s="54" t="b">
        <v>1</v>
      </c>
      <c r="I397" s="54" t="b">
        <v>1</v>
      </c>
      <c r="J397" s="54" t="b">
        <v>1</v>
      </c>
      <c r="K397" s="63" t="s">
        <v>543</v>
      </c>
      <c r="L397" s="63" t="s">
        <v>2394</v>
      </c>
      <c r="M397" s="63" t="s">
        <v>2393</v>
      </c>
      <c r="N397" s="63" t="s">
        <v>2383</v>
      </c>
    </row>
    <row r="398" spans="1:14" x14ac:dyDescent="0.2">
      <c r="A398" s="51">
        <v>397</v>
      </c>
      <c r="B398" s="54" t="s">
        <v>543</v>
      </c>
      <c r="C398" s="47" t="s">
        <v>2403</v>
      </c>
      <c r="D398" s="47" t="s">
        <v>2402</v>
      </c>
      <c r="E398" s="47" t="s">
        <v>2383</v>
      </c>
      <c r="F398" s="55" t="b">
        <v>1</v>
      </c>
      <c r="G398" s="54" t="b">
        <v>1</v>
      </c>
      <c r="H398" s="54" t="b">
        <v>1</v>
      </c>
      <c r="I398" s="54" t="b">
        <v>1</v>
      </c>
      <c r="J398" s="54" t="b">
        <v>1</v>
      </c>
      <c r="K398" s="63" t="s">
        <v>543</v>
      </c>
      <c r="L398" s="63" t="s">
        <v>2403</v>
      </c>
      <c r="M398" s="63" t="s">
        <v>2402</v>
      </c>
      <c r="N398" s="63" t="s">
        <v>2383</v>
      </c>
    </row>
    <row r="399" spans="1:14" x14ac:dyDescent="0.2">
      <c r="A399" s="51">
        <v>398</v>
      </c>
      <c r="B399" s="54" t="s">
        <v>543</v>
      </c>
      <c r="C399" s="47" t="s">
        <v>2432</v>
      </c>
      <c r="D399" s="47" t="s">
        <v>2431</v>
      </c>
      <c r="E399" s="47" t="s">
        <v>2383</v>
      </c>
      <c r="F399" s="55" t="b">
        <v>1</v>
      </c>
      <c r="G399" s="54" t="b">
        <v>1</v>
      </c>
      <c r="H399" s="54" t="b">
        <v>1</v>
      </c>
      <c r="I399" s="54" t="b">
        <v>1</v>
      </c>
      <c r="J399" s="54" t="b">
        <v>1</v>
      </c>
      <c r="K399" s="63" t="s">
        <v>543</v>
      </c>
      <c r="L399" s="63" t="s">
        <v>2432</v>
      </c>
      <c r="M399" s="63" t="s">
        <v>2431</v>
      </c>
      <c r="N399" s="63" t="s">
        <v>2383</v>
      </c>
    </row>
    <row r="400" spans="1:14" x14ac:dyDescent="0.2">
      <c r="A400" s="51">
        <v>399</v>
      </c>
      <c r="B400" s="54" t="s">
        <v>543</v>
      </c>
      <c r="C400" s="47" t="s">
        <v>2487</v>
      </c>
      <c r="D400" s="47" t="s">
        <v>12067</v>
      </c>
      <c r="E400" s="47" t="s">
        <v>2383</v>
      </c>
      <c r="F400" s="55" t="b">
        <v>1</v>
      </c>
      <c r="G400" s="54" t="b">
        <v>1</v>
      </c>
      <c r="H400" s="54" t="b">
        <v>1</v>
      </c>
      <c r="I400" s="65" t="b">
        <v>0</v>
      </c>
      <c r="J400" s="54" t="b">
        <v>1</v>
      </c>
      <c r="K400" s="63" t="s">
        <v>543</v>
      </c>
      <c r="L400" s="63" t="s">
        <v>2487</v>
      </c>
      <c r="M400" s="63" t="s">
        <v>2486</v>
      </c>
      <c r="N400" s="63" t="s">
        <v>2383</v>
      </c>
    </row>
    <row r="401" spans="1:14" x14ac:dyDescent="0.2">
      <c r="A401" s="51">
        <v>400</v>
      </c>
      <c r="B401" s="54" t="s">
        <v>543</v>
      </c>
      <c r="C401" s="47" t="s">
        <v>2492</v>
      </c>
      <c r="D401" s="47" t="s">
        <v>2491</v>
      </c>
      <c r="E401" s="47" t="s">
        <v>2383</v>
      </c>
      <c r="F401" s="55" t="b">
        <v>1</v>
      </c>
      <c r="G401" s="54" t="b">
        <v>1</v>
      </c>
      <c r="H401" s="54" t="b">
        <v>1</v>
      </c>
      <c r="I401" s="54" t="b">
        <v>1</v>
      </c>
      <c r="J401" s="54" t="b">
        <v>1</v>
      </c>
      <c r="K401" s="63" t="s">
        <v>543</v>
      </c>
      <c r="L401" s="63" t="s">
        <v>2492</v>
      </c>
      <c r="M401" s="63" t="s">
        <v>2491</v>
      </c>
      <c r="N401" s="63" t="s">
        <v>2383</v>
      </c>
    </row>
    <row r="402" spans="1:14" x14ac:dyDescent="0.2">
      <c r="A402" s="51">
        <v>401</v>
      </c>
      <c r="B402" s="54" t="s">
        <v>543</v>
      </c>
      <c r="C402" s="47" t="s">
        <v>2505</v>
      </c>
      <c r="D402" s="47" t="s">
        <v>2504</v>
      </c>
      <c r="E402" s="47" t="s">
        <v>2383</v>
      </c>
      <c r="F402" s="55" t="b">
        <v>1</v>
      </c>
      <c r="G402" s="54" t="b">
        <v>1</v>
      </c>
      <c r="H402" s="54" t="b">
        <v>1</v>
      </c>
      <c r="I402" s="54" t="b">
        <v>1</v>
      </c>
      <c r="J402" s="54" t="b">
        <v>1</v>
      </c>
      <c r="K402" s="63" t="s">
        <v>543</v>
      </c>
      <c r="L402" s="63" t="s">
        <v>2505</v>
      </c>
      <c r="M402" s="63" t="s">
        <v>2504</v>
      </c>
      <c r="N402" s="63" t="s">
        <v>2383</v>
      </c>
    </row>
    <row r="403" spans="1:14" x14ac:dyDescent="0.2">
      <c r="A403" s="51">
        <v>402</v>
      </c>
      <c r="B403" s="54" t="s">
        <v>545</v>
      </c>
      <c r="C403" s="47" t="s">
        <v>2510</v>
      </c>
      <c r="D403" s="47" t="s">
        <v>2511</v>
      </c>
      <c r="E403" s="47" t="s">
        <v>1970</v>
      </c>
      <c r="F403" s="55" t="b">
        <v>1</v>
      </c>
      <c r="G403" s="54" t="b">
        <v>1</v>
      </c>
      <c r="H403" s="54" t="b">
        <v>1</v>
      </c>
      <c r="I403" s="54" t="b">
        <v>1</v>
      </c>
      <c r="J403" s="54" t="b">
        <v>1</v>
      </c>
      <c r="K403" s="63" t="s">
        <v>545</v>
      </c>
      <c r="L403" s="63" t="s">
        <v>2510</v>
      </c>
      <c r="M403" s="63" t="s">
        <v>2511</v>
      </c>
      <c r="N403" s="63" t="s">
        <v>1970</v>
      </c>
    </row>
    <row r="404" spans="1:14" x14ac:dyDescent="0.2">
      <c r="A404" s="51">
        <v>403</v>
      </c>
      <c r="B404" s="54" t="s">
        <v>545</v>
      </c>
      <c r="C404" s="47" t="s">
        <v>2512</v>
      </c>
      <c r="D404" s="47" t="s">
        <v>2513</v>
      </c>
      <c r="E404" s="47" t="s">
        <v>1970</v>
      </c>
      <c r="F404" s="55" t="b">
        <v>1</v>
      </c>
      <c r="G404" s="54" t="b">
        <v>1</v>
      </c>
      <c r="H404" s="54" t="b">
        <v>1</v>
      </c>
      <c r="I404" s="54" t="b">
        <v>1</v>
      </c>
      <c r="J404" s="54" t="b">
        <v>1</v>
      </c>
      <c r="K404" s="63" t="s">
        <v>545</v>
      </c>
      <c r="L404" s="63" t="s">
        <v>2512</v>
      </c>
      <c r="M404" s="63" t="s">
        <v>2513</v>
      </c>
      <c r="N404" s="63" t="s">
        <v>1970</v>
      </c>
    </row>
    <row r="405" spans="1:14" x14ac:dyDescent="0.2">
      <c r="A405" s="51">
        <v>404</v>
      </c>
      <c r="B405" s="54" t="s">
        <v>545</v>
      </c>
      <c r="C405" s="47" t="s">
        <v>2514</v>
      </c>
      <c r="D405" s="47" t="s">
        <v>2025</v>
      </c>
      <c r="E405" s="47" t="s">
        <v>1970</v>
      </c>
      <c r="F405" s="55" t="b">
        <v>1</v>
      </c>
      <c r="G405" s="54" t="b">
        <v>1</v>
      </c>
      <c r="H405" s="54" t="b">
        <v>1</v>
      </c>
      <c r="I405" s="54" t="b">
        <v>1</v>
      </c>
      <c r="J405" s="54" t="b">
        <v>1</v>
      </c>
      <c r="K405" s="63" t="s">
        <v>545</v>
      </c>
      <c r="L405" s="63" t="s">
        <v>2514</v>
      </c>
      <c r="M405" s="63" t="s">
        <v>2025</v>
      </c>
      <c r="N405" s="63" t="s">
        <v>1970</v>
      </c>
    </row>
    <row r="406" spans="1:14" x14ac:dyDescent="0.2">
      <c r="A406" s="51">
        <v>405</v>
      </c>
      <c r="B406" s="54" t="s">
        <v>545</v>
      </c>
      <c r="C406" s="47" t="s">
        <v>2515</v>
      </c>
      <c r="D406" s="47" t="s">
        <v>2516</v>
      </c>
      <c r="E406" s="47" t="s">
        <v>1970</v>
      </c>
      <c r="F406" s="55" t="b">
        <v>1</v>
      </c>
      <c r="G406" s="54" t="b">
        <v>1</v>
      </c>
      <c r="H406" s="54" t="b">
        <v>1</v>
      </c>
      <c r="I406" s="54" t="b">
        <v>1</v>
      </c>
      <c r="J406" s="54" t="b">
        <v>1</v>
      </c>
      <c r="K406" s="63" t="s">
        <v>545</v>
      </c>
      <c r="L406" s="63" t="s">
        <v>2515</v>
      </c>
      <c r="M406" s="63" t="s">
        <v>2516</v>
      </c>
      <c r="N406" s="63" t="s">
        <v>1970</v>
      </c>
    </row>
    <row r="407" spans="1:14" x14ac:dyDescent="0.2">
      <c r="A407" s="51">
        <v>406</v>
      </c>
      <c r="B407" s="54" t="s">
        <v>545</v>
      </c>
      <c r="C407" s="47" t="s">
        <v>2517</v>
      </c>
      <c r="D407" s="47" t="s">
        <v>2518</v>
      </c>
      <c r="E407" s="47" t="s">
        <v>1970</v>
      </c>
      <c r="F407" s="55" t="b">
        <v>1</v>
      </c>
      <c r="G407" s="54" t="b">
        <v>1</v>
      </c>
      <c r="H407" s="54" t="b">
        <v>1</v>
      </c>
      <c r="I407" s="54" t="b">
        <v>1</v>
      </c>
      <c r="J407" s="54" t="b">
        <v>1</v>
      </c>
      <c r="K407" s="63" t="s">
        <v>545</v>
      </c>
      <c r="L407" s="63" t="s">
        <v>2517</v>
      </c>
      <c r="M407" s="63" t="s">
        <v>2518</v>
      </c>
      <c r="N407" s="63" t="s">
        <v>1970</v>
      </c>
    </row>
    <row r="408" spans="1:14" x14ac:dyDescent="0.2">
      <c r="A408" s="51">
        <v>407</v>
      </c>
      <c r="B408" s="54" t="s">
        <v>545</v>
      </c>
      <c r="C408" s="47" t="s">
        <v>2519</v>
      </c>
      <c r="D408" s="47" t="s">
        <v>2520</v>
      </c>
      <c r="E408" s="47" t="s">
        <v>1970</v>
      </c>
      <c r="F408" s="55" t="b">
        <v>1</v>
      </c>
      <c r="G408" s="54" t="b">
        <v>1</v>
      </c>
      <c r="H408" s="54" t="b">
        <v>1</v>
      </c>
      <c r="I408" s="54" t="b">
        <v>1</v>
      </c>
      <c r="J408" s="54" t="b">
        <v>1</v>
      </c>
      <c r="K408" s="63" t="s">
        <v>545</v>
      </c>
      <c r="L408" s="63" t="s">
        <v>2519</v>
      </c>
      <c r="M408" s="63" t="s">
        <v>2520</v>
      </c>
      <c r="N408" s="63" t="s">
        <v>1970</v>
      </c>
    </row>
    <row r="409" spans="1:14" x14ac:dyDescent="0.2">
      <c r="A409" s="51">
        <v>408</v>
      </c>
      <c r="B409" s="54" t="s">
        <v>545</v>
      </c>
      <c r="C409" s="47" t="s">
        <v>2521</v>
      </c>
      <c r="D409" s="47" t="s">
        <v>2522</v>
      </c>
      <c r="E409" s="47" t="s">
        <v>1970</v>
      </c>
      <c r="F409" s="55" t="b">
        <v>1</v>
      </c>
      <c r="G409" s="54" t="b">
        <v>1</v>
      </c>
      <c r="H409" s="54" t="b">
        <v>1</v>
      </c>
      <c r="I409" s="54" t="b">
        <v>1</v>
      </c>
      <c r="J409" s="54" t="b">
        <v>1</v>
      </c>
      <c r="K409" s="63" t="s">
        <v>545</v>
      </c>
      <c r="L409" s="63" t="s">
        <v>2521</v>
      </c>
      <c r="M409" s="63" t="s">
        <v>2522</v>
      </c>
      <c r="N409" s="63" t="s">
        <v>1970</v>
      </c>
    </row>
    <row r="410" spans="1:14" x14ac:dyDescent="0.2">
      <c r="A410" s="51">
        <v>409</v>
      </c>
      <c r="B410" s="54" t="s">
        <v>545</v>
      </c>
      <c r="C410" s="47" t="s">
        <v>2523</v>
      </c>
      <c r="D410" s="47" t="s">
        <v>2524</v>
      </c>
      <c r="E410" s="47" t="s">
        <v>1970</v>
      </c>
      <c r="F410" s="55" t="b">
        <v>1</v>
      </c>
      <c r="G410" s="54" t="b">
        <v>1</v>
      </c>
      <c r="H410" s="54" t="b">
        <v>1</v>
      </c>
      <c r="I410" s="54" t="b">
        <v>1</v>
      </c>
      <c r="J410" s="54" t="b">
        <v>1</v>
      </c>
      <c r="K410" s="63" t="s">
        <v>545</v>
      </c>
      <c r="L410" s="63" t="s">
        <v>2523</v>
      </c>
      <c r="M410" s="63" t="s">
        <v>2524</v>
      </c>
      <c r="N410" s="63" t="s">
        <v>1970</v>
      </c>
    </row>
    <row r="411" spans="1:14" x14ac:dyDescent="0.2">
      <c r="A411" s="51">
        <v>410</v>
      </c>
      <c r="B411" s="54" t="s">
        <v>545</v>
      </c>
      <c r="C411" s="47" t="s">
        <v>2525</v>
      </c>
      <c r="D411" s="47" t="s">
        <v>2033</v>
      </c>
      <c r="E411" s="47" t="s">
        <v>1970</v>
      </c>
      <c r="F411" s="55" t="b">
        <v>1</v>
      </c>
      <c r="G411" s="54" t="b">
        <v>1</v>
      </c>
      <c r="H411" s="54" t="b">
        <v>1</v>
      </c>
      <c r="I411" s="54" t="b">
        <v>1</v>
      </c>
      <c r="J411" s="54" t="b">
        <v>1</v>
      </c>
      <c r="K411" s="63" t="s">
        <v>545</v>
      </c>
      <c r="L411" s="63" t="s">
        <v>2525</v>
      </c>
      <c r="M411" s="63" t="s">
        <v>2033</v>
      </c>
      <c r="N411" s="63" t="s">
        <v>1970</v>
      </c>
    </row>
    <row r="412" spans="1:14" x14ac:dyDescent="0.2">
      <c r="A412" s="51">
        <v>411</v>
      </c>
      <c r="B412" s="54" t="s">
        <v>545</v>
      </c>
      <c r="C412" s="47" t="s">
        <v>2526</v>
      </c>
      <c r="D412" s="47" t="s">
        <v>2035</v>
      </c>
      <c r="E412" s="47" t="s">
        <v>1970</v>
      </c>
      <c r="F412" s="55" t="b">
        <v>1</v>
      </c>
      <c r="G412" s="54" t="b">
        <v>1</v>
      </c>
      <c r="H412" s="54" t="b">
        <v>1</v>
      </c>
      <c r="I412" s="54" t="b">
        <v>1</v>
      </c>
      <c r="J412" s="54" t="b">
        <v>1</v>
      </c>
      <c r="K412" s="63" t="s">
        <v>545</v>
      </c>
      <c r="L412" s="63" t="s">
        <v>2526</v>
      </c>
      <c r="M412" s="63" t="s">
        <v>2035</v>
      </c>
      <c r="N412" s="63" t="s">
        <v>1970</v>
      </c>
    </row>
    <row r="413" spans="1:14" x14ac:dyDescent="0.2">
      <c r="A413" s="51">
        <v>412</v>
      </c>
      <c r="B413" s="54" t="s">
        <v>545</v>
      </c>
      <c r="C413" s="47" t="s">
        <v>2527</v>
      </c>
      <c r="D413" s="47" t="s">
        <v>2528</v>
      </c>
      <c r="E413" s="47" t="s">
        <v>1970</v>
      </c>
      <c r="F413" s="55" t="b">
        <v>1</v>
      </c>
      <c r="G413" s="54" t="b">
        <v>1</v>
      </c>
      <c r="H413" s="54" t="b">
        <v>1</v>
      </c>
      <c r="I413" s="54" t="b">
        <v>1</v>
      </c>
      <c r="J413" s="54" t="b">
        <v>1</v>
      </c>
      <c r="K413" s="63" t="s">
        <v>545</v>
      </c>
      <c r="L413" s="63" t="s">
        <v>2527</v>
      </c>
      <c r="M413" s="63" t="s">
        <v>2528</v>
      </c>
      <c r="N413" s="63" t="s">
        <v>1970</v>
      </c>
    </row>
    <row r="414" spans="1:14" x14ac:dyDescent="0.2">
      <c r="A414" s="51">
        <v>413</v>
      </c>
      <c r="G414" s="65" t="b">
        <v>0</v>
      </c>
      <c r="H414" s="65" t="b">
        <v>0</v>
      </c>
      <c r="I414" s="65" t="b">
        <v>0</v>
      </c>
      <c r="J414" s="65" t="b">
        <v>0</v>
      </c>
      <c r="K414" s="63" t="s">
        <v>550</v>
      </c>
      <c r="L414" s="63" t="s">
        <v>2529</v>
      </c>
      <c r="M414" s="63" t="s">
        <v>2530</v>
      </c>
      <c r="N414" s="63" t="s">
        <v>2531</v>
      </c>
    </row>
    <row r="415" spans="1:14" x14ac:dyDescent="0.2">
      <c r="A415" s="51">
        <v>414</v>
      </c>
      <c r="B415" s="54" t="s">
        <v>550</v>
      </c>
      <c r="C415" s="47" t="s">
        <v>2529</v>
      </c>
      <c r="D415" s="47" t="s">
        <v>12073</v>
      </c>
      <c r="E415" s="47" t="s">
        <v>2087</v>
      </c>
      <c r="F415" s="55" t="b">
        <v>1</v>
      </c>
      <c r="G415" s="54" t="b">
        <v>1</v>
      </c>
      <c r="H415" s="54" t="b">
        <v>1</v>
      </c>
      <c r="I415" s="65" t="b">
        <v>0</v>
      </c>
      <c r="J415" s="65" t="b">
        <v>0</v>
      </c>
      <c r="K415" s="63" t="s">
        <v>550</v>
      </c>
      <c r="L415" s="63" t="s">
        <v>2529</v>
      </c>
      <c r="M415" s="63" t="s">
        <v>2532</v>
      </c>
      <c r="N415" s="63" t="s">
        <v>2531</v>
      </c>
    </row>
    <row r="416" spans="1:14" x14ac:dyDescent="0.2">
      <c r="A416" s="51">
        <v>415</v>
      </c>
      <c r="B416" s="54" t="s">
        <v>550</v>
      </c>
      <c r="C416" s="47" t="s">
        <v>2535</v>
      </c>
      <c r="D416" s="47" t="s">
        <v>12077</v>
      </c>
      <c r="E416" s="47" t="s">
        <v>2046</v>
      </c>
      <c r="F416" s="55" t="b">
        <v>1</v>
      </c>
      <c r="G416" s="54" t="b">
        <v>1</v>
      </c>
      <c r="H416" s="54" t="b">
        <v>1</v>
      </c>
      <c r="I416" s="65" t="b">
        <v>0</v>
      </c>
      <c r="J416" s="54" t="b">
        <v>1</v>
      </c>
      <c r="K416" s="63" t="s">
        <v>550</v>
      </c>
      <c r="L416" s="63" t="s">
        <v>2535</v>
      </c>
      <c r="M416" s="63" t="s">
        <v>2536</v>
      </c>
      <c r="N416" s="63" t="s">
        <v>2046</v>
      </c>
    </row>
    <row r="417" spans="1:14" x14ac:dyDescent="0.2">
      <c r="A417" s="51">
        <v>416</v>
      </c>
      <c r="G417" s="65" t="b">
        <v>0</v>
      </c>
      <c r="H417" s="65" t="b">
        <v>0</v>
      </c>
      <c r="I417" s="65" t="b">
        <v>0</v>
      </c>
      <c r="J417" s="65" t="b">
        <v>0</v>
      </c>
      <c r="K417" s="63" t="s">
        <v>550</v>
      </c>
      <c r="L417" s="63" t="s">
        <v>2535</v>
      </c>
      <c r="M417" s="63" t="s">
        <v>2540</v>
      </c>
      <c r="N417" s="63" t="s">
        <v>2046</v>
      </c>
    </row>
    <row r="418" spans="1:14" x14ac:dyDescent="0.2">
      <c r="A418" s="51">
        <v>417</v>
      </c>
      <c r="G418" s="65" t="b">
        <v>0</v>
      </c>
      <c r="H418" s="65" t="b">
        <v>0</v>
      </c>
      <c r="I418" s="65" t="b">
        <v>0</v>
      </c>
      <c r="J418" s="65" t="b">
        <v>0</v>
      </c>
      <c r="K418" s="63" t="s">
        <v>550</v>
      </c>
      <c r="L418" s="63" t="s">
        <v>2533</v>
      </c>
      <c r="M418" s="63" t="s">
        <v>2534</v>
      </c>
      <c r="N418" s="63" t="s">
        <v>2531</v>
      </c>
    </row>
    <row r="419" spans="1:14" x14ac:dyDescent="0.2">
      <c r="A419" s="51">
        <v>418</v>
      </c>
      <c r="B419" s="54" t="s">
        <v>550</v>
      </c>
      <c r="C419" s="47" t="s">
        <v>2533</v>
      </c>
      <c r="D419" s="47" t="s">
        <v>12074</v>
      </c>
      <c r="E419" s="47" t="s">
        <v>2087</v>
      </c>
      <c r="F419" s="55" t="b">
        <v>1</v>
      </c>
      <c r="G419" s="54" t="b">
        <v>1</v>
      </c>
      <c r="H419" s="54" t="b">
        <v>1</v>
      </c>
      <c r="I419" s="65" t="b">
        <v>0</v>
      </c>
      <c r="J419" s="65" t="b">
        <v>0</v>
      </c>
      <c r="K419" s="63" t="s">
        <v>550</v>
      </c>
      <c r="L419" s="63" t="s">
        <v>2533</v>
      </c>
      <c r="M419" s="63" t="s">
        <v>2539</v>
      </c>
      <c r="N419" s="63" t="s">
        <v>2531</v>
      </c>
    </row>
    <row r="420" spans="1:14" x14ac:dyDescent="0.2">
      <c r="A420" s="51">
        <v>419</v>
      </c>
      <c r="G420" s="65" t="b">
        <v>0</v>
      </c>
      <c r="H420" s="65" t="b">
        <v>0</v>
      </c>
      <c r="I420" s="65" t="b">
        <v>0</v>
      </c>
      <c r="J420" s="65" t="b">
        <v>0</v>
      </c>
      <c r="K420" s="63" t="s">
        <v>550</v>
      </c>
      <c r="L420" s="63" t="s">
        <v>2537</v>
      </c>
      <c r="M420" s="63" t="s">
        <v>2538</v>
      </c>
      <c r="N420" s="63" t="s">
        <v>2531</v>
      </c>
    </row>
    <row r="421" spans="1:14" x14ac:dyDescent="0.2">
      <c r="A421" s="51">
        <v>420</v>
      </c>
      <c r="B421" s="54" t="s">
        <v>550</v>
      </c>
      <c r="C421" s="47" t="s">
        <v>2537</v>
      </c>
      <c r="D421" s="47" t="s">
        <v>12075</v>
      </c>
      <c r="E421" s="47" t="s">
        <v>2087</v>
      </c>
      <c r="F421" s="55" t="b">
        <v>1</v>
      </c>
      <c r="G421" s="54" t="b">
        <v>1</v>
      </c>
      <c r="H421" s="54" t="b">
        <v>1</v>
      </c>
      <c r="I421" s="65" t="b">
        <v>0</v>
      </c>
      <c r="J421" s="65" t="b">
        <v>0</v>
      </c>
      <c r="K421" s="63" t="s">
        <v>550</v>
      </c>
      <c r="L421" s="63" t="s">
        <v>2537</v>
      </c>
      <c r="M421" s="63" t="s">
        <v>2541</v>
      </c>
      <c r="N421" s="63" t="s">
        <v>2531</v>
      </c>
    </row>
    <row r="422" spans="1:14" x14ac:dyDescent="0.2">
      <c r="A422" s="51">
        <v>421</v>
      </c>
      <c r="B422" s="54" t="s">
        <v>550</v>
      </c>
      <c r="C422" s="47" t="s">
        <v>2542</v>
      </c>
      <c r="D422" s="47" t="s">
        <v>12076</v>
      </c>
      <c r="E422" s="47" t="s">
        <v>2087</v>
      </c>
      <c r="F422" s="55" t="b">
        <v>1</v>
      </c>
      <c r="G422" s="54" t="b">
        <v>1</v>
      </c>
      <c r="H422" s="54" t="b">
        <v>1</v>
      </c>
      <c r="I422" s="65" t="b">
        <v>0</v>
      </c>
      <c r="J422" s="65" t="b">
        <v>0</v>
      </c>
      <c r="K422" s="63" t="s">
        <v>550</v>
      </c>
      <c r="L422" s="63" t="s">
        <v>2542</v>
      </c>
      <c r="M422" s="63" t="s">
        <v>2543</v>
      </c>
      <c r="N422" s="63" t="s">
        <v>2531</v>
      </c>
    </row>
    <row r="423" spans="1:14" x14ac:dyDescent="0.2">
      <c r="A423" s="51">
        <v>422</v>
      </c>
      <c r="G423" s="65" t="b">
        <v>0</v>
      </c>
      <c r="H423" s="65" t="b">
        <v>0</v>
      </c>
      <c r="I423" s="65" t="b">
        <v>0</v>
      </c>
      <c r="J423" s="65" t="b">
        <v>0</v>
      </c>
      <c r="K423" s="63" t="s">
        <v>550</v>
      </c>
      <c r="L423" s="63" t="s">
        <v>2542</v>
      </c>
      <c r="M423" s="63" t="s">
        <v>2547</v>
      </c>
      <c r="N423" s="63" t="s">
        <v>2531</v>
      </c>
    </row>
    <row r="424" spans="1:14" x14ac:dyDescent="0.2">
      <c r="A424" s="51">
        <v>423</v>
      </c>
      <c r="G424" s="65" t="b">
        <v>0</v>
      </c>
      <c r="H424" s="65" t="b">
        <v>0</v>
      </c>
      <c r="I424" s="65" t="b">
        <v>0</v>
      </c>
      <c r="J424" s="65" t="b">
        <v>0</v>
      </c>
      <c r="K424" s="63" t="s">
        <v>550</v>
      </c>
      <c r="L424" s="63" t="s">
        <v>2544</v>
      </c>
      <c r="M424" s="63" t="s">
        <v>2545</v>
      </c>
      <c r="N424" s="63" t="s">
        <v>2531</v>
      </c>
    </row>
    <row r="425" spans="1:14" x14ac:dyDescent="0.2">
      <c r="A425" s="51">
        <v>424</v>
      </c>
      <c r="B425" s="54" t="s">
        <v>550</v>
      </c>
      <c r="C425" s="47" t="s">
        <v>2544</v>
      </c>
      <c r="D425" s="47" t="s">
        <v>12078</v>
      </c>
      <c r="E425" s="47" t="s">
        <v>2087</v>
      </c>
      <c r="F425" s="55" t="b">
        <v>1</v>
      </c>
      <c r="G425" s="54" t="b">
        <v>1</v>
      </c>
      <c r="H425" s="54" t="b">
        <v>1</v>
      </c>
      <c r="I425" s="65" t="b">
        <v>0</v>
      </c>
      <c r="J425" s="65" t="b">
        <v>0</v>
      </c>
      <c r="K425" s="63" t="s">
        <v>550</v>
      </c>
      <c r="L425" s="63" t="s">
        <v>2544</v>
      </c>
      <c r="M425" s="63" t="s">
        <v>2546</v>
      </c>
      <c r="N425" s="63" t="s">
        <v>2531</v>
      </c>
    </row>
    <row r="426" spans="1:14" x14ac:dyDescent="0.2">
      <c r="A426" s="51">
        <v>425</v>
      </c>
      <c r="G426" s="65" t="b">
        <v>0</v>
      </c>
      <c r="H426" s="65" t="b">
        <v>0</v>
      </c>
      <c r="I426" s="65" t="b">
        <v>0</v>
      </c>
      <c r="J426" s="65" t="b">
        <v>0</v>
      </c>
      <c r="K426" s="63" t="s">
        <v>550</v>
      </c>
      <c r="L426" s="63" t="s">
        <v>2548</v>
      </c>
      <c r="M426" s="63" t="s">
        <v>2549</v>
      </c>
      <c r="N426" s="63" t="s">
        <v>2531</v>
      </c>
    </row>
    <row r="427" spans="1:14" x14ac:dyDescent="0.2">
      <c r="A427" s="51">
        <v>426</v>
      </c>
      <c r="B427" s="54" t="s">
        <v>550</v>
      </c>
      <c r="C427" s="47" t="s">
        <v>2548</v>
      </c>
      <c r="D427" s="47" t="s">
        <v>12079</v>
      </c>
      <c r="E427" s="47" t="s">
        <v>2087</v>
      </c>
      <c r="F427" s="55" t="b">
        <v>1</v>
      </c>
      <c r="G427" s="54" t="b">
        <v>1</v>
      </c>
      <c r="H427" s="54" t="b">
        <v>1</v>
      </c>
      <c r="I427" s="65" t="b">
        <v>0</v>
      </c>
      <c r="J427" s="65" t="b">
        <v>0</v>
      </c>
      <c r="K427" s="63" t="s">
        <v>550</v>
      </c>
      <c r="L427" s="63" t="s">
        <v>2548</v>
      </c>
      <c r="M427" s="63" t="s">
        <v>2550</v>
      </c>
      <c r="N427" s="63" t="s">
        <v>2531</v>
      </c>
    </row>
    <row r="428" spans="1:14" x14ac:dyDescent="0.2">
      <c r="A428" s="51">
        <v>427</v>
      </c>
      <c r="G428" s="65" t="b">
        <v>0</v>
      </c>
      <c r="H428" s="65" t="b">
        <v>0</v>
      </c>
      <c r="I428" s="65" t="b">
        <v>0</v>
      </c>
      <c r="J428" s="65" t="b">
        <v>0</v>
      </c>
      <c r="K428" s="63" t="s">
        <v>552</v>
      </c>
      <c r="L428" s="63" t="s">
        <v>2555</v>
      </c>
      <c r="M428" s="63" t="s">
        <v>2556</v>
      </c>
      <c r="N428" s="63" t="s">
        <v>2087</v>
      </c>
    </row>
    <row r="429" spans="1:14" x14ac:dyDescent="0.2">
      <c r="A429" s="51">
        <v>428</v>
      </c>
      <c r="B429" s="54" t="s">
        <v>552</v>
      </c>
      <c r="C429" s="47" t="s">
        <v>2555</v>
      </c>
      <c r="D429" s="47" t="s">
        <v>12081</v>
      </c>
      <c r="E429" s="47" t="s">
        <v>2087</v>
      </c>
      <c r="F429" s="55" t="b">
        <v>1</v>
      </c>
      <c r="G429" s="54" t="b">
        <v>1</v>
      </c>
      <c r="H429" s="54" t="b">
        <v>1</v>
      </c>
      <c r="I429" s="65" t="b">
        <v>0</v>
      </c>
      <c r="J429" s="54" t="b">
        <v>1</v>
      </c>
      <c r="K429" s="63" t="s">
        <v>552</v>
      </c>
      <c r="L429" s="63" t="s">
        <v>2555</v>
      </c>
      <c r="M429" s="63" t="s">
        <v>2557</v>
      </c>
      <c r="N429" s="63" t="s">
        <v>2087</v>
      </c>
    </row>
    <row r="430" spans="1:14" x14ac:dyDescent="0.2">
      <c r="A430" s="51">
        <v>429</v>
      </c>
      <c r="B430" s="54" t="s">
        <v>552</v>
      </c>
      <c r="C430" s="47" t="s">
        <v>2551</v>
      </c>
      <c r="D430" s="47" t="s">
        <v>2552</v>
      </c>
      <c r="E430" s="48" t="s">
        <v>1719</v>
      </c>
      <c r="F430" s="66" t="b">
        <v>0</v>
      </c>
      <c r="G430" s="54" t="b">
        <v>1</v>
      </c>
      <c r="H430" s="54" t="b">
        <v>1</v>
      </c>
      <c r="I430" s="54" t="b">
        <v>1</v>
      </c>
      <c r="J430" s="54" t="b">
        <v>1</v>
      </c>
      <c r="K430" s="63" t="s">
        <v>552</v>
      </c>
      <c r="L430" s="63" t="s">
        <v>2551</v>
      </c>
      <c r="M430" s="63" t="s">
        <v>2552</v>
      </c>
      <c r="N430" s="63" t="s">
        <v>1719</v>
      </c>
    </row>
    <row r="431" spans="1:14" x14ac:dyDescent="0.2">
      <c r="A431" s="51">
        <v>430</v>
      </c>
      <c r="B431" s="54" t="s">
        <v>552</v>
      </c>
      <c r="C431" s="47" t="s">
        <v>2569</v>
      </c>
      <c r="D431" s="47" t="s">
        <v>2570</v>
      </c>
      <c r="E431" s="48" t="s">
        <v>1719</v>
      </c>
      <c r="F431" s="66" t="b">
        <v>0</v>
      </c>
      <c r="G431" s="54" t="b">
        <v>1</v>
      </c>
      <c r="H431" s="54" t="b">
        <v>1</v>
      </c>
      <c r="I431" s="54" t="b">
        <v>1</v>
      </c>
      <c r="J431" s="54" t="b">
        <v>1</v>
      </c>
      <c r="K431" s="63" t="s">
        <v>552</v>
      </c>
      <c r="L431" s="63" t="s">
        <v>2569</v>
      </c>
      <c r="M431" s="63" t="s">
        <v>2570</v>
      </c>
      <c r="N431" s="63" t="s">
        <v>1719</v>
      </c>
    </row>
    <row r="432" spans="1:14" x14ac:dyDescent="0.2">
      <c r="A432" s="51">
        <v>431</v>
      </c>
      <c r="B432" s="54" t="s">
        <v>552</v>
      </c>
      <c r="C432" s="47" t="s">
        <v>2571</v>
      </c>
      <c r="D432" s="47" t="s">
        <v>12082</v>
      </c>
      <c r="E432" s="47" t="s">
        <v>2087</v>
      </c>
      <c r="F432" s="55" t="b">
        <v>1</v>
      </c>
      <c r="G432" s="54" t="b">
        <v>1</v>
      </c>
      <c r="H432" s="54" t="b">
        <v>1</v>
      </c>
      <c r="I432" s="65" t="b">
        <v>0</v>
      </c>
      <c r="J432" s="54" t="b">
        <v>1</v>
      </c>
      <c r="K432" s="63" t="s">
        <v>552</v>
      </c>
      <c r="L432" s="63" t="s">
        <v>2571</v>
      </c>
      <c r="M432" s="63" t="s">
        <v>2572</v>
      </c>
      <c r="N432" s="63" t="s">
        <v>2087</v>
      </c>
    </row>
    <row r="433" spans="1:14" x14ac:dyDescent="0.2">
      <c r="A433" s="51">
        <v>432</v>
      </c>
      <c r="B433" s="54" t="s">
        <v>552</v>
      </c>
      <c r="C433" s="47" t="s">
        <v>2560</v>
      </c>
      <c r="D433" s="47" t="s">
        <v>2561</v>
      </c>
      <c r="E433" s="48" t="s">
        <v>1719</v>
      </c>
      <c r="F433" s="66" t="b">
        <v>0</v>
      </c>
      <c r="G433" s="54" t="b">
        <v>1</v>
      </c>
      <c r="H433" s="54" t="b">
        <v>1</v>
      </c>
      <c r="I433" s="54" t="b">
        <v>1</v>
      </c>
      <c r="J433" s="54" t="b">
        <v>1</v>
      </c>
      <c r="K433" s="63" t="s">
        <v>552</v>
      </c>
      <c r="L433" s="63" t="s">
        <v>2560</v>
      </c>
      <c r="M433" s="63" t="s">
        <v>2561</v>
      </c>
      <c r="N433" s="63" t="s">
        <v>1719</v>
      </c>
    </row>
    <row r="434" spans="1:14" x14ac:dyDescent="0.2">
      <c r="A434" s="51">
        <v>433</v>
      </c>
      <c r="B434" s="54" t="s">
        <v>552</v>
      </c>
      <c r="C434" s="47" t="s">
        <v>2567</v>
      </c>
      <c r="D434" s="47" t="s">
        <v>2568</v>
      </c>
      <c r="E434" s="48" t="s">
        <v>1719</v>
      </c>
      <c r="F434" s="66" t="b">
        <v>0</v>
      </c>
      <c r="G434" s="54" t="b">
        <v>1</v>
      </c>
      <c r="H434" s="54" t="b">
        <v>1</v>
      </c>
      <c r="I434" s="54" t="b">
        <v>1</v>
      </c>
      <c r="J434" s="54" t="b">
        <v>1</v>
      </c>
      <c r="K434" s="63" t="s">
        <v>552</v>
      </c>
      <c r="L434" s="63" t="s">
        <v>2567</v>
      </c>
      <c r="M434" s="63" t="s">
        <v>2568</v>
      </c>
      <c r="N434" s="63" t="s">
        <v>1719</v>
      </c>
    </row>
    <row r="435" spans="1:14" x14ac:dyDescent="0.2">
      <c r="A435" s="51">
        <v>434</v>
      </c>
      <c r="B435" s="54" t="s">
        <v>552</v>
      </c>
      <c r="C435" s="47" t="s">
        <v>2573</v>
      </c>
      <c r="D435" s="47" t="s">
        <v>2574</v>
      </c>
      <c r="E435" s="48" t="s">
        <v>1719</v>
      </c>
      <c r="F435" s="66" t="b">
        <v>0</v>
      </c>
      <c r="G435" s="54" t="b">
        <v>1</v>
      </c>
      <c r="H435" s="54" t="b">
        <v>1</v>
      </c>
      <c r="I435" s="54" t="b">
        <v>1</v>
      </c>
      <c r="J435" s="54" t="b">
        <v>1</v>
      </c>
      <c r="K435" s="63" t="s">
        <v>552</v>
      </c>
      <c r="L435" s="63" t="s">
        <v>2573</v>
      </c>
      <c r="M435" s="63" t="s">
        <v>2574</v>
      </c>
      <c r="N435" s="63" t="s">
        <v>1719</v>
      </c>
    </row>
    <row r="436" spans="1:14" x14ac:dyDescent="0.2">
      <c r="A436" s="51">
        <v>435</v>
      </c>
      <c r="B436" s="54" t="s">
        <v>552</v>
      </c>
      <c r="C436" s="47" t="s">
        <v>2575</v>
      </c>
      <c r="D436" s="47" t="s">
        <v>12083</v>
      </c>
      <c r="E436" s="47" t="s">
        <v>2087</v>
      </c>
      <c r="F436" s="55" t="b">
        <v>1</v>
      </c>
      <c r="G436" s="54" t="b">
        <v>1</v>
      </c>
      <c r="H436" s="54" t="b">
        <v>1</v>
      </c>
      <c r="I436" s="65" t="b">
        <v>0</v>
      </c>
      <c r="J436" s="54" t="b">
        <v>1</v>
      </c>
      <c r="K436" s="63" t="s">
        <v>552</v>
      </c>
      <c r="L436" s="63" t="s">
        <v>2575</v>
      </c>
      <c r="M436" s="63" t="s">
        <v>2576</v>
      </c>
      <c r="N436" s="63" t="s">
        <v>2087</v>
      </c>
    </row>
    <row r="437" spans="1:14" x14ac:dyDescent="0.2">
      <c r="A437" s="51">
        <v>436</v>
      </c>
      <c r="B437" s="54" t="s">
        <v>552</v>
      </c>
      <c r="C437" s="47" t="s">
        <v>2553</v>
      </c>
      <c r="D437" s="47" t="s">
        <v>12080</v>
      </c>
      <c r="E437" s="48" t="s">
        <v>1719</v>
      </c>
      <c r="F437" s="66" t="b">
        <v>0</v>
      </c>
      <c r="G437" s="54" t="b">
        <v>1</v>
      </c>
      <c r="H437" s="54" t="b">
        <v>1</v>
      </c>
      <c r="I437" s="65" t="b">
        <v>0</v>
      </c>
      <c r="J437" s="54" t="b">
        <v>1</v>
      </c>
      <c r="K437" s="63" t="s">
        <v>552</v>
      </c>
      <c r="L437" s="63" t="s">
        <v>2553</v>
      </c>
      <c r="M437" s="63" t="s">
        <v>2554</v>
      </c>
      <c r="N437" s="63" t="s">
        <v>1719</v>
      </c>
    </row>
    <row r="438" spans="1:14" x14ac:dyDescent="0.2">
      <c r="A438" s="51">
        <v>437</v>
      </c>
      <c r="B438" s="54" t="s">
        <v>552</v>
      </c>
      <c r="C438" s="47" t="s">
        <v>2558</v>
      </c>
      <c r="D438" s="47" t="s">
        <v>2559</v>
      </c>
      <c r="E438" s="48" t="s">
        <v>1719</v>
      </c>
      <c r="F438" s="66" t="b">
        <v>0</v>
      </c>
      <c r="G438" s="54" t="b">
        <v>1</v>
      </c>
      <c r="H438" s="54" t="b">
        <v>1</v>
      </c>
      <c r="I438" s="54" t="b">
        <v>1</v>
      </c>
      <c r="J438" s="54" t="b">
        <v>1</v>
      </c>
      <c r="K438" s="63" t="s">
        <v>552</v>
      </c>
      <c r="L438" s="63" t="s">
        <v>2558</v>
      </c>
      <c r="M438" s="63" t="s">
        <v>2559</v>
      </c>
      <c r="N438" s="63" t="s">
        <v>1719</v>
      </c>
    </row>
    <row r="439" spans="1:14" x14ac:dyDescent="0.2">
      <c r="A439" s="51">
        <v>438</v>
      </c>
      <c r="B439" s="54" t="s">
        <v>552</v>
      </c>
      <c r="C439" s="47" t="s">
        <v>2562</v>
      </c>
      <c r="D439" s="47" t="s">
        <v>2563</v>
      </c>
      <c r="E439" s="48" t="s">
        <v>1719</v>
      </c>
      <c r="F439" s="66" t="b">
        <v>0</v>
      </c>
      <c r="G439" s="54" t="b">
        <v>1</v>
      </c>
      <c r="H439" s="54" t="b">
        <v>1</v>
      </c>
      <c r="I439" s="54" t="b">
        <v>1</v>
      </c>
      <c r="J439" s="54" t="b">
        <v>1</v>
      </c>
      <c r="K439" s="63" t="s">
        <v>552</v>
      </c>
      <c r="L439" s="63" t="s">
        <v>2562</v>
      </c>
      <c r="M439" s="63" t="s">
        <v>2563</v>
      </c>
      <c r="N439" s="63" t="s">
        <v>1719</v>
      </c>
    </row>
    <row r="440" spans="1:14" x14ac:dyDescent="0.2">
      <c r="A440" s="51">
        <v>439</v>
      </c>
      <c r="B440" s="54" t="s">
        <v>552</v>
      </c>
      <c r="C440" s="47" t="s">
        <v>2564</v>
      </c>
      <c r="D440" s="47" t="s">
        <v>1642</v>
      </c>
      <c r="E440" s="48" t="s">
        <v>1719</v>
      </c>
      <c r="F440" s="66" t="b">
        <v>0</v>
      </c>
      <c r="G440" s="54" t="b">
        <v>1</v>
      </c>
      <c r="H440" s="54" t="b">
        <v>1</v>
      </c>
      <c r="I440" s="54" t="b">
        <v>1</v>
      </c>
      <c r="J440" s="54" t="b">
        <v>1</v>
      </c>
      <c r="K440" s="63" t="s">
        <v>552</v>
      </c>
      <c r="L440" s="63" t="s">
        <v>2564</v>
      </c>
      <c r="M440" s="63" t="s">
        <v>1642</v>
      </c>
      <c r="N440" s="63" t="s">
        <v>1719</v>
      </c>
    </row>
    <row r="441" spans="1:14" x14ac:dyDescent="0.2">
      <c r="A441" s="51">
        <v>440</v>
      </c>
      <c r="B441" s="54" t="s">
        <v>552</v>
      </c>
      <c r="C441" s="47" t="s">
        <v>2565</v>
      </c>
      <c r="D441" s="47" t="s">
        <v>2566</v>
      </c>
      <c r="E441" s="48" t="s">
        <v>1719</v>
      </c>
      <c r="F441" s="66" t="b">
        <v>0</v>
      </c>
      <c r="G441" s="54" t="b">
        <v>1</v>
      </c>
      <c r="H441" s="54" t="b">
        <v>1</v>
      </c>
      <c r="I441" s="54" t="b">
        <v>1</v>
      </c>
      <c r="J441" s="54" t="b">
        <v>1</v>
      </c>
      <c r="K441" s="63" t="s">
        <v>552</v>
      </c>
      <c r="L441" s="63" t="s">
        <v>2565</v>
      </c>
      <c r="M441" s="63" t="s">
        <v>2566</v>
      </c>
      <c r="N441" s="63" t="s">
        <v>1719</v>
      </c>
    </row>
    <row r="442" spans="1:14" x14ac:dyDescent="0.2">
      <c r="A442" s="51">
        <v>441</v>
      </c>
      <c r="B442" s="54" t="s">
        <v>554</v>
      </c>
      <c r="C442" s="47" t="s">
        <v>2577</v>
      </c>
      <c r="D442" s="47" t="s">
        <v>1599</v>
      </c>
      <c r="E442" s="47" t="s">
        <v>1790</v>
      </c>
      <c r="F442" s="55" t="b">
        <v>1</v>
      </c>
      <c r="G442" s="54" t="b">
        <v>1</v>
      </c>
      <c r="H442" s="54" t="b">
        <v>1</v>
      </c>
      <c r="I442" s="54" t="b">
        <v>1</v>
      </c>
      <c r="J442" s="54" t="b">
        <v>1</v>
      </c>
      <c r="K442" s="63" t="s">
        <v>554</v>
      </c>
      <c r="L442" s="63" t="s">
        <v>2577</v>
      </c>
      <c r="M442" s="63" t="s">
        <v>1599</v>
      </c>
      <c r="N442" s="63" t="s">
        <v>1790</v>
      </c>
    </row>
    <row r="443" spans="1:14" x14ac:dyDescent="0.2">
      <c r="A443" s="51">
        <v>442</v>
      </c>
      <c r="B443" s="54" t="s">
        <v>554</v>
      </c>
      <c r="C443" s="47" t="s">
        <v>2578</v>
      </c>
      <c r="D443" s="47" t="s">
        <v>2579</v>
      </c>
      <c r="E443" s="47" t="s">
        <v>1790</v>
      </c>
      <c r="F443" s="55" t="b">
        <v>1</v>
      </c>
      <c r="G443" s="54" t="b">
        <v>1</v>
      </c>
      <c r="H443" s="54" t="b">
        <v>1</v>
      </c>
      <c r="I443" s="54" t="b">
        <v>1</v>
      </c>
      <c r="J443" s="54" t="b">
        <v>1</v>
      </c>
      <c r="K443" s="63" t="s">
        <v>554</v>
      </c>
      <c r="L443" s="63" t="s">
        <v>2578</v>
      </c>
      <c r="M443" s="63" t="s">
        <v>2579</v>
      </c>
      <c r="N443" s="63" t="s">
        <v>1790</v>
      </c>
    </row>
    <row r="444" spans="1:14" x14ac:dyDescent="0.2">
      <c r="A444" s="51">
        <v>443</v>
      </c>
      <c r="B444" s="54" t="s">
        <v>554</v>
      </c>
      <c r="C444" s="47" t="s">
        <v>2580</v>
      </c>
      <c r="D444" s="47" t="s">
        <v>2581</v>
      </c>
      <c r="E444" s="47" t="s">
        <v>1790</v>
      </c>
      <c r="F444" s="55" t="b">
        <v>1</v>
      </c>
      <c r="G444" s="54" t="b">
        <v>1</v>
      </c>
      <c r="H444" s="54" t="b">
        <v>1</v>
      </c>
      <c r="I444" s="54" t="b">
        <v>1</v>
      </c>
      <c r="J444" s="54" t="b">
        <v>1</v>
      </c>
      <c r="K444" s="63" t="s">
        <v>554</v>
      </c>
      <c r="L444" s="63" t="s">
        <v>2580</v>
      </c>
      <c r="M444" s="63" t="s">
        <v>2581</v>
      </c>
      <c r="N444" s="63" t="s">
        <v>1790</v>
      </c>
    </row>
    <row r="445" spans="1:14" x14ac:dyDescent="0.2">
      <c r="A445" s="51">
        <v>444</v>
      </c>
      <c r="B445" s="54" t="s">
        <v>554</v>
      </c>
      <c r="C445" s="47" t="s">
        <v>2582</v>
      </c>
      <c r="D445" s="47" t="s">
        <v>2583</v>
      </c>
      <c r="E445" s="47" t="s">
        <v>1790</v>
      </c>
      <c r="F445" s="55" t="b">
        <v>1</v>
      </c>
      <c r="G445" s="54" t="b">
        <v>1</v>
      </c>
      <c r="H445" s="54" t="b">
        <v>1</v>
      </c>
      <c r="I445" s="54" t="b">
        <v>1</v>
      </c>
      <c r="J445" s="54" t="b">
        <v>1</v>
      </c>
      <c r="K445" s="63" t="s">
        <v>554</v>
      </c>
      <c r="L445" s="63" t="s">
        <v>2582</v>
      </c>
      <c r="M445" s="63" t="s">
        <v>2583</v>
      </c>
      <c r="N445" s="63" t="s">
        <v>1790</v>
      </c>
    </row>
    <row r="446" spans="1:14" x14ac:dyDescent="0.2">
      <c r="A446" s="51">
        <v>445</v>
      </c>
      <c r="B446" s="54" t="s">
        <v>554</v>
      </c>
      <c r="C446" s="47" t="s">
        <v>2584</v>
      </c>
      <c r="D446" s="47" t="s">
        <v>2585</v>
      </c>
      <c r="E446" s="47" t="s">
        <v>1790</v>
      </c>
      <c r="F446" s="55" t="b">
        <v>1</v>
      </c>
      <c r="G446" s="54" t="b">
        <v>1</v>
      </c>
      <c r="H446" s="54" t="b">
        <v>1</v>
      </c>
      <c r="I446" s="54" t="b">
        <v>1</v>
      </c>
      <c r="J446" s="54" t="b">
        <v>1</v>
      </c>
      <c r="K446" s="63" t="s">
        <v>554</v>
      </c>
      <c r="L446" s="63" t="s">
        <v>2584</v>
      </c>
      <c r="M446" s="63" t="s">
        <v>2585</v>
      </c>
      <c r="N446" s="63" t="s">
        <v>1790</v>
      </c>
    </row>
    <row r="447" spans="1:14" x14ac:dyDescent="0.2">
      <c r="A447" s="51">
        <v>446</v>
      </c>
      <c r="B447" s="54" t="s">
        <v>554</v>
      </c>
      <c r="C447" s="47" t="s">
        <v>2586</v>
      </c>
      <c r="D447" s="47" t="s">
        <v>2587</v>
      </c>
      <c r="E447" s="47" t="s">
        <v>1790</v>
      </c>
      <c r="F447" s="55" t="b">
        <v>1</v>
      </c>
      <c r="G447" s="54" t="b">
        <v>1</v>
      </c>
      <c r="H447" s="54" t="b">
        <v>1</v>
      </c>
      <c r="I447" s="54" t="b">
        <v>1</v>
      </c>
      <c r="J447" s="54" t="b">
        <v>1</v>
      </c>
      <c r="K447" s="63" t="s">
        <v>554</v>
      </c>
      <c r="L447" s="63" t="s">
        <v>2586</v>
      </c>
      <c r="M447" s="63" t="s">
        <v>2587</v>
      </c>
      <c r="N447" s="63" t="s">
        <v>1790</v>
      </c>
    </row>
    <row r="448" spans="1:14" x14ac:dyDescent="0.2">
      <c r="A448" s="51">
        <v>447</v>
      </c>
      <c r="B448" s="54" t="s">
        <v>556</v>
      </c>
      <c r="C448" s="47" t="s">
        <v>2591</v>
      </c>
      <c r="D448" s="47" t="s">
        <v>2592</v>
      </c>
      <c r="E448" s="47" t="s">
        <v>2590</v>
      </c>
      <c r="F448" s="55" t="b">
        <v>1</v>
      </c>
      <c r="G448" s="54" t="b">
        <v>1</v>
      </c>
      <c r="H448" s="54" t="b">
        <v>1</v>
      </c>
      <c r="I448" s="54" t="b">
        <v>1</v>
      </c>
      <c r="J448" s="54" t="b">
        <v>1</v>
      </c>
      <c r="K448" s="63" t="s">
        <v>556</v>
      </c>
      <c r="L448" s="63" t="s">
        <v>2591</v>
      </c>
      <c r="M448" s="63" t="s">
        <v>2592</v>
      </c>
      <c r="N448" s="63" t="s">
        <v>2590</v>
      </c>
    </row>
    <row r="449" spans="1:14" x14ac:dyDescent="0.2">
      <c r="A449" s="51">
        <v>448</v>
      </c>
      <c r="B449" s="54" t="s">
        <v>556</v>
      </c>
      <c r="C449" s="47" t="s">
        <v>2588</v>
      </c>
      <c r="D449" s="47" t="s">
        <v>2589</v>
      </c>
      <c r="E449" s="47" t="s">
        <v>2590</v>
      </c>
      <c r="F449" s="55" t="b">
        <v>1</v>
      </c>
      <c r="G449" s="54" t="b">
        <v>1</v>
      </c>
      <c r="H449" s="54" t="b">
        <v>1</v>
      </c>
      <c r="I449" s="54" t="b">
        <v>1</v>
      </c>
      <c r="J449" s="54" t="b">
        <v>1</v>
      </c>
      <c r="K449" s="63" t="s">
        <v>556</v>
      </c>
      <c r="L449" s="63" t="s">
        <v>2588</v>
      </c>
      <c r="M449" s="63" t="s">
        <v>2589</v>
      </c>
      <c r="N449" s="63" t="s">
        <v>2590</v>
      </c>
    </row>
    <row r="450" spans="1:14" x14ac:dyDescent="0.2">
      <c r="A450" s="51">
        <v>449</v>
      </c>
      <c r="B450" s="54" t="s">
        <v>556</v>
      </c>
      <c r="C450" s="47" t="s">
        <v>2593</v>
      </c>
      <c r="D450" s="47" t="s">
        <v>2594</v>
      </c>
      <c r="E450" s="47" t="s">
        <v>2590</v>
      </c>
      <c r="F450" s="55" t="b">
        <v>1</v>
      </c>
      <c r="G450" s="54" t="b">
        <v>1</v>
      </c>
      <c r="H450" s="54" t="b">
        <v>1</v>
      </c>
      <c r="I450" s="54" t="b">
        <v>1</v>
      </c>
      <c r="J450" s="54" t="b">
        <v>1</v>
      </c>
      <c r="K450" s="63" t="s">
        <v>556</v>
      </c>
      <c r="L450" s="63" t="s">
        <v>2593</v>
      </c>
      <c r="M450" s="63" t="s">
        <v>2594</v>
      </c>
      <c r="N450" s="63" t="s">
        <v>2590</v>
      </c>
    </row>
    <row r="451" spans="1:14" x14ac:dyDescent="0.2">
      <c r="A451" s="51">
        <v>450</v>
      </c>
      <c r="B451" s="54" t="s">
        <v>556</v>
      </c>
      <c r="C451" s="47" t="s">
        <v>2595</v>
      </c>
      <c r="D451" s="47" t="s">
        <v>2596</v>
      </c>
      <c r="E451" s="47" t="s">
        <v>2590</v>
      </c>
      <c r="F451" s="55" t="b">
        <v>1</v>
      </c>
      <c r="G451" s="54" t="b">
        <v>1</v>
      </c>
      <c r="H451" s="54" t="b">
        <v>1</v>
      </c>
      <c r="I451" s="54" t="b">
        <v>1</v>
      </c>
      <c r="J451" s="54" t="b">
        <v>1</v>
      </c>
      <c r="K451" s="63" t="s">
        <v>556</v>
      </c>
      <c r="L451" s="63" t="s">
        <v>2595</v>
      </c>
      <c r="M451" s="63" t="s">
        <v>2596</v>
      </c>
      <c r="N451" s="63" t="s">
        <v>2590</v>
      </c>
    </row>
    <row r="452" spans="1:14" x14ac:dyDescent="0.2">
      <c r="A452" s="51">
        <v>451</v>
      </c>
      <c r="B452" s="54" t="s">
        <v>556</v>
      </c>
      <c r="C452" s="47" t="s">
        <v>2597</v>
      </c>
      <c r="D452" s="47" t="s">
        <v>2598</v>
      </c>
      <c r="E452" s="47" t="s">
        <v>2590</v>
      </c>
      <c r="F452" s="55" t="b">
        <v>1</v>
      </c>
      <c r="G452" s="54" t="b">
        <v>1</v>
      </c>
      <c r="H452" s="54" t="b">
        <v>1</v>
      </c>
      <c r="I452" s="54" t="b">
        <v>1</v>
      </c>
      <c r="J452" s="54" t="b">
        <v>1</v>
      </c>
      <c r="K452" s="63" t="s">
        <v>556</v>
      </c>
      <c r="L452" s="63" t="s">
        <v>2597</v>
      </c>
      <c r="M452" s="63" t="s">
        <v>2598</v>
      </c>
      <c r="N452" s="63" t="s">
        <v>2590</v>
      </c>
    </row>
    <row r="453" spans="1:14" x14ac:dyDescent="0.2">
      <c r="A453" s="51">
        <v>452</v>
      </c>
      <c r="B453" s="54" t="s">
        <v>556</v>
      </c>
      <c r="C453" s="47" t="s">
        <v>2599</v>
      </c>
      <c r="D453" s="47" t="s">
        <v>2600</v>
      </c>
      <c r="E453" s="47" t="s">
        <v>2590</v>
      </c>
      <c r="F453" s="55" t="b">
        <v>1</v>
      </c>
      <c r="G453" s="54" t="b">
        <v>1</v>
      </c>
      <c r="H453" s="54" t="b">
        <v>1</v>
      </c>
      <c r="I453" s="54" t="b">
        <v>1</v>
      </c>
      <c r="J453" s="54" t="b">
        <v>1</v>
      </c>
      <c r="K453" s="63" t="s">
        <v>556</v>
      </c>
      <c r="L453" s="63" t="s">
        <v>2599</v>
      </c>
      <c r="M453" s="63" t="s">
        <v>2600</v>
      </c>
      <c r="N453" s="63" t="s">
        <v>2590</v>
      </c>
    </row>
    <row r="454" spans="1:14" x14ac:dyDescent="0.2">
      <c r="A454" s="51">
        <v>453</v>
      </c>
      <c r="B454" s="54" t="s">
        <v>556</v>
      </c>
      <c r="C454" s="47" t="s">
        <v>2601</v>
      </c>
      <c r="D454" s="47" t="s">
        <v>2602</v>
      </c>
      <c r="E454" s="47" t="s">
        <v>2590</v>
      </c>
      <c r="F454" s="55" t="b">
        <v>1</v>
      </c>
      <c r="G454" s="54" t="b">
        <v>1</v>
      </c>
      <c r="H454" s="54" t="b">
        <v>1</v>
      </c>
      <c r="I454" s="54" t="b">
        <v>1</v>
      </c>
      <c r="J454" s="54" t="b">
        <v>1</v>
      </c>
      <c r="K454" s="63" t="s">
        <v>556</v>
      </c>
      <c r="L454" s="63" t="s">
        <v>2601</v>
      </c>
      <c r="M454" s="63" t="s">
        <v>2602</v>
      </c>
      <c r="N454" s="63" t="s">
        <v>2590</v>
      </c>
    </row>
    <row r="455" spans="1:14" x14ac:dyDescent="0.2">
      <c r="A455" s="51">
        <v>454</v>
      </c>
      <c r="B455" s="54" t="s">
        <v>556</v>
      </c>
      <c r="C455" s="47" t="s">
        <v>2603</v>
      </c>
      <c r="D455" s="47" t="s">
        <v>2604</v>
      </c>
      <c r="E455" s="47" t="s">
        <v>2590</v>
      </c>
      <c r="F455" s="55" t="b">
        <v>1</v>
      </c>
      <c r="G455" s="54" t="b">
        <v>1</v>
      </c>
      <c r="H455" s="54" t="b">
        <v>1</v>
      </c>
      <c r="I455" s="54" t="b">
        <v>1</v>
      </c>
      <c r="J455" s="54" t="b">
        <v>1</v>
      </c>
      <c r="K455" s="63" t="s">
        <v>556</v>
      </c>
      <c r="L455" s="63" t="s">
        <v>2603</v>
      </c>
      <c r="M455" s="63" t="s">
        <v>2604</v>
      </c>
      <c r="N455" s="63" t="s">
        <v>2590</v>
      </c>
    </row>
    <row r="456" spans="1:14" x14ac:dyDescent="0.2">
      <c r="A456" s="51">
        <v>455</v>
      </c>
      <c r="B456" s="54" t="s">
        <v>556</v>
      </c>
      <c r="C456" s="47" t="s">
        <v>2605</v>
      </c>
      <c r="D456" s="47" t="s">
        <v>2606</v>
      </c>
      <c r="E456" s="47" t="s">
        <v>2590</v>
      </c>
      <c r="F456" s="55" t="b">
        <v>1</v>
      </c>
      <c r="G456" s="54" t="b">
        <v>1</v>
      </c>
      <c r="H456" s="54" t="b">
        <v>1</v>
      </c>
      <c r="I456" s="54" t="b">
        <v>1</v>
      </c>
      <c r="J456" s="54" t="b">
        <v>1</v>
      </c>
      <c r="K456" s="63" t="s">
        <v>556</v>
      </c>
      <c r="L456" s="63" t="s">
        <v>2605</v>
      </c>
      <c r="M456" s="63" t="s">
        <v>2606</v>
      </c>
      <c r="N456" s="63" t="s">
        <v>2590</v>
      </c>
    </row>
    <row r="457" spans="1:14" x14ac:dyDescent="0.2">
      <c r="A457" s="51">
        <v>456</v>
      </c>
      <c r="B457" s="54" t="s">
        <v>556</v>
      </c>
      <c r="C457" s="47" t="s">
        <v>2607</v>
      </c>
      <c r="D457" s="47" t="s">
        <v>2608</v>
      </c>
      <c r="E457" s="47" t="s">
        <v>2590</v>
      </c>
      <c r="F457" s="55" t="b">
        <v>1</v>
      </c>
      <c r="G457" s="54" t="b">
        <v>1</v>
      </c>
      <c r="H457" s="54" t="b">
        <v>1</v>
      </c>
      <c r="I457" s="54" t="b">
        <v>1</v>
      </c>
      <c r="J457" s="54" t="b">
        <v>1</v>
      </c>
      <c r="K457" s="63" t="s">
        <v>556</v>
      </c>
      <c r="L457" s="63" t="s">
        <v>2607</v>
      </c>
      <c r="M457" s="63" t="s">
        <v>2608</v>
      </c>
      <c r="N457" s="63" t="s">
        <v>2590</v>
      </c>
    </row>
    <row r="458" spans="1:14" x14ac:dyDescent="0.2">
      <c r="A458" s="51">
        <v>457</v>
      </c>
      <c r="B458" s="54" t="s">
        <v>556</v>
      </c>
      <c r="C458" s="47" t="s">
        <v>2609</v>
      </c>
      <c r="D458" s="47" t="s">
        <v>2610</v>
      </c>
      <c r="E458" s="47" t="s">
        <v>2590</v>
      </c>
      <c r="F458" s="55" t="b">
        <v>1</v>
      </c>
      <c r="G458" s="54" t="b">
        <v>1</v>
      </c>
      <c r="H458" s="54" t="b">
        <v>1</v>
      </c>
      <c r="I458" s="54" t="b">
        <v>1</v>
      </c>
      <c r="J458" s="54" t="b">
        <v>1</v>
      </c>
      <c r="K458" s="63" t="s">
        <v>556</v>
      </c>
      <c r="L458" s="63" t="s">
        <v>2609</v>
      </c>
      <c r="M458" s="63" t="s">
        <v>2610</v>
      </c>
      <c r="N458" s="63" t="s">
        <v>2590</v>
      </c>
    </row>
    <row r="459" spans="1:14" x14ac:dyDescent="0.2">
      <c r="A459" s="51">
        <v>458</v>
      </c>
      <c r="B459" s="54" t="s">
        <v>556</v>
      </c>
      <c r="C459" s="47" t="s">
        <v>2611</v>
      </c>
      <c r="D459" s="47" t="s">
        <v>2612</v>
      </c>
      <c r="E459" s="47" t="s">
        <v>2590</v>
      </c>
      <c r="F459" s="55" t="b">
        <v>1</v>
      </c>
      <c r="G459" s="54" t="b">
        <v>1</v>
      </c>
      <c r="H459" s="54" t="b">
        <v>1</v>
      </c>
      <c r="I459" s="54" t="b">
        <v>1</v>
      </c>
      <c r="J459" s="54" t="b">
        <v>1</v>
      </c>
      <c r="K459" s="63" t="s">
        <v>556</v>
      </c>
      <c r="L459" s="63" t="s">
        <v>2611</v>
      </c>
      <c r="M459" s="63" t="s">
        <v>2612</v>
      </c>
      <c r="N459" s="63" t="s">
        <v>2590</v>
      </c>
    </row>
    <row r="460" spans="1:14" x14ac:dyDescent="0.2">
      <c r="A460" s="51">
        <v>459</v>
      </c>
      <c r="B460" s="56" t="s">
        <v>558</v>
      </c>
      <c r="C460" s="47" t="s">
        <v>12084</v>
      </c>
      <c r="D460" s="47" t="s">
        <v>12085</v>
      </c>
      <c r="E460" s="47" t="s">
        <v>1970</v>
      </c>
      <c r="F460" s="55" t="b">
        <v>1</v>
      </c>
      <c r="G460" s="65" t="b">
        <v>0</v>
      </c>
      <c r="H460" s="65" t="b">
        <v>0</v>
      </c>
      <c r="I460" s="65" t="b">
        <v>0</v>
      </c>
      <c r="J460" s="65" t="b">
        <v>0</v>
      </c>
    </row>
    <row r="461" spans="1:14" x14ac:dyDescent="0.2">
      <c r="A461" s="51">
        <v>460</v>
      </c>
      <c r="B461" s="56" t="s">
        <v>558</v>
      </c>
      <c r="C461" s="47" t="s">
        <v>12088</v>
      </c>
      <c r="D461" s="47" t="s">
        <v>12087</v>
      </c>
      <c r="E461" s="47" t="s">
        <v>1970</v>
      </c>
      <c r="F461" s="55" t="b">
        <v>1</v>
      </c>
      <c r="G461" s="65" t="b">
        <v>0</v>
      </c>
      <c r="H461" s="65" t="b">
        <v>0</v>
      </c>
      <c r="I461" s="65" t="b">
        <v>0</v>
      </c>
      <c r="J461" s="65" t="b">
        <v>0</v>
      </c>
    </row>
    <row r="462" spans="1:14" x14ac:dyDescent="0.2">
      <c r="A462" s="51">
        <v>461</v>
      </c>
      <c r="B462" s="56" t="s">
        <v>558</v>
      </c>
      <c r="C462" s="47" t="s">
        <v>12086</v>
      </c>
      <c r="D462" s="47" t="s">
        <v>12087</v>
      </c>
      <c r="E462" s="47" t="s">
        <v>2164</v>
      </c>
      <c r="F462" s="55" t="b">
        <v>1</v>
      </c>
      <c r="G462" s="65" t="b">
        <v>0</v>
      </c>
      <c r="H462" s="65" t="b">
        <v>0</v>
      </c>
      <c r="I462" s="65" t="b">
        <v>0</v>
      </c>
      <c r="J462" s="65" t="b">
        <v>0</v>
      </c>
    </row>
    <row r="463" spans="1:14" x14ac:dyDescent="0.2">
      <c r="A463" s="51">
        <v>462</v>
      </c>
      <c r="B463" s="56" t="s">
        <v>558</v>
      </c>
      <c r="C463" s="47" t="s">
        <v>12089</v>
      </c>
      <c r="D463" s="47" t="s">
        <v>12090</v>
      </c>
      <c r="E463" s="47" t="s">
        <v>1970</v>
      </c>
      <c r="F463" s="55" t="b">
        <v>1</v>
      </c>
      <c r="G463" s="65" t="b">
        <v>0</v>
      </c>
      <c r="H463" s="65" t="b">
        <v>0</v>
      </c>
      <c r="I463" s="65" t="b">
        <v>0</v>
      </c>
      <c r="J463" s="65" t="b">
        <v>0</v>
      </c>
    </row>
    <row r="464" spans="1:14" x14ac:dyDescent="0.2">
      <c r="A464" s="51">
        <v>463</v>
      </c>
      <c r="B464" s="56" t="s">
        <v>558</v>
      </c>
      <c r="C464" s="47" t="s">
        <v>12091</v>
      </c>
      <c r="D464" s="47" t="s">
        <v>6939</v>
      </c>
      <c r="E464" s="47" t="s">
        <v>1970</v>
      </c>
      <c r="F464" s="55" t="b">
        <v>1</v>
      </c>
      <c r="G464" s="65" t="b">
        <v>0</v>
      </c>
      <c r="H464" s="65" t="b">
        <v>0</v>
      </c>
      <c r="I464" s="65" t="b">
        <v>0</v>
      </c>
      <c r="J464" s="65" t="b">
        <v>0</v>
      </c>
    </row>
    <row r="465" spans="1:14" x14ac:dyDescent="0.2">
      <c r="A465" s="51">
        <v>464</v>
      </c>
      <c r="B465" s="56" t="s">
        <v>558</v>
      </c>
      <c r="C465" s="47" t="s">
        <v>12092</v>
      </c>
      <c r="D465" s="47" t="s">
        <v>2025</v>
      </c>
      <c r="E465" s="47" t="s">
        <v>2164</v>
      </c>
      <c r="F465" s="55" t="b">
        <v>1</v>
      </c>
      <c r="G465" s="65" t="b">
        <v>0</v>
      </c>
      <c r="H465" s="65" t="b">
        <v>0</v>
      </c>
      <c r="I465" s="65" t="b">
        <v>0</v>
      </c>
      <c r="J465" s="65" t="b">
        <v>0</v>
      </c>
    </row>
    <row r="466" spans="1:14" x14ac:dyDescent="0.2">
      <c r="A466" s="51">
        <v>465</v>
      </c>
      <c r="B466" s="56" t="s">
        <v>558</v>
      </c>
      <c r="C466" s="47" t="s">
        <v>12093</v>
      </c>
      <c r="D466" s="47" t="s">
        <v>12094</v>
      </c>
      <c r="E466" s="47" t="s">
        <v>1970</v>
      </c>
      <c r="F466" s="55" t="b">
        <v>1</v>
      </c>
      <c r="G466" s="65" t="b">
        <v>0</v>
      </c>
      <c r="H466" s="65" t="b">
        <v>0</v>
      </c>
      <c r="I466" s="65" t="b">
        <v>0</v>
      </c>
      <c r="J466" s="65" t="b">
        <v>0</v>
      </c>
    </row>
    <row r="467" spans="1:14" x14ac:dyDescent="0.2">
      <c r="A467" s="51">
        <v>466</v>
      </c>
      <c r="B467" s="56" t="s">
        <v>558</v>
      </c>
      <c r="C467" s="47" t="s">
        <v>12095</v>
      </c>
      <c r="D467" s="47" t="s">
        <v>12096</v>
      </c>
      <c r="E467" s="47" t="s">
        <v>1970</v>
      </c>
      <c r="F467" s="55" t="b">
        <v>1</v>
      </c>
      <c r="G467" s="65" t="b">
        <v>0</v>
      </c>
      <c r="H467" s="65" t="b">
        <v>0</v>
      </c>
      <c r="I467" s="65" t="b">
        <v>0</v>
      </c>
      <c r="J467" s="65" t="b">
        <v>0</v>
      </c>
    </row>
    <row r="468" spans="1:14" x14ac:dyDescent="0.2">
      <c r="A468" s="51">
        <v>467</v>
      </c>
      <c r="B468" s="56" t="s">
        <v>558</v>
      </c>
      <c r="C468" s="47" t="s">
        <v>12097</v>
      </c>
      <c r="D468" s="47" t="s">
        <v>12098</v>
      </c>
      <c r="E468" s="47" t="s">
        <v>1970</v>
      </c>
      <c r="F468" s="55" t="b">
        <v>1</v>
      </c>
      <c r="G468" s="65" t="b">
        <v>0</v>
      </c>
      <c r="H468" s="65" t="b">
        <v>0</v>
      </c>
      <c r="I468" s="65" t="b">
        <v>0</v>
      </c>
      <c r="J468" s="65" t="b">
        <v>0</v>
      </c>
    </row>
    <row r="469" spans="1:14" x14ac:dyDescent="0.2">
      <c r="A469" s="51">
        <v>468</v>
      </c>
      <c r="B469" s="56" t="s">
        <v>558</v>
      </c>
      <c r="C469" s="47" t="s">
        <v>12099</v>
      </c>
      <c r="D469" s="47" t="s">
        <v>11455</v>
      </c>
      <c r="E469" s="47" t="s">
        <v>1970</v>
      </c>
      <c r="F469" s="55" t="b">
        <v>1</v>
      </c>
      <c r="G469" s="65" t="b">
        <v>0</v>
      </c>
      <c r="H469" s="65" t="b">
        <v>0</v>
      </c>
      <c r="I469" s="65" t="b">
        <v>0</v>
      </c>
      <c r="J469" s="65" t="b">
        <v>0</v>
      </c>
    </row>
    <row r="470" spans="1:14" x14ac:dyDescent="0.2">
      <c r="A470" s="51">
        <v>469</v>
      </c>
      <c r="B470" s="56" t="s">
        <v>558</v>
      </c>
      <c r="C470" s="47" t="s">
        <v>12100</v>
      </c>
      <c r="D470" s="47" t="s">
        <v>12101</v>
      </c>
      <c r="E470" s="47" t="s">
        <v>1970</v>
      </c>
      <c r="F470" s="55" t="b">
        <v>1</v>
      </c>
      <c r="G470" s="65" t="b">
        <v>0</v>
      </c>
      <c r="H470" s="65" t="b">
        <v>0</v>
      </c>
      <c r="I470" s="65" t="b">
        <v>0</v>
      </c>
      <c r="J470" s="65" t="b">
        <v>0</v>
      </c>
    </row>
    <row r="471" spans="1:14" x14ac:dyDescent="0.2">
      <c r="A471" s="51">
        <v>470</v>
      </c>
      <c r="B471" s="54" t="s">
        <v>560</v>
      </c>
      <c r="C471" s="47" t="s">
        <v>2627</v>
      </c>
      <c r="D471" s="47" t="s">
        <v>2628</v>
      </c>
      <c r="E471" s="47" t="s">
        <v>1790</v>
      </c>
      <c r="F471" s="55" t="b">
        <v>1</v>
      </c>
      <c r="G471" s="54" t="b">
        <v>1</v>
      </c>
      <c r="H471" s="54" t="b">
        <v>1</v>
      </c>
      <c r="I471" s="54" t="b">
        <v>1</v>
      </c>
      <c r="J471" s="54" t="b">
        <v>1</v>
      </c>
      <c r="K471" s="63" t="s">
        <v>560</v>
      </c>
      <c r="L471" s="63" t="s">
        <v>2627</v>
      </c>
      <c r="M471" s="63" t="s">
        <v>2628</v>
      </c>
      <c r="N471" s="63" t="s">
        <v>1790</v>
      </c>
    </row>
    <row r="472" spans="1:14" x14ac:dyDescent="0.2">
      <c r="A472" s="51">
        <v>471</v>
      </c>
      <c r="B472" s="54" t="s">
        <v>560</v>
      </c>
      <c r="C472" s="47" t="s">
        <v>2615</v>
      </c>
      <c r="D472" s="47" t="s">
        <v>2616</v>
      </c>
      <c r="E472" s="47" t="s">
        <v>1790</v>
      </c>
      <c r="F472" s="55" t="b">
        <v>1</v>
      </c>
      <c r="G472" s="54" t="b">
        <v>1</v>
      </c>
      <c r="H472" s="54" t="b">
        <v>1</v>
      </c>
      <c r="I472" s="54" t="b">
        <v>1</v>
      </c>
      <c r="J472" s="54" t="b">
        <v>1</v>
      </c>
      <c r="K472" s="63" t="s">
        <v>560</v>
      </c>
      <c r="L472" s="63" t="s">
        <v>2615</v>
      </c>
      <c r="M472" s="63" t="s">
        <v>2616</v>
      </c>
      <c r="N472" s="63" t="s">
        <v>1790</v>
      </c>
    </row>
    <row r="473" spans="1:14" x14ac:dyDescent="0.2">
      <c r="A473" s="51">
        <v>472</v>
      </c>
      <c r="B473" s="54" t="s">
        <v>560</v>
      </c>
      <c r="C473" s="47" t="s">
        <v>2621</v>
      </c>
      <c r="D473" s="47" t="s">
        <v>12102</v>
      </c>
      <c r="E473" s="47" t="s">
        <v>1790</v>
      </c>
      <c r="F473" s="55" t="b">
        <v>1</v>
      </c>
      <c r="G473" s="54" t="b">
        <v>1</v>
      </c>
      <c r="H473" s="54" t="b">
        <v>1</v>
      </c>
      <c r="I473" s="65" t="b">
        <v>0</v>
      </c>
      <c r="J473" s="54" t="b">
        <v>1</v>
      </c>
      <c r="K473" s="63" t="s">
        <v>560</v>
      </c>
      <c r="L473" s="63" t="s">
        <v>2621</v>
      </c>
      <c r="M473" s="63" t="s">
        <v>2622</v>
      </c>
      <c r="N473" s="63" t="s">
        <v>1790</v>
      </c>
    </row>
    <row r="474" spans="1:14" x14ac:dyDescent="0.2">
      <c r="A474" s="51">
        <v>473</v>
      </c>
      <c r="B474" s="54" t="s">
        <v>560</v>
      </c>
      <c r="C474" s="47" t="s">
        <v>2635</v>
      </c>
      <c r="D474" s="47" t="s">
        <v>2636</v>
      </c>
      <c r="E474" s="47" t="s">
        <v>1790</v>
      </c>
      <c r="F474" s="55" t="b">
        <v>1</v>
      </c>
      <c r="G474" s="54" t="b">
        <v>1</v>
      </c>
      <c r="H474" s="54" t="b">
        <v>1</v>
      </c>
      <c r="I474" s="54" t="b">
        <v>1</v>
      </c>
      <c r="J474" s="54" t="b">
        <v>1</v>
      </c>
      <c r="K474" s="63" t="s">
        <v>560</v>
      </c>
      <c r="L474" s="63" t="s">
        <v>2635</v>
      </c>
      <c r="M474" s="63" t="s">
        <v>2636</v>
      </c>
      <c r="N474" s="63" t="s">
        <v>1790</v>
      </c>
    </row>
    <row r="475" spans="1:14" x14ac:dyDescent="0.2">
      <c r="A475" s="51">
        <v>474</v>
      </c>
      <c r="B475" s="54" t="s">
        <v>560</v>
      </c>
      <c r="C475" s="47" t="s">
        <v>2639</v>
      </c>
      <c r="D475" s="47" t="s">
        <v>2640</v>
      </c>
      <c r="E475" s="47" t="s">
        <v>1790</v>
      </c>
      <c r="F475" s="55" t="b">
        <v>1</v>
      </c>
      <c r="G475" s="54" t="b">
        <v>1</v>
      </c>
      <c r="H475" s="54" t="b">
        <v>1</v>
      </c>
      <c r="I475" s="54" t="b">
        <v>1</v>
      </c>
      <c r="J475" s="54" t="b">
        <v>1</v>
      </c>
      <c r="K475" s="63" t="s">
        <v>560</v>
      </c>
      <c r="L475" s="63" t="s">
        <v>2639</v>
      </c>
      <c r="M475" s="63" t="s">
        <v>2640</v>
      </c>
      <c r="N475" s="63" t="s">
        <v>1790</v>
      </c>
    </row>
    <row r="476" spans="1:14" x14ac:dyDescent="0.2">
      <c r="A476" s="51">
        <v>475</v>
      </c>
      <c r="B476" s="54" t="s">
        <v>560</v>
      </c>
      <c r="C476" s="47" t="s">
        <v>2647</v>
      </c>
      <c r="D476" s="47" t="s">
        <v>2648</v>
      </c>
      <c r="E476" s="47" t="s">
        <v>1790</v>
      </c>
      <c r="F476" s="55" t="b">
        <v>1</v>
      </c>
      <c r="G476" s="54" t="b">
        <v>1</v>
      </c>
      <c r="H476" s="54" t="b">
        <v>1</v>
      </c>
      <c r="I476" s="54" t="b">
        <v>1</v>
      </c>
      <c r="J476" s="54" t="b">
        <v>1</v>
      </c>
      <c r="K476" s="63" t="s">
        <v>560</v>
      </c>
      <c r="L476" s="63" t="s">
        <v>2647</v>
      </c>
      <c r="M476" s="63" t="s">
        <v>2648</v>
      </c>
      <c r="N476" s="63" t="s">
        <v>1790</v>
      </c>
    </row>
    <row r="477" spans="1:14" x14ac:dyDescent="0.2">
      <c r="A477" s="51">
        <v>476</v>
      </c>
      <c r="B477" s="54" t="s">
        <v>560</v>
      </c>
      <c r="C477" s="47" t="s">
        <v>2617</v>
      </c>
      <c r="D477" s="47" t="s">
        <v>2618</v>
      </c>
      <c r="E477" s="47" t="s">
        <v>1790</v>
      </c>
      <c r="F477" s="55" t="b">
        <v>1</v>
      </c>
      <c r="G477" s="54" t="b">
        <v>1</v>
      </c>
      <c r="H477" s="54" t="b">
        <v>1</v>
      </c>
      <c r="I477" s="54" t="b">
        <v>1</v>
      </c>
      <c r="J477" s="54" t="b">
        <v>1</v>
      </c>
      <c r="K477" s="63" t="s">
        <v>560</v>
      </c>
      <c r="L477" s="63" t="s">
        <v>2617</v>
      </c>
      <c r="M477" s="63" t="s">
        <v>2618</v>
      </c>
      <c r="N477" s="63" t="s">
        <v>1790</v>
      </c>
    </row>
    <row r="478" spans="1:14" x14ac:dyDescent="0.2">
      <c r="A478" s="51">
        <v>477</v>
      </c>
      <c r="B478" s="54" t="s">
        <v>560</v>
      </c>
      <c r="C478" s="47" t="s">
        <v>2631</v>
      </c>
      <c r="D478" s="47" t="s">
        <v>2632</v>
      </c>
      <c r="E478" s="47" t="s">
        <v>1790</v>
      </c>
      <c r="F478" s="55" t="b">
        <v>1</v>
      </c>
      <c r="G478" s="54" t="b">
        <v>1</v>
      </c>
      <c r="H478" s="54" t="b">
        <v>1</v>
      </c>
      <c r="I478" s="54" t="b">
        <v>1</v>
      </c>
      <c r="J478" s="54" t="b">
        <v>1</v>
      </c>
      <c r="K478" s="63" t="s">
        <v>560</v>
      </c>
      <c r="L478" s="63" t="s">
        <v>2631</v>
      </c>
      <c r="M478" s="63" t="s">
        <v>2632</v>
      </c>
      <c r="N478" s="63" t="s">
        <v>1790</v>
      </c>
    </row>
    <row r="479" spans="1:14" x14ac:dyDescent="0.2">
      <c r="A479" s="51">
        <v>478</v>
      </c>
      <c r="B479" s="54" t="s">
        <v>560</v>
      </c>
      <c r="C479" s="47" t="s">
        <v>2649</v>
      </c>
      <c r="D479" s="47" t="s">
        <v>2650</v>
      </c>
      <c r="E479" s="47" t="s">
        <v>1790</v>
      </c>
      <c r="F479" s="55" t="b">
        <v>1</v>
      </c>
      <c r="G479" s="54" t="b">
        <v>1</v>
      </c>
      <c r="H479" s="54" t="b">
        <v>1</v>
      </c>
      <c r="I479" s="54" t="b">
        <v>1</v>
      </c>
      <c r="J479" s="54" t="b">
        <v>1</v>
      </c>
      <c r="K479" s="63" t="s">
        <v>560</v>
      </c>
      <c r="L479" s="63" t="s">
        <v>2649</v>
      </c>
      <c r="M479" s="63" t="s">
        <v>2650</v>
      </c>
      <c r="N479" s="63" t="s">
        <v>1790</v>
      </c>
    </row>
    <row r="480" spans="1:14" x14ac:dyDescent="0.2">
      <c r="A480" s="51">
        <v>479</v>
      </c>
      <c r="B480" s="54" t="s">
        <v>560</v>
      </c>
      <c r="C480" s="47" t="s">
        <v>2637</v>
      </c>
      <c r="D480" s="47" t="s">
        <v>2638</v>
      </c>
      <c r="E480" s="47" t="s">
        <v>1790</v>
      </c>
      <c r="F480" s="55" t="b">
        <v>1</v>
      </c>
      <c r="G480" s="54" t="b">
        <v>1</v>
      </c>
      <c r="H480" s="54" t="b">
        <v>1</v>
      </c>
      <c r="I480" s="54" t="b">
        <v>1</v>
      </c>
      <c r="J480" s="54" t="b">
        <v>1</v>
      </c>
      <c r="K480" s="63" t="s">
        <v>560</v>
      </c>
      <c r="L480" s="63" t="s">
        <v>2637</v>
      </c>
      <c r="M480" s="63" t="s">
        <v>2638</v>
      </c>
      <c r="N480" s="63" t="s">
        <v>1790</v>
      </c>
    </row>
    <row r="481" spans="1:14" x14ac:dyDescent="0.2">
      <c r="A481" s="51">
        <v>480</v>
      </c>
      <c r="B481" s="54" t="s">
        <v>560</v>
      </c>
      <c r="C481" s="47" t="s">
        <v>2645</v>
      </c>
      <c r="D481" s="47" t="s">
        <v>2646</v>
      </c>
      <c r="E481" s="47" t="s">
        <v>1790</v>
      </c>
      <c r="F481" s="55" t="b">
        <v>1</v>
      </c>
      <c r="G481" s="54" t="b">
        <v>1</v>
      </c>
      <c r="H481" s="54" t="b">
        <v>1</v>
      </c>
      <c r="I481" s="54" t="b">
        <v>1</v>
      </c>
      <c r="J481" s="54" t="b">
        <v>1</v>
      </c>
      <c r="K481" s="63" t="s">
        <v>560</v>
      </c>
      <c r="L481" s="63" t="s">
        <v>2645</v>
      </c>
      <c r="M481" s="63" t="s">
        <v>2646</v>
      </c>
      <c r="N481" s="63" t="s">
        <v>1790</v>
      </c>
    </row>
    <row r="482" spans="1:14" x14ac:dyDescent="0.2">
      <c r="A482" s="51">
        <v>481</v>
      </c>
      <c r="B482" s="54" t="s">
        <v>560</v>
      </c>
      <c r="C482" s="47" t="s">
        <v>2613</v>
      </c>
      <c r="D482" s="47" t="s">
        <v>2614</v>
      </c>
      <c r="E482" s="47" t="s">
        <v>1790</v>
      </c>
      <c r="F482" s="55" t="b">
        <v>1</v>
      </c>
      <c r="G482" s="54" t="b">
        <v>1</v>
      </c>
      <c r="H482" s="54" t="b">
        <v>1</v>
      </c>
      <c r="I482" s="54" t="b">
        <v>1</v>
      </c>
      <c r="J482" s="54" t="b">
        <v>1</v>
      </c>
      <c r="K482" s="63" t="s">
        <v>560</v>
      </c>
      <c r="L482" s="63" t="s">
        <v>2613</v>
      </c>
      <c r="M482" s="63" t="s">
        <v>2614</v>
      </c>
      <c r="N482" s="63" t="s">
        <v>1790</v>
      </c>
    </row>
    <row r="483" spans="1:14" x14ac:dyDescent="0.2">
      <c r="A483" s="51">
        <v>482</v>
      </c>
      <c r="B483" s="54" t="s">
        <v>560</v>
      </c>
      <c r="C483" s="47" t="s">
        <v>2651</v>
      </c>
      <c r="D483" s="47" t="s">
        <v>2652</v>
      </c>
      <c r="E483" s="47" t="s">
        <v>1790</v>
      </c>
      <c r="F483" s="55" t="b">
        <v>1</v>
      </c>
      <c r="G483" s="54" t="b">
        <v>1</v>
      </c>
      <c r="H483" s="54" t="b">
        <v>1</v>
      </c>
      <c r="I483" s="54" t="b">
        <v>1</v>
      </c>
      <c r="J483" s="54" t="b">
        <v>1</v>
      </c>
      <c r="K483" s="63" t="s">
        <v>560</v>
      </c>
      <c r="L483" s="63" t="s">
        <v>2651</v>
      </c>
      <c r="M483" s="63" t="s">
        <v>2652</v>
      </c>
      <c r="N483" s="63" t="s">
        <v>1790</v>
      </c>
    </row>
    <row r="484" spans="1:14" x14ac:dyDescent="0.2">
      <c r="A484" s="51">
        <v>483</v>
      </c>
      <c r="B484" s="54" t="s">
        <v>560</v>
      </c>
      <c r="C484" s="47" t="s">
        <v>2643</v>
      </c>
      <c r="D484" s="47" t="s">
        <v>2644</v>
      </c>
      <c r="E484" s="47" t="s">
        <v>1790</v>
      </c>
      <c r="F484" s="55" t="b">
        <v>1</v>
      </c>
      <c r="G484" s="54" t="b">
        <v>1</v>
      </c>
      <c r="H484" s="54" t="b">
        <v>1</v>
      </c>
      <c r="I484" s="54" t="b">
        <v>1</v>
      </c>
      <c r="J484" s="54" t="b">
        <v>1</v>
      </c>
      <c r="K484" s="63" t="s">
        <v>560</v>
      </c>
      <c r="L484" s="63" t="s">
        <v>2643</v>
      </c>
      <c r="M484" s="63" t="s">
        <v>2644</v>
      </c>
      <c r="N484" s="63" t="s">
        <v>1790</v>
      </c>
    </row>
    <row r="485" spans="1:14" x14ac:dyDescent="0.2">
      <c r="A485" s="51">
        <v>484</v>
      </c>
      <c r="B485" s="54" t="s">
        <v>560</v>
      </c>
      <c r="C485" s="47" t="s">
        <v>2625</v>
      </c>
      <c r="D485" s="47" t="s">
        <v>12103</v>
      </c>
      <c r="E485" s="47" t="s">
        <v>1790</v>
      </c>
      <c r="F485" s="55" t="b">
        <v>1</v>
      </c>
      <c r="G485" s="54" t="b">
        <v>1</v>
      </c>
      <c r="H485" s="54" t="b">
        <v>1</v>
      </c>
      <c r="I485" s="65" t="b">
        <v>0</v>
      </c>
      <c r="J485" s="54" t="b">
        <v>1</v>
      </c>
      <c r="K485" s="63" t="s">
        <v>560</v>
      </c>
      <c r="L485" s="63" t="s">
        <v>2625</v>
      </c>
      <c r="M485" s="63" t="s">
        <v>2626</v>
      </c>
      <c r="N485" s="63" t="s">
        <v>1790</v>
      </c>
    </row>
    <row r="486" spans="1:14" x14ac:dyDescent="0.2">
      <c r="A486" s="51">
        <v>485</v>
      </c>
      <c r="B486" s="54" t="s">
        <v>560</v>
      </c>
      <c r="C486" s="47" t="s">
        <v>2629</v>
      </c>
      <c r="D486" s="47" t="s">
        <v>2630</v>
      </c>
      <c r="E486" s="47" t="s">
        <v>1790</v>
      </c>
      <c r="F486" s="55" t="b">
        <v>1</v>
      </c>
      <c r="G486" s="54" t="b">
        <v>1</v>
      </c>
      <c r="H486" s="54" t="b">
        <v>1</v>
      </c>
      <c r="I486" s="54" t="b">
        <v>1</v>
      </c>
      <c r="J486" s="54" t="b">
        <v>1</v>
      </c>
      <c r="K486" s="63" t="s">
        <v>560</v>
      </c>
      <c r="L486" s="63" t="s">
        <v>2629</v>
      </c>
      <c r="M486" s="63" t="s">
        <v>2630</v>
      </c>
      <c r="N486" s="63" t="s">
        <v>1790</v>
      </c>
    </row>
    <row r="487" spans="1:14" x14ac:dyDescent="0.2">
      <c r="A487" s="51">
        <v>486</v>
      </c>
      <c r="B487" s="54" t="s">
        <v>560</v>
      </c>
      <c r="C487" s="47" t="s">
        <v>2623</v>
      </c>
      <c r="D487" s="47" t="s">
        <v>2624</v>
      </c>
      <c r="E487" s="47" t="s">
        <v>1790</v>
      </c>
      <c r="F487" s="55" t="b">
        <v>1</v>
      </c>
      <c r="G487" s="54" t="b">
        <v>1</v>
      </c>
      <c r="H487" s="54" t="b">
        <v>1</v>
      </c>
      <c r="I487" s="54" t="b">
        <v>1</v>
      </c>
      <c r="J487" s="54" t="b">
        <v>1</v>
      </c>
      <c r="K487" s="63" t="s">
        <v>560</v>
      </c>
      <c r="L487" s="63" t="s">
        <v>2623</v>
      </c>
      <c r="M487" s="63" t="s">
        <v>2624</v>
      </c>
      <c r="N487" s="63" t="s">
        <v>1790</v>
      </c>
    </row>
    <row r="488" spans="1:14" x14ac:dyDescent="0.2">
      <c r="A488" s="51">
        <v>487</v>
      </c>
      <c r="B488" s="54" t="s">
        <v>560</v>
      </c>
      <c r="C488" s="47" t="s">
        <v>2633</v>
      </c>
      <c r="D488" s="47" t="s">
        <v>12104</v>
      </c>
      <c r="E488" s="47" t="s">
        <v>1790</v>
      </c>
      <c r="F488" s="55" t="b">
        <v>1</v>
      </c>
      <c r="G488" s="54" t="b">
        <v>1</v>
      </c>
      <c r="H488" s="54" t="b">
        <v>1</v>
      </c>
      <c r="I488" s="65" t="b">
        <v>0</v>
      </c>
      <c r="J488" s="54" t="b">
        <v>1</v>
      </c>
      <c r="K488" s="63" t="s">
        <v>560</v>
      </c>
      <c r="L488" s="63" t="s">
        <v>2633</v>
      </c>
      <c r="M488" s="63" t="s">
        <v>2634</v>
      </c>
      <c r="N488" s="63" t="s">
        <v>1790</v>
      </c>
    </row>
    <row r="489" spans="1:14" x14ac:dyDescent="0.2">
      <c r="A489" s="51">
        <v>488</v>
      </c>
      <c r="B489" s="54" t="s">
        <v>560</v>
      </c>
      <c r="C489" s="47" t="s">
        <v>2619</v>
      </c>
      <c r="D489" s="47" t="s">
        <v>2620</v>
      </c>
      <c r="E489" s="47" t="s">
        <v>1790</v>
      </c>
      <c r="F489" s="55" t="b">
        <v>1</v>
      </c>
      <c r="G489" s="54" t="b">
        <v>1</v>
      </c>
      <c r="H489" s="54" t="b">
        <v>1</v>
      </c>
      <c r="I489" s="54" t="b">
        <v>1</v>
      </c>
      <c r="J489" s="54" t="b">
        <v>1</v>
      </c>
      <c r="K489" s="63" t="s">
        <v>560</v>
      </c>
      <c r="L489" s="63" t="s">
        <v>2619</v>
      </c>
      <c r="M489" s="63" t="s">
        <v>2620</v>
      </c>
      <c r="N489" s="63" t="s">
        <v>1790</v>
      </c>
    </row>
    <row r="490" spans="1:14" x14ac:dyDescent="0.2">
      <c r="A490" s="51">
        <v>489</v>
      </c>
      <c r="B490" s="54" t="s">
        <v>560</v>
      </c>
      <c r="C490" s="47" t="s">
        <v>2641</v>
      </c>
      <c r="D490" s="47" t="s">
        <v>2642</v>
      </c>
      <c r="E490" s="47" t="s">
        <v>1790</v>
      </c>
      <c r="F490" s="55" t="b">
        <v>1</v>
      </c>
      <c r="G490" s="54" t="b">
        <v>1</v>
      </c>
      <c r="H490" s="54" t="b">
        <v>1</v>
      </c>
      <c r="I490" s="54" t="b">
        <v>1</v>
      </c>
      <c r="J490" s="54" t="b">
        <v>1</v>
      </c>
      <c r="K490" s="63" t="s">
        <v>560</v>
      </c>
      <c r="L490" s="63" t="s">
        <v>2641</v>
      </c>
      <c r="M490" s="63" t="s">
        <v>2642</v>
      </c>
      <c r="N490" s="63" t="s">
        <v>1790</v>
      </c>
    </row>
    <row r="491" spans="1:14" x14ac:dyDescent="0.2">
      <c r="A491" s="51">
        <v>490</v>
      </c>
      <c r="B491" s="56" t="s">
        <v>562</v>
      </c>
      <c r="C491" s="47" t="s">
        <v>2658</v>
      </c>
      <c r="D491" s="47" t="s">
        <v>2659</v>
      </c>
      <c r="E491" s="47" t="s">
        <v>2590</v>
      </c>
      <c r="F491" s="55" t="b">
        <v>1</v>
      </c>
      <c r="G491" s="65" t="b">
        <v>0</v>
      </c>
      <c r="H491" s="54" t="b">
        <v>1</v>
      </c>
      <c r="I491" s="54" t="b">
        <v>1</v>
      </c>
      <c r="J491" s="54" t="b">
        <v>1</v>
      </c>
      <c r="K491" s="63" t="s">
        <v>2653</v>
      </c>
      <c r="L491" s="63" t="s">
        <v>2658</v>
      </c>
      <c r="M491" s="63" t="s">
        <v>2659</v>
      </c>
      <c r="N491" s="63" t="s">
        <v>2590</v>
      </c>
    </row>
    <row r="492" spans="1:14" x14ac:dyDescent="0.2">
      <c r="A492" s="51">
        <v>491</v>
      </c>
      <c r="B492" s="56" t="s">
        <v>562</v>
      </c>
      <c r="C492" s="47" t="s">
        <v>2656</v>
      </c>
      <c r="D492" s="47" t="s">
        <v>2657</v>
      </c>
      <c r="E492" s="47" t="s">
        <v>2590</v>
      </c>
      <c r="F492" s="55" t="b">
        <v>1</v>
      </c>
      <c r="G492" s="65" t="b">
        <v>0</v>
      </c>
      <c r="H492" s="54" t="b">
        <v>1</v>
      </c>
      <c r="I492" s="54" t="b">
        <v>1</v>
      </c>
      <c r="J492" s="54" t="b">
        <v>1</v>
      </c>
      <c r="K492" s="63" t="s">
        <v>2653</v>
      </c>
      <c r="L492" s="63" t="s">
        <v>2656</v>
      </c>
      <c r="M492" s="63" t="s">
        <v>2657</v>
      </c>
      <c r="N492" s="63" t="s">
        <v>2590</v>
      </c>
    </row>
    <row r="493" spans="1:14" x14ac:dyDescent="0.2">
      <c r="A493" s="51">
        <v>492</v>
      </c>
      <c r="B493" s="56" t="s">
        <v>562</v>
      </c>
      <c r="C493" s="47" t="s">
        <v>2654</v>
      </c>
      <c r="D493" s="47" t="s">
        <v>2655</v>
      </c>
      <c r="E493" s="47" t="s">
        <v>2590</v>
      </c>
      <c r="F493" s="55" t="b">
        <v>1</v>
      </c>
      <c r="G493" s="65" t="b">
        <v>0</v>
      </c>
      <c r="H493" s="54" t="b">
        <v>1</v>
      </c>
      <c r="I493" s="54" t="b">
        <v>1</v>
      </c>
      <c r="J493" s="54" t="b">
        <v>1</v>
      </c>
      <c r="K493" s="63" t="s">
        <v>2653</v>
      </c>
      <c r="L493" s="63" t="s">
        <v>2654</v>
      </c>
      <c r="M493" s="63" t="s">
        <v>2655</v>
      </c>
      <c r="N493" s="63" t="s">
        <v>2590</v>
      </c>
    </row>
    <row r="494" spans="1:14" x14ac:dyDescent="0.2">
      <c r="A494" s="51">
        <v>493</v>
      </c>
      <c r="B494" s="56" t="s">
        <v>562</v>
      </c>
      <c r="C494" s="47" t="s">
        <v>2660</v>
      </c>
      <c r="D494" s="47" t="s">
        <v>2661</v>
      </c>
      <c r="E494" s="47" t="s">
        <v>2590</v>
      </c>
      <c r="F494" s="55" t="b">
        <v>1</v>
      </c>
      <c r="G494" s="65" t="b">
        <v>0</v>
      </c>
      <c r="H494" s="54" t="b">
        <v>1</v>
      </c>
      <c r="I494" s="54" t="b">
        <v>1</v>
      </c>
      <c r="J494" s="54" t="b">
        <v>1</v>
      </c>
      <c r="K494" s="63" t="s">
        <v>2653</v>
      </c>
      <c r="L494" s="63" t="s">
        <v>2660</v>
      </c>
      <c r="M494" s="63" t="s">
        <v>2661</v>
      </c>
      <c r="N494" s="63" t="s">
        <v>2590</v>
      </c>
    </row>
    <row r="495" spans="1:14" x14ac:dyDescent="0.2">
      <c r="A495" s="51">
        <v>494</v>
      </c>
      <c r="B495" s="56" t="s">
        <v>562</v>
      </c>
      <c r="C495" s="47" t="s">
        <v>2664</v>
      </c>
      <c r="D495" s="47" t="s">
        <v>2665</v>
      </c>
      <c r="E495" s="47" t="s">
        <v>2590</v>
      </c>
      <c r="F495" s="55" t="b">
        <v>1</v>
      </c>
      <c r="G495" s="65" t="b">
        <v>0</v>
      </c>
      <c r="H495" s="54" t="b">
        <v>1</v>
      </c>
      <c r="I495" s="54" t="b">
        <v>1</v>
      </c>
      <c r="J495" s="54" t="b">
        <v>1</v>
      </c>
      <c r="K495" s="63" t="s">
        <v>2653</v>
      </c>
      <c r="L495" s="63" t="s">
        <v>2664</v>
      </c>
      <c r="M495" s="63" t="s">
        <v>2665</v>
      </c>
      <c r="N495" s="63" t="s">
        <v>2590</v>
      </c>
    </row>
    <row r="496" spans="1:14" x14ac:dyDescent="0.2">
      <c r="A496" s="51">
        <v>495</v>
      </c>
      <c r="B496" s="56" t="s">
        <v>562</v>
      </c>
      <c r="C496" s="47" t="s">
        <v>2662</v>
      </c>
      <c r="D496" s="47" t="s">
        <v>2663</v>
      </c>
      <c r="E496" s="47" t="s">
        <v>2590</v>
      </c>
      <c r="F496" s="55" t="b">
        <v>1</v>
      </c>
      <c r="G496" s="65" t="b">
        <v>0</v>
      </c>
      <c r="H496" s="54" t="b">
        <v>1</v>
      </c>
      <c r="I496" s="54" t="b">
        <v>1</v>
      </c>
      <c r="J496" s="54" t="b">
        <v>1</v>
      </c>
      <c r="K496" s="63" t="s">
        <v>2653</v>
      </c>
      <c r="L496" s="63" t="s">
        <v>2662</v>
      </c>
      <c r="M496" s="63" t="s">
        <v>2663</v>
      </c>
      <c r="N496" s="63" t="s">
        <v>2590</v>
      </c>
    </row>
    <row r="497" spans="1:14" x14ac:dyDescent="0.2">
      <c r="A497" s="51">
        <v>496</v>
      </c>
      <c r="B497" s="56" t="s">
        <v>562</v>
      </c>
      <c r="C497" s="47" t="s">
        <v>2666</v>
      </c>
      <c r="D497" s="47" t="s">
        <v>2667</v>
      </c>
      <c r="E497" s="47" t="s">
        <v>2590</v>
      </c>
      <c r="F497" s="55" t="b">
        <v>1</v>
      </c>
      <c r="G497" s="65" t="b">
        <v>0</v>
      </c>
      <c r="H497" s="54" t="b">
        <v>1</v>
      </c>
      <c r="I497" s="54" t="b">
        <v>1</v>
      </c>
      <c r="J497" s="54" t="b">
        <v>1</v>
      </c>
      <c r="K497" s="63" t="s">
        <v>2653</v>
      </c>
      <c r="L497" s="63" t="s">
        <v>2666</v>
      </c>
      <c r="M497" s="63" t="s">
        <v>2667</v>
      </c>
      <c r="N497" s="63" t="s">
        <v>2590</v>
      </c>
    </row>
    <row r="498" spans="1:14" x14ac:dyDescent="0.2">
      <c r="A498" s="51">
        <v>497</v>
      </c>
      <c r="B498" s="56" t="s">
        <v>562</v>
      </c>
      <c r="C498" s="47" t="s">
        <v>2668</v>
      </c>
      <c r="D498" s="47" t="s">
        <v>2076</v>
      </c>
      <c r="E498" s="47" t="s">
        <v>2590</v>
      </c>
      <c r="F498" s="55" t="b">
        <v>1</v>
      </c>
      <c r="G498" s="65" t="b">
        <v>0</v>
      </c>
      <c r="H498" s="54" t="b">
        <v>1</v>
      </c>
      <c r="I498" s="54" t="b">
        <v>1</v>
      </c>
      <c r="J498" s="54" t="b">
        <v>1</v>
      </c>
      <c r="K498" s="63" t="s">
        <v>2653</v>
      </c>
      <c r="L498" s="63" t="s">
        <v>2668</v>
      </c>
      <c r="M498" s="63" t="s">
        <v>2076</v>
      </c>
      <c r="N498" s="63" t="s">
        <v>2590</v>
      </c>
    </row>
    <row r="499" spans="1:14" x14ac:dyDescent="0.2">
      <c r="A499" s="51">
        <v>498</v>
      </c>
      <c r="B499" s="56" t="s">
        <v>562</v>
      </c>
      <c r="C499" s="47" t="s">
        <v>2669</v>
      </c>
      <c r="D499" s="47" t="s">
        <v>2670</v>
      </c>
      <c r="E499" s="47" t="s">
        <v>2590</v>
      </c>
      <c r="F499" s="55" t="b">
        <v>1</v>
      </c>
      <c r="G499" s="65" t="b">
        <v>0</v>
      </c>
      <c r="H499" s="54" t="b">
        <v>1</v>
      </c>
      <c r="I499" s="54" t="b">
        <v>1</v>
      </c>
      <c r="J499" s="54" t="b">
        <v>1</v>
      </c>
      <c r="K499" s="63" t="s">
        <v>2653</v>
      </c>
      <c r="L499" s="63" t="s">
        <v>2669</v>
      </c>
      <c r="M499" s="63" t="s">
        <v>2670</v>
      </c>
      <c r="N499" s="63" t="s">
        <v>2590</v>
      </c>
    </row>
    <row r="500" spans="1:14" x14ac:dyDescent="0.2">
      <c r="A500" s="51">
        <v>499</v>
      </c>
      <c r="B500" s="54" t="s">
        <v>1099</v>
      </c>
      <c r="C500" s="47" t="s">
        <v>2671</v>
      </c>
      <c r="D500" s="47" t="s">
        <v>2672</v>
      </c>
      <c r="E500" s="48" t="s">
        <v>2673</v>
      </c>
      <c r="F500" s="66" t="b">
        <v>0</v>
      </c>
      <c r="G500" s="54" t="b">
        <v>1</v>
      </c>
      <c r="H500" s="54" t="b">
        <v>1</v>
      </c>
      <c r="I500" s="54" t="b">
        <v>1</v>
      </c>
      <c r="J500" s="54" t="b">
        <v>1</v>
      </c>
      <c r="K500" s="63" t="s">
        <v>1099</v>
      </c>
      <c r="L500" s="63" t="s">
        <v>2671</v>
      </c>
      <c r="M500" s="63" t="s">
        <v>2672</v>
      </c>
      <c r="N500" s="63" t="s">
        <v>2673</v>
      </c>
    </row>
    <row r="501" spans="1:14" x14ac:dyDescent="0.2">
      <c r="A501" s="51">
        <v>500</v>
      </c>
      <c r="E501" s="48"/>
      <c r="G501" s="65" t="b">
        <v>0</v>
      </c>
      <c r="H501" s="65" t="b">
        <v>0</v>
      </c>
      <c r="I501" s="65" t="b">
        <v>0</v>
      </c>
      <c r="J501" s="65" t="b">
        <v>0</v>
      </c>
      <c r="K501" s="63" t="s">
        <v>1099</v>
      </c>
      <c r="L501" s="63" t="s">
        <v>2671</v>
      </c>
      <c r="M501" s="63" t="s">
        <v>2674</v>
      </c>
      <c r="N501" s="63" t="s">
        <v>2673</v>
      </c>
    </row>
    <row r="502" spans="1:14" x14ac:dyDescent="0.2">
      <c r="A502" s="51">
        <v>501</v>
      </c>
      <c r="B502" s="54" t="s">
        <v>1099</v>
      </c>
      <c r="C502" s="47" t="s">
        <v>2675</v>
      </c>
      <c r="D502" s="47" t="s">
        <v>2676</v>
      </c>
      <c r="E502" s="48" t="s">
        <v>2673</v>
      </c>
      <c r="F502" s="66" t="b">
        <v>0</v>
      </c>
      <c r="G502" s="54" t="b">
        <v>1</v>
      </c>
      <c r="H502" s="54" t="b">
        <v>1</v>
      </c>
      <c r="I502" s="54" t="b">
        <v>1</v>
      </c>
      <c r="J502" s="54" t="b">
        <v>1</v>
      </c>
      <c r="K502" s="63" t="s">
        <v>1099</v>
      </c>
      <c r="L502" s="63" t="s">
        <v>2675</v>
      </c>
      <c r="M502" s="63" t="s">
        <v>2676</v>
      </c>
      <c r="N502" s="63" t="s">
        <v>2673</v>
      </c>
    </row>
    <row r="503" spans="1:14" x14ac:dyDescent="0.2">
      <c r="A503" s="51">
        <v>502</v>
      </c>
      <c r="B503" s="54" t="s">
        <v>1099</v>
      </c>
      <c r="C503" s="47" t="s">
        <v>2677</v>
      </c>
      <c r="D503" s="47" t="s">
        <v>2678</v>
      </c>
      <c r="E503" s="48" t="s">
        <v>2673</v>
      </c>
      <c r="F503" s="66" t="b">
        <v>0</v>
      </c>
      <c r="G503" s="54" t="b">
        <v>1</v>
      </c>
      <c r="H503" s="54" t="b">
        <v>1</v>
      </c>
      <c r="I503" s="54" t="b">
        <v>1</v>
      </c>
      <c r="J503" s="54" t="b">
        <v>1</v>
      </c>
      <c r="K503" s="63" t="s">
        <v>1099</v>
      </c>
      <c r="L503" s="63" t="s">
        <v>2677</v>
      </c>
      <c r="M503" s="63" t="s">
        <v>2678</v>
      </c>
      <c r="N503" s="63" t="s">
        <v>2673</v>
      </c>
    </row>
    <row r="504" spans="1:14" x14ac:dyDescent="0.2">
      <c r="A504" s="51">
        <v>503</v>
      </c>
      <c r="E504" s="48"/>
      <c r="G504" s="65" t="b">
        <v>0</v>
      </c>
      <c r="H504" s="65" t="b">
        <v>0</v>
      </c>
      <c r="I504" s="65" t="b">
        <v>0</v>
      </c>
      <c r="J504" s="65" t="b">
        <v>0</v>
      </c>
      <c r="K504" s="63" t="s">
        <v>566</v>
      </c>
      <c r="L504" s="63" t="s">
        <v>2709</v>
      </c>
      <c r="M504" s="63" t="s">
        <v>2710</v>
      </c>
      <c r="N504" s="63" t="s">
        <v>2681</v>
      </c>
    </row>
    <row r="505" spans="1:14" x14ac:dyDescent="0.2">
      <c r="A505" s="51">
        <v>504</v>
      </c>
      <c r="B505" s="54" t="s">
        <v>566</v>
      </c>
      <c r="C505" s="47" t="s">
        <v>2709</v>
      </c>
      <c r="D505" s="47" t="s">
        <v>12116</v>
      </c>
      <c r="E505" s="48" t="s">
        <v>2681</v>
      </c>
      <c r="F505" s="66" t="b">
        <v>0</v>
      </c>
      <c r="G505" s="54" t="b">
        <v>1</v>
      </c>
      <c r="H505" s="54" t="b">
        <v>1</v>
      </c>
      <c r="I505" s="65" t="b">
        <v>0</v>
      </c>
      <c r="J505" s="54" t="b">
        <v>1</v>
      </c>
      <c r="K505" s="63" t="s">
        <v>566</v>
      </c>
      <c r="L505" s="63" t="s">
        <v>2709</v>
      </c>
      <c r="M505" s="63" t="s">
        <v>2711</v>
      </c>
      <c r="N505" s="63" t="s">
        <v>2681</v>
      </c>
    </row>
    <row r="506" spans="1:14" x14ac:dyDescent="0.2">
      <c r="A506" s="51">
        <v>505</v>
      </c>
      <c r="E506" s="48"/>
      <c r="G506" s="65" t="b">
        <v>0</v>
      </c>
      <c r="H506" s="65" t="b">
        <v>0</v>
      </c>
      <c r="I506" s="65" t="b">
        <v>0</v>
      </c>
      <c r="J506" s="65" t="b">
        <v>0</v>
      </c>
      <c r="K506" s="63" t="s">
        <v>566</v>
      </c>
      <c r="L506" s="63" t="s">
        <v>2697</v>
      </c>
      <c r="M506" s="63" t="s">
        <v>2698</v>
      </c>
      <c r="N506" s="63" t="s">
        <v>2681</v>
      </c>
    </row>
    <row r="507" spans="1:14" x14ac:dyDescent="0.2">
      <c r="A507" s="51">
        <v>506</v>
      </c>
      <c r="B507" s="54" t="s">
        <v>566</v>
      </c>
      <c r="C507" s="47" t="s">
        <v>2697</v>
      </c>
      <c r="D507" s="47" t="s">
        <v>12111</v>
      </c>
      <c r="E507" s="48" t="s">
        <v>2681</v>
      </c>
      <c r="F507" s="66" t="b">
        <v>0</v>
      </c>
      <c r="G507" s="54" t="b">
        <v>1</v>
      </c>
      <c r="H507" s="54" t="b">
        <v>1</v>
      </c>
      <c r="I507" s="65" t="b">
        <v>0</v>
      </c>
      <c r="J507" s="54" t="b">
        <v>1</v>
      </c>
      <c r="K507" s="63" t="s">
        <v>566</v>
      </c>
      <c r="L507" s="63" t="s">
        <v>2697</v>
      </c>
      <c r="M507" s="63" t="s">
        <v>2699</v>
      </c>
      <c r="N507" s="63" t="s">
        <v>2681</v>
      </c>
    </row>
    <row r="508" spans="1:14" x14ac:dyDescent="0.2">
      <c r="A508" s="51">
        <v>507</v>
      </c>
      <c r="E508" s="48"/>
      <c r="G508" s="65" t="b">
        <v>0</v>
      </c>
      <c r="H508" s="65" t="b">
        <v>0</v>
      </c>
      <c r="I508" s="65" t="b">
        <v>0</v>
      </c>
      <c r="J508" s="65" t="b">
        <v>0</v>
      </c>
      <c r="K508" s="63" t="s">
        <v>566</v>
      </c>
      <c r="L508" s="63" t="s">
        <v>2706</v>
      </c>
      <c r="M508" s="63" t="s">
        <v>2707</v>
      </c>
      <c r="N508" s="63" t="s">
        <v>2681</v>
      </c>
    </row>
    <row r="509" spans="1:14" x14ac:dyDescent="0.2">
      <c r="A509" s="51">
        <v>508</v>
      </c>
      <c r="B509" s="54" t="s">
        <v>566</v>
      </c>
      <c r="C509" s="47" t="s">
        <v>2706</v>
      </c>
      <c r="D509" s="47" t="s">
        <v>12115</v>
      </c>
      <c r="E509" s="48" t="s">
        <v>2681</v>
      </c>
      <c r="F509" s="66" t="b">
        <v>0</v>
      </c>
      <c r="G509" s="54" t="b">
        <v>1</v>
      </c>
      <c r="H509" s="54" t="b">
        <v>1</v>
      </c>
      <c r="I509" s="65" t="b">
        <v>0</v>
      </c>
      <c r="J509" s="54" t="b">
        <v>1</v>
      </c>
      <c r="K509" s="63" t="s">
        <v>566</v>
      </c>
      <c r="L509" s="63" t="s">
        <v>2706</v>
      </c>
      <c r="M509" s="63" t="s">
        <v>2708</v>
      </c>
      <c r="N509" s="63" t="s">
        <v>2681</v>
      </c>
    </row>
    <row r="510" spans="1:14" x14ac:dyDescent="0.2">
      <c r="A510" s="51">
        <v>509</v>
      </c>
      <c r="E510" s="48"/>
      <c r="G510" s="65" t="b">
        <v>0</v>
      </c>
      <c r="H510" s="65" t="b">
        <v>0</v>
      </c>
      <c r="I510" s="65" t="b">
        <v>0</v>
      </c>
      <c r="J510" s="65" t="b">
        <v>0</v>
      </c>
      <c r="K510" s="63" t="s">
        <v>566</v>
      </c>
      <c r="L510" s="63" t="s">
        <v>2715</v>
      </c>
      <c r="M510" s="63" t="s">
        <v>2716</v>
      </c>
      <c r="N510" s="63" t="s">
        <v>2681</v>
      </c>
    </row>
    <row r="511" spans="1:14" x14ac:dyDescent="0.2">
      <c r="A511" s="51">
        <v>510</v>
      </c>
      <c r="B511" s="54" t="s">
        <v>566</v>
      </c>
      <c r="C511" s="47" t="s">
        <v>2715</v>
      </c>
      <c r="D511" s="47" t="s">
        <v>12118</v>
      </c>
      <c r="E511" s="48" t="s">
        <v>2681</v>
      </c>
      <c r="F511" s="66" t="b">
        <v>0</v>
      </c>
      <c r="G511" s="54" t="b">
        <v>1</v>
      </c>
      <c r="H511" s="54" t="b">
        <v>1</v>
      </c>
      <c r="I511" s="65" t="b">
        <v>0</v>
      </c>
      <c r="J511" s="54" t="b">
        <v>1</v>
      </c>
      <c r="K511" s="63" t="s">
        <v>566</v>
      </c>
      <c r="L511" s="63" t="s">
        <v>2715</v>
      </c>
      <c r="M511" s="63" t="s">
        <v>2717</v>
      </c>
      <c r="N511" s="63" t="s">
        <v>2681</v>
      </c>
    </row>
    <row r="512" spans="1:14" x14ac:dyDescent="0.2">
      <c r="A512" s="51">
        <v>511</v>
      </c>
      <c r="E512" s="48"/>
      <c r="G512" s="65" t="b">
        <v>0</v>
      </c>
      <c r="H512" s="65" t="b">
        <v>0</v>
      </c>
      <c r="I512" s="65" t="b">
        <v>0</v>
      </c>
      <c r="J512" s="65" t="b">
        <v>0</v>
      </c>
      <c r="K512" s="63" t="s">
        <v>566</v>
      </c>
      <c r="L512" s="63" t="s">
        <v>2679</v>
      </c>
      <c r="M512" s="63" t="s">
        <v>2680</v>
      </c>
      <c r="N512" s="63" t="s">
        <v>2681</v>
      </c>
    </row>
    <row r="513" spans="1:14" x14ac:dyDescent="0.2">
      <c r="A513" s="51">
        <v>512</v>
      </c>
      <c r="B513" s="54" t="s">
        <v>566</v>
      </c>
      <c r="C513" s="47" t="s">
        <v>2679</v>
      </c>
      <c r="D513" s="47" t="s">
        <v>12105</v>
      </c>
      <c r="E513" s="48" t="s">
        <v>2681</v>
      </c>
      <c r="F513" s="66" t="b">
        <v>0</v>
      </c>
      <c r="G513" s="54" t="b">
        <v>1</v>
      </c>
      <c r="H513" s="54" t="b">
        <v>1</v>
      </c>
      <c r="I513" s="65" t="b">
        <v>0</v>
      </c>
      <c r="J513" s="54" t="b">
        <v>1</v>
      </c>
      <c r="K513" s="63" t="s">
        <v>566</v>
      </c>
      <c r="L513" s="63" t="s">
        <v>2679</v>
      </c>
      <c r="M513" s="63" t="s">
        <v>2682</v>
      </c>
      <c r="N513" s="63" t="s">
        <v>2681</v>
      </c>
    </row>
    <row r="514" spans="1:14" x14ac:dyDescent="0.2">
      <c r="A514" s="51">
        <v>513</v>
      </c>
      <c r="E514" s="48"/>
      <c r="G514" s="65" t="b">
        <v>0</v>
      </c>
      <c r="H514" s="65" t="b">
        <v>0</v>
      </c>
      <c r="I514" s="65" t="b">
        <v>0</v>
      </c>
      <c r="J514" s="65" t="b">
        <v>0</v>
      </c>
      <c r="K514" s="63" t="s">
        <v>566</v>
      </c>
      <c r="L514" s="63" t="s">
        <v>2703</v>
      </c>
      <c r="M514" s="63" t="s">
        <v>2704</v>
      </c>
      <c r="N514" s="63" t="s">
        <v>2681</v>
      </c>
    </row>
    <row r="515" spans="1:14" x14ac:dyDescent="0.2">
      <c r="A515" s="51">
        <v>514</v>
      </c>
      <c r="B515" s="54" t="s">
        <v>566</v>
      </c>
      <c r="C515" s="47" t="s">
        <v>2703</v>
      </c>
      <c r="D515" s="47" t="s">
        <v>12113</v>
      </c>
      <c r="E515" s="48" t="s">
        <v>2681</v>
      </c>
      <c r="F515" s="66" t="b">
        <v>0</v>
      </c>
      <c r="G515" s="54" t="b">
        <v>1</v>
      </c>
      <c r="H515" s="54" t="b">
        <v>1</v>
      </c>
      <c r="I515" s="65" t="b">
        <v>0</v>
      </c>
      <c r="J515" s="54" t="b">
        <v>1</v>
      </c>
      <c r="K515" s="63" t="s">
        <v>566</v>
      </c>
      <c r="L515" s="63" t="s">
        <v>2703</v>
      </c>
      <c r="M515" s="63" t="s">
        <v>2705</v>
      </c>
      <c r="N515" s="63" t="s">
        <v>2681</v>
      </c>
    </row>
    <row r="516" spans="1:14" x14ac:dyDescent="0.2">
      <c r="A516" s="51">
        <v>515</v>
      </c>
      <c r="E516" s="48"/>
      <c r="G516" s="65" t="b">
        <v>0</v>
      </c>
      <c r="H516" s="65" t="b">
        <v>0</v>
      </c>
      <c r="I516" s="65" t="b">
        <v>0</v>
      </c>
      <c r="J516" s="65" t="b">
        <v>0</v>
      </c>
      <c r="K516" s="63" t="s">
        <v>566</v>
      </c>
      <c r="L516" s="63" t="s">
        <v>2689</v>
      </c>
      <c r="M516" s="63" t="s">
        <v>2690</v>
      </c>
      <c r="N516" s="63" t="s">
        <v>2681</v>
      </c>
    </row>
    <row r="517" spans="1:14" x14ac:dyDescent="0.2">
      <c r="A517" s="51">
        <v>516</v>
      </c>
      <c r="B517" s="54" t="s">
        <v>566</v>
      </c>
      <c r="C517" s="47" t="s">
        <v>2689</v>
      </c>
      <c r="D517" s="47" t="s">
        <v>12110</v>
      </c>
      <c r="E517" s="48" t="s">
        <v>2681</v>
      </c>
      <c r="F517" s="66" t="b">
        <v>0</v>
      </c>
      <c r="G517" s="54" t="b">
        <v>1</v>
      </c>
      <c r="H517" s="54" t="b">
        <v>1</v>
      </c>
      <c r="I517" s="65" t="b">
        <v>0</v>
      </c>
      <c r="J517" s="54" t="b">
        <v>1</v>
      </c>
      <c r="K517" s="63" t="s">
        <v>566</v>
      </c>
      <c r="L517" s="63" t="s">
        <v>2689</v>
      </c>
      <c r="M517" s="63" t="s">
        <v>2691</v>
      </c>
      <c r="N517" s="63" t="s">
        <v>2681</v>
      </c>
    </row>
    <row r="518" spans="1:14" x14ac:dyDescent="0.2">
      <c r="A518" s="51">
        <v>517</v>
      </c>
      <c r="E518" s="48"/>
      <c r="G518" s="65" t="b">
        <v>0</v>
      </c>
      <c r="H518" s="65" t="b">
        <v>0</v>
      </c>
      <c r="I518" s="65" t="b">
        <v>0</v>
      </c>
      <c r="J518" s="65" t="b">
        <v>0</v>
      </c>
      <c r="K518" s="63" t="s">
        <v>566</v>
      </c>
      <c r="L518" s="63" t="s">
        <v>2712</v>
      </c>
      <c r="M518" s="63" t="s">
        <v>2713</v>
      </c>
      <c r="N518" s="63" t="s">
        <v>2681</v>
      </c>
    </row>
    <row r="519" spans="1:14" x14ac:dyDescent="0.2">
      <c r="A519" s="51">
        <v>518</v>
      </c>
      <c r="B519" s="54" t="s">
        <v>566</v>
      </c>
      <c r="C519" s="47" t="s">
        <v>2712</v>
      </c>
      <c r="D519" s="47" t="s">
        <v>12117</v>
      </c>
      <c r="E519" s="48" t="s">
        <v>2681</v>
      </c>
      <c r="F519" s="66" t="b">
        <v>0</v>
      </c>
      <c r="G519" s="54" t="b">
        <v>1</v>
      </c>
      <c r="H519" s="54" t="b">
        <v>1</v>
      </c>
      <c r="I519" s="65" t="b">
        <v>0</v>
      </c>
      <c r="J519" s="54" t="b">
        <v>1</v>
      </c>
      <c r="K519" s="63" t="s">
        <v>566</v>
      </c>
      <c r="L519" s="63" t="s">
        <v>2712</v>
      </c>
      <c r="M519" s="63" t="s">
        <v>2714</v>
      </c>
      <c r="N519" s="63" t="s">
        <v>2681</v>
      </c>
    </row>
    <row r="520" spans="1:14" x14ac:dyDescent="0.2">
      <c r="A520" s="51">
        <v>519</v>
      </c>
      <c r="B520" s="54" t="s">
        <v>566</v>
      </c>
      <c r="C520" s="47" t="s">
        <v>2692</v>
      </c>
      <c r="D520" s="47" t="s">
        <v>12112</v>
      </c>
      <c r="E520" s="48" t="s">
        <v>2681</v>
      </c>
      <c r="F520" s="66" t="b">
        <v>0</v>
      </c>
      <c r="G520" s="54" t="b">
        <v>1</v>
      </c>
      <c r="H520" s="54" t="b">
        <v>1</v>
      </c>
      <c r="I520" s="65" t="b">
        <v>0</v>
      </c>
      <c r="J520" s="54" t="b">
        <v>1</v>
      </c>
      <c r="K520" s="63" t="s">
        <v>566</v>
      </c>
      <c r="L520" s="63" t="s">
        <v>2692</v>
      </c>
      <c r="M520" s="63" t="s">
        <v>2693</v>
      </c>
      <c r="N520" s="63" t="s">
        <v>2681</v>
      </c>
    </row>
    <row r="521" spans="1:14" x14ac:dyDescent="0.2">
      <c r="A521" s="51">
        <v>520</v>
      </c>
      <c r="E521" s="48"/>
      <c r="G521" s="65" t="b">
        <v>0</v>
      </c>
      <c r="H521" s="65" t="b">
        <v>0</v>
      </c>
      <c r="I521" s="65" t="b">
        <v>0</v>
      </c>
      <c r="J521" s="65" t="b">
        <v>0</v>
      </c>
      <c r="K521" s="63" t="s">
        <v>566</v>
      </c>
      <c r="L521" s="63" t="s">
        <v>2692</v>
      </c>
      <c r="M521" s="63" t="s">
        <v>2702</v>
      </c>
      <c r="N521" s="63" t="s">
        <v>2681</v>
      </c>
    </row>
    <row r="522" spans="1:14" x14ac:dyDescent="0.2">
      <c r="A522" s="51">
        <v>521</v>
      </c>
      <c r="B522" s="54" t="s">
        <v>566</v>
      </c>
      <c r="C522" s="47" t="s">
        <v>2694</v>
      </c>
      <c r="D522" s="47" t="s">
        <v>12109</v>
      </c>
      <c r="E522" s="48" t="s">
        <v>2681</v>
      </c>
      <c r="F522" s="66" t="b">
        <v>0</v>
      </c>
      <c r="G522" s="54" t="b">
        <v>1</v>
      </c>
      <c r="H522" s="54" t="b">
        <v>1</v>
      </c>
      <c r="I522" s="65" t="b">
        <v>0</v>
      </c>
      <c r="J522" s="54" t="b">
        <v>1</v>
      </c>
      <c r="K522" s="63" t="s">
        <v>566</v>
      </c>
      <c r="L522" s="63" t="s">
        <v>2694</v>
      </c>
      <c r="M522" s="63" t="s">
        <v>2695</v>
      </c>
      <c r="N522" s="63" t="s">
        <v>2681</v>
      </c>
    </row>
    <row r="523" spans="1:14" x14ac:dyDescent="0.2">
      <c r="A523" s="51">
        <v>522</v>
      </c>
      <c r="E523" s="48"/>
      <c r="G523" s="65" t="b">
        <v>0</v>
      </c>
      <c r="H523" s="65" t="b">
        <v>0</v>
      </c>
      <c r="I523" s="65" t="b">
        <v>0</v>
      </c>
      <c r="J523" s="65" t="b">
        <v>0</v>
      </c>
      <c r="K523" s="63" t="s">
        <v>566</v>
      </c>
      <c r="L523" s="63" t="s">
        <v>2694</v>
      </c>
      <c r="M523" s="63" t="s">
        <v>2696</v>
      </c>
      <c r="N523" s="63" t="s">
        <v>2681</v>
      </c>
    </row>
    <row r="524" spans="1:14" x14ac:dyDescent="0.2">
      <c r="A524" s="51">
        <v>523</v>
      </c>
      <c r="E524" s="48"/>
      <c r="G524" s="65" t="b">
        <v>0</v>
      </c>
      <c r="H524" s="65" t="b">
        <v>0</v>
      </c>
      <c r="I524" s="65" t="b">
        <v>0</v>
      </c>
      <c r="J524" s="65" t="b">
        <v>0</v>
      </c>
      <c r="K524" s="63" t="s">
        <v>566</v>
      </c>
      <c r="L524" s="63" t="s">
        <v>2694</v>
      </c>
      <c r="M524" s="63" t="s">
        <v>2718</v>
      </c>
      <c r="N524" s="63" t="s">
        <v>2681</v>
      </c>
    </row>
    <row r="525" spans="1:14" x14ac:dyDescent="0.2">
      <c r="A525" s="51">
        <v>524</v>
      </c>
      <c r="B525" s="54" t="s">
        <v>566</v>
      </c>
      <c r="C525" s="47" t="s">
        <v>2686</v>
      </c>
      <c r="D525" s="47" t="s">
        <v>12106</v>
      </c>
      <c r="E525" s="47" t="s">
        <v>12107</v>
      </c>
      <c r="F525" s="55" t="b">
        <v>1</v>
      </c>
      <c r="G525" s="54" t="b">
        <v>1</v>
      </c>
      <c r="H525" s="54" t="b">
        <v>1</v>
      </c>
      <c r="I525" s="65" t="b">
        <v>0</v>
      </c>
      <c r="J525" s="65" t="b">
        <v>0</v>
      </c>
      <c r="K525" s="63" t="s">
        <v>566</v>
      </c>
      <c r="L525" s="63" t="s">
        <v>2686</v>
      </c>
      <c r="M525" s="63" t="s">
        <v>2687</v>
      </c>
      <c r="N525" s="63" t="s">
        <v>2688</v>
      </c>
    </row>
    <row r="526" spans="1:14" x14ac:dyDescent="0.2">
      <c r="A526" s="51">
        <v>525</v>
      </c>
      <c r="B526" s="54" t="s">
        <v>566</v>
      </c>
      <c r="C526" s="47" t="s">
        <v>2683</v>
      </c>
      <c r="D526" s="47" t="s">
        <v>12108</v>
      </c>
      <c r="E526" s="47" t="s">
        <v>1790</v>
      </c>
      <c r="F526" s="55" t="b">
        <v>1</v>
      </c>
      <c r="G526" s="54" t="b">
        <v>1</v>
      </c>
      <c r="H526" s="54" t="b">
        <v>1</v>
      </c>
      <c r="I526" s="65" t="b">
        <v>0</v>
      </c>
      <c r="J526" s="65" t="b">
        <v>0</v>
      </c>
      <c r="K526" s="63" t="s">
        <v>566</v>
      </c>
      <c r="L526" s="63" t="s">
        <v>2683</v>
      </c>
      <c r="M526" s="63" t="s">
        <v>2684</v>
      </c>
      <c r="N526" s="63" t="s">
        <v>2685</v>
      </c>
    </row>
    <row r="527" spans="1:14" x14ac:dyDescent="0.2">
      <c r="A527" s="51">
        <v>526</v>
      </c>
      <c r="B527" s="54" t="s">
        <v>566</v>
      </c>
      <c r="C527" s="47" t="s">
        <v>2700</v>
      </c>
      <c r="D527" s="47" t="s">
        <v>12114</v>
      </c>
      <c r="E527" s="47" t="s">
        <v>8683</v>
      </c>
      <c r="F527" s="55" t="b">
        <v>1</v>
      </c>
      <c r="G527" s="54" t="b">
        <v>1</v>
      </c>
      <c r="H527" s="54" t="b">
        <v>1</v>
      </c>
      <c r="I527" s="65" t="b">
        <v>0</v>
      </c>
      <c r="J527" s="65" t="b">
        <v>0</v>
      </c>
      <c r="K527" s="63" t="s">
        <v>566</v>
      </c>
      <c r="L527" s="63" t="s">
        <v>2700</v>
      </c>
      <c r="M527" s="63" t="s">
        <v>2701</v>
      </c>
      <c r="N527" s="63" t="s">
        <v>2688</v>
      </c>
    </row>
    <row r="528" spans="1:14" x14ac:dyDescent="0.2">
      <c r="A528" s="51">
        <v>527</v>
      </c>
      <c r="B528" s="54" t="s">
        <v>568</v>
      </c>
      <c r="C528" s="47" t="s">
        <v>2719</v>
      </c>
      <c r="D528" s="47" t="s">
        <v>2720</v>
      </c>
      <c r="E528" s="47" t="s">
        <v>1790</v>
      </c>
      <c r="F528" s="55" t="b">
        <v>1</v>
      </c>
      <c r="G528" s="54" t="b">
        <v>1</v>
      </c>
      <c r="H528" s="54" t="b">
        <v>1</v>
      </c>
      <c r="I528" s="54" t="b">
        <v>1</v>
      </c>
      <c r="J528" s="54" t="b">
        <v>1</v>
      </c>
      <c r="K528" s="63" t="s">
        <v>568</v>
      </c>
      <c r="L528" s="63" t="s">
        <v>2719</v>
      </c>
      <c r="M528" s="63" t="s">
        <v>2720</v>
      </c>
      <c r="N528" s="63" t="s">
        <v>1790</v>
      </c>
    </row>
    <row r="529" spans="1:14" x14ac:dyDescent="0.2">
      <c r="A529" s="51">
        <v>528</v>
      </c>
      <c r="B529" s="54" t="s">
        <v>568</v>
      </c>
      <c r="C529" s="47" t="s">
        <v>12119</v>
      </c>
      <c r="D529" s="47" t="s">
        <v>12120</v>
      </c>
      <c r="E529" s="47" t="s">
        <v>1790</v>
      </c>
      <c r="F529" s="55" t="b">
        <v>1</v>
      </c>
      <c r="G529" s="65" t="b">
        <v>0</v>
      </c>
      <c r="H529" s="65" t="b">
        <v>0</v>
      </c>
      <c r="I529" s="65" t="b">
        <v>0</v>
      </c>
      <c r="J529" s="65" t="b">
        <v>0</v>
      </c>
    </row>
    <row r="530" spans="1:14" x14ac:dyDescent="0.2">
      <c r="A530" s="51">
        <v>529</v>
      </c>
      <c r="G530" s="65" t="b">
        <v>0</v>
      </c>
      <c r="H530" s="65" t="b">
        <v>0</v>
      </c>
      <c r="I530" s="65" t="b">
        <v>0</v>
      </c>
      <c r="J530" s="65" t="b">
        <v>0</v>
      </c>
      <c r="K530" s="63" t="s">
        <v>568</v>
      </c>
      <c r="L530" s="63" t="s">
        <v>2721</v>
      </c>
      <c r="M530" s="63" t="s">
        <v>2722</v>
      </c>
      <c r="N530" s="63" t="s">
        <v>1790</v>
      </c>
    </row>
    <row r="531" spans="1:14" x14ac:dyDescent="0.2">
      <c r="A531" s="51">
        <v>530</v>
      </c>
      <c r="B531" s="54" t="s">
        <v>568</v>
      </c>
      <c r="C531" s="47" t="s">
        <v>2723</v>
      </c>
      <c r="D531" s="47" t="s">
        <v>2724</v>
      </c>
      <c r="E531" s="47" t="s">
        <v>1790</v>
      </c>
      <c r="F531" s="55" t="b">
        <v>1</v>
      </c>
      <c r="G531" s="54" t="b">
        <v>1</v>
      </c>
      <c r="H531" s="54" t="b">
        <v>1</v>
      </c>
      <c r="I531" s="54" t="b">
        <v>1</v>
      </c>
      <c r="J531" s="54" t="b">
        <v>1</v>
      </c>
      <c r="K531" s="63" t="s">
        <v>568</v>
      </c>
      <c r="L531" s="63" t="s">
        <v>2723</v>
      </c>
      <c r="M531" s="63" t="s">
        <v>2724</v>
      </c>
      <c r="N531" s="63" t="s">
        <v>1790</v>
      </c>
    </row>
    <row r="532" spans="1:14" x14ac:dyDescent="0.2">
      <c r="A532" s="51">
        <v>531</v>
      </c>
      <c r="B532" s="54" t="s">
        <v>568</v>
      </c>
      <c r="C532" s="47" t="s">
        <v>2725</v>
      </c>
      <c r="D532" s="47" t="s">
        <v>2726</v>
      </c>
      <c r="E532" s="47" t="s">
        <v>1790</v>
      </c>
      <c r="F532" s="55" t="b">
        <v>1</v>
      </c>
      <c r="G532" s="54" t="b">
        <v>1</v>
      </c>
      <c r="H532" s="54" t="b">
        <v>1</v>
      </c>
      <c r="I532" s="54" t="b">
        <v>1</v>
      </c>
      <c r="J532" s="54" t="b">
        <v>1</v>
      </c>
      <c r="K532" s="63" t="s">
        <v>568</v>
      </c>
      <c r="L532" s="63" t="s">
        <v>2725</v>
      </c>
      <c r="M532" s="63" t="s">
        <v>2726</v>
      </c>
      <c r="N532" s="63" t="s">
        <v>1790</v>
      </c>
    </row>
    <row r="533" spans="1:14" x14ac:dyDescent="0.2">
      <c r="A533" s="51">
        <v>532</v>
      </c>
      <c r="B533" s="54" t="s">
        <v>568</v>
      </c>
      <c r="C533" s="47" t="s">
        <v>2727</v>
      </c>
      <c r="D533" s="47" t="s">
        <v>2728</v>
      </c>
      <c r="E533" s="47" t="s">
        <v>1790</v>
      </c>
      <c r="F533" s="55" t="b">
        <v>1</v>
      </c>
      <c r="G533" s="54" t="b">
        <v>1</v>
      </c>
      <c r="H533" s="54" t="b">
        <v>1</v>
      </c>
      <c r="I533" s="54" t="b">
        <v>1</v>
      </c>
      <c r="J533" s="54" t="b">
        <v>1</v>
      </c>
      <c r="K533" s="63" t="s">
        <v>568</v>
      </c>
      <c r="L533" s="63" t="s">
        <v>2727</v>
      </c>
      <c r="M533" s="63" t="s">
        <v>2728</v>
      </c>
      <c r="N533" s="63" t="s">
        <v>1790</v>
      </c>
    </row>
    <row r="534" spans="1:14" x14ac:dyDescent="0.2">
      <c r="A534" s="51">
        <v>533</v>
      </c>
      <c r="B534" s="54" t="s">
        <v>568</v>
      </c>
      <c r="C534" s="47" t="s">
        <v>2729</v>
      </c>
      <c r="D534" s="47" t="s">
        <v>9182</v>
      </c>
      <c r="E534" s="47" t="s">
        <v>1790</v>
      </c>
      <c r="F534" s="55" t="b">
        <v>1</v>
      </c>
      <c r="G534" s="54" t="b">
        <v>1</v>
      </c>
      <c r="H534" s="54" t="b">
        <v>1</v>
      </c>
      <c r="I534" s="65" t="b">
        <v>0</v>
      </c>
      <c r="J534" s="54" t="b">
        <v>1</v>
      </c>
      <c r="K534" s="63" t="s">
        <v>568</v>
      </c>
      <c r="L534" s="63" t="s">
        <v>2729</v>
      </c>
      <c r="M534" s="63" t="s">
        <v>2730</v>
      </c>
      <c r="N534" s="63" t="s">
        <v>1790</v>
      </c>
    </row>
    <row r="535" spans="1:14" x14ac:dyDescent="0.2">
      <c r="A535" s="51">
        <v>534</v>
      </c>
      <c r="B535" s="54" t="s">
        <v>568</v>
      </c>
      <c r="C535" s="47" t="s">
        <v>2731</v>
      </c>
      <c r="D535" s="47" t="s">
        <v>9184</v>
      </c>
      <c r="E535" s="47" t="s">
        <v>1790</v>
      </c>
      <c r="F535" s="55" t="b">
        <v>1</v>
      </c>
      <c r="G535" s="54" t="b">
        <v>1</v>
      </c>
      <c r="H535" s="54" t="b">
        <v>1</v>
      </c>
      <c r="I535" s="65" t="b">
        <v>0</v>
      </c>
      <c r="J535" s="54" t="b">
        <v>1</v>
      </c>
      <c r="K535" s="63" t="s">
        <v>568</v>
      </c>
      <c r="L535" s="63" t="s">
        <v>2731</v>
      </c>
      <c r="M535" s="63" t="s">
        <v>2732</v>
      </c>
      <c r="N535" s="63" t="s">
        <v>1790</v>
      </c>
    </row>
    <row r="536" spans="1:14" x14ac:dyDescent="0.2">
      <c r="A536" s="51">
        <v>535</v>
      </c>
      <c r="B536" s="54" t="s">
        <v>568</v>
      </c>
      <c r="C536" s="47" t="s">
        <v>2733</v>
      </c>
      <c r="D536" s="47" t="s">
        <v>9186</v>
      </c>
      <c r="E536" s="47" t="s">
        <v>1790</v>
      </c>
      <c r="F536" s="55" t="b">
        <v>1</v>
      </c>
      <c r="G536" s="54" t="b">
        <v>1</v>
      </c>
      <c r="H536" s="54" t="b">
        <v>1</v>
      </c>
      <c r="I536" s="65" t="b">
        <v>0</v>
      </c>
      <c r="J536" s="54" t="b">
        <v>1</v>
      </c>
      <c r="K536" s="63" t="s">
        <v>568</v>
      </c>
      <c r="L536" s="63" t="s">
        <v>2733</v>
      </c>
      <c r="M536" s="63" t="s">
        <v>2734</v>
      </c>
      <c r="N536" s="63" t="s">
        <v>1790</v>
      </c>
    </row>
    <row r="537" spans="1:14" x14ac:dyDescent="0.2">
      <c r="A537" s="51">
        <v>536</v>
      </c>
      <c r="B537" s="54" t="s">
        <v>568</v>
      </c>
      <c r="C537" s="47" t="s">
        <v>2735</v>
      </c>
      <c r="D537" s="47" t="s">
        <v>2736</v>
      </c>
      <c r="E537" s="47" t="s">
        <v>1790</v>
      </c>
      <c r="F537" s="55" t="b">
        <v>1</v>
      </c>
      <c r="G537" s="54" t="b">
        <v>1</v>
      </c>
      <c r="H537" s="54" t="b">
        <v>1</v>
      </c>
      <c r="I537" s="54" t="b">
        <v>1</v>
      </c>
      <c r="J537" s="54" t="b">
        <v>1</v>
      </c>
      <c r="K537" s="63" t="s">
        <v>568</v>
      </c>
      <c r="L537" s="63" t="s">
        <v>2735</v>
      </c>
      <c r="M537" s="63" t="s">
        <v>2736</v>
      </c>
      <c r="N537" s="63" t="s">
        <v>1790</v>
      </c>
    </row>
    <row r="538" spans="1:14" x14ac:dyDescent="0.2">
      <c r="A538" s="51">
        <v>537</v>
      </c>
      <c r="B538" s="54" t="s">
        <v>568</v>
      </c>
      <c r="C538" s="47" t="s">
        <v>12121</v>
      </c>
      <c r="D538" s="47" t="s">
        <v>12122</v>
      </c>
      <c r="E538" s="47" t="s">
        <v>2046</v>
      </c>
      <c r="F538" s="55" t="b">
        <v>1</v>
      </c>
      <c r="G538" s="65" t="b">
        <v>0</v>
      </c>
      <c r="H538" s="65" t="b">
        <v>0</v>
      </c>
      <c r="I538" s="65" t="b">
        <v>0</v>
      </c>
      <c r="J538" s="65" t="b">
        <v>0</v>
      </c>
    </row>
    <row r="539" spans="1:14" x14ac:dyDescent="0.2">
      <c r="A539" s="51">
        <v>538</v>
      </c>
      <c r="B539" s="54" t="s">
        <v>568</v>
      </c>
      <c r="C539" s="47" t="s">
        <v>12123</v>
      </c>
      <c r="D539" s="47" t="s">
        <v>12124</v>
      </c>
      <c r="E539" s="47" t="s">
        <v>2046</v>
      </c>
      <c r="F539" s="55" t="b">
        <v>1</v>
      </c>
      <c r="G539" s="65" t="b">
        <v>0</v>
      </c>
      <c r="H539" s="65" t="b">
        <v>0</v>
      </c>
      <c r="I539" s="65" t="b">
        <v>0</v>
      </c>
      <c r="J539" s="65" t="b">
        <v>0</v>
      </c>
    </row>
    <row r="540" spans="1:14" x14ac:dyDescent="0.2">
      <c r="A540" s="51">
        <v>539</v>
      </c>
      <c r="B540" s="54" t="s">
        <v>568</v>
      </c>
      <c r="C540" s="47" t="s">
        <v>2721</v>
      </c>
      <c r="D540" s="47" t="s">
        <v>2722</v>
      </c>
      <c r="E540" s="47" t="s">
        <v>1790</v>
      </c>
      <c r="F540" s="55" t="b">
        <v>1</v>
      </c>
      <c r="G540" s="65" t="b">
        <v>0</v>
      </c>
      <c r="H540" s="65" t="b">
        <v>0</v>
      </c>
      <c r="I540" s="65" t="b">
        <v>0</v>
      </c>
      <c r="J540" s="65" t="b">
        <v>0</v>
      </c>
    </row>
    <row r="541" spans="1:14" x14ac:dyDescent="0.2">
      <c r="A541" s="51">
        <v>540</v>
      </c>
      <c r="B541" s="54" t="s">
        <v>568</v>
      </c>
      <c r="C541" s="47" t="s">
        <v>12125</v>
      </c>
      <c r="D541" s="47" t="s">
        <v>12126</v>
      </c>
      <c r="E541" s="47" t="s">
        <v>12127</v>
      </c>
      <c r="F541" s="55" t="b">
        <v>1</v>
      </c>
      <c r="G541" s="65" t="b">
        <v>0</v>
      </c>
      <c r="H541" s="65" t="b">
        <v>0</v>
      </c>
      <c r="I541" s="65" t="b">
        <v>0</v>
      </c>
      <c r="J541" s="65" t="b">
        <v>0</v>
      </c>
    </row>
    <row r="542" spans="1:14" x14ac:dyDescent="0.2">
      <c r="A542" s="51">
        <v>541</v>
      </c>
      <c r="B542" s="54" t="s">
        <v>568</v>
      </c>
      <c r="C542" s="47" t="s">
        <v>12128</v>
      </c>
      <c r="D542" s="47" t="s">
        <v>12129</v>
      </c>
      <c r="E542" s="47" t="s">
        <v>12127</v>
      </c>
      <c r="F542" s="55" t="b">
        <v>1</v>
      </c>
      <c r="G542" s="65" t="b">
        <v>0</v>
      </c>
      <c r="H542" s="65" t="b">
        <v>0</v>
      </c>
      <c r="I542" s="65" t="b">
        <v>0</v>
      </c>
      <c r="J542" s="65" t="b">
        <v>0</v>
      </c>
    </row>
    <row r="543" spans="1:14" x14ac:dyDescent="0.2">
      <c r="A543" s="51">
        <v>542</v>
      </c>
      <c r="B543" s="54" t="s">
        <v>568</v>
      </c>
      <c r="C543" s="47" t="s">
        <v>12130</v>
      </c>
      <c r="D543" s="47" t="s">
        <v>12131</v>
      </c>
      <c r="E543" s="47" t="s">
        <v>12127</v>
      </c>
      <c r="F543" s="55" t="b">
        <v>1</v>
      </c>
      <c r="G543" s="65" t="b">
        <v>0</v>
      </c>
      <c r="H543" s="65" t="b">
        <v>0</v>
      </c>
      <c r="I543" s="65" t="b">
        <v>0</v>
      </c>
      <c r="J543" s="65" t="b">
        <v>0</v>
      </c>
    </row>
    <row r="544" spans="1:14" x14ac:dyDescent="0.2">
      <c r="A544" s="51">
        <v>543</v>
      </c>
      <c r="B544" s="54" t="s">
        <v>568</v>
      </c>
      <c r="C544" s="47" t="s">
        <v>12132</v>
      </c>
      <c r="D544" s="47" t="s">
        <v>12133</v>
      </c>
      <c r="E544" s="47" t="s">
        <v>12127</v>
      </c>
      <c r="F544" s="55" t="b">
        <v>1</v>
      </c>
      <c r="G544" s="65" t="b">
        <v>0</v>
      </c>
      <c r="H544" s="65" t="b">
        <v>0</v>
      </c>
      <c r="I544" s="65" t="b">
        <v>0</v>
      </c>
      <c r="J544" s="65" t="b">
        <v>0</v>
      </c>
    </row>
    <row r="545" spans="1:14" x14ac:dyDescent="0.2">
      <c r="A545" s="51">
        <v>544</v>
      </c>
      <c r="B545" s="54" t="s">
        <v>572</v>
      </c>
      <c r="C545" s="47" t="s">
        <v>2737</v>
      </c>
      <c r="D545" s="47" t="s">
        <v>2738</v>
      </c>
      <c r="E545" s="47" t="s">
        <v>2113</v>
      </c>
      <c r="F545" s="55" t="b">
        <v>1</v>
      </c>
      <c r="G545" s="54" t="b">
        <v>1</v>
      </c>
      <c r="H545" s="54" t="b">
        <v>1</v>
      </c>
      <c r="I545" s="54" t="b">
        <v>1</v>
      </c>
      <c r="J545" s="54" t="b">
        <v>1</v>
      </c>
      <c r="K545" s="63" t="s">
        <v>572</v>
      </c>
      <c r="L545" s="63" t="s">
        <v>2737</v>
      </c>
      <c r="M545" s="63" t="s">
        <v>2738</v>
      </c>
      <c r="N545" s="63" t="s">
        <v>2113</v>
      </c>
    </row>
    <row r="546" spans="1:14" x14ac:dyDescent="0.2">
      <c r="A546" s="51">
        <v>545</v>
      </c>
      <c r="B546" s="54" t="s">
        <v>572</v>
      </c>
      <c r="C546" s="47" t="s">
        <v>2739</v>
      </c>
      <c r="D546" s="47" t="s">
        <v>2740</v>
      </c>
      <c r="E546" s="47" t="s">
        <v>2113</v>
      </c>
      <c r="F546" s="55" t="b">
        <v>1</v>
      </c>
      <c r="G546" s="54" t="b">
        <v>1</v>
      </c>
      <c r="H546" s="54" t="b">
        <v>1</v>
      </c>
      <c r="I546" s="54" t="b">
        <v>1</v>
      </c>
      <c r="J546" s="54" t="b">
        <v>1</v>
      </c>
      <c r="K546" s="63" t="s">
        <v>572</v>
      </c>
      <c r="L546" s="63" t="s">
        <v>2739</v>
      </c>
      <c r="M546" s="63" t="s">
        <v>2740</v>
      </c>
      <c r="N546" s="63" t="s">
        <v>2113</v>
      </c>
    </row>
    <row r="547" spans="1:14" x14ac:dyDescent="0.2">
      <c r="A547" s="51">
        <v>546</v>
      </c>
      <c r="B547" s="54" t="s">
        <v>572</v>
      </c>
      <c r="C547" s="47" t="s">
        <v>2743</v>
      </c>
      <c r="D547" s="47" t="s">
        <v>2744</v>
      </c>
      <c r="E547" s="47" t="s">
        <v>2113</v>
      </c>
      <c r="F547" s="55" t="b">
        <v>1</v>
      </c>
      <c r="G547" s="54" t="b">
        <v>1</v>
      </c>
      <c r="H547" s="54" t="b">
        <v>1</v>
      </c>
      <c r="I547" s="54" t="b">
        <v>1</v>
      </c>
      <c r="J547" s="54" t="b">
        <v>1</v>
      </c>
      <c r="K547" s="63" t="s">
        <v>572</v>
      </c>
      <c r="L547" s="63" t="s">
        <v>2743</v>
      </c>
      <c r="M547" s="63" t="s">
        <v>2744</v>
      </c>
      <c r="N547" s="63" t="s">
        <v>2113</v>
      </c>
    </row>
    <row r="548" spans="1:14" x14ac:dyDescent="0.2">
      <c r="A548" s="51">
        <v>547</v>
      </c>
      <c r="B548" s="54" t="s">
        <v>572</v>
      </c>
      <c r="C548" s="47" t="s">
        <v>2741</v>
      </c>
      <c r="D548" s="47" t="s">
        <v>2742</v>
      </c>
      <c r="E548" s="47" t="s">
        <v>2113</v>
      </c>
      <c r="F548" s="55" t="b">
        <v>1</v>
      </c>
      <c r="G548" s="54" t="b">
        <v>1</v>
      </c>
      <c r="H548" s="54" t="b">
        <v>1</v>
      </c>
      <c r="I548" s="54" t="b">
        <v>1</v>
      </c>
      <c r="J548" s="54" t="b">
        <v>1</v>
      </c>
      <c r="K548" s="63" t="s">
        <v>572</v>
      </c>
      <c r="L548" s="63" t="s">
        <v>2741</v>
      </c>
      <c r="M548" s="63" t="s">
        <v>2742</v>
      </c>
      <c r="N548" s="63" t="s">
        <v>2113</v>
      </c>
    </row>
    <row r="549" spans="1:14" x14ac:dyDescent="0.2">
      <c r="A549" s="51">
        <v>548</v>
      </c>
      <c r="B549" s="54" t="s">
        <v>572</v>
      </c>
      <c r="C549" s="47" t="s">
        <v>2745</v>
      </c>
      <c r="D549" s="47" t="s">
        <v>2746</v>
      </c>
      <c r="E549" s="47" t="s">
        <v>2113</v>
      </c>
      <c r="F549" s="55" t="b">
        <v>1</v>
      </c>
      <c r="G549" s="54" t="b">
        <v>1</v>
      </c>
      <c r="H549" s="54" t="b">
        <v>1</v>
      </c>
      <c r="I549" s="54" t="b">
        <v>1</v>
      </c>
      <c r="J549" s="54" t="b">
        <v>1</v>
      </c>
      <c r="K549" s="63" t="s">
        <v>572</v>
      </c>
      <c r="L549" s="63" t="s">
        <v>2745</v>
      </c>
      <c r="M549" s="63" t="s">
        <v>2746</v>
      </c>
      <c r="N549" s="63" t="s">
        <v>2113</v>
      </c>
    </row>
    <row r="550" spans="1:14" x14ac:dyDescent="0.2">
      <c r="A550" s="51">
        <v>549</v>
      </c>
      <c r="B550" s="54" t="s">
        <v>572</v>
      </c>
      <c r="C550" s="47" t="s">
        <v>2747</v>
      </c>
      <c r="D550" s="47" t="s">
        <v>2748</v>
      </c>
      <c r="E550" s="47" t="s">
        <v>2113</v>
      </c>
      <c r="F550" s="55" t="b">
        <v>1</v>
      </c>
      <c r="G550" s="54" t="b">
        <v>1</v>
      </c>
      <c r="H550" s="54" t="b">
        <v>1</v>
      </c>
      <c r="I550" s="54" t="b">
        <v>1</v>
      </c>
      <c r="J550" s="54" t="b">
        <v>1</v>
      </c>
      <c r="K550" s="63" t="s">
        <v>572</v>
      </c>
      <c r="L550" s="63" t="s">
        <v>2747</v>
      </c>
      <c r="M550" s="63" t="s">
        <v>2748</v>
      </c>
      <c r="N550" s="63" t="s">
        <v>2113</v>
      </c>
    </row>
    <row r="551" spans="1:14" x14ac:dyDescent="0.2">
      <c r="A551" s="51">
        <v>550</v>
      </c>
      <c r="B551" s="54" t="s">
        <v>572</v>
      </c>
      <c r="C551" s="47" t="s">
        <v>2749</v>
      </c>
      <c r="D551" s="47" t="s">
        <v>2750</v>
      </c>
      <c r="E551" s="47" t="s">
        <v>2751</v>
      </c>
      <c r="F551" s="55" t="b">
        <v>1</v>
      </c>
      <c r="G551" s="54" t="b">
        <v>1</v>
      </c>
      <c r="H551" s="54" t="b">
        <v>1</v>
      </c>
      <c r="I551" s="54" t="b">
        <v>1</v>
      </c>
      <c r="J551" s="54" t="b">
        <v>1</v>
      </c>
      <c r="K551" s="63" t="s">
        <v>572</v>
      </c>
      <c r="L551" s="63" t="s">
        <v>2749</v>
      </c>
      <c r="M551" s="63" t="s">
        <v>2750</v>
      </c>
      <c r="N551" s="63" t="s">
        <v>2751</v>
      </c>
    </row>
    <row r="552" spans="1:14" x14ac:dyDescent="0.2">
      <c r="A552" s="51">
        <v>551</v>
      </c>
      <c r="B552" s="54" t="s">
        <v>572</v>
      </c>
      <c r="C552" s="47" t="s">
        <v>2752</v>
      </c>
      <c r="D552" s="47" t="s">
        <v>2753</v>
      </c>
      <c r="E552" s="47" t="s">
        <v>2113</v>
      </c>
      <c r="F552" s="55" t="b">
        <v>1</v>
      </c>
      <c r="G552" s="54" t="b">
        <v>1</v>
      </c>
      <c r="H552" s="54" t="b">
        <v>1</v>
      </c>
      <c r="I552" s="54" t="b">
        <v>1</v>
      </c>
      <c r="J552" s="54" t="b">
        <v>1</v>
      </c>
      <c r="K552" s="63" t="s">
        <v>572</v>
      </c>
      <c r="L552" s="63" t="s">
        <v>2752</v>
      </c>
      <c r="M552" s="63" t="s">
        <v>2753</v>
      </c>
      <c r="N552" s="63" t="s">
        <v>2113</v>
      </c>
    </row>
    <row r="553" spans="1:14" x14ac:dyDescent="0.2">
      <c r="A553" s="51">
        <v>552</v>
      </c>
      <c r="B553" s="54" t="s">
        <v>572</v>
      </c>
      <c r="C553" s="47" t="s">
        <v>2754</v>
      </c>
      <c r="D553" s="47" t="s">
        <v>2755</v>
      </c>
      <c r="E553" s="47" t="s">
        <v>2113</v>
      </c>
      <c r="F553" s="55" t="b">
        <v>1</v>
      </c>
      <c r="G553" s="54" t="b">
        <v>1</v>
      </c>
      <c r="H553" s="54" t="b">
        <v>1</v>
      </c>
      <c r="I553" s="54" t="b">
        <v>1</v>
      </c>
      <c r="J553" s="54" t="b">
        <v>1</v>
      </c>
      <c r="K553" s="63" t="s">
        <v>572</v>
      </c>
      <c r="L553" s="63" t="s">
        <v>2754</v>
      </c>
      <c r="M553" s="63" t="s">
        <v>2755</v>
      </c>
      <c r="N553" s="63" t="s">
        <v>2113</v>
      </c>
    </row>
    <row r="554" spans="1:14" x14ac:dyDescent="0.2">
      <c r="A554" s="51">
        <v>553</v>
      </c>
      <c r="B554" s="54" t="s">
        <v>572</v>
      </c>
      <c r="C554" s="47" t="s">
        <v>2756</v>
      </c>
      <c r="D554" s="47" t="s">
        <v>2757</v>
      </c>
      <c r="E554" s="47" t="s">
        <v>2113</v>
      </c>
      <c r="F554" s="55" t="b">
        <v>1</v>
      </c>
      <c r="G554" s="54" t="b">
        <v>1</v>
      </c>
      <c r="H554" s="54" t="b">
        <v>1</v>
      </c>
      <c r="I554" s="54" t="b">
        <v>1</v>
      </c>
      <c r="J554" s="54" t="b">
        <v>1</v>
      </c>
      <c r="K554" s="63" t="s">
        <v>572</v>
      </c>
      <c r="L554" s="63" t="s">
        <v>2756</v>
      </c>
      <c r="M554" s="63" t="s">
        <v>2757</v>
      </c>
      <c r="N554" s="63" t="s">
        <v>2113</v>
      </c>
    </row>
    <row r="555" spans="1:14" x14ac:dyDescent="0.2">
      <c r="A555" s="51">
        <v>554</v>
      </c>
      <c r="B555" s="54" t="s">
        <v>572</v>
      </c>
      <c r="C555" s="47" t="s">
        <v>2762</v>
      </c>
      <c r="D555" s="47" t="s">
        <v>2763</v>
      </c>
      <c r="E555" s="47" t="s">
        <v>2113</v>
      </c>
      <c r="F555" s="55" t="b">
        <v>1</v>
      </c>
      <c r="G555" s="54" t="b">
        <v>1</v>
      </c>
      <c r="H555" s="54" t="b">
        <v>1</v>
      </c>
      <c r="I555" s="54" t="b">
        <v>1</v>
      </c>
      <c r="J555" s="54" t="b">
        <v>1</v>
      </c>
      <c r="K555" s="63" t="s">
        <v>572</v>
      </c>
      <c r="L555" s="63" t="s">
        <v>2762</v>
      </c>
      <c r="M555" s="63" t="s">
        <v>2763</v>
      </c>
      <c r="N555" s="63" t="s">
        <v>2113</v>
      </c>
    </row>
    <row r="556" spans="1:14" x14ac:dyDescent="0.2">
      <c r="A556" s="51">
        <v>555</v>
      </c>
      <c r="B556" s="54" t="s">
        <v>572</v>
      </c>
      <c r="C556" s="47" t="s">
        <v>2760</v>
      </c>
      <c r="D556" s="47" t="s">
        <v>2761</v>
      </c>
      <c r="E556" s="47" t="s">
        <v>2113</v>
      </c>
      <c r="F556" s="55" t="b">
        <v>1</v>
      </c>
      <c r="G556" s="54" t="b">
        <v>1</v>
      </c>
      <c r="H556" s="54" t="b">
        <v>1</v>
      </c>
      <c r="I556" s="54" t="b">
        <v>1</v>
      </c>
      <c r="J556" s="54" t="b">
        <v>1</v>
      </c>
      <c r="K556" s="63" t="s">
        <v>572</v>
      </c>
      <c r="L556" s="63" t="s">
        <v>2760</v>
      </c>
      <c r="M556" s="63" t="s">
        <v>2761</v>
      </c>
      <c r="N556" s="63" t="s">
        <v>2113</v>
      </c>
    </row>
    <row r="557" spans="1:14" x14ac:dyDescent="0.2">
      <c r="A557" s="51">
        <v>556</v>
      </c>
      <c r="B557" s="54" t="s">
        <v>572</v>
      </c>
      <c r="C557" s="47" t="s">
        <v>2758</v>
      </c>
      <c r="D557" s="47" t="s">
        <v>2759</v>
      </c>
      <c r="E557" s="47" t="s">
        <v>2113</v>
      </c>
      <c r="F557" s="55" t="b">
        <v>1</v>
      </c>
      <c r="G557" s="54" t="b">
        <v>1</v>
      </c>
      <c r="H557" s="54" t="b">
        <v>1</v>
      </c>
      <c r="I557" s="54" t="b">
        <v>1</v>
      </c>
      <c r="J557" s="54" t="b">
        <v>1</v>
      </c>
      <c r="K557" s="63" t="s">
        <v>572</v>
      </c>
      <c r="L557" s="63" t="s">
        <v>2758</v>
      </c>
      <c r="M557" s="63" t="s">
        <v>2759</v>
      </c>
      <c r="N557" s="63" t="s">
        <v>2113</v>
      </c>
    </row>
    <row r="558" spans="1:14" x14ac:dyDescent="0.2">
      <c r="A558" s="51">
        <v>557</v>
      </c>
      <c r="B558" s="54" t="s">
        <v>572</v>
      </c>
      <c r="C558" s="47" t="s">
        <v>2768</v>
      </c>
      <c r="D558" s="47" t="s">
        <v>2769</v>
      </c>
      <c r="E558" s="47" t="s">
        <v>2113</v>
      </c>
      <c r="F558" s="55" t="b">
        <v>1</v>
      </c>
      <c r="G558" s="54" t="b">
        <v>1</v>
      </c>
      <c r="H558" s="54" t="b">
        <v>1</v>
      </c>
      <c r="I558" s="54" t="b">
        <v>1</v>
      </c>
      <c r="J558" s="54" t="b">
        <v>1</v>
      </c>
      <c r="K558" s="63" t="s">
        <v>572</v>
      </c>
      <c r="L558" s="63" t="s">
        <v>2768</v>
      </c>
      <c r="M558" s="63" t="s">
        <v>2769</v>
      </c>
      <c r="N558" s="63" t="s">
        <v>2113</v>
      </c>
    </row>
    <row r="559" spans="1:14" x14ac:dyDescent="0.2">
      <c r="A559" s="51">
        <v>558</v>
      </c>
      <c r="B559" s="54" t="s">
        <v>572</v>
      </c>
      <c r="C559" s="47" t="s">
        <v>2766</v>
      </c>
      <c r="D559" s="47" t="s">
        <v>2767</v>
      </c>
      <c r="E559" s="47" t="s">
        <v>2113</v>
      </c>
      <c r="F559" s="55" t="b">
        <v>1</v>
      </c>
      <c r="G559" s="54" t="b">
        <v>1</v>
      </c>
      <c r="H559" s="54" t="b">
        <v>1</v>
      </c>
      <c r="I559" s="54" t="b">
        <v>1</v>
      </c>
      <c r="J559" s="54" t="b">
        <v>1</v>
      </c>
      <c r="K559" s="63" t="s">
        <v>572</v>
      </c>
      <c r="L559" s="63" t="s">
        <v>2766</v>
      </c>
      <c r="M559" s="63" t="s">
        <v>2767</v>
      </c>
      <c r="N559" s="63" t="s">
        <v>2113</v>
      </c>
    </row>
    <row r="560" spans="1:14" x14ac:dyDescent="0.2">
      <c r="A560" s="51">
        <v>559</v>
      </c>
      <c r="B560" s="54" t="s">
        <v>572</v>
      </c>
      <c r="C560" s="47" t="s">
        <v>2770</v>
      </c>
      <c r="D560" s="47" t="s">
        <v>2771</v>
      </c>
      <c r="E560" s="47" t="s">
        <v>2113</v>
      </c>
      <c r="F560" s="55" t="b">
        <v>1</v>
      </c>
      <c r="G560" s="54" t="b">
        <v>1</v>
      </c>
      <c r="H560" s="54" t="b">
        <v>1</v>
      </c>
      <c r="I560" s="54" t="b">
        <v>1</v>
      </c>
      <c r="J560" s="54" t="b">
        <v>1</v>
      </c>
      <c r="K560" s="63" t="s">
        <v>572</v>
      </c>
      <c r="L560" s="63" t="s">
        <v>2770</v>
      </c>
      <c r="M560" s="63" t="s">
        <v>2771</v>
      </c>
      <c r="N560" s="63" t="s">
        <v>2113</v>
      </c>
    </row>
    <row r="561" spans="1:14" x14ac:dyDescent="0.2">
      <c r="A561" s="51">
        <v>560</v>
      </c>
      <c r="B561" s="54" t="s">
        <v>572</v>
      </c>
      <c r="C561" s="47" t="s">
        <v>2772</v>
      </c>
      <c r="D561" s="47" t="s">
        <v>2773</v>
      </c>
      <c r="E561" s="47" t="s">
        <v>2113</v>
      </c>
      <c r="F561" s="55" t="b">
        <v>1</v>
      </c>
      <c r="G561" s="54" t="b">
        <v>1</v>
      </c>
      <c r="H561" s="54" t="b">
        <v>1</v>
      </c>
      <c r="I561" s="54" t="b">
        <v>1</v>
      </c>
      <c r="J561" s="54" t="b">
        <v>1</v>
      </c>
      <c r="K561" s="63" t="s">
        <v>572</v>
      </c>
      <c r="L561" s="63" t="s">
        <v>2772</v>
      </c>
      <c r="M561" s="63" t="s">
        <v>2773</v>
      </c>
      <c r="N561" s="63" t="s">
        <v>2113</v>
      </c>
    </row>
    <row r="562" spans="1:14" x14ac:dyDescent="0.2">
      <c r="A562" s="51">
        <v>561</v>
      </c>
      <c r="B562" s="54" t="s">
        <v>572</v>
      </c>
      <c r="C562" s="47" t="s">
        <v>2764</v>
      </c>
      <c r="D562" s="47" t="s">
        <v>2765</v>
      </c>
      <c r="E562" s="47" t="s">
        <v>2113</v>
      </c>
      <c r="F562" s="55" t="b">
        <v>1</v>
      </c>
      <c r="G562" s="54" t="b">
        <v>1</v>
      </c>
      <c r="H562" s="54" t="b">
        <v>1</v>
      </c>
      <c r="I562" s="54" t="b">
        <v>1</v>
      </c>
      <c r="J562" s="54" t="b">
        <v>1</v>
      </c>
      <c r="K562" s="63" t="s">
        <v>572</v>
      </c>
      <c r="L562" s="63" t="s">
        <v>2764</v>
      </c>
      <c r="M562" s="63" t="s">
        <v>2765</v>
      </c>
      <c r="N562" s="63" t="s">
        <v>2113</v>
      </c>
    </row>
    <row r="563" spans="1:14" x14ac:dyDescent="0.2">
      <c r="A563" s="51">
        <v>562</v>
      </c>
      <c r="B563" s="54" t="s">
        <v>572</v>
      </c>
      <c r="C563" s="47" t="s">
        <v>2778</v>
      </c>
      <c r="D563" s="47" t="s">
        <v>2779</v>
      </c>
      <c r="E563" s="47" t="s">
        <v>2113</v>
      </c>
      <c r="F563" s="55" t="b">
        <v>1</v>
      </c>
      <c r="G563" s="54" t="b">
        <v>1</v>
      </c>
      <c r="H563" s="54" t="b">
        <v>1</v>
      </c>
      <c r="I563" s="54" t="b">
        <v>1</v>
      </c>
      <c r="J563" s="54" t="b">
        <v>1</v>
      </c>
      <c r="K563" s="63" t="s">
        <v>572</v>
      </c>
      <c r="L563" s="63" t="s">
        <v>2778</v>
      </c>
      <c r="M563" s="63" t="s">
        <v>2779</v>
      </c>
      <c r="N563" s="63" t="s">
        <v>2113</v>
      </c>
    </row>
    <row r="564" spans="1:14" x14ac:dyDescent="0.2">
      <c r="A564" s="51">
        <v>563</v>
      </c>
      <c r="B564" s="54" t="s">
        <v>572</v>
      </c>
      <c r="C564" s="47" t="s">
        <v>2774</v>
      </c>
      <c r="D564" s="47" t="s">
        <v>2775</v>
      </c>
      <c r="E564" s="47" t="s">
        <v>2113</v>
      </c>
      <c r="F564" s="55" t="b">
        <v>1</v>
      </c>
      <c r="G564" s="54" t="b">
        <v>1</v>
      </c>
      <c r="H564" s="54" t="b">
        <v>1</v>
      </c>
      <c r="I564" s="54" t="b">
        <v>1</v>
      </c>
      <c r="J564" s="54" t="b">
        <v>1</v>
      </c>
      <c r="K564" s="63" t="s">
        <v>572</v>
      </c>
      <c r="L564" s="63" t="s">
        <v>2774</v>
      </c>
      <c r="M564" s="63" t="s">
        <v>2775</v>
      </c>
      <c r="N564" s="63" t="s">
        <v>2113</v>
      </c>
    </row>
    <row r="565" spans="1:14" x14ac:dyDescent="0.2">
      <c r="A565" s="51">
        <v>564</v>
      </c>
      <c r="B565" s="54" t="s">
        <v>572</v>
      </c>
      <c r="C565" s="47" t="s">
        <v>2780</v>
      </c>
      <c r="D565" s="47" t="s">
        <v>2781</v>
      </c>
      <c r="E565" s="47" t="s">
        <v>2113</v>
      </c>
      <c r="F565" s="55" t="b">
        <v>1</v>
      </c>
      <c r="G565" s="54" t="b">
        <v>1</v>
      </c>
      <c r="H565" s="54" t="b">
        <v>1</v>
      </c>
      <c r="I565" s="54" t="b">
        <v>1</v>
      </c>
      <c r="J565" s="54" t="b">
        <v>1</v>
      </c>
      <c r="K565" s="63" t="s">
        <v>572</v>
      </c>
      <c r="L565" s="63" t="s">
        <v>2780</v>
      </c>
      <c r="M565" s="63" t="s">
        <v>2781</v>
      </c>
      <c r="N565" s="63" t="s">
        <v>2113</v>
      </c>
    </row>
    <row r="566" spans="1:14" x14ac:dyDescent="0.2">
      <c r="A566" s="51">
        <v>565</v>
      </c>
      <c r="B566" s="54" t="s">
        <v>572</v>
      </c>
      <c r="C566" s="47" t="s">
        <v>2782</v>
      </c>
      <c r="D566" s="47" t="s">
        <v>2783</v>
      </c>
      <c r="E566" s="47" t="s">
        <v>2113</v>
      </c>
      <c r="F566" s="55" t="b">
        <v>1</v>
      </c>
      <c r="G566" s="54" t="b">
        <v>1</v>
      </c>
      <c r="H566" s="54" t="b">
        <v>1</v>
      </c>
      <c r="I566" s="54" t="b">
        <v>1</v>
      </c>
      <c r="J566" s="54" t="b">
        <v>1</v>
      </c>
      <c r="K566" s="63" t="s">
        <v>572</v>
      </c>
      <c r="L566" s="63" t="s">
        <v>2782</v>
      </c>
      <c r="M566" s="63" t="s">
        <v>2783</v>
      </c>
      <c r="N566" s="63" t="s">
        <v>2113</v>
      </c>
    </row>
    <row r="567" spans="1:14" x14ac:dyDescent="0.2">
      <c r="A567" s="51">
        <v>566</v>
      </c>
      <c r="B567" s="54" t="s">
        <v>572</v>
      </c>
      <c r="C567" s="47" t="s">
        <v>2776</v>
      </c>
      <c r="D567" s="47" t="s">
        <v>2777</v>
      </c>
      <c r="E567" s="47" t="s">
        <v>2113</v>
      </c>
      <c r="F567" s="55" t="b">
        <v>1</v>
      </c>
      <c r="G567" s="54" t="b">
        <v>1</v>
      </c>
      <c r="H567" s="54" t="b">
        <v>1</v>
      </c>
      <c r="I567" s="54" t="b">
        <v>1</v>
      </c>
      <c r="J567" s="54" t="b">
        <v>1</v>
      </c>
      <c r="K567" s="63" t="s">
        <v>572</v>
      </c>
      <c r="L567" s="63" t="s">
        <v>2776</v>
      </c>
      <c r="M567" s="63" t="s">
        <v>2777</v>
      </c>
      <c r="N567" s="63" t="s">
        <v>2113</v>
      </c>
    </row>
    <row r="568" spans="1:14" x14ac:dyDescent="0.2">
      <c r="A568" s="51">
        <v>567</v>
      </c>
      <c r="B568" s="54" t="s">
        <v>572</v>
      </c>
      <c r="C568" s="47" t="s">
        <v>2784</v>
      </c>
      <c r="D568" s="47" t="s">
        <v>2785</v>
      </c>
      <c r="E568" s="47" t="s">
        <v>2113</v>
      </c>
      <c r="F568" s="55" t="b">
        <v>1</v>
      </c>
      <c r="G568" s="54" t="b">
        <v>1</v>
      </c>
      <c r="H568" s="54" t="b">
        <v>1</v>
      </c>
      <c r="I568" s="54" t="b">
        <v>1</v>
      </c>
      <c r="J568" s="54" t="b">
        <v>1</v>
      </c>
      <c r="K568" s="63" t="s">
        <v>572</v>
      </c>
      <c r="L568" s="63" t="s">
        <v>2784</v>
      </c>
      <c r="M568" s="63" t="s">
        <v>2785</v>
      </c>
      <c r="N568" s="63" t="s">
        <v>2113</v>
      </c>
    </row>
    <row r="569" spans="1:14" x14ac:dyDescent="0.2">
      <c r="A569" s="51">
        <v>568</v>
      </c>
      <c r="B569" s="54" t="s">
        <v>572</v>
      </c>
      <c r="C569" s="47" t="s">
        <v>2786</v>
      </c>
      <c r="D569" s="47" t="s">
        <v>2787</v>
      </c>
      <c r="E569" s="47" t="s">
        <v>2113</v>
      </c>
      <c r="F569" s="55" t="b">
        <v>1</v>
      </c>
      <c r="G569" s="54" t="b">
        <v>1</v>
      </c>
      <c r="H569" s="54" t="b">
        <v>1</v>
      </c>
      <c r="I569" s="54" t="b">
        <v>1</v>
      </c>
      <c r="J569" s="54" t="b">
        <v>1</v>
      </c>
      <c r="K569" s="63" t="s">
        <v>572</v>
      </c>
      <c r="L569" s="63" t="s">
        <v>2786</v>
      </c>
      <c r="M569" s="63" t="s">
        <v>2787</v>
      </c>
      <c r="N569" s="63" t="s">
        <v>2113</v>
      </c>
    </row>
    <row r="570" spans="1:14" x14ac:dyDescent="0.2">
      <c r="A570" s="51">
        <v>569</v>
      </c>
      <c r="B570" s="54" t="s">
        <v>572</v>
      </c>
      <c r="C570" s="47" t="s">
        <v>2788</v>
      </c>
      <c r="D570" s="47" t="s">
        <v>2789</v>
      </c>
      <c r="E570" s="47" t="s">
        <v>2113</v>
      </c>
      <c r="F570" s="55" t="b">
        <v>1</v>
      </c>
      <c r="G570" s="54" t="b">
        <v>1</v>
      </c>
      <c r="H570" s="54" t="b">
        <v>1</v>
      </c>
      <c r="I570" s="54" t="b">
        <v>1</v>
      </c>
      <c r="J570" s="54" t="b">
        <v>1</v>
      </c>
      <c r="K570" s="63" t="s">
        <v>572</v>
      </c>
      <c r="L570" s="63" t="s">
        <v>2788</v>
      </c>
      <c r="M570" s="63" t="s">
        <v>2789</v>
      </c>
      <c r="N570" s="63" t="s">
        <v>2113</v>
      </c>
    </row>
    <row r="571" spans="1:14" x14ac:dyDescent="0.2">
      <c r="A571" s="51">
        <v>570</v>
      </c>
      <c r="B571" s="54" t="s">
        <v>572</v>
      </c>
      <c r="C571" s="47" t="s">
        <v>2790</v>
      </c>
      <c r="D571" s="47" t="s">
        <v>2791</v>
      </c>
      <c r="E571" s="47" t="s">
        <v>2113</v>
      </c>
      <c r="F571" s="55" t="b">
        <v>1</v>
      </c>
      <c r="G571" s="54" t="b">
        <v>1</v>
      </c>
      <c r="H571" s="54" t="b">
        <v>1</v>
      </c>
      <c r="I571" s="54" t="b">
        <v>1</v>
      </c>
      <c r="J571" s="54" t="b">
        <v>1</v>
      </c>
      <c r="K571" s="63" t="s">
        <v>572</v>
      </c>
      <c r="L571" s="63" t="s">
        <v>2790</v>
      </c>
      <c r="M571" s="63" t="s">
        <v>2791</v>
      </c>
      <c r="N571" s="63" t="s">
        <v>2113</v>
      </c>
    </row>
    <row r="572" spans="1:14" x14ac:dyDescent="0.2">
      <c r="A572" s="51">
        <v>571</v>
      </c>
      <c r="B572" s="56" t="s">
        <v>576</v>
      </c>
      <c r="C572" s="47" t="s">
        <v>2792</v>
      </c>
      <c r="D572" s="47" t="s">
        <v>2793</v>
      </c>
      <c r="E572" s="47" t="s">
        <v>1790</v>
      </c>
      <c r="F572" s="55" t="b">
        <v>1</v>
      </c>
      <c r="G572" s="65" t="b">
        <v>0</v>
      </c>
      <c r="H572" s="54" t="b">
        <v>1</v>
      </c>
      <c r="I572" s="54" t="b">
        <v>1</v>
      </c>
      <c r="J572" s="54" t="b">
        <v>1</v>
      </c>
      <c r="K572" s="63" t="s">
        <v>1100</v>
      </c>
      <c r="L572" s="63" t="s">
        <v>2792</v>
      </c>
      <c r="M572" s="63" t="s">
        <v>2793</v>
      </c>
      <c r="N572" s="63" t="s">
        <v>1790</v>
      </c>
    </row>
    <row r="573" spans="1:14" x14ac:dyDescent="0.2">
      <c r="A573" s="51">
        <v>572</v>
      </c>
      <c r="B573" s="56" t="s">
        <v>576</v>
      </c>
      <c r="C573" s="47" t="s">
        <v>2794</v>
      </c>
      <c r="D573" s="47" t="s">
        <v>12134</v>
      </c>
      <c r="E573" s="47" t="s">
        <v>1790</v>
      </c>
      <c r="F573" s="55" t="b">
        <v>1</v>
      </c>
      <c r="G573" s="65" t="b">
        <v>0</v>
      </c>
      <c r="H573" s="54" t="b">
        <v>1</v>
      </c>
      <c r="I573" s="65" t="b">
        <v>0</v>
      </c>
      <c r="J573" s="54" t="b">
        <v>1</v>
      </c>
      <c r="K573" s="63" t="s">
        <v>1100</v>
      </c>
      <c r="L573" s="63" t="s">
        <v>2794</v>
      </c>
      <c r="M573" s="63" t="s">
        <v>2795</v>
      </c>
      <c r="N573" s="63" t="s">
        <v>1790</v>
      </c>
    </row>
    <row r="574" spans="1:14" x14ac:dyDescent="0.2">
      <c r="A574" s="51">
        <v>573</v>
      </c>
      <c r="B574" s="56" t="s">
        <v>576</v>
      </c>
      <c r="C574" s="47" t="s">
        <v>2796</v>
      </c>
      <c r="D574" s="47" t="s">
        <v>2797</v>
      </c>
      <c r="E574" s="47" t="s">
        <v>1790</v>
      </c>
      <c r="F574" s="55" t="b">
        <v>1</v>
      </c>
      <c r="G574" s="65" t="b">
        <v>0</v>
      </c>
      <c r="H574" s="54" t="b">
        <v>1</v>
      </c>
      <c r="I574" s="54" t="b">
        <v>1</v>
      </c>
      <c r="J574" s="54" t="b">
        <v>1</v>
      </c>
      <c r="K574" s="63" t="s">
        <v>1100</v>
      </c>
      <c r="L574" s="63" t="s">
        <v>2796</v>
      </c>
      <c r="M574" s="63" t="s">
        <v>2797</v>
      </c>
      <c r="N574" s="63" t="s">
        <v>1790</v>
      </c>
    </row>
    <row r="575" spans="1:14" x14ac:dyDescent="0.2">
      <c r="A575" s="51">
        <v>574</v>
      </c>
      <c r="B575" s="56" t="s">
        <v>576</v>
      </c>
      <c r="C575" s="47" t="s">
        <v>2798</v>
      </c>
      <c r="D575" s="47" t="s">
        <v>2799</v>
      </c>
      <c r="E575" s="47" t="s">
        <v>1790</v>
      </c>
      <c r="F575" s="55" t="b">
        <v>1</v>
      </c>
      <c r="G575" s="65" t="b">
        <v>0</v>
      </c>
      <c r="H575" s="54" t="b">
        <v>1</v>
      </c>
      <c r="I575" s="54" t="b">
        <v>1</v>
      </c>
      <c r="J575" s="54" t="b">
        <v>1</v>
      </c>
      <c r="K575" s="63" t="s">
        <v>1100</v>
      </c>
      <c r="L575" s="63" t="s">
        <v>2798</v>
      </c>
      <c r="M575" s="63" t="s">
        <v>2799</v>
      </c>
      <c r="N575" s="63" t="s">
        <v>1790</v>
      </c>
    </row>
    <row r="576" spans="1:14" x14ac:dyDescent="0.2">
      <c r="A576" s="51">
        <v>575</v>
      </c>
      <c r="B576" s="54" t="s">
        <v>578</v>
      </c>
      <c r="C576" s="47" t="s">
        <v>2800</v>
      </c>
      <c r="D576" s="47" t="s">
        <v>2801</v>
      </c>
      <c r="E576" s="47" t="s">
        <v>1719</v>
      </c>
      <c r="F576" s="55" t="b">
        <v>1</v>
      </c>
      <c r="G576" s="54" t="b">
        <v>1</v>
      </c>
      <c r="H576" s="54" t="b">
        <v>1</v>
      </c>
      <c r="I576" s="54" t="b">
        <v>1</v>
      </c>
      <c r="J576" s="65" t="b">
        <v>0</v>
      </c>
      <c r="K576" s="63" t="s">
        <v>578</v>
      </c>
      <c r="L576" s="63" t="s">
        <v>2800</v>
      </c>
      <c r="M576" s="63" t="s">
        <v>2801</v>
      </c>
      <c r="N576" s="63" t="s">
        <v>2087</v>
      </c>
    </row>
    <row r="577" spans="1:14" x14ac:dyDescent="0.2">
      <c r="A577" s="51">
        <v>576</v>
      </c>
      <c r="B577" s="54" t="s">
        <v>578</v>
      </c>
      <c r="C577" s="47" t="s">
        <v>2802</v>
      </c>
      <c r="D577" s="47" t="s">
        <v>2803</v>
      </c>
      <c r="E577" s="47" t="s">
        <v>1719</v>
      </c>
      <c r="F577" s="55" t="b">
        <v>1</v>
      </c>
      <c r="G577" s="54" t="b">
        <v>1</v>
      </c>
      <c r="H577" s="54" t="b">
        <v>1</v>
      </c>
      <c r="I577" s="54" t="b">
        <v>1</v>
      </c>
      <c r="J577" s="65" t="b">
        <v>0</v>
      </c>
      <c r="K577" s="63" t="s">
        <v>578</v>
      </c>
      <c r="L577" s="63" t="s">
        <v>2802</v>
      </c>
      <c r="M577" s="63" t="s">
        <v>2803</v>
      </c>
      <c r="N577" s="63" t="s">
        <v>2087</v>
      </c>
    </row>
    <row r="578" spans="1:14" x14ac:dyDescent="0.2">
      <c r="A578" s="51">
        <v>577</v>
      </c>
      <c r="B578" s="54" t="s">
        <v>578</v>
      </c>
      <c r="C578" s="47" t="s">
        <v>2846</v>
      </c>
      <c r="D578" s="47" t="s">
        <v>2847</v>
      </c>
      <c r="E578" s="47" t="s">
        <v>1719</v>
      </c>
      <c r="F578" s="55" t="b">
        <v>1</v>
      </c>
      <c r="G578" s="54" t="b">
        <v>1</v>
      </c>
      <c r="H578" s="54" t="b">
        <v>1</v>
      </c>
      <c r="I578" s="54" t="b">
        <v>1</v>
      </c>
      <c r="J578" s="65" t="b">
        <v>0</v>
      </c>
      <c r="K578" s="63" t="s">
        <v>578</v>
      </c>
      <c r="L578" s="63" t="s">
        <v>2846</v>
      </c>
      <c r="M578" s="63" t="s">
        <v>2847</v>
      </c>
      <c r="N578" s="63" t="s">
        <v>2087</v>
      </c>
    </row>
    <row r="579" spans="1:14" x14ac:dyDescent="0.2">
      <c r="A579" s="51">
        <v>578</v>
      </c>
      <c r="B579" s="54" t="s">
        <v>578</v>
      </c>
      <c r="C579" s="47" t="s">
        <v>2848</v>
      </c>
      <c r="D579" s="47" t="s">
        <v>12140</v>
      </c>
      <c r="E579" s="47" t="s">
        <v>1719</v>
      </c>
      <c r="F579" s="55" t="b">
        <v>1</v>
      </c>
      <c r="G579" s="54" t="b">
        <v>1</v>
      </c>
      <c r="H579" s="54" t="b">
        <v>1</v>
      </c>
      <c r="I579" s="65" t="b">
        <v>0</v>
      </c>
      <c r="J579" s="65" t="b">
        <v>0</v>
      </c>
      <c r="K579" s="63" t="s">
        <v>578</v>
      </c>
      <c r="L579" s="63" t="s">
        <v>2848</v>
      </c>
      <c r="M579" s="63" t="s">
        <v>2849</v>
      </c>
      <c r="N579" s="63" t="s">
        <v>2087</v>
      </c>
    </row>
    <row r="580" spans="1:14" x14ac:dyDescent="0.2">
      <c r="A580" s="51">
        <v>579</v>
      </c>
      <c r="B580" s="54" t="s">
        <v>578</v>
      </c>
      <c r="C580" s="47" t="s">
        <v>2850</v>
      </c>
      <c r="D580" s="47" t="s">
        <v>2851</v>
      </c>
      <c r="E580" s="47" t="s">
        <v>1719</v>
      </c>
      <c r="F580" s="55" t="b">
        <v>1</v>
      </c>
      <c r="G580" s="54" t="b">
        <v>1</v>
      </c>
      <c r="H580" s="54" t="b">
        <v>1</v>
      </c>
      <c r="I580" s="54" t="b">
        <v>1</v>
      </c>
      <c r="J580" s="65" t="b">
        <v>0</v>
      </c>
      <c r="K580" s="63" t="s">
        <v>578</v>
      </c>
      <c r="L580" s="63" t="s">
        <v>2850</v>
      </c>
      <c r="M580" s="63" t="s">
        <v>2851</v>
      </c>
      <c r="N580" s="63" t="s">
        <v>2087</v>
      </c>
    </row>
    <row r="581" spans="1:14" x14ac:dyDescent="0.2">
      <c r="A581" s="51">
        <v>580</v>
      </c>
      <c r="B581" s="54" t="s">
        <v>578</v>
      </c>
      <c r="C581" s="47" t="s">
        <v>2852</v>
      </c>
      <c r="D581" s="47" t="s">
        <v>2853</v>
      </c>
      <c r="E581" s="47" t="s">
        <v>1719</v>
      </c>
      <c r="F581" s="55" t="b">
        <v>1</v>
      </c>
      <c r="G581" s="54" t="b">
        <v>1</v>
      </c>
      <c r="H581" s="54" t="b">
        <v>1</v>
      </c>
      <c r="I581" s="54" t="b">
        <v>1</v>
      </c>
      <c r="J581" s="65" t="b">
        <v>0</v>
      </c>
      <c r="K581" s="63" t="s">
        <v>578</v>
      </c>
      <c r="L581" s="63" t="s">
        <v>2852</v>
      </c>
      <c r="M581" s="63" t="s">
        <v>2853</v>
      </c>
      <c r="N581" s="63" t="s">
        <v>2087</v>
      </c>
    </row>
    <row r="582" spans="1:14" x14ac:dyDescent="0.2">
      <c r="A582" s="51">
        <v>581</v>
      </c>
      <c r="B582" s="54" t="s">
        <v>578</v>
      </c>
      <c r="C582" s="47" t="s">
        <v>2806</v>
      </c>
      <c r="D582" s="47" t="s">
        <v>2807</v>
      </c>
      <c r="E582" s="47" t="s">
        <v>1719</v>
      </c>
      <c r="F582" s="55" t="b">
        <v>1</v>
      </c>
      <c r="G582" s="54" t="b">
        <v>1</v>
      </c>
      <c r="H582" s="54" t="b">
        <v>1</v>
      </c>
      <c r="I582" s="54" t="b">
        <v>1</v>
      </c>
      <c r="J582" s="65" t="b">
        <v>0</v>
      </c>
      <c r="K582" s="63" t="s">
        <v>578</v>
      </c>
      <c r="L582" s="63" t="s">
        <v>2806</v>
      </c>
      <c r="M582" s="63" t="s">
        <v>2807</v>
      </c>
      <c r="N582" s="63" t="s">
        <v>2087</v>
      </c>
    </row>
    <row r="583" spans="1:14" x14ac:dyDescent="0.2">
      <c r="A583" s="51">
        <v>582</v>
      </c>
      <c r="B583" s="54" t="s">
        <v>578</v>
      </c>
      <c r="C583" s="47" t="s">
        <v>2804</v>
      </c>
      <c r="D583" s="47" t="s">
        <v>2805</v>
      </c>
      <c r="E583" s="47" t="s">
        <v>1719</v>
      </c>
      <c r="F583" s="55" t="b">
        <v>1</v>
      </c>
      <c r="G583" s="54" t="b">
        <v>1</v>
      </c>
      <c r="H583" s="54" t="b">
        <v>1</v>
      </c>
      <c r="I583" s="54" t="b">
        <v>1</v>
      </c>
      <c r="J583" s="65" t="b">
        <v>0</v>
      </c>
      <c r="K583" s="63" t="s">
        <v>578</v>
      </c>
      <c r="L583" s="63" t="s">
        <v>2804</v>
      </c>
      <c r="M583" s="63" t="s">
        <v>2805</v>
      </c>
      <c r="N583" s="63" t="s">
        <v>2087</v>
      </c>
    </row>
    <row r="584" spans="1:14" x14ac:dyDescent="0.2">
      <c r="A584" s="51">
        <v>583</v>
      </c>
      <c r="B584" s="54" t="s">
        <v>578</v>
      </c>
      <c r="C584" s="47" t="s">
        <v>2810</v>
      </c>
      <c r="D584" s="47" t="s">
        <v>12136</v>
      </c>
      <c r="E584" s="47" t="s">
        <v>1719</v>
      </c>
      <c r="F584" s="55" t="b">
        <v>1</v>
      </c>
      <c r="G584" s="54" t="b">
        <v>1</v>
      </c>
      <c r="H584" s="54" t="b">
        <v>1</v>
      </c>
      <c r="I584" s="65" t="b">
        <v>0</v>
      </c>
      <c r="J584" s="65" t="b">
        <v>0</v>
      </c>
      <c r="K584" s="63" t="s">
        <v>578</v>
      </c>
      <c r="L584" s="63" t="s">
        <v>2810</v>
      </c>
      <c r="M584" s="63" t="s">
        <v>2811</v>
      </c>
      <c r="N584" s="63" t="s">
        <v>2087</v>
      </c>
    </row>
    <row r="585" spans="1:14" x14ac:dyDescent="0.2">
      <c r="A585" s="51">
        <v>584</v>
      </c>
      <c r="B585" s="54" t="s">
        <v>578</v>
      </c>
      <c r="C585" s="47" t="s">
        <v>2812</v>
      </c>
      <c r="D585" s="47" t="s">
        <v>2813</v>
      </c>
      <c r="E585" s="47" t="s">
        <v>1719</v>
      </c>
      <c r="F585" s="55" t="b">
        <v>1</v>
      </c>
      <c r="G585" s="54" t="b">
        <v>1</v>
      </c>
      <c r="H585" s="54" t="b">
        <v>1</v>
      </c>
      <c r="I585" s="54" t="b">
        <v>1</v>
      </c>
      <c r="J585" s="65" t="b">
        <v>0</v>
      </c>
      <c r="K585" s="63" t="s">
        <v>578</v>
      </c>
      <c r="L585" s="63" t="s">
        <v>2812</v>
      </c>
      <c r="M585" s="63" t="s">
        <v>2813</v>
      </c>
      <c r="N585" s="63" t="s">
        <v>2087</v>
      </c>
    </row>
    <row r="586" spans="1:14" x14ac:dyDescent="0.2">
      <c r="A586" s="51">
        <v>585</v>
      </c>
      <c r="B586" s="54" t="s">
        <v>578</v>
      </c>
      <c r="C586" s="47" t="s">
        <v>2814</v>
      </c>
      <c r="D586" s="47" t="s">
        <v>2815</v>
      </c>
      <c r="E586" s="47" t="s">
        <v>1719</v>
      </c>
      <c r="F586" s="55" t="b">
        <v>1</v>
      </c>
      <c r="G586" s="54" t="b">
        <v>1</v>
      </c>
      <c r="H586" s="54" t="b">
        <v>1</v>
      </c>
      <c r="I586" s="54" t="b">
        <v>1</v>
      </c>
      <c r="J586" s="65" t="b">
        <v>0</v>
      </c>
      <c r="K586" s="63" t="s">
        <v>578</v>
      </c>
      <c r="L586" s="63" t="s">
        <v>2814</v>
      </c>
      <c r="M586" s="63" t="s">
        <v>2815</v>
      </c>
      <c r="N586" s="63" t="s">
        <v>2087</v>
      </c>
    </row>
    <row r="587" spans="1:14" x14ac:dyDescent="0.2">
      <c r="A587" s="51">
        <v>586</v>
      </c>
      <c r="B587" s="54" t="s">
        <v>578</v>
      </c>
      <c r="C587" s="47" t="s">
        <v>2816</v>
      </c>
      <c r="D587" s="47" t="s">
        <v>2817</v>
      </c>
      <c r="E587" s="47" t="s">
        <v>1719</v>
      </c>
      <c r="F587" s="55" t="b">
        <v>1</v>
      </c>
      <c r="G587" s="54" t="b">
        <v>1</v>
      </c>
      <c r="H587" s="54" t="b">
        <v>1</v>
      </c>
      <c r="I587" s="54" t="b">
        <v>1</v>
      </c>
      <c r="J587" s="65" t="b">
        <v>0</v>
      </c>
      <c r="K587" s="63" t="s">
        <v>578</v>
      </c>
      <c r="L587" s="63" t="s">
        <v>2816</v>
      </c>
      <c r="M587" s="63" t="s">
        <v>2817</v>
      </c>
      <c r="N587" s="63" t="s">
        <v>2087</v>
      </c>
    </row>
    <row r="588" spans="1:14" x14ac:dyDescent="0.2">
      <c r="A588" s="51">
        <v>587</v>
      </c>
      <c r="B588" s="54" t="s">
        <v>578</v>
      </c>
      <c r="C588" s="47" t="s">
        <v>2818</v>
      </c>
      <c r="D588" s="47" t="s">
        <v>2819</v>
      </c>
      <c r="E588" s="47" t="s">
        <v>1719</v>
      </c>
      <c r="F588" s="55" t="b">
        <v>1</v>
      </c>
      <c r="G588" s="54" t="b">
        <v>1</v>
      </c>
      <c r="H588" s="54" t="b">
        <v>1</v>
      </c>
      <c r="I588" s="54" t="b">
        <v>1</v>
      </c>
      <c r="J588" s="65" t="b">
        <v>0</v>
      </c>
      <c r="K588" s="63" t="s">
        <v>578</v>
      </c>
      <c r="L588" s="63" t="s">
        <v>2818</v>
      </c>
      <c r="M588" s="63" t="s">
        <v>2819</v>
      </c>
      <c r="N588" s="63" t="s">
        <v>2087</v>
      </c>
    </row>
    <row r="589" spans="1:14" x14ac:dyDescent="0.2">
      <c r="A589" s="51">
        <v>588</v>
      </c>
      <c r="B589" s="54" t="s">
        <v>578</v>
      </c>
      <c r="C589" s="47" t="s">
        <v>2820</v>
      </c>
      <c r="D589" s="47" t="s">
        <v>2821</v>
      </c>
      <c r="E589" s="47" t="s">
        <v>1719</v>
      </c>
      <c r="F589" s="55" t="b">
        <v>1</v>
      </c>
      <c r="G589" s="54" t="b">
        <v>1</v>
      </c>
      <c r="H589" s="54" t="b">
        <v>1</v>
      </c>
      <c r="I589" s="54" t="b">
        <v>1</v>
      </c>
      <c r="J589" s="65" t="b">
        <v>0</v>
      </c>
      <c r="K589" s="63" t="s">
        <v>578</v>
      </c>
      <c r="L589" s="63" t="s">
        <v>2820</v>
      </c>
      <c r="M589" s="63" t="s">
        <v>2821</v>
      </c>
      <c r="N589" s="63" t="s">
        <v>2087</v>
      </c>
    </row>
    <row r="590" spans="1:14" x14ac:dyDescent="0.2">
      <c r="A590" s="51">
        <v>589</v>
      </c>
      <c r="B590" s="54" t="s">
        <v>578</v>
      </c>
      <c r="C590" s="47" t="s">
        <v>2822</v>
      </c>
      <c r="D590" s="47" t="s">
        <v>2823</v>
      </c>
      <c r="E590" s="47" t="s">
        <v>1719</v>
      </c>
      <c r="F590" s="55" t="b">
        <v>1</v>
      </c>
      <c r="G590" s="54" t="b">
        <v>1</v>
      </c>
      <c r="H590" s="54" t="b">
        <v>1</v>
      </c>
      <c r="I590" s="54" t="b">
        <v>1</v>
      </c>
      <c r="J590" s="65" t="b">
        <v>0</v>
      </c>
      <c r="K590" s="63" t="s">
        <v>578</v>
      </c>
      <c r="L590" s="63" t="s">
        <v>2822</v>
      </c>
      <c r="M590" s="63" t="s">
        <v>2823</v>
      </c>
      <c r="N590" s="63" t="s">
        <v>2087</v>
      </c>
    </row>
    <row r="591" spans="1:14" x14ac:dyDescent="0.2">
      <c r="A591" s="51">
        <v>590</v>
      </c>
      <c r="B591" s="54" t="s">
        <v>578</v>
      </c>
      <c r="C591" s="47" t="s">
        <v>2824</v>
      </c>
      <c r="D591" s="47" t="s">
        <v>2825</v>
      </c>
      <c r="E591" s="47" t="s">
        <v>1719</v>
      </c>
      <c r="F591" s="55" t="b">
        <v>1</v>
      </c>
      <c r="G591" s="54" t="b">
        <v>1</v>
      </c>
      <c r="H591" s="54" t="b">
        <v>1</v>
      </c>
      <c r="I591" s="54" t="b">
        <v>1</v>
      </c>
      <c r="J591" s="65" t="b">
        <v>0</v>
      </c>
      <c r="K591" s="63" t="s">
        <v>578</v>
      </c>
      <c r="L591" s="63" t="s">
        <v>2824</v>
      </c>
      <c r="M591" s="63" t="s">
        <v>2825</v>
      </c>
      <c r="N591" s="63" t="s">
        <v>2087</v>
      </c>
    </row>
    <row r="592" spans="1:14" x14ac:dyDescent="0.2">
      <c r="A592" s="51">
        <v>591</v>
      </c>
      <c r="B592" s="54" t="s">
        <v>578</v>
      </c>
      <c r="C592" s="47" t="s">
        <v>2826</v>
      </c>
      <c r="D592" s="47" t="s">
        <v>2827</v>
      </c>
      <c r="E592" s="47" t="s">
        <v>1719</v>
      </c>
      <c r="F592" s="55" t="b">
        <v>1</v>
      </c>
      <c r="G592" s="54" t="b">
        <v>1</v>
      </c>
      <c r="H592" s="54" t="b">
        <v>1</v>
      </c>
      <c r="I592" s="54" t="b">
        <v>1</v>
      </c>
      <c r="J592" s="65" t="b">
        <v>0</v>
      </c>
      <c r="K592" s="63" t="s">
        <v>578</v>
      </c>
      <c r="L592" s="63" t="s">
        <v>2826</v>
      </c>
      <c r="M592" s="63" t="s">
        <v>2827</v>
      </c>
      <c r="N592" s="63" t="s">
        <v>2087</v>
      </c>
    </row>
    <row r="593" spans="1:14" x14ac:dyDescent="0.2">
      <c r="A593" s="51">
        <v>592</v>
      </c>
      <c r="B593" s="54" t="s">
        <v>578</v>
      </c>
      <c r="C593" s="47" t="s">
        <v>2828</v>
      </c>
      <c r="D593" s="47" t="s">
        <v>2829</v>
      </c>
      <c r="E593" s="47" t="s">
        <v>1719</v>
      </c>
      <c r="F593" s="55" t="b">
        <v>1</v>
      </c>
      <c r="G593" s="54" t="b">
        <v>1</v>
      </c>
      <c r="H593" s="54" t="b">
        <v>1</v>
      </c>
      <c r="I593" s="54" t="b">
        <v>1</v>
      </c>
      <c r="J593" s="65" t="b">
        <v>0</v>
      </c>
      <c r="K593" s="63" t="s">
        <v>578</v>
      </c>
      <c r="L593" s="63" t="s">
        <v>2828</v>
      </c>
      <c r="M593" s="63" t="s">
        <v>2829</v>
      </c>
      <c r="N593" s="63" t="s">
        <v>2087</v>
      </c>
    </row>
    <row r="594" spans="1:14" x14ac:dyDescent="0.2">
      <c r="A594" s="51">
        <v>593</v>
      </c>
      <c r="B594" s="54" t="s">
        <v>578</v>
      </c>
      <c r="C594" s="47" t="s">
        <v>2832</v>
      </c>
      <c r="D594" s="47" t="s">
        <v>2833</v>
      </c>
      <c r="E594" s="47" t="s">
        <v>1719</v>
      </c>
      <c r="F594" s="55" t="b">
        <v>1</v>
      </c>
      <c r="G594" s="54" t="b">
        <v>1</v>
      </c>
      <c r="H594" s="54" t="b">
        <v>1</v>
      </c>
      <c r="I594" s="54" t="b">
        <v>1</v>
      </c>
      <c r="J594" s="65" t="b">
        <v>0</v>
      </c>
      <c r="K594" s="63" t="s">
        <v>578</v>
      </c>
      <c r="L594" s="63" t="s">
        <v>2832</v>
      </c>
      <c r="M594" s="63" t="s">
        <v>2833</v>
      </c>
      <c r="N594" s="63" t="s">
        <v>2087</v>
      </c>
    </row>
    <row r="595" spans="1:14" x14ac:dyDescent="0.2">
      <c r="A595" s="51">
        <v>594</v>
      </c>
      <c r="B595" s="54" t="s">
        <v>578</v>
      </c>
      <c r="C595" s="47" t="s">
        <v>2834</v>
      </c>
      <c r="D595" s="47" t="s">
        <v>2835</v>
      </c>
      <c r="E595" s="47" t="s">
        <v>1719</v>
      </c>
      <c r="F595" s="55" t="b">
        <v>1</v>
      </c>
      <c r="G595" s="54" t="b">
        <v>1</v>
      </c>
      <c r="H595" s="54" t="b">
        <v>1</v>
      </c>
      <c r="I595" s="54" t="b">
        <v>1</v>
      </c>
      <c r="J595" s="65" t="b">
        <v>0</v>
      </c>
      <c r="K595" s="63" t="s">
        <v>578</v>
      </c>
      <c r="L595" s="63" t="s">
        <v>2834</v>
      </c>
      <c r="M595" s="63" t="s">
        <v>2835</v>
      </c>
      <c r="N595" s="63" t="s">
        <v>2087</v>
      </c>
    </row>
    <row r="596" spans="1:14" x14ac:dyDescent="0.2">
      <c r="A596" s="51">
        <v>595</v>
      </c>
      <c r="B596" s="54" t="s">
        <v>578</v>
      </c>
      <c r="C596" s="47" t="s">
        <v>2836</v>
      </c>
      <c r="D596" s="47" t="s">
        <v>2837</v>
      </c>
      <c r="E596" s="47" t="s">
        <v>1719</v>
      </c>
      <c r="F596" s="55" t="b">
        <v>1</v>
      </c>
      <c r="G596" s="54" t="b">
        <v>1</v>
      </c>
      <c r="H596" s="54" t="b">
        <v>1</v>
      </c>
      <c r="I596" s="54" t="b">
        <v>1</v>
      </c>
      <c r="J596" s="65" t="b">
        <v>0</v>
      </c>
      <c r="K596" s="63" t="s">
        <v>578</v>
      </c>
      <c r="L596" s="63" t="s">
        <v>2836</v>
      </c>
      <c r="M596" s="63" t="s">
        <v>2837</v>
      </c>
      <c r="N596" s="63" t="s">
        <v>2087</v>
      </c>
    </row>
    <row r="597" spans="1:14" x14ac:dyDescent="0.2">
      <c r="A597" s="51">
        <v>596</v>
      </c>
      <c r="B597" s="54" t="s">
        <v>578</v>
      </c>
      <c r="C597" s="47" t="s">
        <v>2840</v>
      </c>
      <c r="D597" s="47" t="s">
        <v>12138</v>
      </c>
      <c r="E597" s="47" t="s">
        <v>1719</v>
      </c>
      <c r="F597" s="55" t="b">
        <v>1</v>
      </c>
      <c r="G597" s="54" t="b">
        <v>1</v>
      </c>
      <c r="H597" s="54" t="b">
        <v>1</v>
      </c>
      <c r="I597" s="65" t="b">
        <v>0</v>
      </c>
      <c r="J597" s="65" t="b">
        <v>0</v>
      </c>
      <c r="K597" s="63" t="s">
        <v>578</v>
      </c>
      <c r="L597" s="63" t="s">
        <v>2840</v>
      </c>
      <c r="M597" s="63" t="s">
        <v>2841</v>
      </c>
      <c r="N597" s="63" t="s">
        <v>2087</v>
      </c>
    </row>
    <row r="598" spans="1:14" x14ac:dyDescent="0.2">
      <c r="A598" s="51">
        <v>597</v>
      </c>
      <c r="B598" s="54" t="s">
        <v>578</v>
      </c>
      <c r="C598" s="47" t="s">
        <v>2838</v>
      </c>
      <c r="D598" s="47" t="s">
        <v>12137</v>
      </c>
      <c r="E598" s="47" t="s">
        <v>1719</v>
      </c>
      <c r="F598" s="55" t="b">
        <v>1</v>
      </c>
      <c r="G598" s="54" t="b">
        <v>1</v>
      </c>
      <c r="H598" s="54" t="b">
        <v>1</v>
      </c>
      <c r="I598" s="65" t="b">
        <v>0</v>
      </c>
      <c r="J598" s="65" t="b">
        <v>0</v>
      </c>
      <c r="K598" s="63" t="s">
        <v>578</v>
      </c>
      <c r="L598" s="63" t="s">
        <v>2838</v>
      </c>
      <c r="M598" s="63" t="s">
        <v>2839</v>
      </c>
      <c r="N598" s="63" t="s">
        <v>2087</v>
      </c>
    </row>
    <row r="599" spans="1:14" x14ac:dyDescent="0.2">
      <c r="A599" s="51">
        <v>598</v>
      </c>
      <c r="B599" s="54" t="s">
        <v>578</v>
      </c>
      <c r="C599" s="47" t="s">
        <v>2842</v>
      </c>
      <c r="D599" s="47" t="s">
        <v>2843</v>
      </c>
      <c r="E599" s="47" t="s">
        <v>1719</v>
      </c>
      <c r="F599" s="55" t="b">
        <v>1</v>
      </c>
      <c r="G599" s="54" t="b">
        <v>1</v>
      </c>
      <c r="H599" s="54" t="b">
        <v>1</v>
      </c>
      <c r="I599" s="54" t="b">
        <v>1</v>
      </c>
      <c r="J599" s="65" t="b">
        <v>0</v>
      </c>
      <c r="K599" s="63" t="s">
        <v>578</v>
      </c>
      <c r="L599" s="63" t="s">
        <v>2842</v>
      </c>
      <c r="M599" s="63" t="s">
        <v>2843</v>
      </c>
      <c r="N599" s="63" t="s">
        <v>2087</v>
      </c>
    </row>
    <row r="600" spans="1:14" x14ac:dyDescent="0.2">
      <c r="A600" s="51">
        <v>599</v>
      </c>
      <c r="B600" s="54" t="s">
        <v>578</v>
      </c>
      <c r="C600" s="47" t="s">
        <v>2844</v>
      </c>
      <c r="D600" s="47" t="s">
        <v>12139</v>
      </c>
      <c r="E600" s="47" t="s">
        <v>1719</v>
      </c>
      <c r="F600" s="55" t="b">
        <v>1</v>
      </c>
      <c r="G600" s="54" t="b">
        <v>1</v>
      </c>
      <c r="H600" s="54" t="b">
        <v>1</v>
      </c>
      <c r="I600" s="65" t="b">
        <v>0</v>
      </c>
      <c r="J600" s="65" t="b">
        <v>0</v>
      </c>
      <c r="K600" s="63" t="s">
        <v>578</v>
      </c>
      <c r="L600" s="63" t="s">
        <v>2844</v>
      </c>
      <c r="M600" s="63" t="s">
        <v>2845</v>
      </c>
      <c r="N600" s="63" t="s">
        <v>2087</v>
      </c>
    </row>
    <row r="601" spans="1:14" x14ac:dyDescent="0.2">
      <c r="A601" s="51">
        <v>600</v>
      </c>
      <c r="B601" s="54" t="s">
        <v>578</v>
      </c>
      <c r="C601" s="47" t="s">
        <v>2808</v>
      </c>
      <c r="D601" s="47" t="s">
        <v>12135</v>
      </c>
      <c r="E601" s="47" t="s">
        <v>1719</v>
      </c>
      <c r="F601" s="55" t="b">
        <v>1</v>
      </c>
      <c r="G601" s="54" t="b">
        <v>1</v>
      </c>
      <c r="H601" s="54" t="b">
        <v>1</v>
      </c>
      <c r="I601" s="65" t="b">
        <v>0</v>
      </c>
      <c r="J601" s="65" t="b">
        <v>0</v>
      </c>
      <c r="K601" s="63" t="s">
        <v>578</v>
      </c>
      <c r="L601" s="63" t="s">
        <v>2808</v>
      </c>
      <c r="M601" s="63" t="s">
        <v>2809</v>
      </c>
      <c r="N601" s="63" t="s">
        <v>2087</v>
      </c>
    </row>
    <row r="602" spans="1:14" x14ac:dyDescent="0.2">
      <c r="A602" s="51">
        <v>601</v>
      </c>
      <c r="B602" s="54" t="s">
        <v>578</v>
      </c>
      <c r="C602" s="47" t="s">
        <v>2830</v>
      </c>
      <c r="D602" s="47" t="s">
        <v>2831</v>
      </c>
      <c r="E602" s="47" t="s">
        <v>1719</v>
      </c>
      <c r="F602" s="55" t="b">
        <v>1</v>
      </c>
      <c r="G602" s="54" t="b">
        <v>1</v>
      </c>
      <c r="H602" s="54" t="b">
        <v>1</v>
      </c>
      <c r="I602" s="54" t="b">
        <v>1</v>
      </c>
      <c r="J602" s="65" t="b">
        <v>0</v>
      </c>
      <c r="K602" s="63" t="s">
        <v>578</v>
      </c>
      <c r="L602" s="63" t="s">
        <v>2830</v>
      </c>
      <c r="M602" s="63" t="s">
        <v>2831</v>
      </c>
      <c r="N602" s="63" t="s">
        <v>2087</v>
      </c>
    </row>
    <row r="603" spans="1:14" x14ac:dyDescent="0.2">
      <c r="A603" s="51">
        <v>602</v>
      </c>
      <c r="B603" s="54" t="s">
        <v>578</v>
      </c>
      <c r="C603" s="47" t="s">
        <v>2854</v>
      </c>
      <c r="D603" s="47" t="s">
        <v>2855</v>
      </c>
      <c r="E603" s="47" t="s">
        <v>1719</v>
      </c>
      <c r="F603" s="55" t="b">
        <v>1</v>
      </c>
      <c r="G603" s="54" t="b">
        <v>1</v>
      </c>
      <c r="H603" s="54" t="b">
        <v>1</v>
      </c>
      <c r="I603" s="54" t="b">
        <v>1</v>
      </c>
      <c r="J603" s="65" t="b">
        <v>0</v>
      </c>
      <c r="K603" s="63" t="s">
        <v>578</v>
      </c>
      <c r="L603" s="63" t="s">
        <v>2854</v>
      </c>
      <c r="M603" s="63" t="s">
        <v>2855</v>
      </c>
      <c r="N603" s="63" t="s">
        <v>2087</v>
      </c>
    </row>
    <row r="604" spans="1:14" x14ac:dyDescent="0.2">
      <c r="A604" s="51">
        <v>603</v>
      </c>
      <c r="B604" s="54" t="s">
        <v>580</v>
      </c>
      <c r="C604" s="47" t="s">
        <v>2864</v>
      </c>
      <c r="D604" s="47" t="s">
        <v>2865</v>
      </c>
      <c r="E604" s="47" t="s">
        <v>2087</v>
      </c>
      <c r="F604" s="55" t="b">
        <v>1</v>
      </c>
      <c r="G604" s="54" t="b">
        <v>1</v>
      </c>
      <c r="H604" s="54" t="b">
        <v>1</v>
      </c>
      <c r="I604" s="54" t="b">
        <v>1</v>
      </c>
      <c r="J604" s="54" t="b">
        <v>1</v>
      </c>
      <c r="K604" s="63" t="s">
        <v>580</v>
      </c>
      <c r="L604" s="63" t="s">
        <v>2864</v>
      </c>
      <c r="M604" s="63" t="s">
        <v>2865</v>
      </c>
      <c r="N604" s="63" t="s">
        <v>2087</v>
      </c>
    </row>
    <row r="605" spans="1:14" x14ac:dyDescent="0.2">
      <c r="A605" s="51">
        <v>604</v>
      </c>
      <c r="B605" s="54" t="s">
        <v>580</v>
      </c>
      <c r="C605" s="47" t="s">
        <v>2872</v>
      </c>
      <c r="D605" s="47" t="s">
        <v>2873</v>
      </c>
      <c r="E605" s="47" t="s">
        <v>2087</v>
      </c>
      <c r="F605" s="55" t="b">
        <v>1</v>
      </c>
      <c r="G605" s="54" t="b">
        <v>1</v>
      </c>
      <c r="H605" s="54" t="b">
        <v>1</v>
      </c>
      <c r="I605" s="54" t="b">
        <v>1</v>
      </c>
      <c r="J605" s="54" t="b">
        <v>1</v>
      </c>
      <c r="K605" s="63" t="s">
        <v>580</v>
      </c>
      <c r="L605" s="63" t="s">
        <v>2872</v>
      </c>
      <c r="M605" s="63" t="s">
        <v>2873</v>
      </c>
      <c r="N605" s="63" t="s">
        <v>2087</v>
      </c>
    </row>
    <row r="606" spans="1:14" x14ac:dyDescent="0.2">
      <c r="A606" s="51">
        <v>605</v>
      </c>
      <c r="B606" s="54" t="s">
        <v>580</v>
      </c>
      <c r="C606" s="47" t="s">
        <v>2874</v>
      </c>
      <c r="D606" s="47" t="s">
        <v>2875</v>
      </c>
      <c r="E606" s="47" t="s">
        <v>2087</v>
      </c>
      <c r="F606" s="55" t="b">
        <v>1</v>
      </c>
      <c r="G606" s="54" t="b">
        <v>1</v>
      </c>
      <c r="H606" s="54" t="b">
        <v>1</v>
      </c>
      <c r="I606" s="54" t="b">
        <v>1</v>
      </c>
      <c r="J606" s="54" t="b">
        <v>1</v>
      </c>
      <c r="K606" s="63" t="s">
        <v>580</v>
      </c>
      <c r="L606" s="63" t="s">
        <v>2874</v>
      </c>
      <c r="M606" s="63" t="s">
        <v>2875</v>
      </c>
      <c r="N606" s="63" t="s">
        <v>2087</v>
      </c>
    </row>
    <row r="607" spans="1:14" x14ac:dyDescent="0.2">
      <c r="A607" s="51">
        <v>606</v>
      </c>
      <c r="B607" s="54" t="s">
        <v>580</v>
      </c>
      <c r="C607" s="47" t="s">
        <v>2876</v>
      </c>
      <c r="D607" s="47" t="s">
        <v>2877</v>
      </c>
      <c r="E607" s="47" t="s">
        <v>2087</v>
      </c>
      <c r="F607" s="55" t="b">
        <v>1</v>
      </c>
      <c r="G607" s="54" t="b">
        <v>1</v>
      </c>
      <c r="H607" s="54" t="b">
        <v>1</v>
      </c>
      <c r="I607" s="54" t="b">
        <v>1</v>
      </c>
      <c r="J607" s="54" t="b">
        <v>1</v>
      </c>
      <c r="K607" s="63" t="s">
        <v>580</v>
      </c>
      <c r="L607" s="63" t="s">
        <v>2876</v>
      </c>
      <c r="M607" s="63" t="s">
        <v>2877</v>
      </c>
      <c r="N607" s="63" t="s">
        <v>2087</v>
      </c>
    </row>
    <row r="608" spans="1:14" x14ac:dyDescent="0.2">
      <c r="A608" s="51">
        <v>607</v>
      </c>
      <c r="B608" s="54" t="s">
        <v>580</v>
      </c>
      <c r="C608" s="47" t="s">
        <v>2878</v>
      </c>
      <c r="D608" s="47" t="s">
        <v>2879</v>
      </c>
      <c r="E608" s="47" t="s">
        <v>2087</v>
      </c>
      <c r="F608" s="55" t="b">
        <v>1</v>
      </c>
      <c r="G608" s="54" t="b">
        <v>1</v>
      </c>
      <c r="H608" s="54" t="b">
        <v>1</v>
      </c>
      <c r="I608" s="54" t="b">
        <v>1</v>
      </c>
      <c r="J608" s="54" t="b">
        <v>1</v>
      </c>
      <c r="K608" s="63" t="s">
        <v>580</v>
      </c>
      <c r="L608" s="63" t="s">
        <v>2878</v>
      </c>
      <c r="M608" s="63" t="s">
        <v>2879</v>
      </c>
      <c r="N608" s="63" t="s">
        <v>2087</v>
      </c>
    </row>
    <row r="609" spans="1:14" x14ac:dyDescent="0.2">
      <c r="A609" s="51">
        <v>608</v>
      </c>
      <c r="B609" s="54" t="s">
        <v>580</v>
      </c>
      <c r="C609" s="47" t="s">
        <v>2880</v>
      </c>
      <c r="D609" s="47" t="s">
        <v>2881</v>
      </c>
      <c r="E609" s="47" t="s">
        <v>2087</v>
      </c>
      <c r="F609" s="55" t="b">
        <v>1</v>
      </c>
      <c r="G609" s="54" t="b">
        <v>1</v>
      </c>
      <c r="H609" s="54" t="b">
        <v>1</v>
      </c>
      <c r="I609" s="54" t="b">
        <v>1</v>
      </c>
      <c r="J609" s="54" t="b">
        <v>1</v>
      </c>
      <c r="K609" s="63" t="s">
        <v>580</v>
      </c>
      <c r="L609" s="63" t="s">
        <v>2880</v>
      </c>
      <c r="M609" s="63" t="s">
        <v>2881</v>
      </c>
      <c r="N609" s="63" t="s">
        <v>2087</v>
      </c>
    </row>
    <row r="610" spans="1:14" x14ac:dyDescent="0.2">
      <c r="A610" s="51">
        <v>609</v>
      </c>
      <c r="B610" s="54" t="s">
        <v>580</v>
      </c>
      <c r="C610" s="47" t="s">
        <v>2882</v>
      </c>
      <c r="D610" s="47" t="s">
        <v>2883</v>
      </c>
      <c r="E610" s="47" t="s">
        <v>2087</v>
      </c>
      <c r="F610" s="55" t="b">
        <v>1</v>
      </c>
      <c r="G610" s="54" t="b">
        <v>1</v>
      </c>
      <c r="H610" s="54" t="b">
        <v>1</v>
      </c>
      <c r="I610" s="54" t="b">
        <v>1</v>
      </c>
      <c r="J610" s="54" t="b">
        <v>1</v>
      </c>
      <c r="K610" s="63" t="s">
        <v>580</v>
      </c>
      <c r="L610" s="63" t="s">
        <v>2882</v>
      </c>
      <c r="M610" s="63" t="s">
        <v>2883</v>
      </c>
      <c r="N610" s="63" t="s">
        <v>2087</v>
      </c>
    </row>
    <row r="611" spans="1:14" x14ac:dyDescent="0.2">
      <c r="A611" s="51">
        <v>610</v>
      </c>
      <c r="B611" s="54" t="s">
        <v>580</v>
      </c>
      <c r="C611" s="47" t="s">
        <v>2886</v>
      </c>
      <c r="D611" s="47" t="s">
        <v>2887</v>
      </c>
      <c r="E611" s="47" t="s">
        <v>2087</v>
      </c>
      <c r="F611" s="55" t="b">
        <v>1</v>
      </c>
      <c r="G611" s="54" t="b">
        <v>1</v>
      </c>
      <c r="H611" s="54" t="b">
        <v>1</v>
      </c>
      <c r="I611" s="54" t="b">
        <v>1</v>
      </c>
      <c r="J611" s="54" t="b">
        <v>1</v>
      </c>
      <c r="K611" s="63" t="s">
        <v>580</v>
      </c>
      <c r="L611" s="63" t="s">
        <v>2886</v>
      </c>
      <c r="M611" s="63" t="s">
        <v>2887</v>
      </c>
      <c r="N611" s="63" t="s">
        <v>2087</v>
      </c>
    </row>
    <row r="612" spans="1:14" x14ac:dyDescent="0.2">
      <c r="A612" s="51">
        <v>611</v>
      </c>
      <c r="B612" s="54" t="s">
        <v>580</v>
      </c>
      <c r="C612" s="47" t="s">
        <v>2894</v>
      </c>
      <c r="D612" s="47" t="s">
        <v>2895</v>
      </c>
      <c r="E612" s="47" t="s">
        <v>2087</v>
      </c>
      <c r="F612" s="55" t="b">
        <v>1</v>
      </c>
      <c r="G612" s="54" t="b">
        <v>1</v>
      </c>
      <c r="H612" s="54" t="b">
        <v>1</v>
      </c>
      <c r="I612" s="54" t="b">
        <v>1</v>
      </c>
      <c r="J612" s="54" t="b">
        <v>1</v>
      </c>
      <c r="K612" s="63" t="s">
        <v>580</v>
      </c>
      <c r="L612" s="63" t="s">
        <v>2894</v>
      </c>
      <c r="M612" s="63" t="s">
        <v>2895</v>
      </c>
      <c r="N612" s="63" t="s">
        <v>2087</v>
      </c>
    </row>
    <row r="613" spans="1:14" x14ac:dyDescent="0.2">
      <c r="A613" s="51">
        <v>612</v>
      </c>
      <c r="B613" s="54" t="s">
        <v>580</v>
      </c>
      <c r="C613" s="47" t="s">
        <v>2928</v>
      </c>
      <c r="D613" s="47" t="s">
        <v>2929</v>
      </c>
      <c r="E613" s="47" t="s">
        <v>2087</v>
      </c>
      <c r="F613" s="55" t="b">
        <v>1</v>
      </c>
      <c r="G613" s="54" t="b">
        <v>1</v>
      </c>
      <c r="H613" s="54" t="b">
        <v>1</v>
      </c>
      <c r="I613" s="54" t="b">
        <v>1</v>
      </c>
      <c r="J613" s="54" t="b">
        <v>1</v>
      </c>
      <c r="K613" s="63" t="s">
        <v>580</v>
      </c>
      <c r="L613" s="63" t="s">
        <v>2928</v>
      </c>
      <c r="M613" s="63" t="s">
        <v>2929</v>
      </c>
      <c r="N613" s="63" t="s">
        <v>2087</v>
      </c>
    </row>
    <row r="614" spans="1:14" x14ac:dyDescent="0.2">
      <c r="A614" s="51">
        <v>613</v>
      </c>
      <c r="B614" s="54" t="s">
        <v>580</v>
      </c>
      <c r="C614" s="47" t="s">
        <v>2938</v>
      </c>
      <c r="D614" s="47" t="s">
        <v>2939</v>
      </c>
      <c r="E614" s="47" t="s">
        <v>2087</v>
      </c>
      <c r="F614" s="55" t="b">
        <v>1</v>
      </c>
      <c r="G614" s="54" t="b">
        <v>1</v>
      </c>
      <c r="H614" s="54" t="b">
        <v>1</v>
      </c>
      <c r="I614" s="54" t="b">
        <v>1</v>
      </c>
      <c r="J614" s="54" t="b">
        <v>1</v>
      </c>
      <c r="K614" s="63" t="s">
        <v>580</v>
      </c>
      <c r="L614" s="63" t="s">
        <v>2938</v>
      </c>
      <c r="M614" s="63" t="s">
        <v>2939</v>
      </c>
      <c r="N614" s="63" t="s">
        <v>2087</v>
      </c>
    </row>
    <row r="615" spans="1:14" x14ac:dyDescent="0.2">
      <c r="A615" s="51">
        <v>614</v>
      </c>
      <c r="B615" s="54" t="s">
        <v>580</v>
      </c>
      <c r="C615" s="47" t="s">
        <v>2942</v>
      </c>
      <c r="D615" s="47" t="s">
        <v>2943</v>
      </c>
      <c r="E615" s="47" t="s">
        <v>2087</v>
      </c>
      <c r="F615" s="55" t="b">
        <v>1</v>
      </c>
      <c r="G615" s="54" t="b">
        <v>1</v>
      </c>
      <c r="H615" s="54" t="b">
        <v>1</v>
      </c>
      <c r="I615" s="54" t="b">
        <v>1</v>
      </c>
      <c r="J615" s="54" t="b">
        <v>1</v>
      </c>
      <c r="K615" s="63" t="s">
        <v>580</v>
      </c>
      <c r="L615" s="63" t="s">
        <v>2942</v>
      </c>
      <c r="M615" s="63" t="s">
        <v>2943</v>
      </c>
      <c r="N615" s="63" t="s">
        <v>2087</v>
      </c>
    </row>
    <row r="616" spans="1:14" x14ac:dyDescent="0.2">
      <c r="A616" s="51">
        <v>615</v>
      </c>
      <c r="B616" s="54" t="s">
        <v>580</v>
      </c>
      <c r="C616" s="47" t="s">
        <v>2954</v>
      </c>
      <c r="D616" s="47" t="s">
        <v>2955</v>
      </c>
      <c r="E616" s="47" t="s">
        <v>2087</v>
      </c>
      <c r="F616" s="55" t="b">
        <v>1</v>
      </c>
      <c r="G616" s="54" t="b">
        <v>1</v>
      </c>
      <c r="H616" s="54" t="b">
        <v>1</v>
      </c>
      <c r="I616" s="54" t="b">
        <v>1</v>
      </c>
      <c r="J616" s="54" t="b">
        <v>1</v>
      </c>
      <c r="K616" s="63" t="s">
        <v>580</v>
      </c>
      <c r="L616" s="63" t="s">
        <v>2954</v>
      </c>
      <c r="M616" s="63" t="s">
        <v>2955</v>
      </c>
      <c r="N616" s="63" t="s">
        <v>2087</v>
      </c>
    </row>
    <row r="617" spans="1:14" x14ac:dyDescent="0.2">
      <c r="A617" s="51">
        <v>616</v>
      </c>
      <c r="B617" s="54" t="s">
        <v>580</v>
      </c>
      <c r="C617" s="47" t="s">
        <v>2856</v>
      </c>
      <c r="D617" s="47" t="s">
        <v>2857</v>
      </c>
      <c r="E617" s="48" t="s">
        <v>1719</v>
      </c>
      <c r="F617" s="66" t="b">
        <v>0</v>
      </c>
      <c r="G617" s="54" t="b">
        <v>1</v>
      </c>
      <c r="H617" s="54" t="b">
        <v>1</v>
      </c>
      <c r="I617" s="54" t="b">
        <v>1</v>
      </c>
      <c r="J617" s="54" t="b">
        <v>1</v>
      </c>
      <c r="K617" s="63" t="s">
        <v>580</v>
      </c>
      <c r="L617" s="63" t="s">
        <v>2856</v>
      </c>
      <c r="M617" s="63" t="s">
        <v>2857</v>
      </c>
      <c r="N617" s="63" t="s">
        <v>1719</v>
      </c>
    </row>
    <row r="618" spans="1:14" x14ac:dyDescent="0.2">
      <c r="A618" s="51">
        <v>617</v>
      </c>
      <c r="B618" s="54" t="s">
        <v>580</v>
      </c>
      <c r="C618" s="47" t="s">
        <v>2858</v>
      </c>
      <c r="D618" s="47" t="s">
        <v>2859</v>
      </c>
      <c r="E618" s="48" t="s">
        <v>1719</v>
      </c>
      <c r="F618" s="66" t="b">
        <v>0</v>
      </c>
      <c r="G618" s="54" t="b">
        <v>1</v>
      </c>
      <c r="H618" s="54" t="b">
        <v>1</v>
      </c>
      <c r="I618" s="54" t="b">
        <v>1</v>
      </c>
      <c r="J618" s="54" t="b">
        <v>1</v>
      </c>
      <c r="K618" s="63" t="s">
        <v>580</v>
      </c>
      <c r="L618" s="63" t="s">
        <v>2858</v>
      </c>
      <c r="M618" s="63" t="s">
        <v>2859</v>
      </c>
      <c r="N618" s="63" t="s">
        <v>1719</v>
      </c>
    </row>
    <row r="619" spans="1:14" x14ac:dyDescent="0.2">
      <c r="A619" s="51">
        <v>618</v>
      </c>
      <c r="B619" s="54" t="s">
        <v>580</v>
      </c>
      <c r="C619" s="47" t="s">
        <v>2860</v>
      </c>
      <c r="D619" s="47" t="s">
        <v>2861</v>
      </c>
      <c r="E619" s="48" t="s">
        <v>1719</v>
      </c>
      <c r="F619" s="66" t="b">
        <v>0</v>
      </c>
      <c r="G619" s="54" t="b">
        <v>1</v>
      </c>
      <c r="H619" s="54" t="b">
        <v>1</v>
      </c>
      <c r="I619" s="54" t="b">
        <v>1</v>
      </c>
      <c r="J619" s="54" t="b">
        <v>1</v>
      </c>
      <c r="K619" s="63" t="s">
        <v>580</v>
      </c>
      <c r="L619" s="63" t="s">
        <v>2860</v>
      </c>
      <c r="M619" s="63" t="s">
        <v>2861</v>
      </c>
      <c r="N619" s="63" t="s">
        <v>1719</v>
      </c>
    </row>
    <row r="620" spans="1:14" x14ac:dyDescent="0.2">
      <c r="A620" s="51">
        <v>619</v>
      </c>
      <c r="B620" s="54" t="s">
        <v>580</v>
      </c>
      <c r="C620" s="47" t="s">
        <v>2862</v>
      </c>
      <c r="D620" s="47" t="s">
        <v>2863</v>
      </c>
      <c r="E620" s="48" t="s">
        <v>1719</v>
      </c>
      <c r="F620" s="66" t="b">
        <v>0</v>
      </c>
      <c r="G620" s="54" t="b">
        <v>1</v>
      </c>
      <c r="H620" s="54" t="b">
        <v>1</v>
      </c>
      <c r="I620" s="54" t="b">
        <v>1</v>
      </c>
      <c r="J620" s="54" t="b">
        <v>1</v>
      </c>
      <c r="K620" s="63" t="s">
        <v>580</v>
      </c>
      <c r="L620" s="63" t="s">
        <v>2862</v>
      </c>
      <c r="M620" s="63" t="s">
        <v>2863</v>
      </c>
      <c r="N620" s="63" t="s">
        <v>1719</v>
      </c>
    </row>
    <row r="621" spans="1:14" x14ac:dyDescent="0.2">
      <c r="A621" s="51">
        <v>620</v>
      </c>
      <c r="B621" s="54" t="s">
        <v>580</v>
      </c>
      <c r="C621" s="47" t="s">
        <v>2866</v>
      </c>
      <c r="D621" s="47" t="s">
        <v>2867</v>
      </c>
      <c r="E621" s="48" t="s">
        <v>1719</v>
      </c>
      <c r="F621" s="66" t="b">
        <v>0</v>
      </c>
      <c r="G621" s="54" t="b">
        <v>1</v>
      </c>
      <c r="H621" s="54" t="b">
        <v>1</v>
      </c>
      <c r="I621" s="54" t="b">
        <v>1</v>
      </c>
      <c r="J621" s="54" t="b">
        <v>1</v>
      </c>
      <c r="K621" s="63" t="s">
        <v>580</v>
      </c>
      <c r="L621" s="63" t="s">
        <v>2866</v>
      </c>
      <c r="M621" s="63" t="s">
        <v>2867</v>
      </c>
      <c r="N621" s="63" t="s">
        <v>1719</v>
      </c>
    </row>
    <row r="622" spans="1:14" x14ac:dyDescent="0.2">
      <c r="A622" s="51">
        <v>621</v>
      </c>
      <c r="B622" s="54" t="s">
        <v>580</v>
      </c>
      <c r="C622" s="47" t="s">
        <v>2868</v>
      </c>
      <c r="D622" s="47" t="s">
        <v>2869</v>
      </c>
      <c r="E622" s="48" t="s">
        <v>1719</v>
      </c>
      <c r="F622" s="66" t="b">
        <v>0</v>
      </c>
      <c r="G622" s="54" t="b">
        <v>1</v>
      </c>
      <c r="H622" s="54" t="b">
        <v>1</v>
      </c>
      <c r="I622" s="54" t="b">
        <v>1</v>
      </c>
      <c r="J622" s="54" t="b">
        <v>1</v>
      </c>
      <c r="K622" s="63" t="s">
        <v>580</v>
      </c>
      <c r="L622" s="63" t="s">
        <v>2868</v>
      </c>
      <c r="M622" s="63" t="s">
        <v>2869</v>
      </c>
      <c r="N622" s="63" t="s">
        <v>1719</v>
      </c>
    </row>
    <row r="623" spans="1:14" x14ac:dyDescent="0.2">
      <c r="A623" s="51">
        <v>622</v>
      </c>
      <c r="B623" s="54" t="s">
        <v>580</v>
      </c>
      <c r="C623" s="47" t="s">
        <v>2870</v>
      </c>
      <c r="D623" s="47" t="s">
        <v>2871</v>
      </c>
      <c r="E623" s="48" t="s">
        <v>1719</v>
      </c>
      <c r="F623" s="66" t="b">
        <v>0</v>
      </c>
      <c r="G623" s="54" t="b">
        <v>1</v>
      </c>
      <c r="H623" s="54" t="b">
        <v>1</v>
      </c>
      <c r="I623" s="54" t="b">
        <v>1</v>
      </c>
      <c r="J623" s="54" t="b">
        <v>1</v>
      </c>
      <c r="K623" s="63" t="s">
        <v>580</v>
      </c>
      <c r="L623" s="63" t="s">
        <v>2870</v>
      </c>
      <c r="M623" s="63" t="s">
        <v>2871</v>
      </c>
      <c r="N623" s="63" t="s">
        <v>1719</v>
      </c>
    </row>
    <row r="624" spans="1:14" x14ac:dyDescent="0.2">
      <c r="A624" s="51">
        <v>623</v>
      </c>
      <c r="B624" s="54" t="s">
        <v>580</v>
      </c>
      <c r="C624" s="47" t="s">
        <v>2884</v>
      </c>
      <c r="D624" s="47" t="s">
        <v>2885</v>
      </c>
      <c r="E624" s="48" t="s">
        <v>1719</v>
      </c>
      <c r="F624" s="66" t="b">
        <v>0</v>
      </c>
      <c r="G624" s="54" t="b">
        <v>1</v>
      </c>
      <c r="H624" s="54" t="b">
        <v>1</v>
      </c>
      <c r="I624" s="54" t="b">
        <v>1</v>
      </c>
      <c r="J624" s="54" t="b">
        <v>1</v>
      </c>
      <c r="K624" s="63" t="s">
        <v>580</v>
      </c>
      <c r="L624" s="63" t="s">
        <v>2884</v>
      </c>
      <c r="M624" s="63" t="s">
        <v>2885</v>
      </c>
      <c r="N624" s="63" t="s">
        <v>1719</v>
      </c>
    </row>
    <row r="625" spans="1:14" x14ac:dyDescent="0.2">
      <c r="A625" s="51">
        <v>624</v>
      </c>
      <c r="B625" s="54" t="s">
        <v>580</v>
      </c>
      <c r="C625" s="47" t="s">
        <v>2888</v>
      </c>
      <c r="D625" s="47" t="s">
        <v>2889</v>
      </c>
      <c r="E625" s="48" t="s">
        <v>1719</v>
      </c>
      <c r="F625" s="66" t="b">
        <v>0</v>
      </c>
      <c r="G625" s="54" t="b">
        <v>1</v>
      </c>
      <c r="H625" s="54" t="b">
        <v>1</v>
      </c>
      <c r="I625" s="54" t="b">
        <v>1</v>
      </c>
      <c r="J625" s="54" t="b">
        <v>1</v>
      </c>
      <c r="K625" s="63" t="s">
        <v>580</v>
      </c>
      <c r="L625" s="63" t="s">
        <v>2888</v>
      </c>
      <c r="M625" s="63" t="s">
        <v>2889</v>
      </c>
      <c r="N625" s="63" t="s">
        <v>1719</v>
      </c>
    </row>
    <row r="626" spans="1:14" x14ac:dyDescent="0.2">
      <c r="A626" s="51">
        <v>625</v>
      </c>
      <c r="B626" s="54" t="s">
        <v>580</v>
      </c>
      <c r="C626" s="47" t="s">
        <v>2890</v>
      </c>
      <c r="D626" s="47" t="s">
        <v>2891</v>
      </c>
      <c r="E626" s="48" t="s">
        <v>1719</v>
      </c>
      <c r="F626" s="66" t="b">
        <v>0</v>
      </c>
      <c r="G626" s="54" t="b">
        <v>1</v>
      </c>
      <c r="H626" s="54" t="b">
        <v>1</v>
      </c>
      <c r="I626" s="54" t="b">
        <v>1</v>
      </c>
      <c r="J626" s="54" t="b">
        <v>1</v>
      </c>
      <c r="K626" s="63" t="s">
        <v>580</v>
      </c>
      <c r="L626" s="63" t="s">
        <v>2890</v>
      </c>
      <c r="M626" s="63" t="s">
        <v>2891</v>
      </c>
      <c r="N626" s="63" t="s">
        <v>1719</v>
      </c>
    </row>
    <row r="627" spans="1:14" x14ac:dyDescent="0.2">
      <c r="A627" s="51">
        <v>626</v>
      </c>
      <c r="B627" s="54" t="s">
        <v>580</v>
      </c>
      <c r="C627" s="47" t="s">
        <v>2892</v>
      </c>
      <c r="D627" s="47" t="s">
        <v>2893</v>
      </c>
      <c r="E627" s="48" t="s">
        <v>1719</v>
      </c>
      <c r="F627" s="66" t="b">
        <v>0</v>
      </c>
      <c r="G627" s="54" t="b">
        <v>1</v>
      </c>
      <c r="H627" s="54" t="b">
        <v>1</v>
      </c>
      <c r="I627" s="54" t="b">
        <v>1</v>
      </c>
      <c r="J627" s="54" t="b">
        <v>1</v>
      </c>
      <c r="K627" s="63" t="s">
        <v>580</v>
      </c>
      <c r="L627" s="63" t="s">
        <v>2892</v>
      </c>
      <c r="M627" s="63" t="s">
        <v>2893</v>
      </c>
      <c r="N627" s="63" t="s">
        <v>1719</v>
      </c>
    </row>
    <row r="628" spans="1:14" x14ac:dyDescent="0.2">
      <c r="A628" s="51">
        <v>627</v>
      </c>
      <c r="B628" s="54" t="s">
        <v>580</v>
      </c>
      <c r="C628" s="47" t="s">
        <v>2896</v>
      </c>
      <c r="D628" s="47" t="s">
        <v>2897</v>
      </c>
      <c r="E628" s="48" t="s">
        <v>1719</v>
      </c>
      <c r="F628" s="66" t="b">
        <v>0</v>
      </c>
      <c r="G628" s="54" t="b">
        <v>1</v>
      </c>
      <c r="H628" s="54" t="b">
        <v>1</v>
      </c>
      <c r="I628" s="54" t="b">
        <v>1</v>
      </c>
      <c r="J628" s="54" t="b">
        <v>1</v>
      </c>
      <c r="K628" s="63" t="s">
        <v>580</v>
      </c>
      <c r="L628" s="63" t="s">
        <v>2896</v>
      </c>
      <c r="M628" s="63" t="s">
        <v>2897</v>
      </c>
      <c r="N628" s="63" t="s">
        <v>1719</v>
      </c>
    </row>
    <row r="629" spans="1:14" x14ac:dyDescent="0.2">
      <c r="A629" s="51">
        <v>628</v>
      </c>
      <c r="B629" s="54" t="s">
        <v>580</v>
      </c>
      <c r="C629" s="47" t="s">
        <v>2898</v>
      </c>
      <c r="D629" s="47" t="s">
        <v>2899</v>
      </c>
      <c r="E629" s="48" t="s">
        <v>1719</v>
      </c>
      <c r="F629" s="66" t="b">
        <v>0</v>
      </c>
      <c r="G629" s="54" t="b">
        <v>1</v>
      </c>
      <c r="H629" s="54" t="b">
        <v>1</v>
      </c>
      <c r="I629" s="54" t="b">
        <v>1</v>
      </c>
      <c r="J629" s="54" t="b">
        <v>1</v>
      </c>
      <c r="K629" s="63" t="s">
        <v>580</v>
      </c>
      <c r="L629" s="63" t="s">
        <v>2898</v>
      </c>
      <c r="M629" s="63" t="s">
        <v>2899</v>
      </c>
      <c r="N629" s="63" t="s">
        <v>1719</v>
      </c>
    </row>
    <row r="630" spans="1:14" x14ac:dyDescent="0.2">
      <c r="A630" s="51">
        <v>629</v>
      </c>
      <c r="B630" s="54" t="s">
        <v>580</v>
      </c>
      <c r="C630" s="47" t="s">
        <v>2900</v>
      </c>
      <c r="D630" s="47" t="s">
        <v>2901</v>
      </c>
      <c r="E630" s="48" t="s">
        <v>1719</v>
      </c>
      <c r="F630" s="66" t="b">
        <v>0</v>
      </c>
      <c r="G630" s="54" t="b">
        <v>1</v>
      </c>
      <c r="H630" s="54" t="b">
        <v>1</v>
      </c>
      <c r="I630" s="54" t="b">
        <v>1</v>
      </c>
      <c r="J630" s="54" t="b">
        <v>1</v>
      </c>
      <c r="K630" s="63" t="s">
        <v>580</v>
      </c>
      <c r="L630" s="63" t="s">
        <v>2900</v>
      </c>
      <c r="M630" s="63" t="s">
        <v>2901</v>
      </c>
      <c r="N630" s="63" t="s">
        <v>1719</v>
      </c>
    </row>
    <row r="631" spans="1:14" x14ac:dyDescent="0.2">
      <c r="A631" s="51">
        <v>630</v>
      </c>
      <c r="B631" s="54" t="s">
        <v>580</v>
      </c>
      <c r="C631" s="47" t="s">
        <v>2914</v>
      </c>
      <c r="D631" s="47" t="s">
        <v>2915</v>
      </c>
      <c r="E631" s="48" t="s">
        <v>1719</v>
      </c>
      <c r="F631" s="66" t="b">
        <v>0</v>
      </c>
      <c r="G631" s="54" t="b">
        <v>1</v>
      </c>
      <c r="H631" s="54" t="b">
        <v>1</v>
      </c>
      <c r="I631" s="54" t="b">
        <v>1</v>
      </c>
      <c r="J631" s="54" t="b">
        <v>1</v>
      </c>
      <c r="K631" s="63" t="s">
        <v>580</v>
      </c>
      <c r="L631" s="63" t="s">
        <v>2914</v>
      </c>
      <c r="M631" s="63" t="s">
        <v>2915</v>
      </c>
      <c r="N631" s="63" t="s">
        <v>1719</v>
      </c>
    </row>
    <row r="632" spans="1:14" x14ac:dyDescent="0.2">
      <c r="A632" s="51">
        <v>631</v>
      </c>
      <c r="B632" s="54" t="s">
        <v>580</v>
      </c>
      <c r="C632" s="47" t="s">
        <v>2902</v>
      </c>
      <c r="D632" s="47" t="s">
        <v>2903</v>
      </c>
      <c r="E632" s="48" t="s">
        <v>1719</v>
      </c>
      <c r="F632" s="66" t="b">
        <v>0</v>
      </c>
      <c r="G632" s="54" t="b">
        <v>1</v>
      </c>
      <c r="H632" s="54" t="b">
        <v>1</v>
      </c>
      <c r="I632" s="54" t="b">
        <v>1</v>
      </c>
      <c r="J632" s="54" t="b">
        <v>1</v>
      </c>
      <c r="K632" s="63" t="s">
        <v>580</v>
      </c>
      <c r="L632" s="63" t="s">
        <v>2902</v>
      </c>
      <c r="M632" s="63" t="s">
        <v>2903</v>
      </c>
      <c r="N632" s="63" t="s">
        <v>1719</v>
      </c>
    </row>
    <row r="633" spans="1:14" x14ac:dyDescent="0.2">
      <c r="A633" s="51">
        <v>632</v>
      </c>
      <c r="B633" s="54" t="s">
        <v>580</v>
      </c>
      <c r="C633" s="47" t="s">
        <v>2904</v>
      </c>
      <c r="D633" s="47" t="s">
        <v>2905</v>
      </c>
      <c r="E633" s="48" t="s">
        <v>1719</v>
      </c>
      <c r="F633" s="66" t="b">
        <v>0</v>
      </c>
      <c r="G633" s="54" t="b">
        <v>1</v>
      </c>
      <c r="H633" s="54" t="b">
        <v>1</v>
      </c>
      <c r="I633" s="54" t="b">
        <v>1</v>
      </c>
      <c r="J633" s="54" t="b">
        <v>1</v>
      </c>
      <c r="K633" s="63" t="s">
        <v>580</v>
      </c>
      <c r="L633" s="63" t="s">
        <v>2904</v>
      </c>
      <c r="M633" s="63" t="s">
        <v>2905</v>
      </c>
      <c r="N633" s="63" t="s">
        <v>1719</v>
      </c>
    </row>
    <row r="634" spans="1:14" x14ac:dyDescent="0.2">
      <c r="A634" s="51">
        <v>633</v>
      </c>
      <c r="B634" s="54" t="s">
        <v>580</v>
      </c>
      <c r="C634" s="47" t="s">
        <v>2908</v>
      </c>
      <c r="D634" s="47" t="s">
        <v>2909</v>
      </c>
      <c r="E634" s="48" t="s">
        <v>1719</v>
      </c>
      <c r="F634" s="66" t="b">
        <v>0</v>
      </c>
      <c r="G634" s="54" t="b">
        <v>1</v>
      </c>
      <c r="H634" s="54" t="b">
        <v>1</v>
      </c>
      <c r="I634" s="54" t="b">
        <v>1</v>
      </c>
      <c r="J634" s="54" t="b">
        <v>1</v>
      </c>
      <c r="K634" s="63" t="s">
        <v>580</v>
      </c>
      <c r="L634" s="63" t="s">
        <v>2908</v>
      </c>
      <c r="M634" s="63" t="s">
        <v>2909</v>
      </c>
      <c r="N634" s="63" t="s">
        <v>1719</v>
      </c>
    </row>
    <row r="635" spans="1:14" x14ac:dyDescent="0.2">
      <c r="A635" s="51">
        <v>634</v>
      </c>
      <c r="B635" s="54" t="s">
        <v>580</v>
      </c>
      <c r="C635" s="47" t="s">
        <v>2906</v>
      </c>
      <c r="D635" s="47" t="s">
        <v>2907</v>
      </c>
      <c r="E635" s="48" t="s">
        <v>1719</v>
      </c>
      <c r="F635" s="66" t="b">
        <v>0</v>
      </c>
      <c r="G635" s="54" t="b">
        <v>1</v>
      </c>
      <c r="H635" s="54" t="b">
        <v>1</v>
      </c>
      <c r="I635" s="54" t="b">
        <v>1</v>
      </c>
      <c r="J635" s="54" t="b">
        <v>1</v>
      </c>
      <c r="K635" s="63" t="s">
        <v>580</v>
      </c>
      <c r="L635" s="63" t="s">
        <v>2906</v>
      </c>
      <c r="M635" s="63" t="s">
        <v>2907</v>
      </c>
      <c r="N635" s="63" t="s">
        <v>1719</v>
      </c>
    </row>
    <row r="636" spans="1:14" x14ac:dyDescent="0.2">
      <c r="A636" s="51">
        <v>635</v>
      </c>
      <c r="B636" s="54" t="s">
        <v>580</v>
      </c>
      <c r="C636" s="47" t="s">
        <v>2910</v>
      </c>
      <c r="D636" s="47" t="s">
        <v>2911</v>
      </c>
      <c r="E636" s="48" t="s">
        <v>1719</v>
      </c>
      <c r="F636" s="66" t="b">
        <v>0</v>
      </c>
      <c r="G636" s="54" t="b">
        <v>1</v>
      </c>
      <c r="H636" s="54" t="b">
        <v>1</v>
      </c>
      <c r="I636" s="54" t="b">
        <v>1</v>
      </c>
      <c r="J636" s="54" t="b">
        <v>1</v>
      </c>
      <c r="K636" s="63" t="s">
        <v>580</v>
      </c>
      <c r="L636" s="63" t="s">
        <v>2910</v>
      </c>
      <c r="M636" s="63" t="s">
        <v>2911</v>
      </c>
      <c r="N636" s="63" t="s">
        <v>1719</v>
      </c>
    </row>
    <row r="637" spans="1:14" x14ac:dyDescent="0.2">
      <c r="A637" s="51">
        <v>636</v>
      </c>
      <c r="B637" s="54" t="s">
        <v>580</v>
      </c>
      <c r="C637" s="47" t="s">
        <v>2912</v>
      </c>
      <c r="D637" s="47" t="s">
        <v>2913</v>
      </c>
      <c r="E637" s="48" t="s">
        <v>1719</v>
      </c>
      <c r="F637" s="66" t="b">
        <v>0</v>
      </c>
      <c r="G637" s="54" t="b">
        <v>1</v>
      </c>
      <c r="H637" s="54" t="b">
        <v>1</v>
      </c>
      <c r="I637" s="54" t="b">
        <v>1</v>
      </c>
      <c r="J637" s="54" t="b">
        <v>1</v>
      </c>
      <c r="K637" s="63" t="s">
        <v>580</v>
      </c>
      <c r="L637" s="63" t="s">
        <v>2912</v>
      </c>
      <c r="M637" s="63" t="s">
        <v>2913</v>
      </c>
      <c r="N637" s="63" t="s">
        <v>1719</v>
      </c>
    </row>
    <row r="638" spans="1:14" x14ac:dyDescent="0.2">
      <c r="A638" s="51">
        <v>637</v>
      </c>
      <c r="B638" s="54" t="s">
        <v>580</v>
      </c>
      <c r="C638" s="47" t="s">
        <v>2918</v>
      </c>
      <c r="D638" s="47" t="s">
        <v>2919</v>
      </c>
      <c r="E638" s="48" t="s">
        <v>1719</v>
      </c>
      <c r="F638" s="66" t="b">
        <v>0</v>
      </c>
      <c r="G638" s="54" t="b">
        <v>1</v>
      </c>
      <c r="H638" s="54" t="b">
        <v>1</v>
      </c>
      <c r="I638" s="54" t="b">
        <v>1</v>
      </c>
      <c r="J638" s="54" t="b">
        <v>1</v>
      </c>
      <c r="K638" s="63" t="s">
        <v>580</v>
      </c>
      <c r="L638" s="63" t="s">
        <v>2918</v>
      </c>
      <c r="M638" s="63" t="s">
        <v>2919</v>
      </c>
      <c r="N638" s="63" t="s">
        <v>1719</v>
      </c>
    </row>
    <row r="639" spans="1:14" x14ac:dyDescent="0.2">
      <c r="A639" s="51">
        <v>638</v>
      </c>
      <c r="B639" s="54" t="s">
        <v>580</v>
      </c>
      <c r="C639" s="47" t="s">
        <v>2916</v>
      </c>
      <c r="D639" s="47" t="s">
        <v>2917</v>
      </c>
      <c r="E639" s="48" t="s">
        <v>1719</v>
      </c>
      <c r="F639" s="66" t="b">
        <v>0</v>
      </c>
      <c r="G639" s="54" t="b">
        <v>1</v>
      </c>
      <c r="H639" s="54" t="b">
        <v>1</v>
      </c>
      <c r="I639" s="54" t="b">
        <v>1</v>
      </c>
      <c r="J639" s="54" t="b">
        <v>1</v>
      </c>
      <c r="K639" s="63" t="s">
        <v>580</v>
      </c>
      <c r="L639" s="63" t="s">
        <v>2916</v>
      </c>
      <c r="M639" s="63" t="s">
        <v>2917</v>
      </c>
      <c r="N639" s="63" t="s">
        <v>1719</v>
      </c>
    </row>
    <row r="640" spans="1:14" x14ac:dyDescent="0.2">
      <c r="A640" s="51">
        <v>639</v>
      </c>
      <c r="B640" s="54" t="s">
        <v>580</v>
      </c>
      <c r="C640" s="47" t="s">
        <v>2920</v>
      </c>
      <c r="D640" s="47" t="s">
        <v>2921</v>
      </c>
      <c r="E640" s="48" t="s">
        <v>1719</v>
      </c>
      <c r="F640" s="66" t="b">
        <v>0</v>
      </c>
      <c r="G640" s="54" t="b">
        <v>1</v>
      </c>
      <c r="H640" s="54" t="b">
        <v>1</v>
      </c>
      <c r="I640" s="54" t="b">
        <v>1</v>
      </c>
      <c r="J640" s="54" t="b">
        <v>1</v>
      </c>
      <c r="K640" s="63" t="s">
        <v>580</v>
      </c>
      <c r="L640" s="63" t="s">
        <v>2920</v>
      </c>
      <c r="M640" s="63" t="s">
        <v>2921</v>
      </c>
      <c r="N640" s="63" t="s">
        <v>1719</v>
      </c>
    </row>
    <row r="641" spans="1:14" x14ac:dyDescent="0.2">
      <c r="A641" s="51">
        <v>640</v>
      </c>
      <c r="B641" s="54" t="s">
        <v>580</v>
      </c>
      <c r="C641" s="47" t="s">
        <v>2924</v>
      </c>
      <c r="D641" s="47" t="s">
        <v>2925</v>
      </c>
      <c r="E641" s="48" t="s">
        <v>1719</v>
      </c>
      <c r="F641" s="66" t="b">
        <v>0</v>
      </c>
      <c r="G641" s="54" t="b">
        <v>1</v>
      </c>
      <c r="H641" s="54" t="b">
        <v>1</v>
      </c>
      <c r="I641" s="54" t="b">
        <v>1</v>
      </c>
      <c r="J641" s="54" t="b">
        <v>1</v>
      </c>
      <c r="K641" s="63" t="s">
        <v>580</v>
      </c>
      <c r="L641" s="63" t="s">
        <v>2924</v>
      </c>
      <c r="M641" s="63" t="s">
        <v>2925</v>
      </c>
      <c r="N641" s="63" t="s">
        <v>1719</v>
      </c>
    </row>
    <row r="642" spans="1:14" x14ac:dyDescent="0.2">
      <c r="A642" s="51">
        <v>641</v>
      </c>
      <c r="B642" s="54" t="s">
        <v>580</v>
      </c>
      <c r="C642" s="47" t="s">
        <v>2922</v>
      </c>
      <c r="D642" s="47" t="s">
        <v>2923</v>
      </c>
      <c r="E642" s="48" t="s">
        <v>1719</v>
      </c>
      <c r="F642" s="66" t="b">
        <v>0</v>
      </c>
      <c r="G642" s="54" t="b">
        <v>1</v>
      </c>
      <c r="H642" s="54" t="b">
        <v>1</v>
      </c>
      <c r="I642" s="54" t="b">
        <v>1</v>
      </c>
      <c r="J642" s="54" t="b">
        <v>1</v>
      </c>
      <c r="K642" s="63" t="s">
        <v>580</v>
      </c>
      <c r="L642" s="63" t="s">
        <v>2922</v>
      </c>
      <c r="M642" s="63" t="s">
        <v>2923</v>
      </c>
      <c r="N642" s="63" t="s">
        <v>1719</v>
      </c>
    </row>
    <row r="643" spans="1:14" x14ac:dyDescent="0.2">
      <c r="A643" s="51">
        <v>642</v>
      </c>
      <c r="B643" s="54" t="s">
        <v>580</v>
      </c>
      <c r="C643" s="47" t="s">
        <v>2926</v>
      </c>
      <c r="D643" s="47" t="s">
        <v>2927</v>
      </c>
      <c r="E643" s="48" t="s">
        <v>1719</v>
      </c>
      <c r="F643" s="66" t="b">
        <v>0</v>
      </c>
      <c r="G643" s="54" t="b">
        <v>1</v>
      </c>
      <c r="H643" s="54" t="b">
        <v>1</v>
      </c>
      <c r="I643" s="54" t="b">
        <v>1</v>
      </c>
      <c r="J643" s="54" t="b">
        <v>1</v>
      </c>
      <c r="K643" s="63" t="s">
        <v>580</v>
      </c>
      <c r="L643" s="63" t="s">
        <v>2926</v>
      </c>
      <c r="M643" s="63" t="s">
        <v>2927</v>
      </c>
      <c r="N643" s="63" t="s">
        <v>1719</v>
      </c>
    </row>
    <row r="644" spans="1:14" x14ac:dyDescent="0.2">
      <c r="A644" s="51">
        <v>643</v>
      </c>
      <c r="B644" s="54" t="s">
        <v>580</v>
      </c>
      <c r="C644" s="47" t="s">
        <v>2930</v>
      </c>
      <c r="D644" s="47" t="s">
        <v>2931</v>
      </c>
      <c r="E644" s="48" t="s">
        <v>1719</v>
      </c>
      <c r="F644" s="66" t="b">
        <v>0</v>
      </c>
      <c r="G644" s="54" t="b">
        <v>1</v>
      </c>
      <c r="H644" s="54" t="b">
        <v>1</v>
      </c>
      <c r="I644" s="54" t="b">
        <v>1</v>
      </c>
      <c r="J644" s="54" t="b">
        <v>1</v>
      </c>
      <c r="K644" s="63" t="s">
        <v>580</v>
      </c>
      <c r="L644" s="63" t="s">
        <v>2930</v>
      </c>
      <c r="M644" s="63" t="s">
        <v>2931</v>
      </c>
      <c r="N644" s="63" t="s">
        <v>1719</v>
      </c>
    </row>
    <row r="645" spans="1:14" x14ac:dyDescent="0.2">
      <c r="A645" s="51">
        <v>644</v>
      </c>
      <c r="B645" s="54" t="s">
        <v>580</v>
      </c>
      <c r="C645" s="47" t="s">
        <v>2932</v>
      </c>
      <c r="D645" s="47" t="s">
        <v>2933</v>
      </c>
      <c r="E645" s="48" t="s">
        <v>1719</v>
      </c>
      <c r="F645" s="66" t="b">
        <v>0</v>
      </c>
      <c r="G645" s="54" t="b">
        <v>1</v>
      </c>
      <c r="H645" s="54" t="b">
        <v>1</v>
      </c>
      <c r="I645" s="54" t="b">
        <v>1</v>
      </c>
      <c r="J645" s="54" t="b">
        <v>1</v>
      </c>
      <c r="K645" s="63" t="s">
        <v>580</v>
      </c>
      <c r="L645" s="63" t="s">
        <v>2932</v>
      </c>
      <c r="M645" s="63" t="s">
        <v>2933</v>
      </c>
      <c r="N645" s="63" t="s">
        <v>1719</v>
      </c>
    </row>
    <row r="646" spans="1:14" x14ac:dyDescent="0.2">
      <c r="A646" s="51">
        <v>645</v>
      </c>
      <c r="B646" s="54" t="s">
        <v>580</v>
      </c>
      <c r="C646" s="47" t="s">
        <v>2934</v>
      </c>
      <c r="D646" s="47" t="s">
        <v>2935</v>
      </c>
      <c r="E646" s="48" t="s">
        <v>1719</v>
      </c>
      <c r="F646" s="66" t="b">
        <v>0</v>
      </c>
      <c r="G646" s="54" t="b">
        <v>1</v>
      </c>
      <c r="H646" s="54" t="b">
        <v>1</v>
      </c>
      <c r="I646" s="54" t="b">
        <v>1</v>
      </c>
      <c r="J646" s="54" t="b">
        <v>1</v>
      </c>
      <c r="K646" s="63" t="s">
        <v>580</v>
      </c>
      <c r="L646" s="63" t="s">
        <v>2934</v>
      </c>
      <c r="M646" s="63" t="s">
        <v>2935</v>
      </c>
      <c r="N646" s="63" t="s">
        <v>1719</v>
      </c>
    </row>
    <row r="647" spans="1:14" x14ac:dyDescent="0.2">
      <c r="A647" s="51">
        <v>646</v>
      </c>
      <c r="B647" s="54" t="s">
        <v>580</v>
      </c>
      <c r="C647" s="47" t="s">
        <v>2936</v>
      </c>
      <c r="D647" s="47" t="s">
        <v>2937</v>
      </c>
      <c r="E647" s="48" t="s">
        <v>1719</v>
      </c>
      <c r="F647" s="66" t="b">
        <v>0</v>
      </c>
      <c r="G647" s="54" t="b">
        <v>1</v>
      </c>
      <c r="H647" s="54" t="b">
        <v>1</v>
      </c>
      <c r="I647" s="54" t="b">
        <v>1</v>
      </c>
      <c r="J647" s="54" t="b">
        <v>1</v>
      </c>
      <c r="K647" s="63" t="s">
        <v>580</v>
      </c>
      <c r="L647" s="63" t="s">
        <v>2936</v>
      </c>
      <c r="M647" s="63" t="s">
        <v>2937</v>
      </c>
      <c r="N647" s="63" t="s">
        <v>1719</v>
      </c>
    </row>
    <row r="648" spans="1:14" x14ac:dyDescent="0.2">
      <c r="A648" s="51">
        <v>647</v>
      </c>
      <c r="B648" s="54" t="s">
        <v>580</v>
      </c>
      <c r="C648" s="47" t="s">
        <v>2940</v>
      </c>
      <c r="D648" s="47" t="s">
        <v>2941</v>
      </c>
      <c r="E648" s="48" t="s">
        <v>1719</v>
      </c>
      <c r="F648" s="66" t="b">
        <v>0</v>
      </c>
      <c r="G648" s="54" t="b">
        <v>1</v>
      </c>
      <c r="H648" s="54" t="b">
        <v>1</v>
      </c>
      <c r="I648" s="54" t="b">
        <v>1</v>
      </c>
      <c r="J648" s="54" t="b">
        <v>1</v>
      </c>
      <c r="K648" s="63" t="s">
        <v>580</v>
      </c>
      <c r="L648" s="63" t="s">
        <v>2940</v>
      </c>
      <c r="M648" s="63" t="s">
        <v>2941</v>
      </c>
      <c r="N648" s="63" t="s">
        <v>1719</v>
      </c>
    </row>
    <row r="649" spans="1:14" x14ac:dyDescent="0.2">
      <c r="A649" s="51">
        <v>648</v>
      </c>
      <c r="B649" s="54" t="s">
        <v>580</v>
      </c>
      <c r="C649" s="47" t="s">
        <v>2956</v>
      </c>
      <c r="D649" s="47" t="s">
        <v>2957</v>
      </c>
      <c r="E649" s="48" t="s">
        <v>1719</v>
      </c>
      <c r="F649" s="66" t="b">
        <v>0</v>
      </c>
      <c r="G649" s="54" t="b">
        <v>1</v>
      </c>
      <c r="H649" s="54" t="b">
        <v>1</v>
      </c>
      <c r="I649" s="54" t="b">
        <v>1</v>
      </c>
      <c r="J649" s="54" t="b">
        <v>1</v>
      </c>
      <c r="K649" s="63" t="s">
        <v>580</v>
      </c>
      <c r="L649" s="63" t="s">
        <v>2956</v>
      </c>
      <c r="M649" s="63" t="s">
        <v>2957</v>
      </c>
      <c r="N649" s="63" t="s">
        <v>1719</v>
      </c>
    </row>
    <row r="650" spans="1:14" x14ac:dyDescent="0.2">
      <c r="A650" s="51">
        <v>649</v>
      </c>
      <c r="B650" s="54" t="s">
        <v>580</v>
      </c>
      <c r="C650" s="47" t="s">
        <v>2948</v>
      </c>
      <c r="D650" s="47" t="s">
        <v>2949</v>
      </c>
      <c r="E650" s="48" t="s">
        <v>1719</v>
      </c>
      <c r="F650" s="66" t="b">
        <v>0</v>
      </c>
      <c r="G650" s="54" t="b">
        <v>1</v>
      </c>
      <c r="H650" s="54" t="b">
        <v>1</v>
      </c>
      <c r="I650" s="54" t="b">
        <v>1</v>
      </c>
      <c r="J650" s="54" t="b">
        <v>1</v>
      </c>
      <c r="K650" s="63" t="s">
        <v>580</v>
      </c>
      <c r="L650" s="63" t="s">
        <v>2948</v>
      </c>
      <c r="M650" s="63" t="s">
        <v>2949</v>
      </c>
      <c r="N650" s="63" t="s">
        <v>1719</v>
      </c>
    </row>
    <row r="651" spans="1:14" x14ac:dyDescent="0.2">
      <c r="A651" s="51">
        <v>650</v>
      </c>
      <c r="B651" s="54" t="s">
        <v>580</v>
      </c>
      <c r="C651" s="47" t="s">
        <v>2946</v>
      </c>
      <c r="D651" s="47" t="s">
        <v>2947</v>
      </c>
      <c r="E651" s="48" t="s">
        <v>1719</v>
      </c>
      <c r="F651" s="66" t="b">
        <v>0</v>
      </c>
      <c r="G651" s="54" t="b">
        <v>1</v>
      </c>
      <c r="H651" s="54" t="b">
        <v>1</v>
      </c>
      <c r="I651" s="54" t="b">
        <v>1</v>
      </c>
      <c r="J651" s="54" t="b">
        <v>1</v>
      </c>
      <c r="K651" s="63" t="s">
        <v>580</v>
      </c>
      <c r="L651" s="63" t="s">
        <v>2946</v>
      </c>
      <c r="M651" s="63" t="s">
        <v>2947</v>
      </c>
      <c r="N651" s="63" t="s">
        <v>1719</v>
      </c>
    </row>
    <row r="652" spans="1:14" x14ac:dyDescent="0.2">
      <c r="A652" s="51">
        <v>651</v>
      </c>
      <c r="B652" s="54" t="s">
        <v>580</v>
      </c>
      <c r="C652" s="47" t="s">
        <v>2944</v>
      </c>
      <c r="D652" s="47" t="s">
        <v>2945</v>
      </c>
      <c r="E652" s="48" t="s">
        <v>1719</v>
      </c>
      <c r="F652" s="66" t="b">
        <v>0</v>
      </c>
      <c r="G652" s="54" t="b">
        <v>1</v>
      </c>
      <c r="H652" s="54" t="b">
        <v>1</v>
      </c>
      <c r="I652" s="54" t="b">
        <v>1</v>
      </c>
      <c r="J652" s="54" t="b">
        <v>1</v>
      </c>
      <c r="K652" s="63" t="s">
        <v>580</v>
      </c>
      <c r="L652" s="63" t="s">
        <v>2944</v>
      </c>
      <c r="M652" s="63" t="s">
        <v>2945</v>
      </c>
      <c r="N652" s="63" t="s">
        <v>1719</v>
      </c>
    </row>
    <row r="653" spans="1:14" x14ac:dyDescent="0.2">
      <c r="A653" s="51">
        <v>652</v>
      </c>
      <c r="B653" s="54" t="s">
        <v>580</v>
      </c>
      <c r="C653" s="47" t="s">
        <v>2950</v>
      </c>
      <c r="D653" s="47" t="s">
        <v>2951</v>
      </c>
      <c r="E653" s="48" t="s">
        <v>1719</v>
      </c>
      <c r="F653" s="66" t="b">
        <v>0</v>
      </c>
      <c r="G653" s="54" t="b">
        <v>1</v>
      </c>
      <c r="H653" s="54" t="b">
        <v>1</v>
      </c>
      <c r="I653" s="54" t="b">
        <v>1</v>
      </c>
      <c r="J653" s="54" t="b">
        <v>1</v>
      </c>
      <c r="K653" s="63" t="s">
        <v>580</v>
      </c>
      <c r="L653" s="63" t="s">
        <v>2950</v>
      </c>
      <c r="M653" s="63" t="s">
        <v>2951</v>
      </c>
      <c r="N653" s="63" t="s">
        <v>1719</v>
      </c>
    </row>
    <row r="654" spans="1:14" x14ac:dyDescent="0.2">
      <c r="A654" s="51">
        <v>653</v>
      </c>
      <c r="B654" s="54" t="s">
        <v>580</v>
      </c>
      <c r="C654" s="47" t="s">
        <v>2952</v>
      </c>
      <c r="D654" s="47" t="s">
        <v>2953</v>
      </c>
      <c r="E654" s="48" t="s">
        <v>1719</v>
      </c>
      <c r="F654" s="66" t="b">
        <v>0</v>
      </c>
      <c r="G654" s="54" t="b">
        <v>1</v>
      </c>
      <c r="H654" s="54" t="b">
        <v>1</v>
      </c>
      <c r="I654" s="54" t="b">
        <v>1</v>
      </c>
      <c r="J654" s="54" t="b">
        <v>1</v>
      </c>
      <c r="K654" s="63" t="s">
        <v>580</v>
      </c>
      <c r="L654" s="63" t="s">
        <v>2952</v>
      </c>
      <c r="M654" s="63" t="s">
        <v>2953</v>
      </c>
      <c r="N654" s="63" t="s">
        <v>1719</v>
      </c>
    </row>
    <row r="655" spans="1:14" x14ac:dyDescent="0.2">
      <c r="A655" s="51">
        <v>654</v>
      </c>
      <c r="B655" s="54" t="s">
        <v>580</v>
      </c>
      <c r="C655" s="47" t="s">
        <v>2958</v>
      </c>
      <c r="D655" s="47" t="s">
        <v>2959</v>
      </c>
      <c r="E655" s="48" t="s">
        <v>1719</v>
      </c>
      <c r="F655" s="66" t="b">
        <v>0</v>
      </c>
      <c r="G655" s="54" t="b">
        <v>1</v>
      </c>
      <c r="H655" s="54" t="b">
        <v>1</v>
      </c>
      <c r="I655" s="54" t="b">
        <v>1</v>
      </c>
      <c r="J655" s="54" t="b">
        <v>1</v>
      </c>
      <c r="K655" s="63" t="s">
        <v>580</v>
      </c>
      <c r="L655" s="63" t="s">
        <v>2958</v>
      </c>
      <c r="M655" s="63" t="s">
        <v>2959</v>
      </c>
      <c r="N655" s="63" t="s">
        <v>1719</v>
      </c>
    </row>
    <row r="656" spans="1:14" x14ac:dyDescent="0.2">
      <c r="A656" s="51">
        <v>655</v>
      </c>
      <c r="B656" s="54" t="s">
        <v>580</v>
      </c>
      <c r="C656" s="47" t="s">
        <v>2960</v>
      </c>
      <c r="D656" s="47" t="s">
        <v>12141</v>
      </c>
      <c r="E656" s="48" t="s">
        <v>1719</v>
      </c>
      <c r="F656" s="66" t="b">
        <v>0</v>
      </c>
      <c r="G656" s="54" t="b">
        <v>1</v>
      </c>
      <c r="H656" s="54" t="b">
        <v>1</v>
      </c>
      <c r="I656" s="65" t="b">
        <v>0</v>
      </c>
      <c r="J656" s="54" t="b">
        <v>1</v>
      </c>
      <c r="K656" s="63" t="s">
        <v>580</v>
      </c>
      <c r="L656" s="63" t="s">
        <v>2960</v>
      </c>
      <c r="M656" s="63" t="s">
        <v>2961</v>
      </c>
      <c r="N656" s="63" t="s">
        <v>1719</v>
      </c>
    </row>
    <row r="657" spans="1:14" x14ac:dyDescent="0.2">
      <c r="A657" s="51">
        <v>656</v>
      </c>
      <c r="B657" s="54" t="s">
        <v>580</v>
      </c>
      <c r="C657" s="47" t="s">
        <v>2962</v>
      </c>
      <c r="D657" s="47" t="s">
        <v>2963</v>
      </c>
      <c r="E657" s="48" t="s">
        <v>1719</v>
      </c>
      <c r="F657" s="66" t="b">
        <v>0</v>
      </c>
      <c r="G657" s="54" t="b">
        <v>1</v>
      </c>
      <c r="H657" s="54" t="b">
        <v>1</v>
      </c>
      <c r="I657" s="54" t="b">
        <v>1</v>
      </c>
      <c r="J657" s="54" t="b">
        <v>1</v>
      </c>
      <c r="K657" s="63" t="s">
        <v>580</v>
      </c>
      <c r="L657" s="63" t="s">
        <v>2962</v>
      </c>
      <c r="M657" s="63" t="s">
        <v>2963</v>
      </c>
      <c r="N657" s="63" t="s">
        <v>1719</v>
      </c>
    </row>
    <row r="658" spans="1:14" x14ac:dyDescent="0.2">
      <c r="A658" s="51">
        <v>657</v>
      </c>
      <c r="B658" s="54" t="s">
        <v>580</v>
      </c>
      <c r="C658" s="47" t="s">
        <v>2964</v>
      </c>
      <c r="D658" s="47" t="s">
        <v>2965</v>
      </c>
      <c r="E658" s="48" t="s">
        <v>1719</v>
      </c>
      <c r="F658" s="66" t="b">
        <v>0</v>
      </c>
      <c r="G658" s="54" t="b">
        <v>1</v>
      </c>
      <c r="H658" s="54" t="b">
        <v>1</v>
      </c>
      <c r="I658" s="54" t="b">
        <v>1</v>
      </c>
      <c r="J658" s="54" t="b">
        <v>1</v>
      </c>
      <c r="K658" s="63" t="s">
        <v>580</v>
      </c>
      <c r="L658" s="63" t="s">
        <v>2964</v>
      </c>
      <c r="M658" s="63" t="s">
        <v>2965</v>
      </c>
      <c r="N658" s="63" t="s">
        <v>1719</v>
      </c>
    </row>
    <row r="659" spans="1:14" x14ac:dyDescent="0.2">
      <c r="A659" s="51">
        <v>658</v>
      </c>
      <c r="B659" s="54" t="s">
        <v>580</v>
      </c>
      <c r="C659" s="47" t="s">
        <v>2966</v>
      </c>
      <c r="D659" s="47" t="s">
        <v>2967</v>
      </c>
      <c r="E659" s="48" t="s">
        <v>1719</v>
      </c>
      <c r="F659" s="66" t="b">
        <v>0</v>
      </c>
      <c r="G659" s="54" t="b">
        <v>1</v>
      </c>
      <c r="H659" s="54" t="b">
        <v>1</v>
      </c>
      <c r="I659" s="54" t="b">
        <v>1</v>
      </c>
      <c r="J659" s="54" t="b">
        <v>1</v>
      </c>
      <c r="K659" s="63" t="s">
        <v>580</v>
      </c>
      <c r="L659" s="63" t="s">
        <v>2966</v>
      </c>
      <c r="M659" s="63" t="s">
        <v>2967</v>
      </c>
      <c r="N659" s="63" t="s">
        <v>1719</v>
      </c>
    </row>
    <row r="660" spans="1:14" x14ac:dyDescent="0.2">
      <c r="A660" s="51">
        <v>659</v>
      </c>
      <c r="B660" s="54" t="s">
        <v>580</v>
      </c>
      <c r="C660" s="47" t="s">
        <v>2968</v>
      </c>
      <c r="D660" s="47" t="s">
        <v>2969</v>
      </c>
      <c r="E660" s="48" t="s">
        <v>1719</v>
      </c>
      <c r="F660" s="66" t="b">
        <v>0</v>
      </c>
      <c r="G660" s="54" t="b">
        <v>1</v>
      </c>
      <c r="H660" s="54" t="b">
        <v>1</v>
      </c>
      <c r="I660" s="54" t="b">
        <v>1</v>
      </c>
      <c r="J660" s="54" t="b">
        <v>1</v>
      </c>
      <c r="K660" s="63" t="s">
        <v>580</v>
      </c>
      <c r="L660" s="63" t="s">
        <v>2968</v>
      </c>
      <c r="M660" s="63" t="s">
        <v>2969</v>
      </c>
      <c r="N660" s="63" t="s">
        <v>1719</v>
      </c>
    </row>
    <row r="661" spans="1:14" x14ac:dyDescent="0.2">
      <c r="A661" s="51">
        <v>660</v>
      </c>
      <c r="B661" s="54" t="s">
        <v>580</v>
      </c>
      <c r="C661" s="47" t="s">
        <v>2970</v>
      </c>
      <c r="D661" s="47" t="s">
        <v>2971</v>
      </c>
      <c r="E661" s="48" t="s">
        <v>1719</v>
      </c>
      <c r="F661" s="66" t="b">
        <v>0</v>
      </c>
      <c r="G661" s="54" t="b">
        <v>1</v>
      </c>
      <c r="H661" s="54" t="b">
        <v>1</v>
      </c>
      <c r="I661" s="54" t="b">
        <v>1</v>
      </c>
      <c r="J661" s="54" t="b">
        <v>1</v>
      </c>
      <c r="K661" s="63" t="s">
        <v>580</v>
      </c>
      <c r="L661" s="63" t="s">
        <v>2970</v>
      </c>
      <c r="M661" s="63" t="s">
        <v>2971</v>
      </c>
      <c r="N661" s="63" t="s">
        <v>1719</v>
      </c>
    </row>
    <row r="662" spans="1:14" x14ac:dyDescent="0.2">
      <c r="A662" s="51">
        <v>661</v>
      </c>
      <c r="B662" s="56" t="s">
        <v>582</v>
      </c>
      <c r="C662" s="47" t="s">
        <v>7582</v>
      </c>
      <c r="D662" s="47" t="s">
        <v>7583</v>
      </c>
      <c r="E662" s="47" t="s">
        <v>2087</v>
      </c>
      <c r="F662" s="55" t="b">
        <v>1</v>
      </c>
      <c r="G662" s="65" t="b">
        <v>0</v>
      </c>
      <c r="H662" s="65" t="b">
        <v>0</v>
      </c>
      <c r="I662" s="65" t="b">
        <v>0</v>
      </c>
      <c r="J662" s="65" t="b">
        <v>0</v>
      </c>
    </row>
    <row r="663" spans="1:14" x14ac:dyDescent="0.2">
      <c r="A663" s="51">
        <v>662</v>
      </c>
      <c r="B663" s="56" t="s">
        <v>582</v>
      </c>
      <c r="C663" s="47" t="s">
        <v>7564</v>
      </c>
      <c r="D663" s="47" t="s">
        <v>7565</v>
      </c>
      <c r="E663" s="47" t="s">
        <v>2087</v>
      </c>
      <c r="F663" s="55" t="b">
        <v>1</v>
      </c>
      <c r="G663" s="65" t="b">
        <v>0</v>
      </c>
      <c r="H663" s="65" t="b">
        <v>0</v>
      </c>
      <c r="I663" s="65" t="b">
        <v>0</v>
      </c>
      <c r="J663" s="65" t="b">
        <v>0</v>
      </c>
    </row>
    <row r="664" spans="1:14" x14ac:dyDescent="0.2">
      <c r="A664" s="51">
        <v>663</v>
      </c>
      <c r="B664" s="56" t="s">
        <v>582</v>
      </c>
      <c r="C664" s="47" t="s">
        <v>7574</v>
      </c>
      <c r="D664" s="47" t="s">
        <v>7575</v>
      </c>
      <c r="E664" s="47" t="s">
        <v>2087</v>
      </c>
      <c r="F664" s="55" t="b">
        <v>1</v>
      </c>
      <c r="G664" s="65" t="b">
        <v>0</v>
      </c>
      <c r="H664" s="65" t="b">
        <v>0</v>
      </c>
      <c r="I664" s="65" t="b">
        <v>0</v>
      </c>
      <c r="J664" s="65" t="b">
        <v>0</v>
      </c>
    </row>
    <row r="665" spans="1:14" x14ac:dyDescent="0.2">
      <c r="A665" s="51">
        <v>664</v>
      </c>
      <c r="B665" s="56" t="s">
        <v>582</v>
      </c>
      <c r="C665" s="47" t="s">
        <v>7576</v>
      </c>
      <c r="D665" s="47" t="s">
        <v>7577</v>
      </c>
      <c r="E665" s="47" t="s">
        <v>2087</v>
      </c>
      <c r="F665" s="55" t="b">
        <v>1</v>
      </c>
      <c r="G665" s="65" t="b">
        <v>0</v>
      </c>
      <c r="H665" s="65" t="b">
        <v>0</v>
      </c>
      <c r="I665" s="65" t="b">
        <v>0</v>
      </c>
      <c r="J665" s="65" t="b">
        <v>0</v>
      </c>
    </row>
    <row r="666" spans="1:14" x14ac:dyDescent="0.2">
      <c r="A666" s="51">
        <v>665</v>
      </c>
      <c r="B666" s="56" t="s">
        <v>582</v>
      </c>
      <c r="C666" s="47" t="s">
        <v>7586</v>
      </c>
      <c r="D666" s="47" t="s">
        <v>12153</v>
      </c>
      <c r="E666" s="47" t="s">
        <v>2087</v>
      </c>
      <c r="F666" s="55" t="b">
        <v>1</v>
      </c>
      <c r="G666" s="65" t="b">
        <v>0</v>
      </c>
      <c r="H666" s="65" t="b">
        <v>0</v>
      </c>
      <c r="I666" s="65" t="b">
        <v>0</v>
      </c>
      <c r="J666" s="65" t="b">
        <v>0</v>
      </c>
    </row>
    <row r="667" spans="1:14" x14ac:dyDescent="0.2">
      <c r="A667" s="51">
        <v>666</v>
      </c>
      <c r="B667" s="56" t="s">
        <v>582</v>
      </c>
      <c r="C667" s="47" t="s">
        <v>7588</v>
      </c>
      <c r="D667" s="47" t="s">
        <v>7589</v>
      </c>
      <c r="E667" s="47" t="s">
        <v>2087</v>
      </c>
      <c r="F667" s="55" t="b">
        <v>1</v>
      </c>
      <c r="G667" s="65" t="b">
        <v>0</v>
      </c>
      <c r="H667" s="65" t="b">
        <v>0</v>
      </c>
      <c r="I667" s="65" t="b">
        <v>0</v>
      </c>
      <c r="J667" s="65" t="b">
        <v>0</v>
      </c>
    </row>
    <row r="668" spans="1:14" x14ac:dyDescent="0.2">
      <c r="A668" s="51">
        <v>667</v>
      </c>
      <c r="B668" s="56" t="s">
        <v>582</v>
      </c>
      <c r="C668" s="47" t="s">
        <v>7562</v>
      </c>
      <c r="D668" s="47" t="s">
        <v>12142</v>
      </c>
      <c r="E668" s="47" t="s">
        <v>2087</v>
      </c>
      <c r="F668" s="55" t="b">
        <v>1</v>
      </c>
      <c r="G668" s="65" t="b">
        <v>0</v>
      </c>
      <c r="H668" s="65" t="b">
        <v>0</v>
      </c>
      <c r="I668" s="65" t="b">
        <v>0</v>
      </c>
      <c r="J668" s="65" t="b">
        <v>0</v>
      </c>
    </row>
    <row r="669" spans="1:14" x14ac:dyDescent="0.2">
      <c r="A669" s="51">
        <v>668</v>
      </c>
      <c r="B669" s="56" t="s">
        <v>582</v>
      </c>
      <c r="C669" s="47" t="s">
        <v>7568</v>
      </c>
      <c r="D669" s="47" t="s">
        <v>12144</v>
      </c>
      <c r="E669" s="47" t="s">
        <v>2113</v>
      </c>
      <c r="F669" s="55" t="b">
        <v>1</v>
      </c>
      <c r="G669" s="65" t="b">
        <v>0</v>
      </c>
      <c r="H669" s="65" t="b">
        <v>0</v>
      </c>
      <c r="I669" s="65" t="b">
        <v>0</v>
      </c>
      <c r="J669" s="65" t="b">
        <v>0</v>
      </c>
    </row>
    <row r="670" spans="1:14" x14ac:dyDescent="0.2">
      <c r="A670" s="51">
        <v>669</v>
      </c>
      <c r="B670" s="56" t="s">
        <v>582</v>
      </c>
      <c r="C670" s="47" t="s">
        <v>7570</v>
      </c>
      <c r="D670" s="47" t="s">
        <v>12145</v>
      </c>
      <c r="E670" s="47" t="s">
        <v>2113</v>
      </c>
      <c r="F670" s="55" t="b">
        <v>1</v>
      </c>
      <c r="G670" s="65" t="b">
        <v>0</v>
      </c>
      <c r="H670" s="65" t="b">
        <v>0</v>
      </c>
      <c r="I670" s="65" t="b">
        <v>0</v>
      </c>
      <c r="J670" s="65" t="b">
        <v>0</v>
      </c>
    </row>
    <row r="671" spans="1:14" x14ac:dyDescent="0.2">
      <c r="A671" s="51">
        <v>670</v>
      </c>
      <c r="B671" s="56" t="s">
        <v>582</v>
      </c>
      <c r="C671" s="47" t="s">
        <v>7572</v>
      </c>
      <c r="D671" s="47" t="s">
        <v>12146</v>
      </c>
      <c r="E671" s="47" t="s">
        <v>2113</v>
      </c>
      <c r="F671" s="55" t="b">
        <v>1</v>
      </c>
      <c r="G671" s="65" t="b">
        <v>0</v>
      </c>
      <c r="H671" s="65" t="b">
        <v>0</v>
      </c>
      <c r="I671" s="65" t="b">
        <v>0</v>
      </c>
      <c r="J671" s="65" t="b">
        <v>0</v>
      </c>
    </row>
    <row r="672" spans="1:14" x14ac:dyDescent="0.2">
      <c r="A672" s="51">
        <v>671</v>
      </c>
      <c r="B672" s="56" t="s">
        <v>582</v>
      </c>
      <c r="C672" s="47" t="s">
        <v>7566</v>
      </c>
      <c r="D672" s="47" t="s">
        <v>12143</v>
      </c>
      <c r="E672" s="47" t="s">
        <v>2113</v>
      </c>
      <c r="F672" s="55" t="b">
        <v>1</v>
      </c>
      <c r="G672" s="65" t="b">
        <v>0</v>
      </c>
      <c r="H672" s="65" t="b">
        <v>0</v>
      </c>
      <c r="I672" s="65" t="b">
        <v>0</v>
      </c>
      <c r="J672" s="65" t="b">
        <v>0</v>
      </c>
    </row>
    <row r="673" spans="1:14" x14ac:dyDescent="0.2">
      <c r="A673" s="51">
        <v>672</v>
      </c>
      <c r="B673" s="56" t="s">
        <v>582</v>
      </c>
      <c r="C673" s="47" t="s">
        <v>7578</v>
      </c>
      <c r="D673" s="47" t="s">
        <v>12147</v>
      </c>
      <c r="E673" s="47" t="s">
        <v>2113</v>
      </c>
      <c r="F673" s="55" t="b">
        <v>1</v>
      </c>
      <c r="G673" s="65" t="b">
        <v>0</v>
      </c>
      <c r="H673" s="65" t="b">
        <v>0</v>
      </c>
      <c r="I673" s="65" t="b">
        <v>0</v>
      </c>
      <c r="J673" s="65" t="b">
        <v>0</v>
      </c>
    </row>
    <row r="674" spans="1:14" x14ac:dyDescent="0.2">
      <c r="A674" s="51">
        <v>673</v>
      </c>
      <c r="B674" s="56" t="s">
        <v>582</v>
      </c>
      <c r="C674" s="47" t="s">
        <v>7580</v>
      </c>
      <c r="D674" s="47" t="s">
        <v>12151</v>
      </c>
      <c r="E674" s="47" t="s">
        <v>2113</v>
      </c>
      <c r="F674" s="55" t="b">
        <v>1</v>
      </c>
      <c r="G674" s="65" t="b">
        <v>0</v>
      </c>
      <c r="H674" s="65" t="b">
        <v>0</v>
      </c>
      <c r="I674" s="65" t="b">
        <v>0</v>
      </c>
      <c r="J674" s="65" t="b">
        <v>0</v>
      </c>
    </row>
    <row r="675" spans="1:14" x14ac:dyDescent="0.2">
      <c r="A675" s="51">
        <v>674</v>
      </c>
      <c r="B675" s="56" t="s">
        <v>582</v>
      </c>
      <c r="C675" s="47" t="s">
        <v>7584</v>
      </c>
      <c r="D675" s="47" t="s">
        <v>12152</v>
      </c>
      <c r="E675" s="47" t="s">
        <v>2113</v>
      </c>
      <c r="F675" s="55" t="b">
        <v>1</v>
      </c>
      <c r="G675" s="65" t="b">
        <v>0</v>
      </c>
      <c r="H675" s="65" t="b">
        <v>0</v>
      </c>
      <c r="I675" s="65" t="b">
        <v>0</v>
      </c>
      <c r="J675" s="65" t="b">
        <v>0</v>
      </c>
    </row>
    <row r="676" spans="1:14" x14ac:dyDescent="0.2">
      <c r="A676" s="51">
        <v>675</v>
      </c>
      <c r="B676" s="56" t="s">
        <v>582</v>
      </c>
      <c r="C676" s="47" t="s">
        <v>12148</v>
      </c>
      <c r="D676" s="47" t="s">
        <v>12149</v>
      </c>
      <c r="E676" s="47" t="s">
        <v>12150</v>
      </c>
      <c r="F676" s="55" t="b">
        <v>1</v>
      </c>
      <c r="G676" s="65" t="b">
        <v>0</v>
      </c>
      <c r="H676" s="65" t="b">
        <v>0</v>
      </c>
      <c r="I676" s="65" t="b">
        <v>0</v>
      </c>
      <c r="J676" s="65" t="b">
        <v>0</v>
      </c>
    </row>
    <row r="677" spans="1:14" x14ac:dyDescent="0.2">
      <c r="A677" s="51">
        <v>676</v>
      </c>
      <c r="B677" s="54" t="s">
        <v>584</v>
      </c>
      <c r="C677" s="47" t="s">
        <v>2972</v>
      </c>
      <c r="D677" s="47" t="s">
        <v>2973</v>
      </c>
      <c r="E677" s="47" t="s">
        <v>1719</v>
      </c>
      <c r="F677" s="55" t="b">
        <v>1</v>
      </c>
      <c r="G677" s="54" t="b">
        <v>1</v>
      </c>
      <c r="H677" s="54" t="b">
        <v>1</v>
      </c>
      <c r="I677" s="54" t="b">
        <v>1</v>
      </c>
      <c r="J677" s="54" t="b">
        <v>1</v>
      </c>
      <c r="K677" s="63" t="s">
        <v>584</v>
      </c>
      <c r="L677" s="63" t="s">
        <v>2972</v>
      </c>
      <c r="M677" s="63" t="s">
        <v>2973</v>
      </c>
      <c r="N677" s="63" t="s">
        <v>1719</v>
      </c>
    </row>
    <row r="678" spans="1:14" x14ac:dyDescent="0.2">
      <c r="A678" s="51">
        <v>677</v>
      </c>
      <c r="B678" s="54" t="s">
        <v>584</v>
      </c>
      <c r="C678" s="47" t="s">
        <v>2976</v>
      </c>
      <c r="D678" s="47" t="s">
        <v>2977</v>
      </c>
      <c r="E678" s="47" t="s">
        <v>1719</v>
      </c>
      <c r="F678" s="55" t="b">
        <v>1</v>
      </c>
      <c r="G678" s="54" t="b">
        <v>1</v>
      </c>
      <c r="H678" s="54" t="b">
        <v>1</v>
      </c>
      <c r="I678" s="54" t="b">
        <v>1</v>
      </c>
      <c r="J678" s="54" t="b">
        <v>1</v>
      </c>
      <c r="K678" s="63" t="s">
        <v>584</v>
      </c>
      <c r="L678" s="63" t="s">
        <v>2976</v>
      </c>
      <c r="M678" s="63" t="s">
        <v>2977</v>
      </c>
      <c r="N678" s="63" t="s">
        <v>1719</v>
      </c>
    </row>
    <row r="679" spans="1:14" x14ac:dyDescent="0.2">
      <c r="A679" s="51">
        <v>678</v>
      </c>
      <c r="B679" s="54" t="s">
        <v>584</v>
      </c>
      <c r="C679" s="47" t="s">
        <v>2974</v>
      </c>
      <c r="D679" s="47" t="s">
        <v>2975</v>
      </c>
      <c r="E679" s="47" t="s">
        <v>1719</v>
      </c>
      <c r="F679" s="55" t="b">
        <v>1</v>
      </c>
      <c r="G679" s="54" t="b">
        <v>1</v>
      </c>
      <c r="H679" s="54" t="b">
        <v>1</v>
      </c>
      <c r="I679" s="54" t="b">
        <v>1</v>
      </c>
      <c r="J679" s="54" t="b">
        <v>1</v>
      </c>
      <c r="K679" s="63" t="s">
        <v>584</v>
      </c>
      <c r="L679" s="63" t="s">
        <v>2974</v>
      </c>
      <c r="M679" s="63" t="s">
        <v>2975</v>
      </c>
      <c r="N679" s="63" t="s">
        <v>1719</v>
      </c>
    </row>
    <row r="680" spans="1:14" x14ac:dyDescent="0.2">
      <c r="A680" s="51">
        <v>679</v>
      </c>
      <c r="B680" s="54" t="s">
        <v>584</v>
      </c>
      <c r="C680" s="47" t="s">
        <v>2978</v>
      </c>
      <c r="D680" s="47" t="s">
        <v>2979</v>
      </c>
      <c r="E680" s="47" t="s">
        <v>1719</v>
      </c>
      <c r="F680" s="55" t="b">
        <v>1</v>
      </c>
      <c r="G680" s="54" t="b">
        <v>1</v>
      </c>
      <c r="H680" s="54" t="b">
        <v>1</v>
      </c>
      <c r="I680" s="54" t="b">
        <v>1</v>
      </c>
      <c r="J680" s="54" t="b">
        <v>1</v>
      </c>
      <c r="K680" s="63" t="s">
        <v>584</v>
      </c>
      <c r="L680" s="63" t="s">
        <v>2978</v>
      </c>
      <c r="M680" s="63" t="s">
        <v>2979</v>
      </c>
      <c r="N680" s="63" t="s">
        <v>1719</v>
      </c>
    </row>
    <row r="681" spans="1:14" x14ac:dyDescent="0.2">
      <c r="A681" s="51">
        <v>680</v>
      </c>
      <c r="B681" s="54" t="s">
        <v>584</v>
      </c>
      <c r="C681" s="47" t="s">
        <v>2980</v>
      </c>
      <c r="D681" s="47" t="s">
        <v>2981</v>
      </c>
      <c r="E681" s="47" t="s">
        <v>1719</v>
      </c>
      <c r="F681" s="55" t="b">
        <v>1</v>
      </c>
      <c r="G681" s="54" t="b">
        <v>1</v>
      </c>
      <c r="H681" s="54" t="b">
        <v>1</v>
      </c>
      <c r="I681" s="54" t="b">
        <v>1</v>
      </c>
      <c r="J681" s="54" t="b">
        <v>1</v>
      </c>
      <c r="K681" s="63" t="s">
        <v>584</v>
      </c>
      <c r="L681" s="63" t="s">
        <v>2980</v>
      </c>
      <c r="M681" s="63" t="s">
        <v>2981</v>
      </c>
      <c r="N681" s="63" t="s">
        <v>1719</v>
      </c>
    </row>
    <row r="682" spans="1:14" x14ac:dyDescent="0.2">
      <c r="A682" s="51">
        <v>681</v>
      </c>
      <c r="B682" s="54" t="s">
        <v>584</v>
      </c>
      <c r="C682" s="47" t="s">
        <v>2982</v>
      </c>
      <c r="D682" s="47" t="s">
        <v>2983</v>
      </c>
      <c r="E682" s="47" t="s">
        <v>1719</v>
      </c>
      <c r="F682" s="55" t="b">
        <v>1</v>
      </c>
      <c r="G682" s="54" t="b">
        <v>1</v>
      </c>
      <c r="H682" s="54" t="b">
        <v>1</v>
      </c>
      <c r="I682" s="54" t="b">
        <v>1</v>
      </c>
      <c r="J682" s="54" t="b">
        <v>1</v>
      </c>
      <c r="K682" s="63" t="s">
        <v>584</v>
      </c>
      <c r="L682" s="63" t="s">
        <v>2982</v>
      </c>
      <c r="M682" s="63" t="s">
        <v>2983</v>
      </c>
      <c r="N682" s="63" t="s">
        <v>1719</v>
      </c>
    </row>
    <row r="683" spans="1:14" x14ac:dyDescent="0.2">
      <c r="A683" s="51">
        <v>682</v>
      </c>
      <c r="B683" s="54" t="s">
        <v>584</v>
      </c>
      <c r="C683" s="47" t="s">
        <v>2984</v>
      </c>
      <c r="D683" s="47" t="s">
        <v>2985</v>
      </c>
      <c r="E683" s="47" t="s">
        <v>1719</v>
      </c>
      <c r="F683" s="55" t="b">
        <v>1</v>
      </c>
      <c r="G683" s="54" t="b">
        <v>1</v>
      </c>
      <c r="H683" s="54" t="b">
        <v>1</v>
      </c>
      <c r="I683" s="54" t="b">
        <v>1</v>
      </c>
      <c r="J683" s="54" t="b">
        <v>1</v>
      </c>
      <c r="K683" s="63" t="s">
        <v>584</v>
      </c>
      <c r="L683" s="63" t="s">
        <v>2984</v>
      </c>
      <c r="M683" s="63" t="s">
        <v>2985</v>
      </c>
      <c r="N683" s="63" t="s">
        <v>1719</v>
      </c>
    </row>
    <row r="684" spans="1:14" x14ac:dyDescent="0.2">
      <c r="A684" s="51">
        <v>683</v>
      </c>
      <c r="B684" s="54" t="s">
        <v>584</v>
      </c>
      <c r="C684" s="47" t="s">
        <v>2990</v>
      </c>
      <c r="D684" s="47" t="s">
        <v>2991</v>
      </c>
      <c r="E684" s="47" t="s">
        <v>1719</v>
      </c>
      <c r="F684" s="55" t="b">
        <v>1</v>
      </c>
      <c r="G684" s="54" t="b">
        <v>1</v>
      </c>
      <c r="H684" s="54" t="b">
        <v>1</v>
      </c>
      <c r="I684" s="54" t="b">
        <v>1</v>
      </c>
      <c r="J684" s="54" t="b">
        <v>1</v>
      </c>
      <c r="K684" s="63" t="s">
        <v>584</v>
      </c>
      <c r="L684" s="63" t="s">
        <v>2990</v>
      </c>
      <c r="M684" s="63" t="s">
        <v>2991</v>
      </c>
      <c r="N684" s="63" t="s">
        <v>1719</v>
      </c>
    </row>
    <row r="685" spans="1:14" x14ac:dyDescent="0.2">
      <c r="A685" s="51">
        <v>684</v>
      </c>
      <c r="B685" s="54" t="s">
        <v>584</v>
      </c>
      <c r="C685" s="47" t="s">
        <v>2986</v>
      </c>
      <c r="D685" s="47" t="s">
        <v>2987</v>
      </c>
      <c r="E685" s="47" t="s">
        <v>1719</v>
      </c>
      <c r="F685" s="55" t="b">
        <v>1</v>
      </c>
      <c r="G685" s="54" t="b">
        <v>1</v>
      </c>
      <c r="H685" s="54" t="b">
        <v>1</v>
      </c>
      <c r="I685" s="54" t="b">
        <v>1</v>
      </c>
      <c r="J685" s="54" t="b">
        <v>1</v>
      </c>
      <c r="K685" s="63" t="s">
        <v>584</v>
      </c>
      <c r="L685" s="63" t="s">
        <v>2986</v>
      </c>
      <c r="M685" s="63" t="s">
        <v>2987</v>
      </c>
      <c r="N685" s="63" t="s">
        <v>1719</v>
      </c>
    </row>
    <row r="686" spans="1:14" x14ac:dyDescent="0.2">
      <c r="A686" s="51">
        <v>685</v>
      </c>
      <c r="B686" s="54" t="s">
        <v>584</v>
      </c>
      <c r="C686" s="47" t="s">
        <v>2988</v>
      </c>
      <c r="D686" s="47" t="s">
        <v>2989</v>
      </c>
      <c r="E686" s="47" t="s">
        <v>1719</v>
      </c>
      <c r="F686" s="55" t="b">
        <v>1</v>
      </c>
      <c r="G686" s="54" t="b">
        <v>1</v>
      </c>
      <c r="H686" s="54" t="b">
        <v>1</v>
      </c>
      <c r="I686" s="54" t="b">
        <v>1</v>
      </c>
      <c r="J686" s="54" t="b">
        <v>1</v>
      </c>
      <c r="K686" s="63" t="s">
        <v>584</v>
      </c>
      <c r="L686" s="63" t="s">
        <v>2988</v>
      </c>
      <c r="M686" s="63" t="s">
        <v>2989</v>
      </c>
      <c r="N686" s="63" t="s">
        <v>1719</v>
      </c>
    </row>
    <row r="687" spans="1:14" x14ac:dyDescent="0.2">
      <c r="A687" s="51">
        <v>686</v>
      </c>
      <c r="B687" s="54" t="s">
        <v>584</v>
      </c>
      <c r="C687" s="47" t="s">
        <v>2992</v>
      </c>
      <c r="D687" s="47" t="s">
        <v>2993</v>
      </c>
      <c r="E687" s="47" t="s">
        <v>1719</v>
      </c>
      <c r="F687" s="55" t="b">
        <v>1</v>
      </c>
      <c r="G687" s="54" t="b">
        <v>1</v>
      </c>
      <c r="H687" s="54" t="b">
        <v>1</v>
      </c>
      <c r="I687" s="54" t="b">
        <v>1</v>
      </c>
      <c r="J687" s="54" t="b">
        <v>1</v>
      </c>
      <c r="K687" s="63" t="s">
        <v>584</v>
      </c>
      <c r="L687" s="63" t="s">
        <v>2992</v>
      </c>
      <c r="M687" s="63" t="s">
        <v>2993</v>
      </c>
      <c r="N687" s="63" t="s">
        <v>1719</v>
      </c>
    </row>
    <row r="688" spans="1:14" x14ac:dyDescent="0.2">
      <c r="A688" s="51">
        <v>687</v>
      </c>
      <c r="B688" s="54" t="s">
        <v>584</v>
      </c>
      <c r="C688" s="47" t="s">
        <v>2994</v>
      </c>
      <c r="D688" s="47" t="s">
        <v>2995</v>
      </c>
      <c r="E688" s="47" t="s">
        <v>1719</v>
      </c>
      <c r="F688" s="55" t="b">
        <v>1</v>
      </c>
      <c r="G688" s="54" t="b">
        <v>1</v>
      </c>
      <c r="H688" s="54" t="b">
        <v>1</v>
      </c>
      <c r="I688" s="54" t="b">
        <v>1</v>
      </c>
      <c r="J688" s="54" t="b">
        <v>1</v>
      </c>
      <c r="K688" s="63" t="s">
        <v>584</v>
      </c>
      <c r="L688" s="63" t="s">
        <v>2994</v>
      </c>
      <c r="M688" s="63" t="s">
        <v>2995</v>
      </c>
      <c r="N688" s="63" t="s">
        <v>1719</v>
      </c>
    </row>
    <row r="689" spans="1:14" x14ac:dyDescent="0.2">
      <c r="A689" s="51">
        <v>688</v>
      </c>
      <c r="B689" s="54" t="s">
        <v>584</v>
      </c>
      <c r="C689" s="47" t="s">
        <v>2998</v>
      </c>
      <c r="D689" s="47" t="s">
        <v>2999</v>
      </c>
      <c r="E689" s="47" t="s">
        <v>1719</v>
      </c>
      <c r="F689" s="55" t="b">
        <v>1</v>
      </c>
      <c r="G689" s="54" t="b">
        <v>1</v>
      </c>
      <c r="H689" s="54" t="b">
        <v>1</v>
      </c>
      <c r="I689" s="54" t="b">
        <v>1</v>
      </c>
      <c r="J689" s="54" t="b">
        <v>1</v>
      </c>
      <c r="K689" s="63" t="s">
        <v>584</v>
      </c>
      <c r="L689" s="63" t="s">
        <v>2998</v>
      </c>
      <c r="M689" s="63" t="s">
        <v>2999</v>
      </c>
      <c r="N689" s="63" t="s">
        <v>1719</v>
      </c>
    </row>
    <row r="690" spans="1:14" x14ac:dyDescent="0.2">
      <c r="A690" s="51">
        <v>689</v>
      </c>
      <c r="B690" s="54" t="s">
        <v>584</v>
      </c>
      <c r="C690" s="47" t="s">
        <v>2996</v>
      </c>
      <c r="D690" s="47" t="s">
        <v>2997</v>
      </c>
      <c r="E690" s="47" t="s">
        <v>1719</v>
      </c>
      <c r="F690" s="55" t="b">
        <v>1</v>
      </c>
      <c r="G690" s="54" t="b">
        <v>1</v>
      </c>
      <c r="H690" s="54" t="b">
        <v>1</v>
      </c>
      <c r="I690" s="54" t="b">
        <v>1</v>
      </c>
      <c r="J690" s="54" t="b">
        <v>1</v>
      </c>
      <c r="K690" s="63" t="s">
        <v>584</v>
      </c>
      <c r="L690" s="63" t="s">
        <v>2996</v>
      </c>
      <c r="M690" s="63" t="s">
        <v>2997</v>
      </c>
      <c r="N690" s="63" t="s">
        <v>1719</v>
      </c>
    </row>
    <row r="691" spans="1:14" x14ac:dyDescent="0.2">
      <c r="A691" s="51">
        <v>690</v>
      </c>
      <c r="B691" s="54" t="s">
        <v>584</v>
      </c>
      <c r="C691" s="47" t="s">
        <v>3000</v>
      </c>
      <c r="D691" s="47" t="s">
        <v>3001</v>
      </c>
      <c r="E691" s="47" t="s">
        <v>1719</v>
      </c>
      <c r="F691" s="55" t="b">
        <v>1</v>
      </c>
      <c r="G691" s="54" t="b">
        <v>1</v>
      </c>
      <c r="H691" s="54" t="b">
        <v>1</v>
      </c>
      <c r="I691" s="54" t="b">
        <v>1</v>
      </c>
      <c r="J691" s="54" t="b">
        <v>1</v>
      </c>
      <c r="K691" s="63" t="s">
        <v>584</v>
      </c>
      <c r="L691" s="63" t="s">
        <v>3000</v>
      </c>
      <c r="M691" s="63" t="s">
        <v>3001</v>
      </c>
      <c r="N691" s="63" t="s">
        <v>1719</v>
      </c>
    </row>
    <row r="692" spans="1:14" x14ac:dyDescent="0.2">
      <c r="A692" s="51">
        <v>691</v>
      </c>
      <c r="B692" s="54" t="s">
        <v>584</v>
      </c>
      <c r="C692" s="47" t="s">
        <v>3002</v>
      </c>
      <c r="D692" s="47" t="s">
        <v>3003</v>
      </c>
      <c r="E692" s="47" t="s">
        <v>1719</v>
      </c>
      <c r="F692" s="55" t="b">
        <v>1</v>
      </c>
      <c r="G692" s="54" t="b">
        <v>1</v>
      </c>
      <c r="H692" s="54" t="b">
        <v>1</v>
      </c>
      <c r="I692" s="54" t="b">
        <v>1</v>
      </c>
      <c r="J692" s="54" t="b">
        <v>1</v>
      </c>
      <c r="K692" s="63" t="s">
        <v>584</v>
      </c>
      <c r="L692" s="63" t="s">
        <v>3002</v>
      </c>
      <c r="M692" s="63" t="s">
        <v>3003</v>
      </c>
      <c r="N692" s="63" t="s">
        <v>1719</v>
      </c>
    </row>
    <row r="693" spans="1:14" x14ac:dyDescent="0.2">
      <c r="A693" s="51">
        <v>692</v>
      </c>
      <c r="B693" s="54" t="s">
        <v>584</v>
      </c>
      <c r="C693" s="47" t="s">
        <v>3004</v>
      </c>
      <c r="D693" s="47" t="s">
        <v>3005</v>
      </c>
      <c r="E693" s="47" t="s">
        <v>1719</v>
      </c>
      <c r="F693" s="55" t="b">
        <v>1</v>
      </c>
      <c r="G693" s="54" t="b">
        <v>1</v>
      </c>
      <c r="H693" s="54" t="b">
        <v>1</v>
      </c>
      <c r="I693" s="54" t="b">
        <v>1</v>
      </c>
      <c r="J693" s="54" t="b">
        <v>1</v>
      </c>
      <c r="K693" s="63" t="s">
        <v>584</v>
      </c>
      <c r="L693" s="63" t="s">
        <v>3004</v>
      </c>
      <c r="M693" s="63" t="s">
        <v>3005</v>
      </c>
      <c r="N693" s="63" t="s">
        <v>1719</v>
      </c>
    </row>
    <row r="694" spans="1:14" x14ac:dyDescent="0.2">
      <c r="A694" s="51">
        <v>693</v>
      </c>
      <c r="B694" s="56" t="s">
        <v>1086</v>
      </c>
      <c r="C694" s="47" t="s">
        <v>3115</v>
      </c>
      <c r="D694" s="47" t="s">
        <v>3116</v>
      </c>
      <c r="E694" s="48" t="s">
        <v>3117</v>
      </c>
      <c r="F694" s="66" t="b">
        <v>0</v>
      </c>
      <c r="G694" s="65" t="b">
        <v>0</v>
      </c>
      <c r="H694" s="65" t="b">
        <v>0</v>
      </c>
      <c r="I694" s="65" t="b">
        <v>0</v>
      </c>
      <c r="J694" s="65" t="b">
        <v>0</v>
      </c>
    </row>
    <row r="695" spans="1:14" x14ac:dyDescent="0.2">
      <c r="A695" s="51">
        <v>694</v>
      </c>
      <c r="B695" s="56" t="s">
        <v>1086</v>
      </c>
      <c r="C695" s="47" t="s">
        <v>3113</v>
      </c>
      <c r="D695" s="47" t="s">
        <v>3114</v>
      </c>
      <c r="E695" s="47" t="s">
        <v>2164</v>
      </c>
      <c r="F695" s="55" t="b">
        <v>1</v>
      </c>
      <c r="G695" s="65" t="b">
        <v>0</v>
      </c>
      <c r="H695" s="65" t="b">
        <v>0</v>
      </c>
      <c r="I695" s="65" t="b">
        <v>0</v>
      </c>
      <c r="J695" s="65" t="b">
        <v>0</v>
      </c>
    </row>
    <row r="696" spans="1:14" x14ac:dyDescent="0.2">
      <c r="A696" s="51">
        <v>695</v>
      </c>
      <c r="B696" s="56" t="s">
        <v>1086</v>
      </c>
      <c r="C696" s="47" t="s">
        <v>3111</v>
      </c>
      <c r="D696" s="47" t="s">
        <v>3112</v>
      </c>
      <c r="E696" s="47" t="s">
        <v>2164</v>
      </c>
      <c r="F696" s="55" t="b">
        <v>1</v>
      </c>
      <c r="G696" s="65" t="b">
        <v>0</v>
      </c>
      <c r="H696" s="65" t="b">
        <v>0</v>
      </c>
      <c r="I696" s="65" t="b">
        <v>0</v>
      </c>
      <c r="J696" s="65" t="b">
        <v>0</v>
      </c>
    </row>
    <row r="697" spans="1:14" x14ac:dyDescent="0.2">
      <c r="A697" s="51">
        <v>696</v>
      </c>
      <c r="B697" s="56" t="s">
        <v>1086</v>
      </c>
      <c r="C697" s="47" t="s">
        <v>3138</v>
      </c>
      <c r="D697" s="47" t="s">
        <v>2785</v>
      </c>
      <c r="E697" s="47" t="s">
        <v>2164</v>
      </c>
      <c r="F697" s="55" t="b">
        <v>1</v>
      </c>
      <c r="G697" s="65" t="b">
        <v>0</v>
      </c>
      <c r="H697" s="65" t="b">
        <v>0</v>
      </c>
      <c r="I697" s="65" t="b">
        <v>0</v>
      </c>
      <c r="J697" s="65" t="b">
        <v>0</v>
      </c>
    </row>
    <row r="698" spans="1:14" x14ac:dyDescent="0.2">
      <c r="A698" s="51">
        <v>697</v>
      </c>
      <c r="B698" s="56" t="s">
        <v>1086</v>
      </c>
      <c r="C698" s="47" t="s">
        <v>3139</v>
      </c>
      <c r="D698" s="47" t="s">
        <v>3140</v>
      </c>
      <c r="E698" s="47" t="s">
        <v>2164</v>
      </c>
      <c r="F698" s="55" t="b">
        <v>1</v>
      </c>
      <c r="G698" s="65" t="b">
        <v>0</v>
      </c>
      <c r="H698" s="65" t="b">
        <v>0</v>
      </c>
      <c r="I698" s="65" t="b">
        <v>0</v>
      </c>
      <c r="J698" s="65" t="b">
        <v>0</v>
      </c>
    </row>
    <row r="699" spans="1:14" x14ac:dyDescent="0.2">
      <c r="A699" s="51">
        <v>698</v>
      </c>
      <c r="B699" s="56" t="s">
        <v>1086</v>
      </c>
      <c r="C699" s="47" t="s">
        <v>3141</v>
      </c>
      <c r="D699" s="47" t="s">
        <v>2076</v>
      </c>
      <c r="E699" s="47" t="s">
        <v>2164</v>
      </c>
      <c r="F699" s="55" t="b">
        <v>1</v>
      </c>
      <c r="G699" s="65" t="b">
        <v>0</v>
      </c>
      <c r="H699" s="65" t="b">
        <v>0</v>
      </c>
      <c r="I699" s="65" t="b">
        <v>0</v>
      </c>
      <c r="J699" s="65" t="b">
        <v>0</v>
      </c>
    </row>
    <row r="700" spans="1:14" x14ac:dyDescent="0.2">
      <c r="A700" s="51">
        <v>699</v>
      </c>
      <c r="B700" s="56" t="s">
        <v>1086</v>
      </c>
      <c r="C700" s="47" t="s">
        <v>3120</v>
      </c>
      <c r="D700" s="47" t="s">
        <v>3121</v>
      </c>
      <c r="E700" s="47" t="s">
        <v>2164</v>
      </c>
      <c r="F700" s="55" t="b">
        <v>1</v>
      </c>
      <c r="G700" s="65" t="b">
        <v>0</v>
      </c>
      <c r="H700" s="65" t="b">
        <v>0</v>
      </c>
      <c r="I700" s="65" t="b">
        <v>0</v>
      </c>
      <c r="J700" s="65" t="b">
        <v>0</v>
      </c>
    </row>
    <row r="701" spans="1:14" x14ac:dyDescent="0.2">
      <c r="A701" s="51">
        <v>700</v>
      </c>
      <c r="B701" s="56" t="s">
        <v>1086</v>
      </c>
      <c r="C701" s="47" t="s">
        <v>3122</v>
      </c>
      <c r="D701" s="47" t="s">
        <v>3123</v>
      </c>
      <c r="E701" s="47" t="s">
        <v>2164</v>
      </c>
      <c r="F701" s="55" t="b">
        <v>1</v>
      </c>
      <c r="G701" s="65" t="b">
        <v>0</v>
      </c>
      <c r="H701" s="65" t="b">
        <v>0</v>
      </c>
      <c r="I701" s="65" t="b">
        <v>0</v>
      </c>
      <c r="J701" s="65" t="b">
        <v>0</v>
      </c>
    </row>
    <row r="702" spans="1:14" x14ac:dyDescent="0.2">
      <c r="A702" s="51">
        <v>701</v>
      </c>
      <c r="B702" s="56" t="s">
        <v>1086</v>
      </c>
      <c r="C702" s="47" t="s">
        <v>3124</v>
      </c>
      <c r="D702" s="47" t="s">
        <v>3125</v>
      </c>
      <c r="E702" s="47" t="s">
        <v>2164</v>
      </c>
      <c r="F702" s="55" t="b">
        <v>1</v>
      </c>
      <c r="G702" s="65" t="b">
        <v>0</v>
      </c>
      <c r="H702" s="65" t="b">
        <v>0</v>
      </c>
      <c r="I702" s="65" t="b">
        <v>0</v>
      </c>
      <c r="J702" s="65" t="b">
        <v>0</v>
      </c>
    </row>
    <row r="703" spans="1:14" x14ac:dyDescent="0.2">
      <c r="A703" s="51">
        <v>702</v>
      </c>
      <c r="B703" s="56" t="s">
        <v>1086</v>
      </c>
      <c r="C703" s="47" t="s">
        <v>3126</v>
      </c>
      <c r="D703" s="47" t="s">
        <v>3127</v>
      </c>
      <c r="E703" s="47" t="s">
        <v>2164</v>
      </c>
      <c r="F703" s="55" t="b">
        <v>1</v>
      </c>
      <c r="G703" s="65" t="b">
        <v>0</v>
      </c>
      <c r="H703" s="65" t="b">
        <v>0</v>
      </c>
      <c r="I703" s="65" t="b">
        <v>0</v>
      </c>
      <c r="J703" s="65" t="b">
        <v>0</v>
      </c>
    </row>
    <row r="704" spans="1:14" x14ac:dyDescent="0.2">
      <c r="A704" s="51">
        <v>703</v>
      </c>
      <c r="B704" s="56" t="s">
        <v>1086</v>
      </c>
      <c r="C704" s="47" t="s">
        <v>3128</v>
      </c>
      <c r="D704" s="47" t="s">
        <v>3129</v>
      </c>
      <c r="E704" s="47" t="s">
        <v>2164</v>
      </c>
      <c r="F704" s="55" t="b">
        <v>1</v>
      </c>
      <c r="G704" s="65" t="b">
        <v>0</v>
      </c>
      <c r="H704" s="65" t="b">
        <v>0</v>
      </c>
      <c r="I704" s="65" t="b">
        <v>0</v>
      </c>
      <c r="J704" s="65" t="b">
        <v>0</v>
      </c>
    </row>
    <row r="705" spans="1:14" x14ac:dyDescent="0.2">
      <c r="A705" s="51">
        <v>704</v>
      </c>
      <c r="B705" s="56" t="s">
        <v>1086</v>
      </c>
      <c r="C705" s="47" t="s">
        <v>3130</v>
      </c>
      <c r="D705" s="47" t="s">
        <v>3131</v>
      </c>
      <c r="E705" s="47" t="s">
        <v>2164</v>
      </c>
      <c r="F705" s="55" t="b">
        <v>1</v>
      </c>
      <c r="G705" s="65" t="b">
        <v>0</v>
      </c>
      <c r="H705" s="65" t="b">
        <v>0</v>
      </c>
      <c r="I705" s="65" t="b">
        <v>0</v>
      </c>
      <c r="J705" s="65" t="b">
        <v>0</v>
      </c>
    </row>
    <row r="706" spans="1:14" x14ac:dyDescent="0.2">
      <c r="A706" s="51">
        <v>705</v>
      </c>
      <c r="B706" s="56" t="s">
        <v>1086</v>
      </c>
      <c r="C706" s="47" t="s">
        <v>3132</v>
      </c>
      <c r="D706" s="47" t="s">
        <v>3133</v>
      </c>
      <c r="E706" s="47" t="s">
        <v>2164</v>
      </c>
      <c r="F706" s="55" t="b">
        <v>1</v>
      </c>
      <c r="G706" s="65" t="b">
        <v>0</v>
      </c>
      <c r="H706" s="65" t="b">
        <v>0</v>
      </c>
      <c r="I706" s="65" t="b">
        <v>0</v>
      </c>
      <c r="J706" s="65" t="b">
        <v>0</v>
      </c>
    </row>
    <row r="707" spans="1:14" x14ac:dyDescent="0.2">
      <c r="A707" s="51">
        <v>706</v>
      </c>
      <c r="B707" s="56" t="s">
        <v>1086</v>
      </c>
      <c r="C707" s="47" t="s">
        <v>3134</v>
      </c>
      <c r="D707" s="47" t="s">
        <v>3135</v>
      </c>
      <c r="E707" s="47" t="s">
        <v>2164</v>
      </c>
      <c r="F707" s="55" t="b">
        <v>1</v>
      </c>
      <c r="G707" s="65" t="b">
        <v>0</v>
      </c>
      <c r="H707" s="65" t="b">
        <v>0</v>
      </c>
      <c r="I707" s="65" t="b">
        <v>0</v>
      </c>
      <c r="J707" s="65" t="b">
        <v>0</v>
      </c>
    </row>
    <row r="708" spans="1:14" x14ac:dyDescent="0.2">
      <c r="A708" s="51">
        <v>707</v>
      </c>
      <c r="B708" s="56" t="s">
        <v>1086</v>
      </c>
      <c r="C708" s="47" t="s">
        <v>3118</v>
      </c>
      <c r="D708" s="47" t="s">
        <v>3119</v>
      </c>
      <c r="E708" s="48" t="s">
        <v>3117</v>
      </c>
      <c r="F708" s="66" t="b">
        <v>0</v>
      </c>
      <c r="G708" s="65" t="b">
        <v>0</v>
      </c>
      <c r="H708" s="65" t="b">
        <v>0</v>
      </c>
      <c r="I708" s="65" t="b">
        <v>0</v>
      </c>
      <c r="J708" s="65" t="b">
        <v>0</v>
      </c>
    </row>
    <row r="709" spans="1:14" x14ac:dyDescent="0.2">
      <c r="A709" s="51">
        <v>708</v>
      </c>
      <c r="B709" s="56" t="s">
        <v>1086</v>
      </c>
      <c r="C709" s="47" t="s">
        <v>3142</v>
      </c>
      <c r="D709" s="47" t="s">
        <v>3143</v>
      </c>
      <c r="E709" s="47" t="s">
        <v>2164</v>
      </c>
      <c r="F709" s="55" t="b">
        <v>1</v>
      </c>
      <c r="G709" s="65" t="b">
        <v>0</v>
      </c>
      <c r="H709" s="65" t="b">
        <v>0</v>
      </c>
      <c r="I709" s="65" t="b">
        <v>0</v>
      </c>
      <c r="J709" s="65" t="b">
        <v>0</v>
      </c>
    </row>
    <row r="710" spans="1:14" x14ac:dyDescent="0.2">
      <c r="A710" s="51">
        <v>709</v>
      </c>
      <c r="B710" s="56" t="s">
        <v>1086</v>
      </c>
      <c r="C710" s="47" t="s">
        <v>3144</v>
      </c>
      <c r="D710" s="47" t="s">
        <v>3145</v>
      </c>
      <c r="E710" s="47" t="s">
        <v>2164</v>
      </c>
      <c r="F710" s="55" t="b">
        <v>1</v>
      </c>
      <c r="G710" s="65" t="b">
        <v>0</v>
      </c>
      <c r="H710" s="65" t="b">
        <v>0</v>
      </c>
      <c r="I710" s="65" t="b">
        <v>0</v>
      </c>
      <c r="J710" s="65" t="b">
        <v>0</v>
      </c>
    </row>
    <row r="711" spans="1:14" x14ac:dyDescent="0.2">
      <c r="A711" s="51">
        <v>710</v>
      </c>
      <c r="B711" s="56" t="s">
        <v>1086</v>
      </c>
      <c r="C711" s="47" t="s">
        <v>3136</v>
      </c>
      <c r="D711" s="47" t="s">
        <v>3137</v>
      </c>
      <c r="E711" s="47" t="s">
        <v>2164</v>
      </c>
      <c r="F711" s="55" t="b">
        <v>1</v>
      </c>
      <c r="G711" s="65" t="b">
        <v>0</v>
      </c>
      <c r="H711" s="65" t="b">
        <v>0</v>
      </c>
      <c r="I711" s="65" t="b">
        <v>0</v>
      </c>
      <c r="J711" s="65" t="b">
        <v>0</v>
      </c>
    </row>
    <row r="712" spans="1:14" x14ac:dyDescent="0.2">
      <c r="A712" s="51">
        <v>711</v>
      </c>
      <c r="B712" s="56" t="s">
        <v>1086</v>
      </c>
      <c r="C712" s="47" t="s">
        <v>3146</v>
      </c>
      <c r="D712" s="47" t="s">
        <v>3147</v>
      </c>
      <c r="E712" s="47" t="s">
        <v>2164</v>
      </c>
      <c r="F712" s="55" t="b">
        <v>1</v>
      </c>
      <c r="G712" s="65" t="b">
        <v>0</v>
      </c>
      <c r="H712" s="65" t="b">
        <v>0</v>
      </c>
      <c r="I712" s="65" t="b">
        <v>0</v>
      </c>
      <c r="J712" s="65" t="b">
        <v>0</v>
      </c>
    </row>
    <row r="713" spans="1:14" x14ac:dyDescent="0.2">
      <c r="A713" s="51">
        <v>712</v>
      </c>
      <c r="B713" s="56" t="s">
        <v>1086</v>
      </c>
      <c r="C713" s="47" t="s">
        <v>12154</v>
      </c>
      <c r="D713" s="47" t="s">
        <v>12155</v>
      </c>
      <c r="E713" s="47" t="s">
        <v>2164</v>
      </c>
      <c r="F713" s="55" t="b">
        <v>1</v>
      </c>
      <c r="G713" s="65" t="b">
        <v>0</v>
      </c>
      <c r="H713" s="65" t="b">
        <v>0</v>
      </c>
      <c r="I713" s="65" t="b">
        <v>0</v>
      </c>
      <c r="J713" s="65" t="b">
        <v>0</v>
      </c>
    </row>
    <row r="714" spans="1:14" x14ac:dyDescent="0.2">
      <c r="A714" s="51">
        <v>713</v>
      </c>
      <c r="B714" s="56" t="s">
        <v>1086</v>
      </c>
      <c r="C714" s="47" t="s">
        <v>3148</v>
      </c>
      <c r="D714" s="47" t="s">
        <v>3149</v>
      </c>
      <c r="E714" s="47" t="s">
        <v>2164</v>
      </c>
      <c r="F714" s="55" t="b">
        <v>1</v>
      </c>
      <c r="G714" s="65" t="b">
        <v>0</v>
      </c>
      <c r="H714" s="65" t="b">
        <v>0</v>
      </c>
      <c r="I714" s="65" t="b">
        <v>0</v>
      </c>
      <c r="J714" s="65" t="b">
        <v>0</v>
      </c>
    </row>
    <row r="715" spans="1:14" x14ac:dyDescent="0.2">
      <c r="A715" s="51">
        <v>714</v>
      </c>
      <c r="B715" s="56" t="s">
        <v>1086</v>
      </c>
      <c r="C715" s="47" t="s">
        <v>3150</v>
      </c>
      <c r="D715" s="47" t="s">
        <v>3151</v>
      </c>
      <c r="E715" s="47" t="s">
        <v>2164</v>
      </c>
      <c r="F715" s="55" t="b">
        <v>1</v>
      </c>
      <c r="G715" s="65" t="b">
        <v>0</v>
      </c>
      <c r="H715" s="65" t="b">
        <v>0</v>
      </c>
      <c r="I715" s="65" t="b">
        <v>0</v>
      </c>
      <c r="J715" s="65" t="b">
        <v>0</v>
      </c>
    </row>
    <row r="716" spans="1:14" x14ac:dyDescent="0.2">
      <c r="A716" s="51">
        <v>715</v>
      </c>
      <c r="B716" s="56" t="s">
        <v>1086</v>
      </c>
      <c r="C716" s="47" t="s">
        <v>3152</v>
      </c>
      <c r="D716" s="47" t="s">
        <v>3153</v>
      </c>
      <c r="E716" s="47" t="s">
        <v>2164</v>
      </c>
      <c r="F716" s="55" t="b">
        <v>1</v>
      </c>
      <c r="G716" s="65" t="b">
        <v>0</v>
      </c>
      <c r="H716" s="65" t="b">
        <v>0</v>
      </c>
      <c r="I716" s="65" t="b">
        <v>0</v>
      </c>
      <c r="J716" s="65" t="b">
        <v>0</v>
      </c>
    </row>
    <row r="717" spans="1:14" x14ac:dyDescent="0.2">
      <c r="A717" s="51">
        <v>716</v>
      </c>
      <c r="B717" s="56" t="s">
        <v>1086</v>
      </c>
      <c r="C717" s="47" t="s">
        <v>3154</v>
      </c>
      <c r="D717" s="47" t="s">
        <v>3155</v>
      </c>
      <c r="E717" s="47" t="s">
        <v>2164</v>
      </c>
      <c r="F717" s="55" t="b">
        <v>1</v>
      </c>
      <c r="G717" s="65" t="b">
        <v>0</v>
      </c>
      <c r="H717" s="65" t="b">
        <v>0</v>
      </c>
      <c r="I717" s="65" t="b">
        <v>0</v>
      </c>
      <c r="J717" s="65" t="b">
        <v>0</v>
      </c>
    </row>
    <row r="718" spans="1:14" x14ac:dyDescent="0.2">
      <c r="A718" s="51">
        <v>717</v>
      </c>
      <c r="B718" s="54" t="s">
        <v>586</v>
      </c>
      <c r="C718" s="47" t="s">
        <v>3008</v>
      </c>
      <c r="D718" s="47" t="s">
        <v>12156</v>
      </c>
      <c r="E718" s="47" t="s">
        <v>1719</v>
      </c>
      <c r="F718" s="55" t="b">
        <v>1</v>
      </c>
      <c r="G718" s="54" t="b">
        <v>1</v>
      </c>
      <c r="H718" s="54" t="b">
        <v>1</v>
      </c>
      <c r="I718" s="65" t="b">
        <v>0</v>
      </c>
      <c r="J718" s="54" t="b">
        <v>1</v>
      </c>
      <c r="K718" s="63" t="s">
        <v>586</v>
      </c>
      <c r="L718" s="63" t="s">
        <v>3008</v>
      </c>
      <c r="M718" s="63" t="s">
        <v>3009</v>
      </c>
      <c r="N718" s="63" t="s">
        <v>1719</v>
      </c>
    </row>
    <row r="719" spans="1:14" x14ac:dyDescent="0.2">
      <c r="A719" s="51">
        <v>718</v>
      </c>
      <c r="B719" s="54" t="s">
        <v>586</v>
      </c>
      <c r="C719" s="47" t="s">
        <v>3024</v>
      </c>
      <c r="D719" s="47" t="s">
        <v>12164</v>
      </c>
      <c r="E719" s="47" t="s">
        <v>1719</v>
      </c>
      <c r="F719" s="55" t="b">
        <v>1</v>
      </c>
      <c r="G719" s="54" t="b">
        <v>1</v>
      </c>
      <c r="H719" s="54" t="b">
        <v>1</v>
      </c>
      <c r="I719" s="65" t="b">
        <v>0</v>
      </c>
      <c r="J719" s="54" t="b">
        <v>1</v>
      </c>
      <c r="K719" s="63" t="s">
        <v>586</v>
      </c>
      <c r="L719" s="63" t="s">
        <v>3024</v>
      </c>
      <c r="M719" s="63" t="s">
        <v>3025</v>
      </c>
      <c r="N719" s="63" t="s">
        <v>1719</v>
      </c>
    </row>
    <row r="720" spans="1:14" x14ac:dyDescent="0.2">
      <c r="A720" s="51">
        <v>719</v>
      </c>
      <c r="B720" s="54" t="s">
        <v>586</v>
      </c>
      <c r="C720" s="47" t="s">
        <v>3033</v>
      </c>
      <c r="D720" s="47" t="s">
        <v>12165</v>
      </c>
      <c r="E720" s="47" t="s">
        <v>1719</v>
      </c>
      <c r="F720" s="55" t="b">
        <v>1</v>
      </c>
      <c r="G720" s="54" t="b">
        <v>1</v>
      </c>
      <c r="H720" s="54" t="b">
        <v>1</v>
      </c>
      <c r="I720" s="65" t="b">
        <v>0</v>
      </c>
      <c r="J720" s="54" t="b">
        <v>1</v>
      </c>
      <c r="K720" s="63" t="s">
        <v>586</v>
      </c>
      <c r="L720" s="63" t="s">
        <v>3033</v>
      </c>
      <c r="M720" s="63" t="s">
        <v>3034</v>
      </c>
      <c r="N720" s="63" t="s">
        <v>1719</v>
      </c>
    </row>
    <row r="721" spans="1:14" x14ac:dyDescent="0.2">
      <c r="A721" s="51">
        <v>720</v>
      </c>
      <c r="B721" s="54" t="s">
        <v>586</v>
      </c>
      <c r="C721" s="47" t="s">
        <v>3037</v>
      </c>
      <c r="D721" s="47" t="s">
        <v>3038</v>
      </c>
      <c r="E721" s="47" t="s">
        <v>2164</v>
      </c>
      <c r="F721" s="55" t="b">
        <v>1</v>
      </c>
      <c r="G721" s="54" t="b">
        <v>1</v>
      </c>
      <c r="H721" s="54" t="b">
        <v>1</v>
      </c>
      <c r="I721" s="54" t="b">
        <v>1</v>
      </c>
      <c r="J721" s="65" t="b">
        <v>0</v>
      </c>
      <c r="K721" s="63" t="s">
        <v>586</v>
      </c>
      <c r="L721" s="63" t="s">
        <v>3037</v>
      </c>
      <c r="M721" s="63" t="s">
        <v>3038</v>
      </c>
      <c r="N721" s="63" t="s">
        <v>3028</v>
      </c>
    </row>
    <row r="722" spans="1:14" x14ac:dyDescent="0.2">
      <c r="A722" s="51">
        <v>721</v>
      </c>
      <c r="B722" s="54" t="s">
        <v>586</v>
      </c>
      <c r="C722" s="47" t="s">
        <v>3041</v>
      </c>
      <c r="D722" s="47" t="s">
        <v>3042</v>
      </c>
      <c r="E722" s="47" t="s">
        <v>1719</v>
      </c>
      <c r="F722" s="55" t="b">
        <v>1</v>
      </c>
      <c r="G722" s="54" t="b">
        <v>1</v>
      </c>
      <c r="H722" s="54" t="b">
        <v>1</v>
      </c>
      <c r="I722" s="54" t="b">
        <v>1</v>
      </c>
      <c r="J722" s="54" t="b">
        <v>1</v>
      </c>
      <c r="K722" s="63" t="s">
        <v>586</v>
      </c>
      <c r="L722" s="63" t="s">
        <v>3041</v>
      </c>
      <c r="M722" s="63" t="s">
        <v>3042</v>
      </c>
      <c r="N722" s="63" t="s">
        <v>1719</v>
      </c>
    </row>
    <row r="723" spans="1:14" x14ac:dyDescent="0.2">
      <c r="A723" s="51">
        <v>722</v>
      </c>
      <c r="B723" s="54" t="s">
        <v>586</v>
      </c>
      <c r="C723" s="47" t="s">
        <v>3043</v>
      </c>
      <c r="D723" s="47" t="s">
        <v>12168</v>
      </c>
      <c r="E723" s="47" t="s">
        <v>1719</v>
      </c>
      <c r="F723" s="55" t="b">
        <v>1</v>
      </c>
      <c r="G723" s="54" t="b">
        <v>1</v>
      </c>
      <c r="H723" s="54" t="b">
        <v>1</v>
      </c>
      <c r="I723" s="65" t="b">
        <v>0</v>
      </c>
      <c r="J723" s="54" t="b">
        <v>1</v>
      </c>
      <c r="K723" s="63" t="s">
        <v>586</v>
      </c>
      <c r="L723" s="63" t="s">
        <v>3043</v>
      </c>
      <c r="M723" s="63" t="s">
        <v>3044</v>
      </c>
      <c r="N723" s="63" t="s">
        <v>1719</v>
      </c>
    </row>
    <row r="724" spans="1:14" x14ac:dyDescent="0.2">
      <c r="A724" s="51">
        <v>723</v>
      </c>
      <c r="B724" s="54" t="s">
        <v>586</v>
      </c>
      <c r="C724" s="47" t="s">
        <v>3039</v>
      </c>
      <c r="D724" s="47" t="s">
        <v>12169</v>
      </c>
      <c r="E724" s="47" t="s">
        <v>1719</v>
      </c>
      <c r="F724" s="55" t="b">
        <v>1</v>
      </c>
      <c r="G724" s="54" t="b">
        <v>1</v>
      </c>
      <c r="H724" s="54" t="b">
        <v>1</v>
      </c>
      <c r="I724" s="65" t="b">
        <v>0</v>
      </c>
      <c r="J724" s="54" t="b">
        <v>1</v>
      </c>
      <c r="K724" s="63" t="s">
        <v>586</v>
      </c>
      <c r="L724" s="63" t="s">
        <v>3039</v>
      </c>
      <c r="M724" s="63" t="s">
        <v>3040</v>
      </c>
      <c r="N724" s="63" t="s">
        <v>1719</v>
      </c>
    </row>
    <row r="725" spans="1:14" x14ac:dyDescent="0.2">
      <c r="A725" s="51">
        <v>724</v>
      </c>
      <c r="B725" s="54" t="s">
        <v>586</v>
      </c>
      <c r="C725" s="47" t="s">
        <v>3045</v>
      </c>
      <c r="D725" s="47" t="s">
        <v>12170</v>
      </c>
      <c r="E725" s="47" t="s">
        <v>1719</v>
      </c>
      <c r="F725" s="55" t="b">
        <v>1</v>
      </c>
      <c r="G725" s="54" t="b">
        <v>1</v>
      </c>
      <c r="H725" s="54" t="b">
        <v>1</v>
      </c>
      <c r="I725" s="65" t="b">
        <v>0</v>
      </c>
      <c r="J725" s="54" t="b">
        <v>1</v>
      </c>
      <c r="K725" s="63" t="s">
        <v>586</v>
      </c>
      <c r="L725" s="63" t="s">
        <v>3045</v>
      </c>
      <c r="M725" s="63" t="s">
        <v>3046</v>
      </c>
      <c r="N725" s="63" t="s">
        <v>1719</v>
      </c>
    </row>
    <row r="726" spans="1:14" x14ac:dyDescent="0.2">
      <c r="A726" s="51">
        <v>725</v>
      </c>
      <c r="B726" s="54" t="s">
        <v>586</v>
      </c>
      <c r="C726" s="47" t="s">
        <v>3047</v>
      </c>
      <c r="D726" s="47" t="s">
        <v>12171</v>
      </c>
      <c r="E726" s="47" t="s">
        <v>1719</v>
      </c>
      <c r="F726" s="55" t="b">
        <v>1</v>
      </c>
      <c r="G726" s="54" t="b">
        <v>1</v>
      </c>
      <c r="H726" s="54" t="b">
        <v>1</v>
      </c>
      <c r="I726" s="65" t="b">
        <v>0</v>
      </c>
      <c r="J726" s="54" t="b">
        <v>1</v>
      </c>
      <c r="K726" s="63" t="s">
        <v>586</v>
      </c>
      <c r="L726" s="63" t="s">
        <v>3047</v>
      </c>
      <c r="M726" s="63" t="s">
        <v>3048</v>
      </c>
      <c r="N726" s="63" t="s">
        <v>1719</v>
      </c>
    </row>
    <row r="727" spans="1:14" x14ac:dyDescent="0.2">
      <c r="A727" s="51">
        <v>726</v>
      </c>
      <c r="B727" s="54" t="s">
        <v>586</v>
      </c>
      <c r="C727" s="47" t="s">
        <v>3031</v>
      </c>
      <c r="D727" s="47" t="s">
        <v>12172</v>
      </c>
      <c r="E727" s="47" t="s">
        <v>1719</v>
      </c>
      <c r="F727" s="55" t="b">
        <v>1</v>
      </c>
      <c r="G727" s="54" t="b">
        <v>1</v>
      </c>
      <c r="H727" s="54" t="b">
        <v>1</v>
      </c>
      <c r="I727" s="65" t="b">
        <v>0</v>
      </c>
      <c r="J727" s="65" t="b">
        <v>0</v>
      </c>
      <c r="K727" s="63" t="s">
        <v>586</v>
      </c>
      <c r="L727" s="63" t="s">
        <v>3031</v>
      </c>
      <c r="M727" s="63" t="s">
        <v>3032</v>
      </c>
      <c r="N727" s="63" t="s">
        <v>3028</v>
      </c>
    </row>
    <row r="728" spans="1:14" x14ac:dyDescent="0.2">
      <c r="A728" s="51">
        <v>727</v>
      </c>
      <c r="B728" s="54" t="s">
        <v>586</v>
      </c>
      <c r="C728" s="47" t="s">
        <v>3049</v>
      </c>
      <c r="D728" s="47" t="s">
        <v>12173</v>
      </c>
      <c r="E728" s="47" t="s">
        <v>1719</v>
      </c>
      <c r="F728" s="55" t="b">
        <v>1</v>
      </c>
      <c r="G728" s="54" t="b">
        <v>1</v>
      </c>
      <c r="H728" s="54" t="b">
        <v>1</v>
      </c>
      <c r="I728" s="65" t="b">
        <v>0</v>
      </c>
      <c r="J728" s="54" t="b">
        <v>1</v>
      </c>
      <c r="K728" s="63" t="s">
        <v>586</v>
      </c>
      <c r="L728" s="63" t="s">
        <v>3049</v>
      </c>
      <c r="M728" s="63" t="s">
        <v>3050</v>
      </c>
      <c r="N728" s="63" t="s">
        <v>1719</v>
      </c>
    </row>
    <row r="729" spans="1:14" x14ac:dyDescent="0.2">
      <c r="A729" s="51">
        <v>728</v>
      </c>
      <c r="B729" s="54" t="s">
        <v>586</v>
      </c>
      <c r="C729" s="47" t="s">
        <v>3006</v>
      </c>
      <c r="D729" s="47" t="s">
        <v>12157</v>
      </c>
      <c r="E729" s="47" t="s">
        <v>1719</v>
      </c>
      <c r="F729" s="55" t="b">
        <v>1</v>
      </c>
      <c r="G729" s="54" t="b">
        <v>1</v>
      </c>
      <c r="H729" s="54" t="b">
        <v>1</v>
      </c>
      <c r="I729" s="65" t="b">
        <v>0</v>
      </c>
      <c r="J729" s="54" t="b">
        <v>1</v>
      </c>
      <c r="K729" s="63" t="s">
        <v>586</v>
      </c>
      <c r="L729" s="63" t="s">
        <v>3006</v>
      </c>
      <c r="M729" s="63" t="s">
        <v>3007</v>
      </c>
      <c r="N729" s="63" t="s">
        <v>1719</v>
      </c>
    </row>
    <row r="730" spans="1:14" x14ac:dyDescent="0.2">
      <c r="A730" s="51">
        <v>729</v>
      </c>
      <c r="B730" s="54" t="s">
        <v>586</v>
      </c>
      <c r="C730" s="47" t="s">
        <v>3051</v>
      </c>
      <c r="D730" s="47" t="s">
        <v>12174</v>
      </c>
      <c r="E730" s="47" t="s">
        <v>1719</v>
      </c>
      <c r="F730" s="55" t="b">
        <v>1</v>
      </c>
      <c r="G730" s="54" t="b">
        <v>1</v>
      </c>
      <c r="H730" s="54" t="b">
        <v>1</v>
      </c>
      <c r="I730" s="65" t="b">
        <v>0</v>
      </c>
      <c r="J730" s="54" t="b">
        <v>1</v>
      </c>
      <c r="K730" s="63" t="s">
        <v>586</v>
      </c>
      <c r="L730" s="63" t="s">
        <v>3051</v>
      </c>
      <c r="M730" s="63" t="s">
        <v>3052</v>
      </c>
      <c r="N730" s="63" t="s">
        <v>1719</v>
      </c>
    </row>
    <row r="731" spans="1:14" x14ac:dyDescent="0.2">
      <c r="A731" s="51">
        <v>730</v>
      </c>
      <c r="B731" s="54" t="s">
        <v>586</v>
      </c>
      <c r="C731" s="47" t="s">
        <v>3053</v>
      </c>
      <c r="D731" s="47" t="s">
        <v>12175</v>
      </c>
      <c r="E731" s="47" t="s">
        <v>1719</v>
      </c>
      <c r="F731" s="55" t="b">
        <v>1</v>
      </c>
      <c r="G731" s="54" t="b">
        <v>1</v>
      </c>
      <c r="H731" s="54" t="b">
        <v>1</v>
      </c>
      <c r="I731" s="65" t="b">
        <v>0</v>
      </c>
      <c r="J731" s="54" t="b">
        <v>1</v>
      </c>
      <c r="K731" s="63" t="s">
        <v>586</v>
      </c>
      <c r="L731" s="63" t="s">
        <v>3053</v>
      </c>
      <c r="M731" s="63" t="s">
        <v>3054</v>
      </c>
      <c r="N731" s="63" t="s">
        <v>1719</v>
      </c>
    </row>
    <row r="732" spans="1:14" x14ac:dyDescent="0.2">
      <c r="A732" s="51">
        <v>731</v>
      </c>
      <c r="B732" s="54" t="s">
        <v>586</v>
      </c>
      <c r="C732" s="47" t="s">
        <v>3035</v>
      </c>
      <c r="D732" s="47" t="s">
        <v>12166</v>
      </c>
      <c r="E732" s="47" t="s">
        <v>1719</v>
      </c>
      <c r="F732" s="55" t="b">
        <v>1</v>
      </c>
      <c r="G732" s="54" t="b">
        <v>1</v>
      </c>
      <c r="H732" s="54" t="b">
        <v>1</v>
      </c>
      <c r="I732" s="65" t="b">
        <v>0</v>
      </c>
      <c r="J732" s="54" t="b">
        <v>1</v>
      </c>
      <c r="K732" s="63" t="s">
        <v>586</v>
      </c>
      <c r="L732" s="63" t="s">
        <v>3035</v>
      </c>
      <c r="M732" s="63" t="s">
        <v>3036</v>
      </c>
      <c r="N732" s="63" t="s">
        <v>1719</v>
      </c>
    </row>
    <row r="733" spans="1:14" x14ac:dyDescent="0.2">
      <c r="A733" s="51">
        <v>732</v>
      </c>
      <c r="B733" s="54" t="s">
        <v>586</v>
      </c>
      <c r="C733" s="47" t="s">
        <v>3026</v>
      </c>
      <c r="D733" s="47" t="s">
        <v>12162</v>
      </c>
      <c r="E733" s="47" t="s">
        <v>1719</v>
      </c>
      <c r="F733" s="55" t="b">
        <v>1</v>
      </c>
      <c r="G733" s="54" t="b">
        <v>1</v>
      </c>
      <c r="H733" s="54" t="b">
        <v>1</v>
      </c>
      <c r="I733" s="65" t="b">
        <v>0</v>
      </c>
      <c r="J733" s="65" t="b">
        <v>0</v>
      </c>
      <c r="K733" s="63" t="s">
        <v>586</v>
      </c>
      <c r="L733" s="63" t="s">
        <v>3026</v>
      </c>
      <c r="M733" s="63" t="s">
        <v>3027</v>
      </c>
      <c r="N733" s="63" t="s">
        <v>3028</v>
      </c>
    </row>
    <row r="734" spans="1:14" x14ac:dyDescent="0.2">
      <c r="A734" s="51">
        <v>733</v>
      </c>
      <c r="B734" s="54" t="s">
        <v>586</v>
      </c>
      <c r="C734" s="47" t="s">
        <v>3029</v>
      </c>
      <c r="D734" s="47" t="s">
        <v>12167</v>
      </c>
      <c r="E734" s="47" t="s">
        <v>1719</v>
      </c>
      <c r="F734" s="55" t="b">
        <v>1</v>
      </c>
      <c r="G734" s="54" t="b">
        <v>1</v>
      </c>
      <c r="H734" s="54" t="b">
        <v>1</v>
      </c>
      <c r="I734" s="65" t="b">
        <v>0</v>
      </c>
      <c r="J734" s="65" t="b">
        <v>0</v>
      </c>
      <c r="K734" s="63" t="s">
        <v>586</v>
      </c>
      <c r="L734" s="63" t="s">
        <v>3029</v>
      </c>
      <c r="M734" s="63" t="s">
        <v>3030</v>
      </c>
      <c r="N734" s="63" t="s">
        <v>3028</v>
      </c>
    </row>
    <row r="735" spans="1:14" x14ac:dyDescent="0.2">
      <c r="A735" s="51">
        <v>734</v>
      </c>
      <c r="B735" s="54" t="s">
        <v>586</v>
      </c>
      <c r="C735" s="47" t="s">
        <v>12176</v>
      </c>
      <c r="D735" s="47" t="s">
        <v>12177</v>
      </c>
      <c r="E735" s="47" t="s">
        <v>1719</v>
      </c>
      <c r="F735" s="55" t="b">
        <v>1</v>
      </c>
      <c r="G735" s="65" t="b">
        <v>0</v>
      </c>
      <c r="H735" s="65" t="b">
        <v>0</v>
      </c>
      <c r="I735" s="65" t="b">
        <v>0</v>
      </c>
      <c r="J735" s="65" t="b">
        <v>0</v>
      </c>
    </row>
    <row r="736" spans="1:14" x14ac:dyDescent="0.2">
      <c r="A736" s="51">
        <v>735</v>
      </c>
      <c r="B736" s="54" t="s">
        <v>586</v>
      </c>
      <c r="C736" s="47" t="s">
        <v>3010</v>
      </c>
      <c r="D736" s="47" t="s">
        <v>12158</v>
      </c>
      <c r="E736" s="47" t="s">
        <v>1719</v>
      </c>
      <c r="F736" s="55" t="b">
        <v>1</v>
      </c>
      <c r="G736" s="54" t="b">
        <v>1</v>
      </c>
      <c r="H736" s="54" t="b">
        <v>1</v>
      </c>
      <c r="I736" s="65" t="b">
        <v>0</v>
      </c>
      <c r="J736" s="54" t="b">
        <v>1</v>
      </c>
      <c r="K736" s="63" t="s">
        <v>586</v>
      </c>
      <c r="L736" s="63" t="s">
        <v>3010</v>
      </c>
      <c r="M736" s="63" t="s">
        <v>3011</v>
      </c>
      <c r="N736" s="63" t="s">
        <v>1719</v>
      </c>
    </row>
    <row r="737" spans="1:14" x14ac:dyDescent="0.2">
      <c r="A737" s="51">
        <v>736</v>
      </c>
      <c r="B737" s="54" t="s">
        <v>586</v>
      </c>
      <c r="C737" s="47" t="s">
        <v>3012</v>
      </c>
      <c r="D737" s="47" t="s">
        <v>3013</v>
      </c>
      <c r="E737" s="47" t="s">
        <v>1719</v>
      </c>
      <c r="F737" s="55" t="b">
        <v>1</v>
      </c>
      <c r="G737" s="54" t="b">
        <v>1</v>
      </c>
      <c r="H737" s="54" t="b">
        <v>1</v>
      </c>
      <c r="I737" s="54" t="b">
        <v>1</v>
      </c>
      <c r="J737" s="54" t="b">
        <v>1</v>
      </c>
      <c r="K737" s="63" t="s">
        <v>586</v>
      </c>
      <c r="L737" s="63" t="s">
        <v>3012</v>
      </c>
      <c r="M737" s="63" t="s">
        <v>3013</v>
      </c>
      <c r="N737" s="63" t="s">
        <v>1719</v>
      </c>
    </row>
    <row r="738" spans="1:14" x14ac:dyDescent="0.2">
      <c r="A738" s="51">
        <v>737</v>
      </c>
      <c r="B738" s="54" t="s">
        <v>586</v>
      </c>
      <c r="C738" s="47" t="s">
        <v>3014</v>
      </c>
      <c r="D738" s="47" t="s">
        <v>12159</v>
      </c>
      <c r="E738" s="47" t="s">
        <v>1719</v>
      </c>
      <c r="F738" s="55" t="b">
        <v>1</v>
      </c>
      <c r="G738" s="54" t="b">
        <v>1</v>
      </c>
      <c r="H738" s="54" t="b">
        <v>1</v>
      </c>
      <c r="I738" s="65" t="b">
        <v>0</v>
      </c>
      <c r="J738" s="54" t="b">
        <v>1</v>
      </c>
      <c r="K738" s="63" t="s">
        <v>586</v>
      </c>
      <c r="L738" s="63" t="s">
        <v>3014</v>
      </c>
      <c r="M738" s="63" t="s">
        <v>3015</v>
      </c>
      <c r="N738" s="63" t="s">
        <v>1719</v>
      </c>
    </row>
    <row r="739" spans="1:14" x14ac:dyDescent="0.2">
      <c r="A739" s="51">
        <v>738</v>
      </c>
      <c r="B739" s="54" t="s">
        <v>586</v>
      </c>
      <c r="C739" s="47" t="s">
        <v>3016</v>
      </c>
      <c r="D739" s="47" t="s">
        <v>12160</v>
      </c>
      <c r="E739" s="47" t="s">
        <v>1719</v>
      </c>
      <c r="F739" s="55" t="b">
        <v>1</v>
      </c>
      <c r="G739" s="54" t="b">
        <v>1</v>
      </c>
      <c r="H739" s="54" t="b">
        <v>1</v>
      </c>
      <c r="I739" s="65" t="b">
        <v>0</v>
      </c>
      <c r="J739" s="54" t="b">
        <v>1</v>
      </c>
      <c r="K739" s="63" t="s">
        <v>586</v>
      </c>
      <c r="L739" s="63" t="s">
        <v>3016</v>
      </c>
      <c r="M739" s="63" t="s">
        <v>3017</v>
      </c>
      <c r="N739" s="63" t="s">
        <v>1719</v>
      </c>
    </row>
    <row r="740" spans="1:14" x14ac:dyDescent="0.2">
      <c r="A740" s="51">
        <v>739</v>
      </c>
      <c r="B740" s="54" t="s">
        <v>586</v>
      </c>
      <c r="C740" s="47" t="s">
        <v>3018</v>
      </c>
      <c r="D740" s="47" t="s">
        <v>3019</v>
      </c>
      <c r="E740" s="47" t="s">
        <v>1719</v>
      </c>
      <c r="F740" s="55" t="b">
        <v>1</v>
      </c>
      <c r="G740" s="54" t="b">
        <v>1</v>
      </c>
      <c r="H740" s="54" t="b">
        <v>1</v>
      </c>
      <c r="I740" s="54" t="b">
        <v>1</v>
      </c>
      <c r="J740" s="54" t="b">
        <v>1</v>
      </c>
      <c r="K740" s="63" t="s">
        <v>586</v>
      </c>
      <c r="L740" s="63" t="s">
        <v>3018</v>
      </c>
      <c r="M740" s="63" t="s">
        <v>3019</v>
      </c>
      <c r="N740" s="63" t="s">
        <v>1719</v>
      </c>
    </row>
    <row r="741" spans="1:14" x14ac:dyDescent="0.2">
      <c r="A741" s="51">
        <v>740</v>
      </c>
      <c r="B741" s="54" t="s">
        <v>586</v>
      </c>
      <c r="C741" s="47" t="s">
        <v>3020</v>
      </c>
      <c r="D741" s="47" t="s">
        <v>12161</v>
      </c>
      <c r="E741" s="47" t="s">
        <v>1719</v>
      </c>
      <c r="F741" s="55" t="b">
        <v>1</v>
      </c>
      <c r="G741" s="54" t="b">
        <v>1</v>
      </c>
      <c r="H741" s="54" t="b">
        <v>1</v>
      </c>
      <c r="I741" s="65" t="b">
        <v>0</v>
      </c>
      <c r="J741" s="54" t="b">
        <v>1</v>
      </c>
      <c r="K741" s="63" t="s">
        <v>586</v>
      </c>
      <c r="L741" s="63" t="s">
        <v>3020</v>
      </c>
      <c r="M741" s="63" t="s">
        <v>3021</v>
      </c>
      <c r="N741" s="63" t="s">
        <v>1719</v>
      </c>
    </row>
    <row r="742" spans="1:14" x14ac:dyDescent="0.2">
      <c r="A742" s="51">
        <v>741</v>
      </c>
      <c r="B742" s="54" t="s">
        <v>586</v>
      </c>
      <c r="C742" s="47" t="s">
        <v>3022</v>
      </c>
      <c r="D742" s="47" t="s">
        <v>12163</v>
      </c>
      <c r="E742" s="47" t="s">
        <v>1719</v>
      </c>
      <c r="F742" s="55" t="b">
        <v>1</v>
      </c>
      <c r="G742" s="54" t="b">
        <v>1</v>
      </c>
      <c r="H742" s="54" t="b">
        <v>1</v>
      </c>
      <c r="I742" s="65" t="b">
        <v>0</v>
      </c>
      <c r="J742" s="54" t="b">
        <v>1</v>
      </c>
      <c r="K742" s="63" t="s">
        <v>586</v>
      </c>
      <c r="L742" s="63" t="s">
        <v>3022</v>
      </c>
      <c r="M742" s="63" t="s">
        <v>3023</v>
      </c>
      <c r="N742" s="63" t="s">
        <v>1719</v>
      </c>
    </row>
    <row r="743" spans="1:14" x14ac:dyDescent="0.2">
      <c r="A743" s="51">
        <v>742</v>
      </c>
      <c r="B743" s="54" t="s">
        <v>588</v>
      </c>
      <c r="C743" s="47" t="s">
        <v>3055</v>
      </c>
      <c r="D743" s="47" t="s">
        <v>3056</v>
      </c>
      <c r="E743" s="47" t="s">
        <v>2087</v>
      </c>
      <c r="F743" s="55" t="b">
        <v>1</v>
      </c>
      <c r="G743" s="54" t="b">
        <v>1</v>
      </c>
      <c r="H743" s="54" t="b">
        <v>1</v>
      </c>
      <c r="I743" s="54" t="b">
        <v>1</v>
      </c>
      <c r="J743" s="54" t="b">
        <v>1</v>
      </c>
      <c r="K743" s="63" t="s">
        <v>588</v>
      </c>
      <c r="L743" s="63" t="s">
        <v>3055</v>
      </c>
      <c r="M743" s="63" t="s">
        <v>3056</v>
      </c>
      <c r="N743" s="63" t="s">
        <v>2087</v>
      </c>
    </row>
    <row r="744" spans="1:14" x14ac:dyDescent="0.2">
      <c r="A744" s="51">
        <v>743</v>
      </c>
      <c r="B744" s="54" t="s">
        <v>588</v>
      </c>
      <c r="C744" s="47" t="s">
        <v>3057</v>
      </c>
      <c r="D744" s="47" t="s">
        <v>2875</v>
      </c>
      <c r="E744" s="47" t="s">
        <v>2087</v>
      </c>
      <c r="F744" s="55" t="b">
        <v>1</v>
      </c>
      <c r="G744" s="54" t="b">
        <v>1</v>
      </c>
      <c r="H744" s="54" t="b">
        <v>1</v>
      </c>
      <c r="I744" s="54" t="b">
        <v>1</v>
      </c>
      <c r="J744" s="54" t="b">
        <v>1</v>
      </c>
      <c r="K744" s="63" t="s">
        <v>588</v>
      </c>
      <c r="L744" s="63" t="s">
        <v>3057</v>
      </c>
      <c r="M744" s="63" t="s">
        <v>2875</v>
      </c>
      <c r="N744" s="63" t="s">
        <v>2087</v>
      </c>
    </row>
    <row r="745" spans="1:14" x14ac:dyDescent="0.2">
      <c r="A745" s="51">
        <v>744</v>
      </c>
      <c r="B745" s="54" t="s">
        <v>588</v>
      </c>
      <c r="C745" s="47" t="s">
        <v>3060</v>
      </c>
      <c r="D745" s="47" t="s">
        <v>3061</v>
      </c>
      <c r="E745" s="47" t="s">
        <v>2087</v>
      </c>
      <c r="F745" s="55" t="b">
        <v>1</v>
      </c>
      <c r="G745" s="54" t="b">
        <v>1</v>
      </c>
      <c r="H745" s="54" t="b">
        <v>1</v>
      </c>
      <c r="I745" s="54" t="b">
        <v>1</v>
      </c>
      <c r="J745" s="54" t="b">
        <v>1</v>
      </c>
      <c r="K745" s="63" t="s">
        <v>588</v>
      </c>
      <c r="L745" s="63" t="s">
        <v>3060</v>
      </c>
      <c r="M745" s="63" t="s">
        <v>3061</v>
      </c>
      <c r="N745" s="63" t="s">
        <v>2087</v>
      </c>
    </row>
    <row r="746" spans="1:14" x14ac:dyDescent="0.2">
      <c r="A746" s="51">
        <v>745</v>
      </c>
      <c r="G746" s="65" t="b">
        <v>0</v>
      </c>
      <c r="H746" s="65" t="b">
        <v>0</v>
      </c>
      <c r="I746" s="65" t="b">
        <v>0</v>
      </c>
      <c r="J746" s="65" t="b">
        <v>0</v>
      </c>
      <c r="K746" s="63" t="s">
        <v>588</v>
      </c>
      <c r="L746" s="63" t="s">
        <v>3060</v>
      </c>
      <c r="M746" s="63" t="s">
        <v>3062</v>
      </c>
      <c r="N746" s="63" t="s">
        <v>2087</v>
      </c>
    </row>
    <row r="747" spans="1:14" x14ac:dyDescent="0.2">
      <c r="A747" s="51">
        <v>746</v>
      </c>
      <c r="B747" s="54" t="s">
        <v>588</v>
      </c>
      <c r="C747" s="47" t="s">
        <v>3058</v>
      </c>
      <c r="D747" s="47" t="s">
        <v>2887</v>
      </c>
      <c r="E747" s="47" t="s">
        <v>2087</v>
      </c>
      <c r="F747" s="55" t="b">
        <v>1</v>
      </c>
      <c r="G747" s="54" t="b">
        <v>1</v>
      </c>
      <c r="H747" s="54" t="b">
        <v>1</v>
      </c>
      <c r="I747" s="65" t="b">
        <v>0</v>
      </c>
      <c r="J747" s="54" t="b">
        <v>1</v>
      </c>
      <c r="K747" s="63" t="s">
        <v>588</v>
      </c>
      <c r="L747" s="63" t="s">
        <v>3058</v>
      </c>
      <c r="M747" s="63" t="s">
        <v>3059</v>
      </c>
      <c r="N747" s="63" t="s">
        <v>2087</v>
      </c>
    </row>
    <row r="748" spans="1:14" x14ac:dyDescent="0.2">
      <c r="A748" s="51">
        <v>747</v>
      </c>
      <c r="G748" s="65" t="b">
        <v>0</v>
      </c>
      <c r="H748" s="65" t="b">
        <v>0</v>
      </c>
      <c r="I748" s="65" t="b">
        <v>0</v>
      </c>
      <c r="J748" s="65" t="b">
        <v>0</v>
      </c>
      <c r="K748" s="63" t="s">
        <v>588</v>
      </c>
      <c r="L748" s="63" t="s">
        <v>3058</v>
      </c>
      <c r="M748" s="63" t="s">
        <v>2887</v>
      </c>
      <c r="N748" s="63" t="s">
        <v>2087</v>
      </c>
    </row>
    <row r="749" spans="1:14" x14ac:dyDescent="0.2">
      <c r="A749" s="51">
        <v>748</v>
      </c>
      <c r="B749" s="54" t="s">
        <v>588</v>
      </c>
      <c r="C749" s="47" t="s">
        <v>3063</v>
      </c>
      <c r="D749" s="47" t="s">
        <v>2604</v>
      </c>
      <c r="E749" s="47" t="s">
        <v>2087</v>
      </c>
      <c r="F749" s="55" t="b">
        <v>1</v>
      </c>
      <c r="G749" s="54" t="b">
        <v>1</v>
      </c>
      <c r="H749" s="54" t="b">
        <v>1</v>
      </c>
      <c r="I749" s="54" t="b">
        <v>1</v>
      </c>
      <c r="J749" s="54" t="b">
        <v>1</v>
      </c>
      <c r="K749" s="63" t="s">
        <v>588</v>
      </c>
      <c r="L749" s="63" t="s">
        <v>3063</v>
      </c>
      <c r="M749" s="63" t="s">
        <v>2604</v>
      </c>
      <c r="N749" s="63" t="s">
        <v>2087</v>
      </c>
    </row>
    <row r="750" spans="1:14" x14ac:dyDescent="0.2">
      <c r="A750" s="51">
        <v>749</v>
      </c>
      <c r="B750" s="54" t="s">
        <v>588</v>
      </c>
      <c r="C750" s="47" t="s">
        <v>3064</v>
      </c>
      <c r="D750" s="47" t="s">
        <v>2929</v>
      </c>
      <c r="E750" s="47" t="s">
        <v>2087</v>
      </c>
      <c r="F750" s="55" t="b">
        <v>1</v>
      </c>
      <c r="G750" s="54" t="b">
        <v>1</v>
      </c>
      <c r="H750" s="54" t="b">
        <v>1</v>
      </c>
      <c r="I750" s="54" t="b">
        <v>1</v>
      </c>
      <c r="J750" s="54" t="b">
        <v>1</v>
      </c>
      <c r="K750" s="63" t="s">
        <v>588</v>
      </c>
      <c r="L750" s="63" t="s">
        <v>3064</v>
      </c>
      <c r="M750" s="63" t="s">
        <v>2929</v>
      </c>
      <c r="N750" s="63" t="s">
        <v>2087</v>
      </c>
    </row>
    <row r="751" spans="1:14" x14ac:dyDescent="0.2">
      <c r="A751" s="51">
        <v>750</v>
      </c>
      <c r="G751" s="65" t="b">
        <v>0</v>
      </c>
      <c r="H751" s="65" t="b">
        <v>0</v>
      </c>
      <c r="I751" s="65" t="b">
        <v>0</v>
      </c>
      <c r="J751" s="65" t="b">
        <v>0</v>
      </c>
      <c r="K751" s="63" t="s">
        <v>588</v>
      </c>
      <c r="L751" s="63" t="s">
        <v>3064</v>
      </c>
      <c r="M751" s="63" t="s">
        <v>3067</v>
      </c>
      <c r="N751" s="63" t="s">
        <v>2087</v>
      </c>
    </row>
    <row r="752" spans="1:14" x14ac:dyDescent="0.2">
      <c r="A752" s="51">
        <v>751</v>
      </c>
      <c r="G752" s="65" t="b">
        <v>0</v>
      </c>
      <c r="H752" s="65" t="b">
        <v>0</v>
      </c>
      <c r="I752" s="65" t="b">
        <v>0</v>
      </c>
      <c r="J752" s="65" t="b">
        <v>0</v>
      </c>
      <c r="K752" s="63" t="s">
        <v>588</v>
      </c>
      <c r="L752" s="63" t="s">
        <v>3065</v>
      </c>
      <c r="M752" s="63" t="s">
        <v>3066</v>
      </c>
      <c r="N752" s="63" t="s">
        <v>2087</v>
      </c>
    </row>
    <row r="753" spans="1:14" x14ac:dyDescent="0.2">
      <c r="A753" s="51">
        <v>752</v>
      </c>
      <c r="B753" s="54" t="s">
        <v>588</v>
      </c>
      <c r="C753" s="47" t="s">
        <v>3065</v>
      </c>
      <c r="D753" s="47" t="s">
        <v>2732</v>
      </c>
      <c r="E753" s="47" t="s">
        <v>2087</v>
      </c>
      <c r="F753" s="55" t="b">
        <v>1</v>
      </c>
      <c r="G753" s="54" t="b">
        <v>1</v>
      </c>
      <c r="H753" s="54" t="b">
        <v>1</v>
      </c>
      <c r="I753" s="54" t="b">
        <v>1</v>
      </c>
      <c r="J753" s="54" t="b">
        <v>1</v>
      </c>
      <c r="K753" s="63" t="s">
        <v>588</v>
      </c>
      <c r="L753" s="63" t="s">
        <v>3065</v>
      </c>
      <c r="M753" s="63" t="s">
        <v>2732</v>
      </c>
      <c r="N753" s="63" t="s">
        <v>2087</v>
      </c>
    </row>
    <row r="754" spans="1:14" x14ac:dyDescent="0.2">
      <c r="A754" s="51">
        <v>753</v>
      </c>
      <c r="B754" s="54" t="s">
        <v>588</v>
      </c>
      <c r="C754" s="47" t="s">
        <v>3068</v>
      </c>
      <c r="D754" s="47" t="s">
        <v>3069</v>
      </c>
      <c r="E754" s="47" t="s">
        <v>2087</v>
      </c>
      <c r="F754" s="55" t="b">
        <v>1</v>
      </c>
      <c r="G754" s="54" t="b">
        <v>1</v>
      </c>
      <c r="H754" s="54" t="b">
        <v>1</v>
      </c>
      <c r="I754" s="54" t="b">
        <v>1</v>
      </c>
      <c r="J754" s="54" t="b">
        <v>1</v>
      </c>
      <c r="K754" s="63" t="s">
        <v>588</v>
      </c>
      <c r="L754" s="63" t="s">
        <v>3068</v>
      </c>
      <c r="M754" s="63" t="s">
        <v>3069</v>
      </c>
      <c r="N754" s="63" t="s">
        <v>2087</v>
      </c>
    </row>
    <row r="755" spans="1:14" x14ac:dyDescent="0.2">
      <c r="A755" s="51">
        <v>754</v>
      </c>
      <c r="G755" s="65" t="b">
        <v>0</v>
      </c>
      <c r="H755" s="65" t="b">
        <v>0</v>
      </c>
      <c r="I755" s="65" t="b">
        <v>0</v>
      </c>
      <c r="J755" s="65" t="b">
        <v>0</v>
      </c>
      <c r="K755" s="63" t="s">
        <v>588</v>
      </c>
      <c r="L755" s="63" t="s">
        <v>3068</v>
      </c>
      <c r="M755" s="63" t="s">
        <v>3075</v>
      </c>
      <c r="N755" s="63" t="s">
        <v>2087</v>
      </c>
    </row>
    <row r="756" spans="1:14" x14ac:dyDescent="0.2">
      <c r="A756" s="51">
        <v>755</v>
      </c>
      <c r="G756" s="65" t="b">
        <v>0</v>
      </c>
      <c r="H756" s="65" t="b">
        <v>0</v>
      </c>
      <c r="I756" s="65" t="b">
        <v>0</v>
      </c>
      <c r="J756" s="65" t="b">
        <v>0</v>
      </c>
      <c r="K756" s="63" t="s">
        <v>588</v>
      </c>
      <c r="L756" s="63" t="s">
        <v>3070</v>
      </c>
      <c r="M756" s="63" t="s">
        <v>3071</v>
      </c>
      <c r="N756" s="63" t="s">
        <v>2087</v>
      </c>
    </row>
    <row r="757" spans="1:14" x14ac:dyDescent="0.2">
      <c r="A757" s="51">
        <v>756</v>
      </c>
      <c r="B757" s="54" t="s">
        <v>588</v>
      </c>
      <c r="C757" s="47" t="s">
        <v>3070</v>
      </c>
      <c r="D757" s="47" t="s">
        <v>3074</v>
      </c>
      <c r="E757" s="47" t="s">
        <v>2087</v>
      </c>
      <c r="F757" s="55" t="b">
        <v>1</v>
      </c>
      <c r="G757" s="54" t="b">
        <v>1</v>
      </c>
      <c r="H757" s="54" t="b">
        <v>1</v>
      </c>
      <c r="I757" s="54" t="b">
        <v>1</v>
      </c>
      <c r="J757" s="54" t="b">
        <v>1</v>
      </c>
      <c r="K757" s="63" t="s">
        <v>588</v>
      </c>
      <c r="L757" s="63" t="s">
        <v>3070</v>
      </c>
      <c r="M757" s="63" t="s">
        <v>3074</v>
      </c>
      <c r="N757" s="63" t="s">
        <v>2087</v>
      </c>
    </row>
    <row r="758" spans="1:14" x14ac:dyDescent="0.2">
      <c r="A758" s="51">
        <v>757</v>
      </c>
      <c r="G758" s="65" t="b">
        <v>0</v>
      </c>
      <c r="H758" s="65" t="b">
        <v>0</v>
      </c>
      <c r="I758" s="65" t="b">
        <v>0</v>
      </c>
      <c r="J758" s="65" t="b">
        <v>0</v>
      </c>
      <c r="K758" s="63" t="s">
        <v>588</v>
      </c>
      <c r="L758" s="63" t="s">
        <v>3072</v>
      </c>
      <c r="M758" s="63" t="s">
        <v>3073</v>
      </c>
      <c r="N758" s="63" t="s">
        <v>2087</v>
      </c>
    </row>
    <row r="759" spans="1:14" x14ac:dyDescent="0.2">
      <c r="A759" s="51">
        <v>758</v>
      </c>
      <c r="B759" s="54" t="s">
        <v>588</v>
      </c>
      <c r="C759" s="47" t="s">
        <v>3072</v>
      </c>
      <c r="D759" s="47" t="s">
        <v>3073</v>
      </c>
      <c r="E759" s="47" t="s">
        <v>2087</v>
      </c>
      <c r="F759" s="55" t="b">
        <v>1</v>
      </c>
      <c r="G759" s="54" t="b">
        <v>1</v>
      </c>
      <c r="H759" s="54" t="b">
        <v>1</v>
      </c>
      <c r="I759" s="65" t="b">
        <v>0</v>
      </c>
      <c r="J759" s="54" t="b">
        <v>1</v>
      </c>
      <c r="K759" s="63" t="s">
        <v>588</v>
      </c>
      <c r="L759" s="63" t="s">
        <v>3072</v>
      </c>
      <c r="M759" s="63" t="s">
        <v>2955</v>
      </c>
      <c r="N759" s="63" t="s">
        <v>2087</v>
      </c>
    </row>
    <row r="760" spans="1:14" x14ac:dyDescent="0.2">
      <c r="A760" s="51">
        <v>759</v>
      </c>
      <c r="B760" s="54" t="s">
        <v>590</v>
      </c>
      <c r="C760" s="47" t="s">
        <v>3076</v>
      </c>
      <c r="D760" s="47" t="s">
        <v>3077</v>
      </c>
      <c r="E760" s="47" t="s">
        <v>1719</v>
      </c>
      <c r="F760" s="55" t="b">
        <v>1</v>
      </c>
      <c r="G760" s="54" t="b">
        <v>1</v>
      </c>
      <c r="H760" s="54" t="b">
        <v>1</v>
      </c>
      <c r="I760" s="54" t="b">
        <v>1</v>
      </c>
      <c r="J760" s="54" t="b">
        <v>1</v>
      </c>
      <c r="K760" s="63" t="s">
        <v>590</v>
      </c>
      <c r="L760" s="63" t="s">
        <v>3076</v>
      </c>
      <c r="M760" s="63" t="s">
        <v>3077</v>
      </c>
      <c r="N760" s="63" t="s">
        <v>1719</v>
      </c>
    </row>
    <row r="761" spans="1:14" x14ac:dyDescent="0.2">
      <c r="A761" s="51">
        <v>760</v>
      </c>
      <c r="B761" s="54" t="s">
        <v>590</v>
      </c>
      <c r="C761" s="47" t="s">
        <v>3078</v>
      </c>
      <c r="D761" s="47" t="s">
        <v>3079</v>
      </c>
      <c r="E761" s="47" t="s">
        <v>1719</v>
      </c>
      <c r="F761" s="55" t="b">
        <v>1</v>
      </c>
      <c r="G761" s="54" t="b">
        <v>1</v>
      </c>
      <c r="H761" s="54" t="b">
        <v>1</v>
      </c>
      <c r="I761" s="54" t="b">
        <v>1</v>
      </c>
      <c r="J761" s="54" t="b">
        <v>1</v>
      </c>
      <c r="K761" s="63" t="s">
        <v>590</v>
      </c>
      <c r="L761" s="63" t="s">
        <v>3078</v>
      </c>
      <c r="M761" s="63" t="s">
        <v>3079</v>
      </c>
      <c r="N761" s="63" t="s">
        <v>1719</v>
      </c>
    </row>
    <row r="762" spans="1:14" x14ac:dyDescent="0.2">
      <c r="A762" s="51">
        <v>761</v>
      </c>
      <c r="G762" s="65" t="b">
        <v>0</v>
      </c>
      <c r="H762" s="65" t="b">
        <v>0</v>
      </c>
      <c r="I762" s="65" t="b">
        <v>0</v>
      </c>
      <c r="J762" s="65" t="b">
        <v>0</v>
      </c>
      <c r="K762" s="63" t="s">
        <v>590</v>
      </c>
      <c r="L762" s="63" t="s">
        <v>3078</v>
      </c>
      <c r="M762" s="63" t="s">
        <v>3080</v>
      </c>
      <c r="N762" s="63" t="s">
        <v>1719</v>
      </c>
    </row>
    <row r="763" spans="1:14" x14ac:dyDescent="0.2">
      <c r="A763" s="51">
        <v>762</v>
      </c>
      <c r="B763" s="54" t="s">
        <v>590</v>
      </c>
      <c r="C763" s="47" t="s">
        <v>3081</v>
      </c>
      <c r="D763" s="47" t="s">
        <v>3082</v>
      </c>
      <c r="E763" s="47" t="s">
        <v>1719</v>
      </c>
      <c r="F763" s="55" t="b">
        <v>1</v>
      </c>
      <c r="G763" s="54" t="b">
        <v>1</v>
      </c>
      <c r="H763" s="54" t="b">
        <v>1</v>
      </c>
      <c r="I763" s="54" t="b">
        <v>1</v>
      </c>
      <c r="J763" s="54" t="b">
        <v>1</v>
      </c>
      <c r="K763" s="63" t="s">
        <v>590</v>
      </c>
      <c r="L763" s="63" t="s">
        <v>3081</v>
      </c>
      <c r="M763" s="63" t="s">
        <v>3082</v>
      </c>
      <c r="N763" s="63" t="s">
        <v>1719</v>
      </c>
    </row>
    <row r="764" spans="1:14" x14ac:dyDescent="0.2">
      <c r="A764" s="51">
        <v>763</v>
      </c>
      <c r="B764" s="54" t="s">
        <v>590</v>
      </c>
      <c r="C764" s="47" t="s">
        <v>3083</v>
      </c>
      <c r="D764" s="47" t="s">
        <v>3084</v>
      </c>
      <c r="E764" s="47" t="s">
        <v>1719</v>
      </c>
      <c r="F764" s="55" t="b">
        <v>1</v>
      </c>
      <c r="G764" s="54" t="b">
        <v>1</v>
      </c>
      <c r="H764" s="54" t="b">
        <v>1</v>
      </c>
      <c r="I764" s="54" t="b">
        <v>1</v>
      </c>
      <c r="J764" s="54" t="b">
        <v>1</v>
      </c>
      <c r="K764" s="63" t="s">
        <v>590</v>
      </c>
      <c r="L764" s="63" t="s">
        <v>3083</v>
      </c>
      <c r="M764" s="63" t="s">
        <v>3084</v>
      </c>
      <c r="N764" s="63" t="s">
        <v>1719</v>
      </c>
    </row>
    <row r="765" spans="1:14" x14ac:dyDescent="0.2">
      <c r="A765" s="51">
        <v>764</v>
      </c>
      <c r="G765" s="65" t="b">
        <v>0</v>
      </c>
      <c r="H765" s="65" t="b">
        <v>0</v>
      </c>
      <c r="I765" s="65" t="b">
        <v>0</v>
      </c>
      <c r="J765" s="65" t="b">
        <v>0</v>
      </c>
      <c r="K765" s="63" t="s">
        <v>590</v>
      </c>
      <c r="L765" s="63" t="s">
        <v>3083</v>
      </c>
      <c r="M765" s="63" t="s">
        <v>3089</v>
      </c>
      <c r="N765" s="63" t="s">
        <v>1719</v>
      </c>
    </row>
    <row r="766" spans="1:14" x14ac:dyDescent="0.2">
      <c r="A766" s="51">
        <v>765</v>
      </c>
      <c r="B766" s="54" t="s">
        <v>590</v>
      </c>
      <c r="C766" s="47" t="s">
        <v>3085</v>
      </c>
      <c r="D766" s="47" t="s">
        <v>3086</v>
      </c>
      <c r="E766" s="47" t="s">
        <v>1719</v>
      </c>
      <c r="F766" s="55" t="b">
        <v>1</v>
      </c>
      <c r="G766" s="54" t="b">
        <v>1</v>
      </c>
      <c r="H766" s="54" t="b">
        <v>1</v>
      </c>
      <c r="I766" s="54" t="b">
        <v>1</v>
      </c>
      <c r="J766" s="54" t="b">
        <v>1</v>
      </c>
      <c r="K766" s="63" t="s">
        <v>590</v>
      </c>
      <c r="L766" s="63" t="s">
        <v>3085</v>
      </c>
      <c r="M766" s="63" t="s">
        <v>3086</v>
      </c>
      <c r="N766" s="63" t="s">
        <v>1719</v>
      </c>
    </row>
    <row r="767" spans="1:14" x14ac:dyDescent="0.2">
      <c r="A767" s="51">
        <v>766</v>
      </c>
      <c r="G767" s="65" t="b">
        <v>0</v>
      </c>
      <c r="H767" s="65" t="b">
        <v>0</v>
      </c>
      <c r="I767" s="65" t="b">
        <v>0</v>
      </c>
      <c r="J767" s="65" t="b">
        <v>0</v>
      </c>
      <c r="K767" s="63" t="s">
        <v>590</v>
      </c>
      <c r="L767" s="63" t="s">
        <v>3085</v>
      </c>
      <c r="M767" s="63" t="s">
        <v>3104</v>
      </c>
      <c r="N767" s="63" t="s">
        <v>1719</v>
      </c>
    </row>
    <row r="768" spans="1:14" x14ac:dyDescent="0.2">
      <c r="A768" s="51">
        <v>767</v>
      </c>
      <c r="G768" s="65" t="b">
        <v>0</v>
      </c>
      <c r="H768" s="65" t="b">
        <v>0</v>
      </c>
      <c r="I768" s="65" t="b">
        <v>0</v>
      </c>
      <c r="J768" s="65" t="b">
        <v>0</v>
      </c>
      <c r="K768" s="63" t="s">
        <v>590</v>
      </c>
      <c r="L768" s="63" t="s">
        <v>3090</v>
      </c>
      <c r="M768" s="63" t="s">
        <v>3091</v>
      </c>
      <c r="N768" s="63" t="s">
        <v>1719</v>
      </c>
    </row>
    <row r="769" spans="1:14" x14ac:dyDescent="0.2">
      <c r="A769" s="51">
        <v>768</v>
      </c>
      <c r="B769" s="54" t="s">
        <v>590</v>
      </c>
      <c r="C769" s="47" t="s">
        <v>3090</v>
      </c>
      <c r="D769" s="47" t="s">
        <v>3092</v>
      </c>
      <c r="E769" s="47" t="s">
        <v>1719</v>
      </c>
      <c r="F769" s="55" t="b">
        <v>1</v>
      </c>
      <c r="G769" s="54" t="b">
        <v>1</v>
      </c>
      <c r="H769" s="54" t="b">
        <v>1</v>
      </c>
      <c r="I769" s="54" t="b">
        <v>1</v>
      </c>
      <c r="J769" s="54" t="b">
        <v>1</v>
      </c>
      <c r="K769" s="63" t="s">
        <v>590</v>
      </c>
      <c r="L769" s="63" t="s">
        <v>3090</v>
      </c>
      <c r="M769" s="63" t="s">
        <v>3092</v>
      </c>
      <c r="N769" s="63" t="s">
        <v>1719</v>
      </c>
    </row>
    <row r="770" spans="1:14" x14ac:dyDescent="0.2">
      <c r="A770" s="51">
        <v>769</v>
      </c>
      <c r="B770" s="54" t="s">
        <v>590</v>
      </c>
      <c r="C770" s="47" t="s">
        <v>3087</v>
      </c>
      <c r="D770" s="47" t="s">
        <v>3088</v>
      </c>
      <c r="E770" s="47" t="s">
        <v>2110</v>
      </c>
      <c r="F770" s="55" t="b">
        <v>1</v>
      </c>
      <c r="G770" s="54" t="b">
        <v>1</v>
      </c>
      <c r="H770" s="54" t="b">
        <v>1</v>
      </c>
      <c r="I770" s="54" t="b">
        <v>1</v>
      </c>
      <c r="J770" s="54" t="b">
        <v>1</v>
      </c>
      <c r="K770" s="63" t="s">
        <v>590</v>
      </c>
      <c r="L770" s="63" t="s">
        <v>3087</v>
      </c>
      <c r="M770" s="63" t="s">
        <v>3088</v>
      </c>
      <c r="N770" s="63" t="s">
        <v>2110</v>
      </c>
    </row>
    <row r="771" spans="1:14" x14ac:dyDescent="0.2">
      <c r="A771" s="51">
        <v>770</v>
      </c>
      <c r="G771" s="65" t="b">
        <v>0</v>
      </c>
      <c r="H771" s="65" t="b">
        <v>0</v>
      </c>
      <c r="I771" s="65" t="b">
        <v>0</v>
      </c>
      <c r="J771" s="65" t="b">
        <v>0</v>
      </c>
      <c r="K771" s="63" t="s">
        <v>590</v>
      </c>
      <c r="L771" s="63" t="s">
        <v>3087</v>
      </c>
      <c r="M771" s="63" t="s">
        <v>3107</v>
      </c>
      <c r="N771" s="63" t="s">
        <v>2110</v>
      </c>
    </row>
    <row r="772" spans="1:14" x14ac:dyDescent="0.2">
      <c r="A772" s="51">
        <v>771</v>
      </c>
      <c r="B772" s="54" t="s">
        <v>590</v>
      </c>
      <c r="C772" s="47" t="s">
        <v>3093</v>
      </c>
      <c r="D772" s="47" t="s">
        <v>3094</v>
      </c>
      <c r="E772" s="47" t="s">
        <v>2110</v>
      </c>
      <c r="F772" s="55" t="b">
        <v>1</v>
      </c>
      <c r="G772" s="54" t="b">
        <v>1</v>
      </c>
      <c r="H772" s="54" t="b">
        <v>1</v>
      </c>
      <c r="I772" s="54" t="b">
        <v>1</v>
      </c>
      <c r="J772" s="54" t="b">
        <v>1</v>
      </c>
      <c r="K772" s="63" t="s">
        <v>590</v>
      </c>
      <c r="L772" s="63" t="s">
        <v>3093</v>
      </c>
      <c r="M772" s="63" t="s">
        <v>3094</v>
      </c>
      <c r="N772" s="63" t="s">
        <v>2110</v>
      </c>
    </row>
    <row r="773" spans="1:14" x14ac:dyDescent="0.2">
      <c r="A773" s="51">
        <v>772</v>
      </c>
      <c r="B773" s="54" t="s">
        <v>590</v>
      </c>
      <c r="C773" s="47" t="s">
        <v>3095</v>
      </c>
      <c r="D773" s="47" t="s">
        <v>3096</v>
      </c>
      <c r="E773" s="47" t="s">
        <v>1719</v>
      </c>
      <c r="F773" s="55" t="b">
        <v>1</v>
      </c>
      <c r="G773" s="54" t="b">
        <v>1</v>
      </c>
      <c r="H773" s="54" t="b">
        <v>1</v>
      </c>
      <c r="I773" s="54" t="b">
        <v>1</v>
      </c>
      <c r="J773" s="54" t="b">
        <v>1</v>
      </c>
      <c r="K773" s="63" t="s">
        <v>590</v>
      </c>
      <c r="L773" s="63" t="s">
        <v>3095</v>
      </c>
      <c r="M773" s="63" t="s">
        <v>3096</v>
      </c>
      <c r="N773" s="63" t="s">
        <v>1719</v>
      </c>
    </row>
    <row r="774" spans="1:14" x14ac:dyDescent="0.2">
      <c r="A774" s="51">
        <v>773</v>
      </c>
      <c r="B774" s="54" t="s">
        <v>590</v>
      </c>
      <c r="C774" s="47" t="s">
        <v>3097</v>
      </c>
      <c r="D774" s="47" t="s">
        <v>3098</v>
      </c>
      <c r="E774" s="47" t="s">
        <v>1719</v>
      </c>
      <c r="F774" s="55" t="b">
        <v>1</v>
      </c>
      <c r="G774" s="54" t="b">
        <v>1</v>
      </c>
      <c r="H774" s="54" t="b">
        <v>1</v>
      </c>
      <c r="I774" s="54" t="b">
        <v>1</v>
      </c>
      <c r="J774" s="54" t="b">
        <v>1</v>
      </c>
      <c r="K774" s="63" t="s">
        <v>590</v>
      </c>
      <c r="L774" s="63" t="s">
        <v>3097</v>
      </c>
      <c r="M774" s="63" t="s">
        <v>3098</v>
      </c>
      <c r="N774" s="63" t="s">
        <v>1719</v>
      </c>
    </row>
    <row r="775" spans="1:14" x14ac:dyDescent="0.2">
      <c r="A775" s="51">
        <v>774</v>
      </c>
      <c r="G775" s="65" t="b">
        <v>0</v>
      </c>
      <c r="H775" s="65" t="b">
        <v>0</v>
      </c>
      <c r="I775" s="65" t="b">
        <v>0</v>
      </c>
      <c r="J775" s="65" t="b">
        <v>0</v>
      </c>
      <c r="K775" s="63" t="s">
        <v>590</v>
      </c>
      <c r="L775" s="63" t="s">
        <v>3097</v>
      </c>
      <c r="M775" s="63" t="s">
        <v>3109</v>
      </c>
      <c r="N775" s="63" t="s">
        <v>1719</v>
      </c>
    </row>
    <row r="776" spans="1:14" x14ac:dyDescent="0.2">
      <c r="A776" s="51">
        <v>775</v>
      </c>
      <c r="G776" s="65" t="b">
        <v>0</v>
      </c>
      <c r="H776" s="65" t="b">
        <v>0</v>
      </c>
      <c r="I776" s="65" t="b">
        <v>0</v>
      </c>
      <c r="J776" s="65" t="b">
        <v>0</v>
      </c>
      <c r="K776" s="63" t="s">
        <v>590</v>
      </c>
      <c r="L776" s="63" t="s">
        <v>3099</v>
      </c>
      <c r="M776" s="63" t="s">
        <v>3100</v>
      </c>
      <c r="N776" s="63" t="s">
        <v>1719</v>
      </c>
    </row>
    <row r="777" spans="1:14" x14ac:dyDescent="0.2">
      <c r="A777" s="51">
        <v>776</v>
      </c>
      <c r="B777" s="54" t="s">
        <v>590</v>
      </c>
      <c r="C777" s="47" t="s">
        <v>3099</v>
      </c>
      <c r="D777" s="47" t="s">
        <v>3101</v>
      </c>
      <c r="E777" s="47" t="s">
        <v>1719</v>
      </c>
      <c r="F777" s="55" t="b">
        <v>1</v>
      </c>
      <c r="G777" s="54" t="b">
        <v>1</v>
      </c>
      <c r="H777" s="54" t="b">
        <v>1</v>
      </c>
      <c r="I777" s="54" t="b">
        <v>1</v>
      </c>
      <c r="J777" s="54" t="b">
        <v>1</v>
      </c>
      <c r="K777" s="63" t="s">
        <v>590</v>
      </c>
      <c r="L777" s="63" t="s">
        <v>3099</v>
      </c>
      <c r="M777" s="63" t="s">
        <v>3101</v>
      </c>
      <c r="N777" s="63" t="s">
        <v>1719</v>
      </c>
    </row>
    <row r="778" spans="1:14" x14ac:dyDescent="0.2">
      <c r="A778" s="51">
        <v>777</v>
      </c>
      <c r="B778" s="54" t="s">
        <v>590</v>
      </c>
      <c r="C778" s="47" t="s">
        <v>3102</v>
      </c>
      <c r="D778" s="47" t="s">
        <v>3103</v>
      </c>
      <c r="E778" s="47" t="s">
        <v>1719</v>
      </c>
      <c r="F778" s="55" t="b">
        <v>1</v>
      </c>
      <c r="G778" s="54" t="b">
        <v>1</v>
      </c>
      <c r="H778" s="54" t="b">
        <v>1</v>
      </c>
      <c r="I778" s="54" t="b">
        <v>1</v>
      </c>
      <c r="J778" s="54" t="b">
        <v>1</v>
      </c>
      <c r="K778" s="63" t="s">
        <v>590</v>
      </c>
      <c r="L778" s="63" t="s">
        <v>3102</v>
      </c>
      <c r="M778" s="63" t="s">
        <v>3103</v>
      </c>
      <c r="N778" s="63" t="s">
        <v>1719</v>
      </c>
    </row>
    <row r="779" spans="1:14" x14ac:dyDescent="0.2">
      <c r="A779" s="51">
        <v>778</v>
      </c>
      <c r="G779" s="65" t="b">
        <v>0</v>
      </c>
      <c r="H779" s="65" t="b">
        <v>0</v>
      </c>
      <c r="I779" s="65" t="b">
        <v>0</v>
      </c>
      <c r="J779" s="65" t="b">
        <v>0</v>
      </c>
      <c r="K779" s="63" t="s">
        <v>590</v>
      </c>
      <c r="L779" s="63" t="s">
        <v>3105</v>
      </c>
      <c r="M779" s="63" t="s">
        <v>3106</v>
      </c>
      <c r="N779" s="63" t="s">
        <v>2110</v>
      </c>
    </row>
    <row r="780" spans="1:14" x14ac:dyDescent="0.2">
      <c r="A780" s="51">
        <v>779</v>
      </c>
      <c r="B780" s="54" t="s">
        <v>590</v>
      </c>
      <c r="C780" s="47" t="s">
        <v>3105</v>
      </c>
      <c r="D780" s="47" t="s">
        <v>12178</v>
      </c>
      <c r="E780" s="47" t="s">
        <v>2110</v>
      </c>
      <c r="F780" s="55" t="b">
        <v>1</v>
      </c>
      <c r="G780" s="54" t="b">
        <v>1</v>
      </c>
      <c r="H780" s="54" t="b">
        <v>1</v>
      </c>
      <c r="I780" s="65" t="b">
        <v>0</v>
      </c>
      <c r="J780" s="54" t="b">
        <v>1</v>
      </c>
      <c r="K780" s="63" t="s">
        <v>590</v>
      </c>
      <c r="L780" s="63" t="s">
        <v>3105</v>
      </c>
      <c r="M780" s="63" t="s">
        <v>3108</v>
      </c>
      <c r="N780" s="63" t="s">
        <v>2110</v>
      </c>
    </row>
    <row r="781" spans="1:14" x14ac:dyDescent="0.2">
      <c r="A781" s="51">
        <v>780</v>
      </c>
      <c r="G781" s="65" t="b">
        <v>0</v>
      </c>
      <c r="H781" s="65" t="b">
        <v>0</v>
      </c>
      <c r="I781" s="65" t="b">
        <v>0</v>
      </c>
      <c r="J781" s="65" t="b">
        <v>0</v>
      </c>
      <c r="K781" s="63" t="s">
        <v>3110</v>
      </c>
      <c r="L781" s="63" t="s">
        <v>3115</v>
      </c>
      <c r="M781" s="63" t="s">
        <v>3116</v>
      </c>
      <c r="N781" s="63" t="s">
        <v>3117</v>
      </c>
    </row>
    <row r="782" spans="1:14" x14ac:dyDescent="0.2">
      <c r="A782" s="51">
        <v>781</v>
      </c>
      <c r="G782" s="65" t="b">
        <v>0</v>
      </c>
      <c r="H782" s="65" t="b">
        <v>0</v>
      </c>
      <c r="I782" s="65" t="b">
        <v>0</v>
      </c>
      <c r="J782" s="65" t="b">
        <v>0</v>
      </c>
      <c r="K782" s="63" t="s">
        <v>3110</v>
      </c>
      <c r="L782" s="63" t="s">
        <v>3113</v>
      </c>
      <c r="M782" s="63" t="s">
        <v>3114</v>
      </c>
      <c r="N782" s="63" t="s">
        <v>2164</v>
      </c>
    </row>
    <row r="783" spans="1:14" x14ac:dyDescent="0.2">
      <c r="A783" s="51">
        <v>782</v>
      </c>
      <c r="G783" s="65" t="b">
        <v>0</v>
      </c>
      <c r="H783" s="65" t="b">
        <v>0</v>
      </c>
      <c r="I783" s="65" t="b">
        <v>0</v>
      </c>
      <c r="J783" s="65" t="b">
        <v>0</v>
      </c>
      <c r="K783" s="63" t="s">
        <v>3110</v>
      </c>
      <c r="L783" s="63" t="s">
        <v>3111</v>
      </c>
      <c r="M783" s="63" t="s">
        <v>3112</v>
      </c>
      <c r="N783" s="63" t="s">
        <v>2164</v>
      </c>
    </row>
    <row r="784" spans="1:14" x14ac:dyDescent="0.2">
      <c r="A784" s="51">
        <v>783</v>
      </c>
      <c r="G784" s="65" t="b">
        <v>0</v>
      </c>
      <c r="H784" s="65" t="b">
        <v>0</v>
      </c>
      <c r="I784" s="65" t="b">
        <v>0</v>
      </c>
      <c r="J784" s="65" t="b">
        <v>0</v>
      </c>
      <c r="K784" s="63" t="s">
        <v>3110</v>
      </c>
      <c r="L784" s="63" t="s">
        <v>3138</v>
      </c>
      <c r="M784" s="63" t="s">
        <v>2785</v>
      </c>
      <c r="N784" s="63" t="s">
        <v>2164</v>
      </c>
    </row>
    <row r="785" spans="1:14" x14ac:dyDescent="0.2">
      <c r="A785" s="51">
        <v>784</v>
      </c>
      <c r="G785" s="65" t="b">
        <v>0</v>
      </c>
      <c r="H785" s="65" t="b">
        <v>0</v>
      </c>
      <c r="I785" s="65" t="b">
        <v>0</v>
      </c>
      <c r="J785" s="65" t="b">
        <v>0</v>
      </c>
      <c r="K785" s="63" t="s">
        <v>3110</v>
      </c>
      <c r="L785" s="63" t="s">
        <v>3139</v>
      </c>
      <c r="M785" s="63" t="s">
        <v>3140</v>
      </c>
      <c r="N785" s="63" t="s">
        <v>2164</v>
      </c>
    </row>
    <row r="786" spans="1:14" x14ac:dyDescent="0.2">
      <c r="A786" s="51">
        <v>785</v>
      </c>
      <c r="G786" s="65" t="b">
        <v>0</v>
      </c>
      <c r="H786" s="65" t="b">
        <v>0</v>
      </c>
      <c r="I786" s="65" t="b">
        <v>0</v>
      </c>
      <c r="J786" s="65" t="b">
        <v>0</v>
      </c>
      <c r="K786" s="63" t="s">
        <v>3110</v>
      </c>
      <c r="L786" s="63" t="s">
        <v>3141</v>
      </c>
      <c r="M786" s="63" t="s">
        <v>2076</v>
      </c>
      <c r="N786" s="63" t="s">
        <v>2164</v>
      </c>
    </row>
    <row r="787" spans="1:14" x14ac:dyDescent="0.2">
      <c r="A787" s="51">
        <v>786</v>
      </c>
      <c r="G787" s="65" t="b">
        <v>0</v>
      </c>
      <c r="H787" s="65" t="b">
        <v>0</v>
      </c>
      <c r="I787" s="65" t="b">
        <v>0</v>
      </c>
      <c r="J787" s="65" t="b">
        <v>0</v>
      </c>
      <c r="K787" s="63" t="s">
        <v>3110</v>
      </c>
      <c r="L787" s="63" t="s">
        <v>3120</v>
      </c>
      <c r="M787" s="63" t="s">
        <v>3121</v>
      </c>
      <c r="N787" s="63" t="s">
        <v>2164</v>
      </c>
    </row>
    <row r="788" spans="1:14" x14ac:dyDescent="0.2">
      <c r="A788" s="51">
        <v>787</v>
      </c>
      <c r="G788" s="65" t="b">
        <v>0</v>
      </c>
      <c r="H788" s="65" t="b">
        <v>0</v>
      </c>
      <c r="I788" s="65" t="b">
        <v>0</v>
      </c>
      <c r="J788" s="65" t="b">
        <v>0</v>
      </c>
      <c r="K788" s="63" t="s">
        <v>3110</v>
      </c>
      <c r="L788" s="63" t="s">
        <v>3122</v>
      </c>
      <c r="M788" s="63" t="s">
        <v>3123</v>
      </c>
      <c r="N788" s="63" t="s">
        <v>2164</v>
      </c>
    </row>
    <row r="789" spans="1:14" x14ac:dyDescent="0.2">
      <c r="A789" s="51">
        <v>788</v>
      </c>
      <c r="G789" s="65" t="b">
        <v>0</v>
      </c>
      <c r="H789" s="65" t="b">
        <v>0</v>
      </c>
      <c r="I789" s="65" t="b">
        <v>0</v>
      </c>
      <c r="J789" s="65" t="b">
        <v>0</v>
      </c>
      <c r="K789" s="63" t="s">
        <v>3110</v>
      </c>
      <c r="L789" s="63" t="s">
        <v>3124</v>
      </c>
      <c r="M789" s="63" t="s">
        <v>3125</v>
      </c>
      <c r="N789" s="63" t="s">
        <v>2164</v>
      </c>
    </row>
    <row r="790" spans="1:14" x14ac:dyDescent="0.2">
      <c r="A790" s="51">
        <v>789</v>
      </c>
      <c r="G790" s="65" t="b">
        <v>0</v>
      </c>
      <c r="H790" s="65" t="b">
        <v>0</v>
      </c>
      <c r="I790" s="65" t="b">
        <v>0</v>
      </c>
      <c r="J790" s="65" t="b">
        <v>0</v>
      </c>
      <c r="K790" s="63" t="s">
        <v>3110</v>
      </c>
      <c r="L790" s="63" t="s">
        <v>3126</v>
      </c>
      <c r="M790" s="63" t="s">
        <v>3127</v>
      </c>
      <c r="N790" s="63" t="s">
        <v>2164</v>
      </c>
    </row>
    <row r="791" spans="1:14" x14ac:dyDescent="0.2">
      <c r="A791" s="51">
        <v>790</v>
      </c>
      <c r="G791" s="65" t="b">
        <v>0</v>
      </c>
      <c r="H791" s="65" t="b">
        <v>0</v>
      </c>
      <c r="I791" s="65" t="b">
        <v>0</v>
      </c>
      <c r="J791" s="65" t="b">
        <v>0</v>
      </c>
      <c r="K791" s="63" t="s">
        <v>3110</v>
      </c>
      <c r="L791" s="63" t="s">
        <v>3128</v>
      </c>
      <c r="M791" s="63" t="s">
        <v>3129</v>
      </c>
      <c r="N791" s="63" t="s">
        <v>2164</v>
      </c>
    </row>
    <row r="792" spans="1:14" x14ac:dyDescent="0.2">
      <c r="A792" s="51">
        <v>791</v>
      </c>
      <c r="G792" s="65" t="b">
        <v>0</v>
      </c>
      <c r="H792" s="65" t="b">
        <v>0</v>
      </c>
      <c r="I792" s="65" t="b">
        <v>0</v>
      </c>
      <c r="J792" s="65" t="b">
        <v>0</v>
      </c>
      <c r="K792" s="63" t="s">
        <v>3110</v>
      </c>
      <c r="L792" s="63" t="s">
        <v>3130</v>
      </c>
      <c r="M792" s="63" t="s">
        <v>3131</v>
      </c>
      <c r="N792" s="63" t="s">
        <v>2164</v>
      </c>
    </row>
    <row r="793" spans="1:14" x14ac:dyDescent="0.2">
      <c r="A793" s="51">
        <v>792</v>
      </c>
      <c r="G793" s="65" t="b">
        <v>0</v>
      </c>
      <c r="H793" s="65" t="b">
        <v>0</v>
      </c>
      <c r="I793" s="65" t="b">
        <v>0</v>
      </c>
      <c r="J793" s="65" t="b">
        <v>0</v>
      </c>
      <c r="K793" s="63" t="s">
        <v>3110</v>
      </c>
      <c r="L793" s="63" t="s">
        <v>3132</v>
      </c>
      <c r="M793" s="63" t="s">
        <v>3133</v>
      </c>
      <c r="N793" s="63" t="s">
        <v>2164</v>
      </c>
    </row>
    <row r="794" spans="1:14" x14ac:dyDescent="0.2">
      <c r="A794" s="51">
        <v>793</v>
      </c>
      <c r="G794" s="65" t="b">
        <v>0</v>
      </c>
      <c r="H794" s="65" t="b">
        <v>0</v>
      </c>
      <c r="I794" s="65" t="b">
        <v>0</v>
      </c>
      <c r="J794" s="65" t="b">
        <v>0</v>
      </c>
      <c r="K794" s="63" t="s">
        <v>3110</v>
      </c>
      <c r="L794" s="63" t="s">
        <v>3134</v>
      </c>
      <c r="M794" s="63" t="s">
        <v>3135</v>
      </c>
      <c r="N794" s="63" t="s">
        <v>2164</v>
      </c>
    </row>
    <row r="795" spans="1:14" x14ac:dyDescent="0.2">
      <c r="A795" s="51">
        <v>794</v>
      </c>
      <c r="G795" s="65" t="b">
        <v>0</v>
      </c>
      <c r="H795" s="65" t="b">
        <v>0</v>
      </c>
      <c r="I795" s="65" t="b">
        <v>0</v>
      </c>
      <c r="J795" s="65" t="b">
        <v>0</v>
      </c>
      <c r="K795" s="63" t="s">
        <v>3110</v>
      </c>
      <c r="L795" s="63" t="s">
        <v>3118</v>
      </c>
      <c r="M795" s="63" t="s">
        <v>3119</v>
      </c>
      <c r="N795" s="63" t="s">
        <v>3117</v>
      </c>
    </row>
    <row r="796" spans="1:14" x14ac:dyDescent="0.2">
      <c r="A796" s="51">
        <v>795</v>
      </c>
      <c r="G796" s="65" t="b">
        <v>0</v>
      </c>
      <c r="H796" s="65" t="b">
        <v>0</v>
      </c>
      <c r="I796" s="65" t="b">
        <v>0</v>
      </c>
      <c r="J796" s="65" t="b">
        <v>0</v>
      </c>
      <c r="K796" s="63" t="s">
        <v>3110</v>
      </c>
      <c r="L796" s="63" t="s">
        <v>3142</v>
      </c>
      <c r="M796" s="63" t="s">
        <v>3143</v>
      </c>
      <c r="N796" s="63" t="s">
        <v>2164</v>
      </c>
    </row>
    <row r="797" spans="1:14" x14ac:dyDescent="0.2">
      <c r="A797" s="51">
        <v>796</v>
      </c>
      <c r="G797" s="65" t="b">
        <v>0</v>
      </c>
      <c r="H797" s="65" t="b">
        <v>0</v>
      </c>
      <c r="I797" s="65" t="b">
        <v>0</v>
      </c>
      <c r="J797" s="65" t="b">
        <v>0</v>
      </c>
      <c r="K797" s="63" t="s">
        <v>3110</v>
      </c>
      <c r="L797" s="63" t="s">
        <v>3144</v>
      </c>
      <c r="M797" s="63" t="s">
        <v>3145</v>
      </c>
      <c r="N797" s="63" t="s">
        <v>2164</v>
      </c>
    </row>
    <row r="798" spans="1:14" x14ac:dyDescent="0.2">
      <c r="A798" s="51">
        <v>797</v>
      </c>
      <c r="G798" s="65" t="b">
        <v>0</v>
      </c>
      <c r="H798" s="65" t="b">
        <v>0</v>
      </c>
      <c r="I798" s="65" t="b">
        <v>0</v>
      </c>
      <c r="J798" s="65" t="b">
        <v>0</v>
      </c>
      <c r="K798" s="63" t="s">
        <v>3110</v>
      </c>
      <c r="L798" s="63" t="s">
        <v>3136</v>
      </c>
      <c r="M798" s="63" t="s">
        <v>3137</v>
      </c>
      <c r="N798" s="63" t="s">
        <v>2164</v>
      </c>
    </row>
    <row r="799" spans="1:14" x14ac:dyDescent="0.2">
      <c r="A799" s="51">
        <v>798</v>
      </c>
      <c r="G799" s="65" t="b">
        <v>0</v>
      </c>
      <c r="H799" s="65" t="b">
        <v>0</v>
      </c>
      <c r="I799" s="65" t="b">
        <v>0</v>
      </c>
      <c r="J799" s="65" t="b">
        <v>0</v>
      </c>
      <c r="K799" s="63" t="s">
        <v>3110</v>
      </c>
      <c r="L799" s="63" t="s">
        <v>3146</v>
      </c>
      <c r="M799" s="63" t="s">
        <v>3147</v>
      </c>
      <c r="N799" s="63" t="s">
        <v>2164</v>
      </c>
    </row>
    <row r="800" spans="1:14" x14ac:dyDescent="0.2">
      <c r="A800" s="51">
        <v>799</v>
      </c>
      <c r="G800" s="65" t="b">
        <v>0</v>
      </c>
      <c r="H800" s="65" t="b">
        <v>0</v>
      </c>
      <c r="I800" s="65" t="b">
        <v>0</v>
      </c>
      <c r="J800" s="65" t="b">
        <v>0</v>
      </c>
      <c r="K800" s="63" t="s">
        <v>3110</v>
      </c>
      <c r="L800" s="63" t="s">
        <v>3148</v>
      </c>
      <c r="M800" s="63" t="s">
        <v>3149</v>
      </c>
      <c r="N800" s="63" t="s">
        <v>2164</v>
      </c>
    </row>
    <row r="801" spans="1:14" x14ac:dyDescent="0.2">
      <c r="A801" s="51">
        <v>800</v>
      </c>
      <c r="G801" s="65" t="b">
        <v>0</v>
      </c>
      <c r="H801" s="65" t="b">
        <v>0</v>
      </c>
      <c r="I801" s="65" t="b">
        <v>0</v>
      </c>
      <c r="J801" s="65" t="b">
        <v>0</v>
      </c>
      <c r="K801" s="63" t="s">
        <v>3110</v>
      </c>
      <c r="L801" s="63" t="s">
        <v>3150</v>
      </c>
      <c r="M801" s="63" t="s">
        <v>3151</v>
      </c>
      <c r="N801" s="63" t="s">
        <v>2164</v>
      </c>
    </row>
    <row r="802" spans="1:14" x14ac:dyDescent="0.2">
      <c r="A802" s="51">
        <v>801</v>
      </c>
      <c r="G802" s="65" t="b">
        <v>0</v>
      </c>
      <c r="H802" s="65" t="b">
        <v>0</v>
      </c>
      <c r="I802" s="65" t="b">
        <v>0</v>
      </c>
      <c r="J802" s="65" t="b">
        <v>0</v>
      </c>
      <c r="K802" s="63" t="s">
        <v>3110</v>
      </c>
      <c r="L802" s="63" t="s">
        <v>3152</v>
      </c>
      <c r="M802" s="63" t="s">
        <v>3153</v>
      </c>
      <c r="N802" s="63" t="s">
        <v>2164</v>
      </c>
    </row>
    <row r="803" spans="1:14" x14ac:dyDescent="0.2">
      <c r="A803" s="51">
        <v>802</v>
      </c>
      <c r="G803" s="65" t="b">
        <v>0</v>
      </c>
      <c r="H803" s="65" t="b">
        <v>0</v>
      </c>
      <c r="I803" s="65" t="b">
        <v>0</v>
      </c>
      <c r="J803" s="65" t="b">
        <v>0</v>
      </c>
      <c r="K803" s="63" t="s">
        <v>3110</v>
      </c>
      <c r="L803" s="63" t="s">
        <v>3154</v>
      </c>
      <c r="M803" s="63" t="s">
        <v>3155</v>
      </c>
      <c r="N803" s="63" t="s">
        <v>2164</v>
      </c>
    </row>
    <row r="804" spans="1:14" x14ac:dyDescent="0.2">
      <c r="A804" s="51">
        <v>803</v>
      </c>
      <c r="B804" s="54" t="s">
        <v>595</v>
      </c>
      <c r="C804" s="47" t="s">
        <v>3193</v>
      </c>
      <c r="D804" s="47" t="s">
        <v>3194</v>
      </c>
      <c r="E804" s="47" t="s">
        <v>3158</v>
      </c>
      <c r="F804" s="55" t="b">
        <v>1</v>
      </c>
      <c r="G804" s="54" t="b">
        <v>1</v>
      </c>
      <c r="H804" s="54" t="b">
        <v>1</v>
      </c>
      <c r="I804" s="54" t="b">
        <v>1</v>
      </c>
      <c r="J804" s="54" t="b">
        <v>1</v>
      </c>
      <c r="K804" s="63" t="s">
        <v>595</v>
      </c>
      <c r="L804" s="63" t="s">
        <v>3193</v>
      </c>
      <c r="M804" s="63" t="s">
        <v>3194</v>
      </c>
      <c r="N804" s="63" t="s">
        <v>3158</v>
      </c>
    </row>
    <row r="805" spans="1:14" x14ac:dyDescent="0.2">
      <c r="A805" s="51">
        <v>804</v>
      </c>
      <c r="G805" s="65" t="b">
        <v>0</v>
      </c>
      <c r="H805" s="65" t="b">
        <v>0</v>
      </c>
      <c r="I805" s="65" t="b">
        <v>0</v>
      </c>
      <c r="J805" s="65" t="b">
        <v>0</v>
      </c>
      <c r="K805" s="63" t="s">
        <v>595</v>
      </c>
      <c r="L805" s="63" t="s">
        <v>3193</v>
      </c>
      <c r="M805" s="63" t="s">
        <v>3205</v>
      </c>
      <c r="N805" s="63" t="s">
        <v>3158</v>
      </c>
    </row>
    <row r="806" spans="1:14" x14ac:dyDescent="0.2">
      <c r="A806" s="51">
        <v>805</v>
      </c>
      <c r="B806" s="54" t="s">
        <v>595</v>
      </c>
      <c r="C806" s="47" t="s">
        <v>3156</v>
      </c>
      <c r="D806" s="47" t="s">
        <v>3157</v>
      </c>
      <c r="E806" s="47" t="s">
        <v>3158</v>
      </c>
      <c r="F806" s="55" t="b">
        <v>1</v>
      </c>
      <c r="G806" s="54" t="b">
        <v>1</v>
      </c>
      <c r="H806" s="54" t="b">
        <v>1</v>
      </c>
      <c r="I806" s="54" t="b">
        <v>1</v>
      </c>
      <c r="J806" s="54" t="b">
        <v>1</v>
      </c>
      <c r="K806" s="63" t="s">
        <v>595</v>
      </c>
      <c r="L806" s="63" t="s">
        <v>3156</v>
      </c>
      <c r="M806" s="63" t="s">
        <v>3157</v>
      </c>
      <c r="N806" s="63" t="s">
        <v>3158</v>
      </c>
    </row>
    <row r="807" spans="1:14" x14ac:dyDescent="0.2">
      <c r="A807" s="51">
        <v>806</v>
      </c>
      <c r="G807" s="65" t="b">
        <v>0</v>
      </c>
      <c r="H807" s="65" t="b">
        <v>0</v>
      </c>
      <c r="I807" s="65" t="b">
        <v>0</v>
      </c>
      <c r="J807" s="65" t="b">
        <v>0</v>
      </c>
      <c r="K807" s="63" t="s">
        <v>595</v>
      </c>
      <c r="L807" s="63" t="s">
        <v>3156</v>
      </c>
      <c r="M807" s="63" t="s">
        <v>3159</v>
      </c>
      <c r="N807" s="63" t="s">
        <v>3158</v>
      </c>
    </row>
    <row r="808" spans="1:14" x14ac:dyDescent="0.2">
      <c r="A808" s="51">
        <v>807</v>
      </c>
      <c r="B808" s="54" t="s">
        <v>595</v>
      </c>
      <c r="C808" s="47" t="s">
        <v>3160</v>
      </c>
      <c r="D808" s="47" t="s">
        <v>3161</v>
      </c>
      <c r="E808" s="47" t="s">
        <v>3162</v>
      </c>
      <c r="F808" s="55" t="b">
        <v>1</v>
      </c>
      <c r="G808" s="54" t="b">
        <v>1</v>
      </c>
      <c r="H808" s="54" t="b">
        <v>1</v>
      </c>
      <c r="I808" s="54" t="b">
        <v>1</v>
      </c>
      <c r="J808" s="54" t="b">
        <v>1</v>
      </c>
      <c r="K808" s="63" t="s">
        <v>595</v>
      </c>
      <c r="L808" s="63" t="s">
        <v>3160</v>
      </c>
      <c r="M808" s="63" t="s">
        <v>3161</v>
      </c>
      <c r="N808" s="63" t="s">
        <v>3162</v>
      </c>
    </row>
    <row r="809" spans="1:14" x14ac:dyDescent="0.2">
      <c r="A809" s="51">
        <v>808</v>
      </c>
      <c r="G809" s="65" t="b">
        <v>0</v>
      </c>
      <c r="H809" s="65" t="b">
        <v>0</v>
      </c>
      <c r="I809" s="65" t="b">
        <v>0</v>
      </c>
      <c r="J809" s="65" t="b">
        <v>0</v>
      </c>
      <c r="K809" s="63" t="s">
        <v>595</v>
      </c>
      <c r="L809" s="63" t="s">
        <v>3160</v>
      </c>
      <c r="M809" s="63" t="s">
        <v>3163</v>
      </c>
      <c r="N809" s="63" t="s">
        <v>3162</v>
      </c>
    </row>
    <row r="810" spans="1:14" x14ac:dyDescent="0.2">
      <c r="A810" s="51">
        <v>809</v>
      </c>
      <c r="B810" s="54" t="s">
        <v>595</v>
      </c>
      <c r="C810" s="47" t="s">
        <v>3164</v>
      </c>
      <c r="D810" s="47" t="s">
        <v>3165</v>
      </c>
      <c r="E810" s="47" t="s">
        <v>3158</v>
      </c>
      <c r="F810" s="55" t="b">
        <v>1</v>
      </c>
      <c r="G810" s="54" t="b">
        <v>1</v>
      </c>
      <c r="H810" s="54" t="b">
        <v>1</v>
      </c>
      <c r="I810" s="54" t="b">
        <v>1</v>
      </c>
      <c r="J810" s="54" t="b">
        <v>1</v>
      </c>
      <c r="K810" s="63" t="s">
        <v>595</v>
      </c>
      <c r="L810" s="63" t="s">
        <v>3164</v>
      </c>
      <c r="M810" s="63" t="s">
        <v>3165</v>
      </c>
      <c r="N810" s="63" t="s">
        <v>3158</v>
      </c>
    </row>
    <row r="811" spans="1:14" x14ac:dyDescent="0.2">
      <c r="A811" s="51">
        <v>810</v>
      </c>
      <c r="G811" s="65" t="b">
        <v>0</v>
      </c>
      <c r="H811" s="65" t="b">
        <v>0</v>
      </c>
      <c r="I811" s="65" t="b">
        <v>0</v>
      </c>
      <c r="J811" s="65" t="b">
        <v>0</v>
      </c>
      <c r="K811" s="63" t="s">
        <v>595</v>
      </c>
      <c r="L811" s="63" t="s">
        <v>3164</v>
      </c>
      <c r="M811" s="63" t="s">
        <v>3166</v>
      </c>
      <c r="N811" s="63" t="s">
        <v>3158</v>
      </c>
    </row>
    <row r="812" spans="1:14" x14ac:dyDescent="0.2">
      <c r="A812" s="51">
        <v>811</v>
      </c>
      <c r="B812" s="54" t="s">
        <v>595</v>
      </c>
      <c r="C812" s="47" t="s">
        <v>3173</v>
      </c>
      <c r="D812" s="47" t="s">
        <v>3174</v>
      </c>
      <c r="E812" s="47" t="s">
        <v>3158</v>
      </c>
      <c r="F812" s="55" t="b">
        <v>1</v>
      </c>
      <c r="G812" s="54" t="b">
        <v>1</v>
      </c>
      <c r="H812" s="54" t="b">
        <v>1</v>
      </c>
      <c r="I812" s="54" t="b">
        <v>1</v>
      </c>
      <c r="J812" s="54" t="b">
        <v>1</v>
      </c>
      <c r="K812" s="63" t="s">
        <v>595</v>
      </c>
      <c r="L812" s="63" t="s">
        <v>3173</v>
      </c>
      <c r="M812" s="63" t="s">
        <v>3174</v>
      </c>
      <c r="N812" s="63" t="s">
        <v>3158</v>
      </c>
    </row>
    <row r="813" spans="1:14" x14ac:dyDescent="0.2">
      <c r="A813" s="51">
        <v>812</v>
      </c>
      <c r="G813" s="65" t="b">
        <v>0</v>
      </c>
      <c r="H813" s="65" t="b">
        <v>0</v>
      </c>
      <c r="I813" s="65" t="b">
        <v>0</v>
      </c>
      <c r="J813" s="65" t="b">
        <v>0</v>
      </c>
      <c r="K813" s="63" t="s">
        <v>595</v>
      </c>
      <c r="L813" s="63" t="s">
        <v>3173</v>
      </c>
      <c r="M813" s="63" t="s">
        <v>3200</v>
      </c>
      <c r="N813" s="63" t="s">
        <v>3158</v>
      </c>
    </row>
    <row r="814" spans="1:14" x14ac:dyDescent="0.2">
      <c r="A814" s="51">
        <v>813</v>
      </c>
      <c r="B814" s="54" t="s">
        <v>595</v>
      </c>
      <c r="C814" s="47" t="s">
        <v>3171</v>
      </c>
      <c r="D814" s="47" t="s">
        <v>3172</v>
      </c>
      <c r="E814" s="47" t="s">
        <v>3158</v>
      </c>
      <c r="F814" s="55" t="b">
        <v>1</v>
      </c>
      <c r="G814" s="54" t="b">
        <v>1</v>
      </c>
      <c r="H814" s="54" t="b">
        <v>1</v>
      </c>
      <c r="I814" s="54" t="b">
        <v>1</v>
      </c>
      <c r="J814" s="54" t="b">
        <v>1</v>
      </c>
      <c r="K814" s="63" t="s">
        <v>595</v>
      </c>
      <c r="L814" s="63" t="s">
        <v>3171</v>
      </c>
      <c r="M814" s="63" t="s">
        <v>3172</v>
      </c>
      <c r="N814" s="63" t="s">
        <v>3158</v>
      </c>
    </row>
    <row r="815" spans="1:14" x14ac:dyDescent="0.2">
      <c r="A815" s="51">
        <v>814</v>
      </c>
      <c r="G815" s="65" t="b">
        <v>0</v>
      </c>
      <c r="H815" s="65" t="b">
        <v>0</v>
      </c>
      <c r="I815" s="65" t="b">
        <v>0</v>
      </c>
      <c r="J815" s="65" t="b">
        <v>0</v>
      </c>
      <c r="K815" s="63" t="s">
        <v>595</v>
      </c>
      <c r="L815" s="63" t="s">
        <v>3171</v>
      </c>
      <c r="M815" s="63" t="s">
        <v>3201</v>
      </c>
      <c r="N815" s="63" t="s">
        <v>3158</v>
      </c>
    </row>
    <row r="816" spans="1:14" x14ac:dyDescent="0.2">
      <c r="A816" s="51">
        <v>815</v>
      </c>
      <c r="B816" s="54" t="s">
        <v>595</v>
      </c>
      <c r="C816" s="47" t="s">
        <v>3175</v>
      </c>
      <c r="D816" s="47" t="s">
        <v>12180</v>
      </c>
      <c r="E816" s="47" t="s">
        <v>3158</v>
      </c>
      <c r="F816" s="55" t="b">
        <v>1</v>
      </c>
      <c r="G816" s="54" t="b">
        <v>1</v>
      </c>
      <c r="H816" s="54" t="b">
        <v>1</v>
      </c>
      <c r="I816" s="65" t="b">
        <v>0</v>
      </c>
      <c r="J816" s="54" t="b">
        <v>1</v>
      </c>
      <c r="K816" s="63" t="s">
        <v>595</v>
      </c>
      <c r="L816" s="63" t="s">
        <v>3175</v>
      </c>
      <c r="M816" s="63" t="s">
        <v>3176</v>
      </c>
      <c r="N816" s="63" t="s">
        <v>3158</v>
      </c>
    </row>
    <row r="817" spans="1:14" x14ac:dyDescent="0.2">
      <c r="A817" s="51">
        <v>816</v>
      </c>
      <c r="G817" s="65" t="b">
        <v>0</v>
      </c>
      <c r="H817" s="65" t="b">
        <v>0</v>
      </c>
      <c r="I817" s="65" t="b">
        <v>0</v>
      </c>
      <c r="J817" s="65" t="b">
        <v>0</v>
      </c>
      <c r="K817" s="63" t="s">
        <v>595</v>
      </c>
      <c r="L817" s="63" t="s">
        <v>3175</v>
      </c>
      <c r="M817" s="63" t="s">
        <v>3202</v>
      </c>
      <c r="N817" s="63" t="s">
        <v>3158</v>
      </c>
    </row>
    <row r="818" spans="1:14" x14ac:dyDescent="0.2">
      <c r="A818" s="51">
        <v>817</v>
      </c>
      <c r="B818" s="54" t="s">
        <v>595</v>
      </c>
      <c r="C818" s="47" t="s">
        <v>3167</v>
      </c>
      <c r="D818" s="47" t="s">
        <v>12181</v>
      </c>
      <c r="E818" s="47" t="s">
        <v>3169</v>
      </c>
      <c r="F818" s="55" t="b">
        <v>1</v>
      </c>
      <c r="G818" s="54" t="b">
        <v>1</v>
      </c>
      <c r="H818" s="54" t="b">
        <v>1</v>
      </c>
      <c r="I818" s="65" t="b">
        <v>0</v>
      </c>
      <c r="J818" s="54" t="b">
        <v>1</v>
      </c>
      <c r="K818" s="63" t="s">
        <v>595</v>
      </c>
      <c r="L818" s="63" t="s">
        <v>3167</v>
      </c>
      <c r="M818" s="63" t="s">
        <v>3168</v>
      </c>
      <c r="N818" s="63" t="s">
        <v>3169</v>
      </c>
    </row>
    <row r="819" spans="1:14" x14ac:dyDescent="0.2">
      <c r="A819" s="51">
        <v>818</v>
      </c>
      <c r="G819" s="65" t="b">
        <v>0</v>
      </c>
      <c r="H819" s="65" t="b">
        <v>0</v>
      </c>
      <c r="I819" s="65" t="b">
        <v>0</v>
      </c>
      <c r="J819" s="65" t="b">
        <v>0</v>
      </c>
      <c r="K819" s="63" t="s">
        <v>595</v>
      </c>
      <c r="L819" s="63" t="s">
        <v>3167</v>
      </c>
      <c r="M819" s="63" t="s">
        <v>3170</v>
      </c>
      <c r="N819" s="63" t="s">
        <v>3169</v>
      </c>
    </row>
    <row r="820" spans="1:14" x14ac:dyDescent="0.2">
      <c r="A820" s="51">
        <v>819</v>
      </c>
      <c r="B820" s="54" t="s">
        <v>595</v>
      </c>
      <c r="C820" s="47" t="s">
        <v>3177</v>
      </c>
      <c r="D820" s="47" t="s">
        <v>12179</v>
      </c>
      <c r="E820" s="47" t="s">
        <v>3158</v>
      </c>
      <c r="F820" s="55" t="b">
        <v>1</v>
      </c>
      <c r="G820" s="54" t="b">
        <v>1</v>
      </c>
      <c r="H820" s="54" t="b">
        <v>1</v>
      </c>
      <c r="I820" s="65" t="b">
        <v>0</v>
      </c>
      <c r="J820" s="54" t="b">
        <v>1</v>
      </c>
      <c r="K820" s="63" t="s">
        <v>595</v>
      </c>
      <c r="L820" s="63" t="s">
        <v>3177</v>
      </c>
      <c r="M820" s="63" t="s">
        <v>3178</v>
      </c>
      <c r="N820" s="63" t="s">
        <v>3158</v>
      </c>
    </row>
    <row r="821" spans="1:14" x14ac:dyDescent="0.2">
      <c r="A821" s="51">
        <v>820</v>
      </c>
      <c r="G821" s="65" t="b">
        <v>0</v>
      </c>
      <c r="H821" s="65" t="b">
        <v>0</v>
      </c>
      <c r="I821" s="65" t="b">
        <v>0</v>
      </c>
      <c r="J821" s="65" t="b">
        <v>0</v>
      </c>
      <c r="K821" s="63" t="s">
        <v>595</v>
      </c>
      <c r="L821" s="63" t="s">
        <v>3177</v>
      </c>
      <c r="M821" s="63" t="s">
        <v>3179</v>
      </c>
      <c r="N821" s="63" t="s">
        <v>3158</v>
      </c>
    </row>
    <row r="822" spans="1:14" x14ac:dyDescent="0.2">
      <c r="A822" s="51">
        <v>821</v>
      </c>
      <c r="B822" s="54" t="s">
        <v>595</v>
      </c>
      <c r="C822" s="47" t="s">
        <v>3180</v>
      </c>
      <c r="D822" s="47" t="s">
        <v>3181</v>
      </c>
      <c r="E822" s="47" t="s">
        <v>3158</v>
      </c>
      <c r="F822" s="55" t="b">
        <v>1</v>
      </c>
      <c r="G822" s="54" t="b">
        <v>1</v>
      </c>
      <c r="H822" s="54" t="b">
        <v>1</v>
      </c>
      <c r="I822" s="54" t="b">
        <v>1</v>
      </c>
      <c r="J822" s="54" t="b">
        <v>1</v>
      </c>
      <c r="K822" s="63" t="s">
        <v>595</v>
      </c>
      <c r="L822" s="63" t="s">
        <v>3180</v>
      </c>
      <c r="M822" s="63" t="s">
        <v>3181</v>
      </c>
      <c r="N822" s="63" t="s">
        <v>3158</v>
      </c>
    </row>
    <row r="823" spans="1:14" x14ac:dyDescent="0.2">
      <c r="A823" s="51">
        <v>822</v>
      </c>
      <c r="G823" s="65" t="b">
        <v>0</v>
      </c>
      <c r="H823" s="65" t="b">
        <v>0</v>
      </c>
      <c r="I823" s="65" t="b">
        <v>0</v>
      </c>
      <c r="J823" s="65" t="b">
        <v>0</v>
      </c>
      <c r="K823" s="63" t="s">
        <v>595</v>
      </c>
      <c r="L823" s="63" t="s">
        <v>3180</v>
      </c>
      <c r="M823" s="63" t="s">
        <v>3182</v>
      </c>
      <c r="N823" s="63" t="s">
        <v>3158</v>
      </c>
    </row>
    <row r="824" spans="1:14" x14ac:dyDescent="0.2">
      <c r="A824" s="51">
        <v>823</v>
      </c>
      <c r="B824" s="54" t="s">
        <v>595</v>
      </c>
      <c r="C824" s="47" t="s">
        <v>3183</v>
      </c>
      <c r="D824" s="47" t="s">
        <v>3184</v>
      </c>
      <c r="E824" s="47" t="s">
        <v>3158</v>
      </c>
      <c r="F824" s="55" t="b">
        <v>1</v>
      </c>
      <c r="G824" s="54" t="b">
        <v>1</v>
      </c>
      <c r="H824" s="54" t="b">
        <v>1</v>
      </c>
      <c r="I824" s="54" t="b">
        <v>1</v>
      </c>
      <c r="J824" s="54" t="b">
        <v>1</v>
      </c>
      <c r="K824" s="63" t="s">
        <v>595</v>
      </c>
      <c r="L824" s="63" t="s">
        <v>3183</v>
      </c>
      <c r="M824" s="63" t="s">
        <v>3184</v>
      </c>
      <c r="N824" s="63" t="s">
        <v>3158</v>
      </c>
    </row>
    <row r="825" spans="1:14" x14ac:dyDescent="0.2">
      <c r="A825" s="51">
        <v>824</v>
      </c>
      <c r="G825" s="65" t="b">
        <v>0</v>
      </c>
      <c r="H825" s="65" t="b">
        <v>0</v>
      </c>
      <c r="I825" s="65" t="b">
        <v>0</v>
      </c>
      <c r="J825" s="65" t="b">
        <v>0</v>
      </c>
      <c r="K825" s="63" t="s">
        <v>595</v>
      </c>
      <c r="L825" s="63" t="s">
        <v>3183</v>
      </c>
      <c r="M825" s="63" t="s">
        <v>3185</v>
      </c>
      <c r="N825" s="63" t="s">
        <v>3158</v>
      </c>
    </row>
    <row r="826" spans="1:14" x14ac:dyDescent="0.2">
      <c r="A826" s="51">
        <v>825</v>
      </c>
      <c r="B826" s="54" t="s">
        <v>595</v>
      </c>
      <c r="C826" s="47" t="s">
        <v>3189</v>
      </c>
      <c r="D826" s="47" t="s">
        <v>3190</v>
      </c>
      <c r="E826" s="47" t="s">
        <v>3158</v>
      </c>
      <c r="F826" s="55" t="b">
        <v>1</v>
      </c>
      <c r="G826" s="54" t="b">
        <v>1</v>
      </c>
      <c r="H826" s="54" t="b">
        <v>1</v>
      </c>
      <c r="I826" s="54" t="b">
        <v>1</v>
      </c>
      <c r="J826" s="54" t="b">
        <v>1</v>
      </c>
      <c r="K826" s="63" t="s">
        <v>595</v>
      </c>
      <c r="L826" s="63" t="s">
        <v>3189</v>
      </c>
      <c r="M826" s="63" t="s">
        <v>3190</v>
      </c>
      <c r="N826" s="63" t="s">
        <v>3158</v>
      </c>
    </row>
    <row r="827" spans="1:14" x14ac:dyDescent="0.2">
      <c r="A827" s="51">
        <v>826</v>
      </c>
      <c r="G827" s="65" t="b">
        <v>0</v>
      </c>
      <c r="H827" s="65" t="b">
        <v>0</v>
      </c>
      <c r="I827" s="65" t="b">
        <v>0</v>
      </c>
      <c r="J827" s="65" t="b">
        <v>0</v>
      </c>
      <c r="K827" s="63" t="s">
        <v>595</v>
      </c>
      <c r="L827" s="63" t="s">
        <v>3189</v>
      </c>
      <c r="M827" s="63" t="s">
        <v>3208</v>
      </c>
      <c r="N827" s="63" t="s">
        <v>3158</v>
      </c>
    </row>
    <row r="828" spans="1:14" x14ac:dyDescent="0.2">
      <c r="A828" s="51">
        <v>827</v>
      </c>
      <c r="B828" s="54" t="s">
        <v>595</v>
      </c>
      <c r="C828" s="47" t="s">
        <v>3186</v>
      </c>
      <c r="D828" s="47" t="s">
        <v>3187</v>
      </c>
      <c r="E828" s="47" t="s">
        <v>3158</v>
      </c>
      <c r="F828" s="55" t="b">
        <v>1</v>
      </c>
      <c r="G828" s="54" t="b">
        <v>1</v>
      </c>
      <c r="H828" s="54" t="b">
        <v>1</v>
      </c>
      <c r="I828" s="54" t="b">
        <v>1</v>
      </c>
      <c r="J828" s="54" t="b">
        <v>1</v>
      </c>
      <c r="K828" s="63" t="s">
        <v>595</v>
      </c>
      <c r="L828" s="63" t="s">
        <v>3186</v>
      </c>
      <c r="M828" s="63" t="s">
        <v>3187</v>
      </c>
      <c r="N828" s="63" t="s">
        <v>3158</v>
      </c>
    </row>
    <row r="829" spans="1:14" x14ac:dyDescent="0.2">
      <c r="A829" s="51">
        <v>828</v>
      </c>
      <c r="G829" s="65" t="b">
        <v>0</v>
      </c>
      <c r="H829" s="65" t="b">
        <v>0</v>
      </c>
      <c r="I829" s="65" t="b">
        <v>0</v>
      </c>
      <c r="J829" s="65" t="b">
        <v>0</v>
      </c>
      <c r="K829" s="63" t="s">
        <v>595</v>
      </c>
      <c r="L829" s="63" t="s">
        <v>3186</v>
      </c>
      <c r="M829" s="63" t="s">
        <v>3188</v>
      </c>
      <c r="N829" s="63" t="s">
        <v>3158</v>
      </c>
    </row>
    <row r="830" spans="1:14" x14ac:dyDescent="0.2">
      <c r="A830" s="51">
        <v>829</v>
      </c>
      <c r="B830" s="54" t="s">
        <v>595</v>
      </c>
      <c r="C830" s="47" t="s">
        <v>3195</v>
      </c>
      <c r="D830" s="47" t="s">
        <v>3196</v>
      </c>
      <c r="E830" s="47" t="s">
        <v>3158</v>
      </c>
      <c r="F830" s="55" t="b">
        <v>1</v>
      </c>
      <c r="G830" s="54" t="b">
        <v>1</v>
      </c>
      <c r="H830" s="54" t="b">
        <v>1</v>
      </c>
      <c r="I830" s="54" t="b">
        <v>1</v>
      </c>
      <c r="J830" s="54" t="b">
        <v>1</v>
      </c>
      <c r="K830" s="63" t="s">
        <v>595</v>
      </c>
      <c r="L830" s="63" t="s">
        <v>3195</v>
      </c>
      <c r="M830" s="63" t="s">
        <v>3196</v>
      </c>
      <c r="N830" s="63" t="s">
        <v>3158</v>
      </c>
    </row>
    <row r="831" spans="1:14" x14ac:dyDescent="0.2">
      <c r="A831" s="51">
        <v>830</v>
      </c>
      <c r="G831" s="65" t="b">
        <v>0</v>
      </c>
      <c r="H831" s="65" t="b">
        <v>0</v>
      </c>
      <c r="I831" s="65" t="b">
        <v>0</v>
      </c>
      <c r="J831" s="65" t="b">
        <v>0</v>
      </c>
      <c r="K831" s="63" t="s">
        <v>595</v>
      </c>
      <c r="L831" s="63" t="s">
        <v>3195</v>
      </c>
      <c r="M831" s="63" t="s">
        <v>3206</v>
      </c>
      <c r="N831" s="63" t="s">
        <v>3158</v>
      </c>
    </row>
    <row r="832" spans="1:14" x14ac:dyDescent="0.2">
      <c r="A832" s="51">
        <v>831</v>
      </c>
      <c r="B832" s="54" t="s">
        <v>595</v>
      </c>
      <c r="C832" s="47" t="s">
        <v>3197</v>
      </c>
      <c r="D832" s="47" t="s">
        <v>12182</v>
      </c>
      <c r="E832" s="47" t="s">
        <v>3169</v>
      </c>
      <c r="F832" s="55" t="b">
        <v>1</v>
      </c>
      <c r="G832" s="54" t="b">
        <v>1</v>
      </c>
      <c r="H832" s="54" t="b">
        <v>1</v>
      </c>
      <c r="I832" s="65" t="b">
        <v>0</v>
      </c>
      <c r="J832" s="54" t="b">
        <v>1</v>
      </c>
      <c r="K832" s="63" t="s">
        <v>595</v>
      </c>
      <c r="L832" s="63" t="s">
        <v>3197</v>
      </c>
      <c r="M832" s="63" t="s">
        <v>3198</v>
      </c>
      <c r="N832" s="63" t="s">
        <v>3169</v>
      </c>
    </row>
    <row r="833" spans="1:14" x14ac:dyDescent="0.2">
      <c r="A833" s="51">
        <v>832</v>
      </c>
      <c r="G833" s="65" t="b">
        <v>0</v>
      </c>
      <c r="H833" s="65" t="b">
        <v>0</v>
      </c>
      <c r="I833" s="65" t="b">
        <v>0</v>
      </c>
      <c r="J833" s="65" t="b">
        <v>0</v>
      </c>
      <c r="K833" s="63" t="s">
        <v>595</v>
      </c>
      <c r="L833" s="63" t="s">
        <v>3197</v>
      </c>
      <c r="M833" s="63" t="s">
        <v>3199</v>
      </c>
      <c r="N833" s="63" t="s">
        <v>3169</v>
      </c>
    </row>
    <row r="834" spans="1:14" x14ac:dyDescent="0.2">
      <c r="A834" s="51">
        <v>833</v>
      </c>
      <c r="B834" s="54" t="s">
        <v>595</v>
      </c>
      <c r="C834" s="47" t="s">
        <v>3191</v>
      </c>
      <c r="D834" s="47" t="s">
        <v>3192</v>
      </c>
      <c r="E834" s="47" t="s">
        <v>3158</v>
      </c>
      <c r="F834" s="55" t="b">
        <v>1</v>
      </c>
      <c r="G834" s="54" t="b">
        <v>1</v>
      </c>
      <c r="H834" s="54" t="b">
        <v>1</v>
      </c>
      <c r="I834" s="54" t="b">
        <v>1</v>
      </c>
      <c r="J834" s="54" t="b">
        <v>1</v>
      </c>
      <c r="K834" s="63" t="s">
        <v>595</v>
      </c>
      <c r="L834" s="63" t="s">
        <v>3191</v>
      </c>
      <c r="M834" s="63" t="s">
        <v>3192</v>
      </c>
      <c r="N834" s="63" t="s">
        <v>3158</v>
      </c>
    </row>
    <row r="835" spans="1:14" x14ac:dyDescent="0.2">
      <c r="A835" s="51">
        <v>834</v>
      </c>
      <c r="G835" s="65" t="b">
        <v>0</v>
      </c>
      <c r="H835" s="65" t="b">
        <v>0</v>
      </c>
      <c r="I835" s="65" t="b">
        <v>0</v>
      </c>
      <c r="J835" s="65" t="b">
        <v>0</v>
      </c>
      <c r="K835" s="63" t="s">
        <v>595</v>
      </c>
      <c r="L835" s="63" t="s">
        <v>3191</v>
      </c>
      <c r="M835" s="63" t="s">
        <v>3207</v>
      </c>
      <c r="N835" s="63" t="s">
        <v>3158</v>
      </c>
    </row>
    <row r="836" spans="1:14" x14ac:dyDescent="0.2">
      <c r="A836" s="51">
        <v>835</v>
      </c>
      <c r="B836" s="54" t="s">
        <v>595</v>
      </c>
      <c r="C836" s="47" t="s">
        <v>3203</v>
      </c>
      <c r="D836" s="47" t="s">
        <v>3204</v>
      </c>
      <c r="E836" s="47" t="s">
        <v>3158</v>
      </c>
      <c r="F836" s="55" t="b">
        <v>1</v>
      </c>
      <c r="G836" s="54" t="b">
        <v>1</v>
      </c>
      <c r="H836" s="54" t="b">
        <v>1</v>
      </c>
      <c r="I836" s="54" t="b">
        <v>1</v>
      </c>
      <c r="J836" s="54" t="b">
        <v>1</v>
      </c>
      <c r="K836" s="63" t="s">
        <v>595</v>
      </c>
      <c r="L836" s="63" t="s">
        <v>3203</v>
      </c>
      <c r="M836" s="63" t="s">
        <v>3204</v>
      </c>
      <c r="N836" s="63" t="s">
        <v>3158</v>
      </c>
    </row>
    <row r="837" spans="1:14" x14ac:dyDescent="0.2">
      <c r="A837" s="51">
        <v>836</v>
      </c>
      <c r="G837" s="65" t="b">
        <v>0</v>
      </c>
      <c r="H837" s="65" t="b">
        <v>0</v>
      </c>
      <c r="I837" s="65" t="b">
        <v>0</v>
      </c>
      <c r="J837" s="65" t="b">
        <v>0</v>
      </c>
      <c r="K837" s="63" t="s">
        <v>597</v>
      </c>
      <c r="L837" s="63" t="s">
        <v>3209</v>
      </c>
      <c r="M837" s="63" t="s">
        <v>3210</v>
      </c>
      <c r="N837" s="63" t="s">
        <v>2087</v>
      </c>
    </row>
    <row r="838" spans="1:14" x14ac:dyDescent="0.2">
      <c r="A838" s="51">
        <v>837</v>
      </c>
      <c r="B838" s="54" t="s">
        <v>597</v>
      </c>
      <c r="C838" s="47" t="s">
        <v>3209</v>
      </c>
      <c r="D838" s="47" t="s">
        <v>3216</v>
      </c>
      <c r="E838" s="47" t="s">
        <v>2087</v>
      </c>
      <c r="F838" s="55" t="b">
        <v>1</v>
      </c>
      <c r="G838" s="54" t="b">
        <v>1</v>
      </c>
      <c r="H838" s="54" t="b">
        <v>1</v>
      </c>
      <c r="I838" s="54" t="b">
        <v>1</v>
      </c>
      <c r="J838" s="54" t="b">
        <v>1</v>
      </c>
      <c r="K838" s="63" t="s">
        <v>597</v>
      </c>
      <c r="L838" s="63" t="s">
        <v>3209</v>
      </c>
      <c r="M838" s="63" t="s">
        <v>3216</v>
      </c>
      <c r="N838" s="63" t="s">
        <v>2087</v>
      </c>
    </row>
    <row r="839" spans="1:14" x14ac:dyDescent="0.2">
      <c r="A839" s="51">
        <v>838</v>
      </c>
      <c r="B839" s="54" t="s">
        <v>597</v>
      </c>
      <c r="C839" s="47" t="s">
        <v>3213</v>
      </c>
      <c r="D839" s="47" t="s">
        <v>12183</v>
      </c>
      <c r="E839" s="47" t="s">
        <v>2087</v>
      </c>
      <c r="F839" s="55" t="b">
        <v>1</v>
      </c>
      <c r="G839" s="54" t="b">
        <v>1</v>
      </c>
      <c r="H839" s="54" t="b">
        <v>1</v>
      </c>
      <c r="I839" s="65" t="b">
        <v>0</v>
      </c>
      <c r="J839" s="54" t="b">
        <v>1</v>
      </c>
      <c r="K839" s="63" t="s">
        <v>597</v>
      </c>
      <c r="L839" s="63" t="s">
        <v>3213</v>
      </c>
      <c r="M839" s="63" t="s">
        <v>3214</v>
      </c>
      <c r="N839" s="63" t="s">
        <v>2087</v>
      </c>
    </row>
    <row r="840" spans="1:14" x14ac:dyDescent="0.2">
      <c r="A840" s="51">
        <v>839</v>
      </c>
      <c r="G840" s="65" t="b">
        <v>0</v>
      </c>
      <c r="H840" s="65" t="b">
        <v>0</v>
      </c>
      <c r="I840" s="65" t="b">
        <v>0</v>
      </c>
      <c r="J840" s="65" t="b">
        <v>0</v>
      </c>
      <c r="K840" s="63" t="s">
        <v>597</v>
      </c>
      <c r="L840" s="63" t="s">
        <v>3213</v>
      </c>
      <c r="M840" s="63" t="s">
        <v>3215</v>
      </c>
      <c r="N840" s="63" t="s">
        <v>2087</v>
      </c>
    </row>
    <row r="841" spans="1:14" x14ac:dyDescent="0.2">
      <c r="A841" s="51">
        <v>840</v>
      </c>
      <c r="B841" s="54" t="s">
        <v>597</v>
      </c>
      <c r="C841" s="47" t="s">
        <v>3217</v>
      </c>
      <c r="D841" s="47" t="s">
        <v>3218</v>
      </c>
      <c r="E841" s="47" t="s">
        <v>2087</v>
      </c>
      <c r="F841" s="55" t="b">
        <v>1</v>
      </c>
      <c r="G841" s="54" t="b">
        <v>1</v>
      </c>
      <c r="H841" s="54" t="b">
        <v>1</v>
      </c>
      <c r="I841" s="54" t="b">
        <v>1</v>
      </c>
      <c r="J841" s="54" t="b">
        <v>1</v>
      </c>
      <c r="K841" s="63" t="s">
        <v>597</v>
      </c>
      <c r="L841" s="63" t="s">
        <v>3217</v>
      </c>
      <c r="M841" s="63" t="s">
        <v>3218</v>
      </c>
      <c r="N841" s="63" t="s">
        <v>2087</v>
      </c>
    </row>
    <row r="842" spans="1:14" x14ac:dyDescent="0.2">
      <c r="A842" s="51">
        <v>841</v>
      </c>
      <c r="G842" s="65" t="b">
        <v>0</v>
      </c>
      <c r="H842" s="65" t="b">
        <v>0</v>
      </c>
      <c r="I842" s="65" t="b">
        <v>0</v>
      </c>
      <c r="J842" s="65" t="b">
        <v>0</v>
      </c>
      <c r="K842" s="63" t="s">
        <v>597</v>
      </c>
      <c r="L842" s="63" t="s">
        <v>3217</v>
      </c>
      <c r="M842" s="63" t="s">
        <v>3219</v>
      </c>
      <c r="N842" s="63" t="s">
        <v>2087</v>
      </c>
    </row>
    <row r="843" spans="1:14" x14ac:dyDescent="0.2">
      <c r="A843" s="51">
        <v>842</v>
      </c>
      <c r="B843" s="54" t="s">
        <v>597</v>
      </c>
      <c r="C843" s="47" t="s">
        <v>3220</v>
      </c>
      <c r="D843" s="47" t="s">
        <v>3221</v>
      </c>
      <c r="E843" s="47" t="s">
        <v>2087</v>
      </c>
      <c r="F843" s="55" t="b">
        <v>1</v>
      </c>
      <c r="G843" s="54" t="b">
        <v>1</v>
      </c>
      <c r="H843" s="54" t="b">
        <v>1</v>
      </c>
      <c r="I843" s="54" t="b">
        <v>1</v>
      </c>
      <c r="J843" s="54" t="b">
        <v>1</v>
      </c>
      <c r="K843" s="63" t="s">
        <v>597</v>
      </c>
      <c r="L843" s="63" t="s">
        <v>3220</v>
      </c>
      <c r="M843" s="63" t="s">
        <v>3221</v>
      </c>
      <c r="N843" s="63" t="s">
        <v>2087</v>
      </c>
    </row>
    <row r="844" spans="1:14" x14ac:dyDescent="0.2">
      <c r="A844" s="51">
        <v>843</v>
      </c>
      <c r="G844" s="65" t="b">
        <v>0</v>
      </c>
      <c r="H844" s="65" t="b">
        <v>0</v>
      </c>
      <c r="I844" s="65" t="b">
        <v>0</v>
      </c>
      <c r="J844" s="65" t="b">
        <v>0</v>
      </c>
      <c r="K844" s="63" t="s">
        <v>597</v>
      </c>
      <c r="L844" s="63" t="s">
        <v>3220</v>
      </c>
      <c r="M844" s="63" t="s">
        <v>3258</v>
      </c>
      <c r="N844" s="63" t="s">
        <v>2087</v>
      </c>
    </row>
    <row r="845" spans="1:14" x14ac:dyDescent="0.2">
      <c r="A845" s="51">
        <v>844</v>
      </c>
      <c r="B845" s="54" t="s">
        <v>597</v>
      </c>
      <c r="C845" s="47" t="s">
        <v>12184</v>
      </c>
      <c r="D845" s="47" t="s">
        <v>12185</v>
      </c>
      <c r="E845" s="47" t="s">
        <v>2087</v>
      </c>
      <c r="F845" s="55" t="b">
        <v>1</v>
      </c>
      <c r="G845" s="65" t="b">
        <v>0</v>
      </c>
      <c r="H845" s="65" t="b">
        <v>0</v>
      </c>
      <c r="I845" s="65" t="b">
        <v>0</v>
      </c>
      <c r="J845" s="65" t="b">
        <v>0</v>
      </c>
    </row>
    <row r="846" spans="1:14" x14ac:dyDescent="0.2">
      <c r="A846" s="51">
        <v>845</v>
      </c>
      <c r="B846" s="54" t="s">
        <v>597</v>
      </c>
      <c r="C846" s="47" t="s">
        <v>12186</v>
      </c>
      <c r="D846" s="47" t="s">
        <v>12187</v>
      </c>
      <c r="E846" s="47" t="s">
        <v>2087</v>
      </c>
      <c r="F846" s="55" t="b">
        <v>1</v>
      </c>
      <c r="G846" s="65" t="b">
        <v>0</v>
      </c>
      <c r="H846" s="65" t="b">
        <v>0</v>
      </c>
      <c r="I846" s="65" t="b">
        <v>0</v>
      </c>
      <c r="J846" s="65" t="b">
        <v>0</v>
      </c>
    </row>
    <row r="847" spans="1:14" x14ac:dyDescent="0.2">
      <c r="A847" s="51">
        <v>846</v>
      </c>
      <c r="G847" s="65" t="b">
        <v>0</v>
      </c>
      <c r="H847" s="65" t="b">
        <v>0</v>
      </c>
      <c r="I847" s="65" t="b">
        <v>0</v>
      </c>
      <c r="J847" s="65" t="b">
        <v>0</v>
      </c>
      <c r="K847" s="63" t="s">
        <v>597</v>
      </c>
      <c r="L847" s="63" t="s">
        <v>3222</v>
      </c>
      <c r="M847" s="63" t="s">
        <v>3223</v>
      </c>
      <c r="N847" s="63" t="s">
        <v>2087</v>
      </c>
    </row>
    <row r="848" spans="1:14" x14ac:dyDescent="0.2">
      <c r="A848" s="51">
        <v>847</v>
      </c>
      <c r="G848" s="65" t="b">
        <v>0</v>
      </c>
      <c r="H848" s="65" t="b">
        <v>0</v>
      </c>
      <c r="I848" s="65" t="b">
        <v>0</v>
      </c>
      <c r="J848" s="65" t="b">
        <v>0</v>
      </c>
      <c r="K848" s="63" t="s">
        <v>597</v>
      </c>
      <c r="L848" s="63" t="s">
        <v>3222</v>
      </c>
      <c r="M848" s="63" t="s">
        <v>3228</v>
      </c>
      <c r="N848" s="63" t="s">
        <v>2087</v>
      </c>
    </row>
    <row r="849" spans="1:14" x14ac:dyDescent="0.2">
      <c r="A849" s="51">
        <v>848</v>
      </c>
      <c r="B849" s="54" t="s">
        <v>597</v>
      </c>
      <c r="C849" s="47" t="s">
        <v>3224</v>
      </c>
      <c r="D849" s="47" t="s">
        <v>3225</v>
      </c>
      <c r="E849" s="47" t="s">
        <v>2087</v>
      </c>
      <c r="F849" s="55" t="b">
        <v>1</v>
      </c>
      <c r="G849" s="54" t="b">
        <v>1</v>
      </c>
      <c r="H849" s="54" t="b">
        <v>1</v>
      </c>
      <c r="I849" s="54" t="b">
        <v>1</v>
      </c>
      <c r="J849" s="54" t="b">
        <v>1</v>
      </c>
      <c r="K849" s="63" t="s">
        <v>597</v>
      </c>
      <c r="L849" s="63" t="s">
        <v>3224</v>
      </c>
      <c r="M849" s="63" t="s">
        <v>3225</v>
      </c>
      <c r="N849" s="63" t="s">
        <v>2087</v>
      </c>
    </row>
    <row r="850" spans="1:14" x14ac:dyDescent="0.2">
      <c r="A850" s="51">
        <v>849</v>
      </c>
      <c r="G850" s="65" t="b">
        <v>0</v>
      </c>
      <c r="H850" s="65" t="b">
        <v>0</v>
      </c>
      <c r="I850" s="65" t="b">
        <v>0</v>
      </c>
      <c r="J850" s="65" t="b">
        <v>0</v>
      </c>
      <c r="K850" s="63" t="s">
        <v>597</v>
      </c>
      <c r="L850" s="63" t="s">
        <v>3224</v>
      </c>
      <c r="M850" s="63" t="s">
        <v>3254</v>
      </c>
      <c r="N850" s="63" t="s">
        <v>2087</v>
      </c>
    </row>
    <row r="851" spans="1:14" x14ac:dyDescent="0.2">
      <c r="A851" s="51">
        <v>850</v>
      </c>
      <c r="B851" s="54" t="s">
        <v>597</v>
      </c>
      <c r="C851" s="47" t="s">
        <v>3226</v>
      </c>
      <c r="D851" s="47" t="s">
        <v>12188</v>
      </c>
      <c r="E851" s="47" t="s">
        <v>2087</v>
      </c>
      <c r="F851" s="55" t="b">
        <v>1</v>
      </c>
      <c r="G851" s="54" t="b">
        <v>1</v>
      </c>
      <c r="H851" s="54" t="b">
        <v>1</v>
      </c>
      <c r="I851" s="65" t="b">
        <v>0</v>
      </c>
      <c r="J851" s="54" t="b">
        <v>1</v>
      </c>
      <c r="K851" s="63" t="s">
        <v>597</v>
      </c>
      <c r="L851" s="63" t="s">
        <v>3226</v>
      </c>
      <c r="M851" s="63" t="s">
        <v>3227</v>
      </c>
      <c r="N851" s="63" t="s">
        <v>2087</v>
      </c>
    </row>
    <row r="852" spans="1:14" x14ac:dyDescent="0.2">
      <c r="A852" s="51">
        <v>851</v>
      </c>
      <c r="G852" s="65" t="b">
        <v>0</v>
      </c>
      <c r="H852" s="65" t="b">
        <v>0</v>
      </c>
      <c r="I852" s="65" t="b">
        <v>0</v>
      </c>
      <c r="J852" s="65" t="b">
        <v>0</v>
      </c>
      <c r="K852" s="63" t="s">
        <v>597</v>
      </c>
      <c r="L852" s="63" t="s">
        <v>3226</v>
      </c>
      <c r="M852" s="63" t="s">
        <v>3274</v>
      </c>
      <c r="N852" s="63" t="s">
        <v>2087</v>
      </c>
    </row>
    <row r="853" spans="1:14" x14ac:dyDescent="0.2">
      <c r="A853" s="51">
        <v>852</v>
      </c>
      <c r="B853" s="54" t="s">
        <v>597</v>
      </c>
      <c r="C853" s="47" t="s">
        <v>3229</v>
      </c>
      <c r="D853" s="47" t="s">
        <v>3230</v>
      </c>
      <c r="E853" s="47" t="s">
        <v>2087</v>
      </c>
      <c r="F853" s="55" t="b">
        <v>1</v>
      </c>
      <c r="G853" s="54" t="b">
        <v>1</v>
      </c>
      <c r="H853" s="54" t="b">
        <v>1</v>
      </c>
      <c r="I853" s="54" t="b">
        <v>1</v>
      </c>
      <c r="J853" s="54" t="b">
        <v>1</v>
      </c>
      <c r="K853" s="63" t="s">
        <v>597</v>
      </c>
      <c r="L853" s="63" t="s">
        <v>3229</v>
      </c>
      <c r="M853" s="63" t="s">
        <v>3230</v>
      </c>
      <c r="N853" s="63" t="s">
        <v>2087</v>
      </c>
    </row>
    <row r="854" spans="1:14" x14ac:dyDescent="0.2">
      <c r="A854" s="51">
        <v>853</v>
      </c>
      <c r="G854" s="65" t="b">
        <v>0</v>
      </c>
      <c r="H854" s="65" t="b">
        <v>0</v>
      </c>
      <c r="I854" s="65" t="b">
        <v>0</v>
      </c>
      <c r="J854" s="65" t="b">
        <v>0</v>
      </c>
      <c r="K854" s="63" t="s">
        <v>597</v>
      </c>
      <c r="L854" s="63" t="s">
        <v>3229</v>
      </c>
      <c r="M854" s="63" t="s">
        <v>3231</v>
      </c>
      <c r="N854" s="63" t="s">
        <v>2087</v>
      </c>
    </row>
    <row r="855" spans="1:14" x14ac:dyDescent="0.2">
      <c r="A855" s="51">
        <v>854</v>
      </c>
      <c r="G855" s="65" t="b">
        <v>0</v>
      </c>
      <c r="H855" s="65" t="b">
        <v>0</v>
      </c>
      <c r="I855" s="65" t="b">
        <v>0</v>
      </c>
      <c r="J855" s="65" t="b">
        <v>0</v>
      </c>
      <c r="K855" s="63" t="s">
        <v>597</v>
      </c>
      <c r="L855" s="63" t="s">
        <v>3211</v>
      </c>
      <c r="M855" s="63" t="s">
        <v>3212</v>
      </c>
      <c r="N855" s="63" t="s">
        <v>2087</v>
      </c>
    </row>
    <row r="856" spans="1:14" x14ac:dyDescent="0.2">
      <c r="A856" s="51">
        <v>855</v>
      </c>
      <c r="B856" s="54" t="s">
        <v>597</v>
      </c>
      <c r="C856" s="47" t="s">
        <v>3211</v>
      </c>
      <c r="D856" s="47" t="s">
        <v>3232</v>
      </c>
      <c r="E856" s="47" t="s">
        <v>2087</v>
      </c>
      <c r="F856" s="55" t="b">
        <v>1</v>
      </c>
      <c r="G856" s="54" t="b">
        <v>1</v>
      </c>
      <c r="H856" s="54" t="b">
        <v>1</v>
      </c>
      <c r="I856" s="54" t="b">
        <v>1</v>
      </c>
      <c r="J856" s="54" t="b">
        <v>1</v>
      </c>
      <c r="K856" s="63" t="s">
        <v>597</v>
      </c>
      <c r="L856" s="63" t="s">
        <v>3211</v>
      </c>
      <c r="M856" s="63" t="s">
        <v>3232</v>
      </c>
      <c r="N856" s="63" t="s">
        <v>2087</v>
      </c>
    </row>
    <row r="857" spans="1:14" x14ac:dyDescent="0.2">
      <c r="A857" s="51">
        <v>856</v>
      </c>
      <c r="B857" s="54" t="s">
        <v>597</v>
      </c>
      <c r="C857" s="47" t="s">
        <v>3233</v>
      </c>
      <c r="D857" s="47" t="s">
        <v>12189</v>
      </c>
      <c r="E857" s="47" t="s">
        <v>2087</v>
      </c>
      <c r="F857" s="55" t="b">
        <v>1</v>
      </c>
      <c r="G857" s="54" t="b">
        <v>1</v>
      </c>
      <c r="H857" s="54" t="b">
        <v>1</v>
      </c>
      <c r="I857" s="65" t="b">
        <v>0</v>
      </c>
      <c r="J857" s="54" t="b">
        <v>1</v>
      </c>
      <c r="K857" s="63" t="s">
        <v>597</v>
      </c>
      <c r="L857" s="63" t="s">
        <v>3233</v>
      </c>
      <c r="M857" s="63" t="s">
        <v>3234</v>
      </c>
      <c r="N857" s="63" t="s">
        <v>2087</v>
      </c>
    </row>
    <row r="858" spans="1:14" x14ac:dyDescent="0.2">
      <c r="A858" s="51">
        <v>857</v>
      </c>
      <c r="G858" s="65" t="b">
        <v>0</v>
      </c>
      <c r="H858" s="65" t="b">
        <v>0</v>
      </c>
      <c r="I858" s="65" t="b">
        <v>0</v>
      </c>
      <c r="J858" s="65" t="b">
        <v>0</v>
      </c>
      <c r="K858" s="63" t="s">
        <v>597</v>
      </c>
      <c r="L858" s="63" t="s">
        <v>3233</v>
      </c>
      <c r="M858" s="63" t="s">
        <v>3237</v>
      </c>
      <c r="N858" s="63" t="s">
        <v>2087</v>
      </c>
    </row>
    <row r="859" spans="1:14" x14ac:dyDescent="0.2">
      <c r="A859" s="51">
        <v>858</v>
      </c>
      <c r="B859" s="54" t="s">
        <v>597</v>
      </c>
      <c r="C859" s="47" t="s">
        <v>3235</v>
      </c>
      <c r="D859" s="47" t="s">
        <v>12190</v>
      </c>
      <c r="E859" s="47" t="s">
        <v>2087</v>
      </c>
      <c r="F859" s="55" t="b">
        <v>1</v>
      </c>
      <c r="G859" s="54" t="b">
        <v>1</v>
      </c>
      <c r="H859" s="54" t="b">
        <v>1</v>
      </c>
      <c r="I859" s="65" t="b">
        <v>0</v>
      </c>
      <c r="J859" s="54" t="b">
        <v>1</v>
      </c>
      <c r="K859" s="63" t="s">
        <v>597</v>
      </c>
      <c r="L859" s="63" t="s">
        <v>3235</v>
      </c>
      <c r="M859" s="63" t="s">
        <v>3236</v>
      </c>
      <c r="N859" s="63" t="s">
        <v>2087</v>
      </c>
    </row>
    <row r="860" spans="1:14" x14ac:dyDescent="0.2">
      <c r="A860" s="51">
        <v>859</v>
      </c>
      <c r="G860" s="65" t="b">
        <v>0</v>
      </c>
      <c r="H860" s="65" t="b">
        <v>0</v>
      </c>
      <c r="I860" s="65" t="b">
        <v>0</v>
      </c>
      <c r="J860" s="65" t="b">
        <v>0</v>
      </c>
      <c r="K860" s="63" t="s">
        <v>597</v>
      </c>
      <c r="L860" s="63" t="s">
        <v>3235</v>
      </c>
      <c r="M860" s="63" t="s">
        <v>3238</v>
      </c>
      <c r="N860" s="63" t="s">
        <v>2087</v>
      </c>
    </row>
    <row r="861" spans="1:14" x14ac:dyDescent="0.2">
      <c r="A861" s="51">
        <v>860</v>
      </c>
      <c r="B861" s="54" t="s">
        <v>597</v>
      </c>
      <c r="C861" s="47" t="s">
        <v>3241</v>
      </c>
      <c r="D861" s="47" t="s">
        <v>3242</v>
      </c>
      <c r="E861" s="47" t="s">
        <v>2087</v>
      </c>
      <c r="F861" s="55" t="b">
        <v>1</v>
      </c>
      <c r="G861" s="54" t="b">
        <v>1</v>
      </c>
      <c r="H861" s="54" t="b">
        <v>1</v>
      </c>
      <c r="I861" s="54" t="b">
        <v>1</v>
      </c>
      <c r="J861" s="54" t="b">
        <v>1</v>
      </c>
      <c r="K861" s="63" t="s">
        <v>597</v>
      </c>
      <c r="L861" s="63" t="s">
        <v>3241</v>
      </c>
      <c r="M861" s="63" t="s">
        <v>3242</v>
      </c>
      <c r="N861" s="63" t="s">
        <v>2087</v>
      </c>
    </row>
    <row r="862" spans="1:14" x14ac:dyDescent="0.2">
      <c r="A862" s="51">
        <v>861</v>
      </c>
      <c r="G862" s="65" t="b">
        <v>0</v>
      </c>
      <c r="H862" s="65" t="b">
        <v>0</v>
      </c>
      <c r="I862" s="65" t="b">
        <v>0</v>
      </c>
      <c r="J862" s="65" t="b">
        <v>0</v>
      </c>
      <c r="K862" s="63" t="s">
        <v>597</v>
      </c>
      <c r="L862" s="63" t="s">
        <v>3241</v>
      </c>
      <c r="M862" s="63" t="s">
        <v>3249</v>
      </c>
      <c r="N862" s="63" t="s">
        <v>2087</v>
      </c>
    </row>
    <row r="863" spans="1:14" x14ac:dyDescent="0.2">
      <c r="A863" s="51">
        <v>862</v>
      </c>
      <c r="B863" s="54" t="s">
        <v>597</v>
      </c>
      <c r="C863" s="47" t="s">
        <v>3247</v>
      </c>
      <c r="D863" s="47" t="s">
        <v>3248</v>
      </c>
      <c r="E863" s="47" t="s">
        <v>2087</v>
      </c>
      <c r="F863" s="55" t="b">
        <v>1</v>
      </c>
      <c r="G863" s="54" t="b">
        <v>1</v>
      </c>
      <c r="H863" s="54" t="b">
        <v>1</v>
      </c>
      <c r="I863" s="54" t="b">
        <v>1</v>
      </c>
      <c r="J863" s="54" t="b">
        <v>1</v>
      </c>
      <c r="K863" s="63" t="s">
        <v>597</v>
      </c>
      <c r="L863" s="63" t="s">
        <v>3247</v>
      </c>
      <c r="M863" s="63" t="s">
        <v>3248</v>
      </c>
      <c r="N863" s="63" t="s">
        <v>2087</v>
      </c>
    </row>
    <row r="864" spans="1:14" x14ac:dyDescent="0.2">
      <c r="A864" s="51">
        <v>863</v>
      </c>
      <c r="G864" s="65" t="b">
        <v>0</v>
      </c>
      <c r="H864" s="65" t="b">
        <v>0</v>
      </c>
      <c r="I864" s="65" t="b">
        <v>0</v>
      </c>
      <c r="J864" s="65" t="b">
        <v>0</v>
      </c>
      <c r="K864" s="63" t="s">
        <v>597</v>
      </c>
      <c r="L864" s="63" t="s">
        <v>3247</v>
      </c>
      <c r="M864" s="63" t="s">
        <v>3259</v>
      </c>
      <c r="N864" s="63" t="s">
        <v>2087</v>
      </c>
    </row>
    <row r="865" spans="1:14" x14ac:dyDescent="0.2">
      <c r="A865" s="51">
        <v>864</v>
      </c>
      <c r="B865" s="54" t="s">
        <v>597</v>
      </c>
      <c r="C865" s="47" t="s">
        <v>3243</v>
      </c>
      <c r="D865" s="47" t="s">
        <v>12191</v>
      </c>
      <c r="E865" s="47" t="s">
        <v>2087</v>
      </c>
      <c r="F865" s="55" t="b">
        <v>1</v>
      </c>
      <c r="G865" s="54" t="b">
        <v>1</v>
      </c>
      <c r="H865" s="54" t="b">
        <v>1</v>
      </c>
      <c r="I865" s="65" t="b">
        <v>0</v>
      </c>
      <c r="J865" s="54" t="b">
        <v>1</v>
      </c>
      <c r="K865" s="63" t="s">
        <v>597</v>
      </c>
      <c r="L865" s="63" t="s">
        <v>3243</v>
      </c>
      <c r="M865" s="63" t="s">
        <v>3244</v>
      </c>
      <c r="N865" s="63" t="s">
        <v>2087</v>
      </c>
    </row>
    <row r="866" spans="1:14" x14ac:dyDescent="0.2">
      <c r="A866" s="51">
        <v>865</v>
      </c>
      <c r="G866" s="65" t="b">
        <v>0</v>
      </c>
      <c r="H866" s="65" t="b">
        <v>0</v>
      </c>
      <c r="I866" s="65" t="b">
        <v>0</v>
      </c>
      <c r="J866" s="65" t="b">
        <v>0</v>
      </c>
      <c r="K866" s="63" t="s">
        <v>597</v>
      </c>
      <c r="L866" s="63" t="s">
        <v>3243</v>
      </c>
      <c r="M866" s="63" t="s">
        <v>3251</v>
      </c>
      <c r="N866" s="63" t="s">
        <v>2087</v>
      </c>
    </row>
    <row r="867" spans="1:14" x14ac:dyDescent="0.2">
      <c r="A867" s="51">
        <v>866</v>
      </c>
      <c r="B867" s="54" t="s">
        <v>597</v>
      </c>
      <c r="C867" s="47" t="s">
        <v>3245</v>
      </c>
      <c r="D867" s="47" t="s">
        <v>12192</v>
      </c>
      <c r="E867" s="47" t="s">
        <v>2087</v>
      </c>
      <c r="F867" s="55" t="b">
        <v>1</v>
      </c>
      <c r="G867" s="54" t="b">
        <v>1</v>
      </c>
      <c r="H867" s="54" t="b">
        <v>1</v>
      </c>
      <c r="I867" s="65" t="b">
        <v>0</v>
      </c>
      <c r="J867" s="54" t="b">
        <v>1</v>
      </c>
      <c r="K867" s="63" t="s">
        <v>597</v>
      </c>
      <c r="L867" s="63" t="s">
        <v>3245</v>
      </c>
      <c r="M867" s="63" t="s">
        <v>3246</v>
      </c>
      <c r="N867" s="63" t="s">
        <v>2087</v>
      </c>
    </row>
    <row r="868" spans="1:14" x14ac:dyDescent="0.2">
      <c r="A868" s="51">
        <v>867</v>
      </c>
      <c r="G868" s="65" t="b">
        <v>0</v>
      </c>
      <c r="H868" s="65" t="b">
        <v>0</v>
      </c>
      <c r="I868" s="65" t="b">
        <v>0</v>
      </c>
      <c r="J868" s="65" t="b">
        <v>0</v>
      </c>
      <c r="K868" s="63" t="s">
        <v>597</v>
      </c>
      <c r="L868" s="63" t="s">
        <v>3245</v>
      </c>
      <c r="M868" s="63" t="s">
        <v>3250</v>
      </c>
      <c r="N868" s="63" t="s">
        <v>2087</v>
      </c>
    </row>
    <row r="869" spans="1:14" x14ac:dyDescent="0.2">
      <c r="A869" s="51">
        <v>868</v>
      </c>
      <c r="B869" s="54" t="s">
        <v>597</v>
      </c>
      <c r="C869" s="47" t="s">
        <v>3239</v>
      </c>
      <c r="D869" s="47" t="s">
        <v>12193</v>
      </c>
      <c r="E869" s="47" t="s">
        <v>2087</v>
      </c>
      <c r="F869" s="55" t="b">
        <v>1</v>
      </c>
      <c r="G869" s="54" t="b">
        <v>1</v>
      </c>
      <c r="H869" s="54" t="b">
        <v>1</v>
      </c>
      <c r="I869" s="65" t="b">
        <v>0</v>
      </c>
      <c r="J869" s="54" t="b">
        <v>1</v>
      </c>
      <c r="K869" s="63" t="s">
        <v>597</v>
      </c>
      <c r="L869" s="63" t="s">
        <v>3239</v>
      </c>
      <c r="M869" s="63" t="s">
        <v>3240</v>
      </c>
      <c r="N869" s="63" t="s">
        <v>2087</v>
      </c>
    </row>
    <row r="870" spans="1:14" x14ac:dyDescent="0.2">
      <c r="A870" s="51">
        <v>869</v>
      </c>
      <c r="G870" s="65" t="b">
        <v>0</v>
      </c>
      <c r="H870" s="65" t="b">
        <v>0</v>
      </c>
      <c r="I870" s="65" t="b">
        <v>0</v>
      </c>
      <c r="J870" s="65" t="b">
        <v>0</v>
      </c>
      <c r="K870" s="63" t="s">
        <v>597</v>
      </c>
      <c r="L870" s="63" t="s">
        <v>3239</v>
      </c>
      <c r="M870" s="63" t="s">
        <v>3269</v>
      </c>
      <c r="N870" s="63" t="s">
        <v>2087</v>
      </c>
    </row>
    <row r="871" spans="1:14" x14ac:dyDescent="0.2">
      <c r="A871" s="51">
        <v>870</v>
      </c>
      <c r="B871" s="54" t="s">
        <v>597</v>
      </c>
      <c r="C871" s="47" t="s">
        <v>3252</v>
      </c>
      <c r="D871" s="47" t="s">
        <v>3253</v>
      </c>
      <c r="E871" s="47" t="s">
        <v>2087</v>
      </c>
      <c r="F871" s="55" t="b">
        <v>1</v>
      </c>
      <c r="G871" s="54" t="b">
        <v>1</v>
      </c>
      <c r="H871" s="54" t="b">
        <v>1</v>
      </c>
      <c r="I871" s="54" t="b">
        <v>1</v>
      </c>
      <c r="J871" s="54" t="b">
        <v>1</v>
      </c>
      <c r="K871" s="63" t="s">
        <v>597</v>
      </c>
      <c r="L871" s="63" t="s">
        <v>3252</v>
      </c>
      <c r="M871" s="63" t="s">
        <v>3253</v>
      </c>
      <c r="N871" s="63" t="s">
        <v>2087</v>
      </c>
    </row>
    <row r="872" spans="1:14" x14ac:dyDescent="0.2">
      <c r="A872" s="51">
        <v>871</v>
      </c>
      <c r="G872" s="65" t="b">
        <v>0</v>
      </c>
      <c r="H872" s="65" t="b">
        <v>0</v>
      </c>
      <c r="I872" s="65" t="b">
        <v>0</v>
      </c>
      <c r="J872" s="65" t="b">
        <v>0</v>
      </c>
      <c r="K872" s="63" t="s">
        <v>597</v>
      </c>
      <c r="L872" s="63" t="s">
        <v>3252</v>
      </c>
      <c r="M872" s="63" t="s">
        <v>3270</v>
      </c>
      <c r="N872" s="63" t="s">
        <v>2087</v>
      </c>
    </row>
    <row r="873" spans="1:14" x14ac:dyDescent="0.2">
      <c r="A873" s="51">
        <v>872</v>
      </c>
      <c r="B873" s="54" t="s">
        <v>597</v>
      </c>
      <c r="C873" s="47" t="s">
        <v>3255</v>
      </c>
      <c r="D873" s="47" t="s">
        <v>3256</v>
      </c>
      <c r="E873" s="47" t="s">
        <v>2087</v>
      </c>
      <c r="F873" s="55" t="b">
        <v>1</v>
      </c>
      <c r="G873" s="54" t="b">
        <v>1</v>
      </c>
      <c r="H873" s="54" t="b">
        <v>1</v>
      </c>
      <c r="I873" s="54" t="b">
        <v>1</v>
      </c>
      <c r="J873" s="54" t="b">
        <v>1</v>
      </c>
      <c r="K873" s="63" t="s">
        <v>597</v>
      </c>
      <c r="L873" s="63" t="s">
        <v>3255</v>
      </c>
      <c r="M873" s="63" t="s">
        <v>3256</v>
      </c>
      <c r="N873" s="63" t="s">
        <v>2087</v>
      </c>
    </row>
    <row r="874" spans="1:14" x14ac:dyDescent="0.2">
      <c r="A874" s="51">
        <v>873</v>
      </c>
      <c r="G874" s="65" t="b">
        <v>0</v>
      </c>
      <c r="H874" s="65" t="b">
        <v>0</v>
      </c>
      <c r="I874" s="65" t="b">
        <v>0</v>
      </c>
      <c r="J874" s="65" t="b">
        <v>0</v>
      </c>
      <c r="K874" s="63" t="s">
        <v>597</v>
      </c>
      <c r="L874" s="63" t="s">
        <v>3255</v>
      </c>
      <c r="M874" s="63" t="s">
        <v>3257</v>
      </c>
      <c r="N874" s="63" t="s">
        <v>2087</v>
      </c>
    </row>
    <row r="875" spans="1:14" x14ac:dyDescent="0.2">
      <c r="A875" s="51">
        <v>874</v>
      </c>
      <c r="B875" s="54" t="s">
        <v>597</v>
      </c>
      <c r="C875" s="47" t="s">
        <v>3260</v>
      </c>
      <c r="D875" s="47" t="s">
        <v>3261</v>
      </c>
      <c r="E875" s="47" t="s">
        <v>2087</v>
      </c>
      <c r="F875" s="55" t="b">
        <v>1</v>
      </c>
      <c r="G875" s="54" t="b">
        <v>1</v>
      </c>
      <c r="H875" s="54" t="b">
        <v>1</v>
      </c>
      <c r="I875" s="54" t="b">
        <v>1</v>
      </c>
      <c r="J875" s="54" t="b">
        <v>1</v>
      </c>
      <c r="K875" s="63" t="s">
        <v>597</v>
      </c>
      <c r="L875" s="63" t="s">
        <v>3260</v>
      </c>
      <c r="M875" s="63" t="s">
        <v>3261</v>
      </c>
      <c r="N875" s="63" t="s">
        <v>2087</v>
      </c>
    </row>
    <row r="876" spans="1:14" x14ac:dyDescent="0.2">
      <c r="A876" s="51">
        <v>875</v>
      </c>
      <c r="G876" s="65" t="b">
        <v>0</v>
      </c>
      <c r="H876" s="65" t="b">
        <v>0</v>
      </c>
      <c r="I876" s="65" t="b">
        <v>0</v>
      </c>
      <c r="J876" s="65" t="b">
        <v>0</v>
      </c>
      <c r="K876" s="63" t="s">
        <v>597</v>
      </c>
      <c r="L876" s="63" t="s">
        <v>3260</v>
      </c>
      <c r="M876" s="63" t="s">
        <v>3262</v>
      </c>
      <c r="N876" s="63" t="s">
        <v>2087</v>
      </c>
    </row>
    <row r="877" spans="1:14" x14ac:dyDescent="0.2">
      <c r="A877" s="51">
        <v>876</v>
      </c>
      <c r="B877" s="54" t="s">
        <v>597</v>
      </c>
      <c r="C877" s="47" t="s">
        <v>3263</v>
      </c>
      <c r="D877" s="47" t="s">
        <v>3264</v>
      </c>
      <c r="E877" s="47" t="s">
        <v>2087</v>
      </c>
      <c r="F877" s="55" t="b">
        <v>1</v>
      </c>
      <c r="G877" s="54" t="b">
        <v>1</v>
      </c>
      <c r="H877" s="54" t="b">
        <v>1</v>
      </c>
      <c r="I877" s="54" t="b">
        <v>1</v>
      </c>
      <c r="J877" s="54" t="b">
        <v>1</v>
      </c>
      <c r="K877" s="63" t="s">
        <v>597</v>
      </c>
      <c r="L877" s="63" t="s">
        <v>3263</v>
      </c>
      <c r="M877" s="63" t="s">
        <v>3264</v>
      </c>
      <c r="N877" s="63" t="s">
        <v>2087</v>
      </c>
    </row>
    <row r="878" spans="1:14" x14ac:dyDescent="0.2">
      <c r="A878" s="51">
        <v>877</v>
      </c>
      <c r="G878" s="65" t="b">
        <v>0</v>
      </c>
      <c r="H878" s="65" t="b">
        <v>0</v>
      </c>
      <c r="I878" s="65" t="b">
        <v>0</v>
      </c>
      <c r="J878" s="65" t="b">
        <v>0</v>
      </c>
      <c r="K878" s="63" t="s">
        <v>597</v>
      </c>
      <c r="L878" s="63" t="s">
        <v>3263</v>
      </c>
      <c r="M878" s="63" t="s">
        <v>3268</v>
      </c>
      <c r="N878" s="63" t="s">
        <v>2087</v>
      </c>
    </row>
    <row r="879" spans="1:14" x14ac:dyDescent="0.2">
      <c r="A879" s="51">
        <v>878</v>
      </c>
      <c r="B879" s="54" t="s">
        <v>597</v>
      </c>
      <c r="C879" s="47" t="s">
        <v>3265</v>
      </c>
      <c r="D879" s="47" t="s">
        <v>3267</v>
      </c>
      <c r="E879" s="47" t="s">
        <v>2087</v>
      </c>
      <c r="F879" s="55" t="b">
        <v>1</v>
      </c>
      <c r="G879" s="54" t="b">
        <v>1</v>
      </c>
      <c r="H879" s="54" t="b">
        <v>1</v>
      </c>
      <c r="I879" s="65" t="b">
        <v>0</v>
      </c>
      <c r="J879" s="54" t="b">
        <v>1</v>
      </c>
      <c r="K879" s="63" t="s">
        <v>597</v>
      </c>
      <c r="L879" s="63" t="s">
        <v>3265</v>
      </c>
      <c r="M879" s="63" t="s">
        <v>3266</v>
      </c>
      <c r="N879" s="63" t="s">
        <v>2087</v>
      </c>
    </row>
    <row r="880" spans="1:14" x14ac:dyDescent="0.2">
      <c r="A880" s="51">
        <v>879</v>
      </c>
      <c r="G880" s="65" t="b">
        <v>0</v>
      </c>
      <c r="H880" s="65" t="b">
        <v>0</v>
      </c>
      <c r="I880" s="65" t="b">
        <v>0</v>
      </c>
      <c r="J880" s="65" t="b">
        <v>0</v>
      </c>
      <c r="K880" s="63" t="s">
        <v>597</v>
      </c>
      <c r="L880" s="63" t="s">
        <v>3265</v>
      </c>
      <c r="M880" s="63" t="s">
        <v>3267</v>
      </c>
      <c r="N880" s="63" t="s">
        <v>2087</v>
      </c>
    </row>
    <row r="881" spans="1:14" x14ac:dyDescent="0.2">
      <c r="A881" s="51">
        <v>880</v>
      </c>
      <c r="B881" s="54" t="s">
        <v>597</v>
      </c>
      <c r="C881" s="47" t="s">
        <v>3271</v>
      </c>
      <c r="D881" s="47" t="s">
        <v>3272</v>
      </c>
      <c r="E881" s="47" t="s">
        <v>2087</v>
      </c>
      <c r="F881" s="55" t="b">
        <v>1</v>
      </c>
      <c r="G881" s="54" t="b">
        <v>1</v>
      </c>
      <c r="H881" s="54" t="b">
        <v>1</v>
      </c>
      <c r="I881" s="54" t="b">
        <v>1</v>
      </c>
      <c r="J881" s="54" t="b">
        <v>1</v>
      </c>
      <c r="K881" s="63" t="s">
        <v>597</v>
      </c>
      <c r="L881" s="63" t="s">
        <v>3271</v>
      </c>
      <c r="M881" s="63" t="s">
        <v>3272</v>
      </c>
      <c r="N881" s="63" t="s">
        <v>2087</v>
      </c>
    </row>
    <row r="882" spans="1:14" x14ac:dyDescent="0.2">
      <c r="A882" s="51">
        <v>881</v>
      </c>
      <c r="G882" s="65" t="b">
        <v>0</v>
      </c>
      <c r="H882" s="65" t="b">
        <v>0</v>
      </c>
      <c r="I882" s="65" t="b">
        <v>0</v>
      </c>
      <c r="J882" s="65" t="b">
        <v>0</v>
      </c>
      <c r="K882" s="63" t="s">
        <v>597</v>
      </c>
      <c r="L882" s="63" t="s">
        <v>3271</v>
      </c>
      <c r="M882" s="63" t="s">
        <v>3273</v>
      </c>
      <c r="N882" s="63" t="s">
        <v>2087</v>
      </c>
    </row>
    <row r="883" spans="1:14" x14ac:dyDescent="0.2">
      <c r="A883" s="51">
        <v>882</v>
      </c>
      <c r="B883" s="54" t="s">
        <v>599</v>
      </c>
      <c r="C883" s="47" t="s">
        <v>3275</v>
      </c>
      <c r="D883" s="47" t="s">
        <v>12194</v>
      </c>
      <c r="E883" s="47" t="s">
        <v>2087</v>
      </c>
      <c r="F883" s="55" t="b">
        <v>1</v>
      </c>
      <c r="G883" s="54" t="b">
        <v>1</v>
      </c>
      <c r="H883" s="54" t="b">
        <v>1</v>
      </c>
      <c r="I883" s="65" t="b">
        <v>0</v>
      </c>
      <c r="J883" s="54" t="b">
        <v>1</v>
      </c>
      <c r="K883" s="63" t="s">
        <v>599</v>
      </c>
      <c r="L883" s="63" t="s">
        <v>3275</v>
      </c>
      <c r="M883" s="63" t="s">
        <v>3276</v>
      </c>
      <c r="N883" s="63" t="s">
        <v>2087</v>
      </c>
    </row>
    <row r="884" spans="1:14" x14ac:dyDescent="0.2">
      <c r="A884" s="51">
        <v>883</v>
      </c>
      <c r="B884" s="54" t="s">
        <v>599</v>
      </c>
      <c r="C884" s="47" t="s">
        <v>3277</v>
      </c>
      <c r="D884" s="47" t="s">
        <v>3278</v>
      </c>
      <c r="E884" s="47" t="s">
        <v>2087</v>
      </c>
      <c r="F884" s="55" t="b">
        <v>1</v>
      </c>
      <c r="G884" s="54" t="b">
        <v>1</v>
      </c>
      <c r="H884" s="54" t="b">
        <v>1</v>
      </c>
      <c r="I884" s="54" t="b">
        <v>1</v>
      </c>
      <c r="J884" s="54" t="b">
        <v>1</v>
      </c>
      <c r="K884" s="63" t="s">
        <v>599</v>
      </c>
      <c r="L884" s="63" t="s">
        <v>3277</v>
      </c>
      <c r="M884" s="63" t="s">
        <v>3278</v>
      </c>
      <c r="N884" s="63" t="s">
        <v>2087</v>
      </c>
    </row>
    <row r="885" spans="1:14" x14ac:dyDescent="0.2">
      <c r="A885" s="51">
        <v>884</v>
      </c>
      <c r="B885" s="54" t="s">
        <v>599</v>
      </c>
      <c r="C885" s="47" t="s">
        <v>3281</v>
      </c>
      <c r="D885" s="47" t="s">
        <v>3282</v>
      </c>
      <c r="E885" s="47" t="s">
        <v>2087</v>
      </c>
      <c r="F885" s="55" t="b">
        <v>1</v>
      </c>
      <c r="G885" s="54" t="b">
        <v>1</v>
      </c>
      <c r="H885" s="54" t="b">
        <v>1</v>
      </c>
      <c r="I885" s="54" t="b">
        <v>1</v>
      </c>
      <c r="J885" s="54" t="b">
        <v>1</v>
      </c>
      <c r="K885" s="63" t="s">
        <v>599</v>
      </c>
      <c r="L885" s="63" t="s">
        <v>3281</v>
      </c>
      <c r="M885" s="63" t="s">
        <v>3282</v>
      </c>
      <c r="N885" s="63" t="s">
        <v>2087</v>
      </c>
    </row>
    <row r="886" spans="1:14" x14ac:dyDescent="0.2">
      <c r="A886" s="51">
        <v>885</v>
      </c>
      <c r="B886" s="54" t="s">
        <v>599</v>
      </c>
      <c r="C886" s="47" t="s">
        <v>3279</v>
      </c>
      <c r="D886" s="47" t="s">
        <v>3280</v>
      </c>
      <c r="E886" s="47" t="s">
        <v>2087</v>
      </c>
      <c r="F886" s="55" t="b">
        <v>1</v>
      </c>
      <c r="G886" s="54" t="b">
        <v>1</v>
      </c>
      <c r="H886" s="54" t="b">
        <v>1</v>
      </c>
      <c r="I886" s="54" t="b">
        <v>1</v>
      </c>
      <c r="J886" s="54" t="b">
        <v>1</v>
      </c>
      <c r="K886" s="63" t="s">
        <v>599</v>
      </c>
      <c r="L886" s="63" t="s">
        <v>3279</v>
      </c>
      <c r="M886" s="63" t="s">
        <v>3280</v>
      </c>
      <c r="N886" s="63" t="s">
        <v>2087</v>
      </c>
    </row>
    <row r="887" spans="1:14" x14ac:dyDescent="0.2">
      <c r="A887" s="51">
        <v>886</v>
      </c>
      <c r="B887" s="54" t="s">
        <v>599</v>
      </c>
      <c r="C887" s="47" t="s">
        <v>3283</v>
      </c>
      <c r="D887" s="47" t="s">
        <v>3284</v>
      </c>
      <c r="E887" s="47" t="s">
        <v>2087</v>
      </c>
      <c r="F887" s="55" t="b">
        <v>1</v>
      </c>
      <c r="G887" s="54" t="b">
        <v>1</v>
      </c>
      <c r="H887" s="54" t="b">
        <v>1</v>
      </c>
      <c r="I887" s="54" t="b">
        <v>1</v>
      </c>
      <c r="J887" s="54" t="b">
        <v>1</v>
      </c>
      <c r="K887" s="63" t="s">
        <v>599</v>
      </c>
      <c r="L887" s="63" t="s">
        <v>3283</v>
      </c>
      <c r="M887" s="63" t="s">
        <v>3284</v>
      </c>
      <c r="N887" s="63" t="s">
        <v>2087</v>
      </c>
    </row>
    <row r="888" spans="1:14" x14ac:dyDescent="0.2">
      <c r="A888" s="51">
        <v>887</v>
      </c>
      <c r="B888" s="54" t="s">
        <v>599</v>
      </c>
      <c r="C888" s="47" t="s">
        <v>3285</v>
      </c>
      <c r="D888" s="47" t="s">
        <v>12195</v>
      </c>
      <c r="E888" s="47" t="s">
        <v>2087</v>
      </c>
      <c r="F888" s="55" t="b">
        <v>1</v>
      </c>
      <c r="G888" s="54" t="b">
        <v>1</v>
      </c>
      <c r="H888" s="54" t="b">
        <v>1</v>
      </c>
      <c r="I888" s="65" t="b">
        <v>0</v>
      </c>
      <c r="J888" s="54" t="b">
        <v>1</v>
      </c>
      <c r="K888" s="63" t="s">
        <v>599</v>
      </c>
      <c r="L888" s="63" t="s">
        <v>3285</v>
      </c>
      <c r="M888" s="63" t="s">
        <v>3286</v>
      </c>
      <c r="N888" s="63" t="s">
        <v>2087</v>
      </c>
    </row>
    <row r="889" spans="1:14" x14ac:dyDescent="0.2">
      <c r="A889" s="51">
        <v>888</v>
      </c>
      <c r="B889" s="54" t="s">
        <v>599</v>
      </c>
      <c r="C889" s="47" t="s">
        <v>3287</v>
      </c>
      <c r="D889" s="47" t="s">
        <v>3288</v>
      </c>
      <c r="E889" s="47" t="s">
        <v>2087</v>
      </c>
      <c r="F889" s="55" t="b">
        <v>1</v>
      </c>
      <c r="G889" s="54" t="b">
        <v>1</v>
      </c>
      <c r="H889" s="54" t="b">
        <v>1</v>
      </c>
      <c r="I889" s="54" t="b">
        <v>1</v>
      </c>
      <c r="J889" s="54" t="b">
        <v>1</v>
      </c>
      <c r="K889" s="63" t="s">
        <v>599</v>
      </c>
      <c r="L889" s="63" t="s">
        <v>3287</v>
      </c>
      <c r="M889" s="63" t="s">
        <v>3288</v>
      </c>
      <c r="N889" s="63" t="s">
        <v>2087</v>
      </c>
    </row>
    <row r="890" spans="1:14" x14ac:dyDescent="0.2">
      <c r="A890" s="51">
        <v>889</v>
      </c>
      <c r="B890" s="54" t="s">
        <v>599</v>
      </c>
      <c r="C890" s="47" t="s">
        <v>3289</v>
      </c>
      <c r="D890" s="47" t="s">
        <v>12196</v>
      </c>
      <c r="E890" s="47" t="s">
        <v>2087</v>
      </c>
      <c r="F890" s="55" t="b">
        <v>1</v>
      </c>
      <c r="G890" s="54" t="b">
        <v>1</v>
      </c>
      <c r="H890" s="54" t="b">
        <v>1</v>
      </c>
      <c r="I890" s="65" t="b">
        <v>0</v>
      </c>
      <c r="J890" s="54" t="b">
        <v>1</v>
      </c>
      <c r="K890" s="63" t="s">
        <v>599</v>
      </c>
      <c r="L890" s="63" t="s">
        <v>3289</v>
      </c>
      <c r="M890" s="63" t="s">
        <v>3290</v>
      </c>
      <c r="N890" s="63" t="s">
        <v>2087</v>
      </c>
    </row>
    <row r="891" spans="1:14" x14ac:dyDescent="0.2">
      <c r="A891" s="51">
        <v>890</v>
      </c>
      <c r="B891" s="54" t="s">
        <v>599</v>
      </c>
      <c r="C891" s="47" t="s">
        <v>3291</v>
      </c>
      <c r="D891" s="47" t="s">
        <v>3292</v>
      </c>
      <c r="E891" s="47" t="s">
        <v>2087</v>
      </c>
      <c r="F891" s="55" t="b">
        <v>1</v>
      </c>
      <c r="G891" s="54" t="b">
        <v>1</v>
      </c>
      <c r="H891" s="54" t="b">
        <v>1</v>
      </c>
      <c r="I891" s="54" t="b">
        <v>1</v>
      </c>
      <c r="J891" s="54" t="b">
        <v>1</v>
      </c>
      <c r="K891" s="63" t="s">
        <v>599</v>
      </c>
      <c r="L891" s="63" t="s">
        <v>3291</v>
      </c>
      <c r="M891" s="63" t="s">
        <v>3292</v>
      </c>
      <c r="N891" s="63" t="s">
        <v>2087</v>
      </c>
    </row>
    <row r="892" spans="1:14" x14ac:dyDescent="0.2">
      <c r="A892" s="51">
        <v>891</v>
      </c>
      <c r="B892" s="54" t="s">
        <v>599</v>
      </c>
      <c r="C892" s="47" t="s">
        <v>3293</v>
      </c>
      <c r="D892" s="47" t="s">
        <v>3294</v>
      </c>
      <c r="E892" s="47" t="s">
        <v>2087</v>
      </c>
      <c r="F892" s="55" t="b">
        <v>1</v>
      </c>
      <c r="G892" s="54" t="b">
        <v>1</v>
      </c>
      <c r="H892" s="54" t="b">
        <v>1</v>
      </c>
      <c r="I892" s="54" t="b">
        <v>1</v>
      </c>
      <c r="J892" s="54" t="b">
        <v>1</v>
      </c>
      <c r="K892" s="63" t="s">
        <v>599</v>
      </c>
      <c r="L892" s="63" t="s">
        <v>3293</v>
      </c>
      <c r="M892" s="63" t="s">
        <v>3294</v>
      </c>
      <c r="N892" s="63" t="s">
        <v>2087</v>
      </c>
    </row>
    <row r="893" spans="1:14" x14ac:dyDescent="0.2">
      <c r="A893" s="51">
        <v>892</v>
      </c>
      <c r="B893" s="54" t="s">
        <v>599</v>
      </c>
      <c r="C893" s="47" t="s">
        <v>3295</v>
      </c>
      <c r="D893" s="47" t="s">
        <v>12197</v>
      </c>
      <c r="E893" s="47" t="s">
        <v>2087</v>
      </c>
      <c r="F893" s="55" t="b">
        <v>1</v>
      </c>
      <c r="G893" s="54" t="b">
        <v>1</v>
      </c>
      <c r="H893" s="54" t="b">
        <v>1</v>
      </c>
      <c r="I893" s="65" t="b">
        <v>0</v>
      </c>
      <c r="J893" s="54" t="b">
        <v>1</v>
      </c>
      <c r="K893" s="63" t="s">
        <v>599</v>
      </c>
      <c r="L893" s="63" t="s">
        <v>3295</v>
      </c>
      <c r="M893" s="63" t="s">
        <v>3296</v>
      </c>
      <c r="N893" s="63" t="s">
        <v>2087</v>
      </c>
    </row>
    <row r="894" spans="1:14" x14ac:dyDescent="0.2">
      <c r="A894" s="51">
        <v>893</v>
      </c>
      <c r="B894" s="54" t="s">
        <v>599</v>
      </c>
      <c r="C894" s="47" t="s">
        <v>3297</v>
      </c>
      <c r="D894" s="47" t="s">
        <v>3298</v>
      </c>
      <c r="E894" s="47" t="s">
        <v>2087</v>
      </c>
      <c r="F894" s="55" t="b">
        <v>1</v>
      </c>
      <c r="G894" s="54" t="b">
        <v>1</v>
      </c>
      <c r="H894" s="54" t="b">
        <v>1</v>
      </c>
      <c r="I894" s="54" t="b">
        <v>1</v>
      </c>
      <c r="J894" s="54" t="b">
        <v>1</v>
      </c>
      <c r="K894" s="63" t="s">
        <v>599</v>
      </c>
      <c r="L894" s="63" t="s">
        <v>3297</v>
      </c>
      <c r="M894" s="63" t="s">
        <v>3298</v>
      </c>
      <c r="N894" s="63" t="s">
        <v>2087</v>
      </c>
    </row>
    <row r="895" spans="1:14" x14ac:dyDescent="0.2">
      <c r="A895" s="51">
        <v>894</v>
      </c>
      <c r="B895" s="54" t="s">
        <v>599</v>
      </c>
      <c r="C895" s="47" t="s">
        <v>3299</v>
      </c>
      <c r="D895" s="47" t="s">
        <v>12198</v>
      </c>
      <c r="E895" s="47" t="s">
        <v>2087</v>
      </c>
      <c r="F895" s="55" t="b">
        <v>1</v>
      </c>
      <c r="G895" s="54" t="b">
        <v>1</v>
      </c>
      <c r="H895" s="54" t="b">
        <v>1</v>
      </c>
      <c r="I895" s="65" t="b">
        <v>0</v>
      </c>
      <c r="J895" s="54" t="b">
        <v>1</v>
      </c>
      <c r="K895" s="63" t="s">
        <v>599</v>
      </c>
      <c r="L895" s="63" t="s">
        <v>3299</v>
      </c>
      <c r="M895" s="63" t="s">
        <v>3300</v>
      </c>
      <c r="N895" s="63" t="s">
        <v>2087</v>
      </c>
    </row>
    <row r="896" spans="1:14" x14ac:dyDescent="0.2">
      <c r="A896" s="51">
        <v>895</v>
      </c>
      <c r="B896" s="54" t="s">
        <v>599</v>
      </c>
      <c r="C896" s="47" t="s">
        <v>3301</v>
      </c>
      <c r="D896" s="47" t="s">
        <v>3302</v>
      </c>
      <c r="E896" s="47" t="s">
        <v>2087</v>
      </c>
      <c r="F896" s="55" t="b">
        <v>1</v>
      </c>
      <c r="G896" s="54" t="b">
        <v>1</v>
      </c>
      <c r="H896" s="54" t="b">
        <v>1</v>
      </c>
      <c r="I896" s="54" t="b">
        <v>1</v>
      </c>
      <c r="J896" s="54" t="b">
        <v>1</v>
      </c>
      <c r="K896" s="63" t="s">
        <v>599</v>
      </c>
      <c r="L896" s="63" t="s">
        <v>3301</v>
      </c>
      <c r="M896" s="63" t="s">
        <v>3302</v>
      </c>
      <c r="N896" s="63" t="s">
        <v>2087</v>
      </c>
    </row>
    <row r="897" spans="1:14" x14ac:dyDescent="0.2">
      <c r="A897" s="51">
        <v>896</v>
      </c>
      <c r="B897" s="54" t="s">
        <v>599</v>
      </c>
      <c r="C897" s="47" t="s">
        <v>3303</v>
      </c>
      <c r="D897" s="47" t="s">
        <v>3304</v>
      </c>
      <c r="E897" s="47" t="s">
        <v>2087</v>
      </c>
      <c r="F897" s="55" t="b">
        <v>1</v>
      </c>
      <c r="G897" s="54" t="b">
        <v>1</v>
      </c>
      <c r="H897" s="54" t="b">
        <v>1</v>
      </c>
      <c r="I897" s="54" t="b">
        <v>1</v>
      </c>
      <c r="J897" s="54" t="b">
        <v>1</v>
      </c>
      <c r="K897" s="63" t="s">
        <v>599</v>
      </c>
      <c r="L897" s="63" t="s">
        <v>3303</v>
      </c>
      <c r="M897" s="63" t="s">
        <v>3304</v>
      </c>
      <c r="N897" s="63" t="s">
        <v>2087</v>
      </c>
    </row>
    <row r="898" spans="1:14" x14ac:dyDescent="0.2">
      <c r="A898" s="51">
        <v>897</v>
      </c>
      <c r="B898" s="54" t="s">
        <v>601</v>
      </c>
      <c r="C898" s="47" t="s">
        <v>3310</v>
      </c>
      <c r="D898" s="47" t="s">
        <v>3311</v>
      </c>
      <c r="E898" s="47" t="s">
        <v>2164</v>
      </c>
      <c r="F898" s="55" t="b">
        <v>1</v>
      </c>
      <c r="G898" s="54" t="b">
        <v>1</v>
      </c>
      <c r="H898" s="54" t="b">
        <v>1</v>
      </c>
      <c r="I898" s="54" t="b">
        <v>1</v>
      </c>
      <c r="J898" s="54" t="b">
        <v>1</v>
      </c>
      <c r="K898" s="63" t="s">
        <v>601</v>
      </c>
      <c r="L898" s="63" t="s">
        <v>3310</v>
      </c>
      <c r="M898" s="63" t="s">
        <v>3311</v>
      </c>
      <c r="N898" s="63" t="s">
        <v>2164</v>
      </c>
    </row>
    <row r="899" spans="1:14" x14ac:dyDescent="0.2">
      <c r="A899" s="51">
        <v>898</v>
      </c>
      <c r="B899" s="54" t="s">
        <v>601</v>
      </c>
      <c r="C899" s="47" t="s">
        <v>3365</v>
      </c>
      <c r="D899" s="47" t="s">
        <v>3366</v>
      </c>
      <c r="E899" s="47" t="s">
        <v>2164</v>
      </c>
      <c r="F899" s="55" t="b">
        <v>1</v>
      </c>
      <c r="G899" s="54" t="b">
        <v>1</v>
      </c>
      <c r="H899" s="54" t="b">
        <v>1</v>
      </c>
      <c r="I899" s="54" t="b">
        <v>1</v>
      </c>
      <c r="J899" s="54" t="b">
        <v>1</v>
      </c>
      <c r="K899" s="63" t="s">
        <v>601</v>
      </c>
      <c r="L899" s="63" t="s">
        <v>3365</v>
      </c>
      <c r="M899" s="63" t="s">
        <v>3366</v>
      </c>
      <c r="N899" s="63" t="s">
        <v>2164</v>
      </c>
    </row>
    <row r="900" spans="1:14" x14ac:dyDescent="0.2">
      <c r="A900" s="51">
        <v>899</v>
      </c>
      <c r="B900" s="54" t="s">
        <v>601</v>
      </c>
      <c r="C900" s="47" t="s">
        <v>3327</v>
      </c>
      <c r="D900" s="47" t="s">
        <v>3328</v>
      </c>
      <c r="E900" s="47" t="s">
        <v>1719</v>
      </c>
      <c r="F900" s="55" t="b">
        <v>1</v>
      </c>
      <c r="G900" s="54" t="b">
        <v>1</v>
      </c>
      <c r="H900" s="54" t="b">
        <v>1</v>
      </c>
      <c r="I900" s="54" t="b">
        <v>1</v>
      </c>
      <c r="J900" s="54" t="b">
        <v>1</v>
      </c>
      <c r="K900" s="63" t="s">
        <v>601</v>
      </c>
      <c r="L900" s="63" t="s">
        <v>3327</v>
      </c>
      <c r="M900" s="63" t="s">
        <v>3328</v>
      </c>
      <c r="N900" s="63" t="s">
        <v>1719</v>
      </c>
    </row>
    <row r="901" spans="1:14" x14ac:dyDescent="0.2">
      <c r="A901" s="51">
        <v>900</v>
      </c>
      <c r="B901" s="54" t="s">
        <v>601</v>
      </c>
      <c r="C901" s="47" t="s">
        <v>3359</v>
      </c>
      <c r="D901" s="47" t="s">
        <v>3360</v>
      </c>
      <c r="E901" s="47" t="s">
        <v>1719</v>
      </c>
      <c r="F901" s="55" t="b">
        <v>1</v>
      </c>
      <c r="G901" s="54" t="b">
        <v>1</v>
      </c>
      <c r="H901" s="54" t="b">
        <v>1</v>
      </c>
      <c r="I901" s="54" t="b">
        <v>1</v>
      </c>
      <c r="J901" s="54" t="b">
        <v>1</v>
      </c>
      <c r="K901" s="63" t="s">
        <v>601</v>
      </c>
      <c r="L901" s="63" t="s">
        <v>3359</v>
      </c>
      <c r="M901" s="63" t="s">
        <v>3360</v>
      </c>
      <c r="N901" s="63" t="s">
        <v>1719</v>
      </c>
    </row>
    <row r="902" spans="1:14" x14ac:dyDescent="0.2">
      <c r="A902" s="51">
        <v>901</v>
      </c>
      <c r="B902" s="54" t="s">
        <v>601</v>
      </c>
      <c r="C902" s="47" t="s">
        <v>3347</v>
      </c>
      <c r="D902" s="47" t="s">
        <v>12199</v>
      </c>
      <c r="E902" s="47" t="s">
        <v>3322</v>
      </c>
      <c r="F902" s="55" t="b">
        <v>1</v>
      </c>
      <c r="G902" s="54" t="b">
        <v>1</v>
      </c>
      <c r="H902" s="54" t="b">
        <v>1</v>
      </c>
      <c r="I902" s="65" t="b">
        <v>0</v>
      </c>
      <c r="J902" s="54" t="b">
        <v>1</v>
      </c>
      <c r="K902" s="63" t="s">
        <v>601</v>
      </c>
      <c r="L902" s="63" t="s">
        <v>3347</v>
      </c>
      <c r="M902" s="63" t="s">
        <v>3348</v>
      </c>
      <c r="N902" s="63" t="s">
        <v>3322</v>
      </c>
    </row>
    <row r="903" spans="1:14" x14ac:dyDescent="0.2">
      <c r="A903" s="51">
        <v>902</v>
      </c>
      <c r="B903" s="54" t="s">
        <v>601</v>
      </c>
      <c r="C903" s="47" t="s">
        <v>3344</v>
      </c>
      <c r="D903" s="47" t="s">
        <v>3345</v>
      </c>
      <c r="E903" s="47" t="s">
        <v>1719</v>
      </c>
      <c r="F903" s="55" t="b">
        <v>1</v>
      </c>
      <c r="G903" s="54" t="b">
        <v>1</v>
      </c>
      <c r="H903" s="54" t="b">
        <v>1</v>
      </c>
      <c r="I903" s="54" t="b">
        <v>1</v>
      </c>
      <c r="J903" s="54" t="b">
        <v>1</v>
      </c>
      <c r="K903" s="63" t="s">
        <v>601</v>
      </c>
      <c r="L903" s="63" t="s">
        <v>3344</v>
      </c>
      <c r="M903" s="63" t="s">
        <v>3345</v>
      </c>
      <c r="N903" s="63" t="s">
        <v>1719</v>
      </c>
    </row>
    <row r="904" spans="1:14" x14ac:dyDescent="0.2">
      <c r="A904" s="51">
        <v>903</v>
      </c>
      <c r="B904" s="54" t="s">
        <v>601</v>
      </c>
      <c r="C904" s="47" t="s">
        <v>3342</v>
      </c>
      <c r="D904" s="47" t="s">
        <v>3343</v>
      </c>
      <c r="E904" s="47" t="s">
        <v>1719</v>
      </c>
      <c r="F904" s="55" t="b">
        <v>1</v>
      </c>
      <c r="G904" s="54" t="b">
        <v>1</v>
      </c>
      <c r="H904" s="54" t="b">
        <v>1</v>
      </c>
      <c r="I904" s="54" t="b">
        <v>1</v>
      </c>
      <c r="J904" s="54" t="b">
        <v>1</v>
      </c>
      <c r="K904" s="63" t="s">
        <v>601</v>
      </c>
      <c r="L904" s="63" t="s">
        <v>3342</v>
      </c>
      <c r="M904" s="63" t="s">
        <v>3343</v>
      </c>
      <c r="N904" s="63" t="s">
        <v>1719</v>
      </c>
    </row>
    <row r="905" spans="1:14" x14ac:dyDescent="0.2">
      <c r="A905" s="51">
        <v>904</v>
      </c>
      <c r="B905" s="54" t="s">
        <v>601</v>
      </c>
      <c r="C905" s="47" t="s">
        <v>3329</v>
      </c>
      <c r="D905" s="47" t="s">
        <v>3330</v>
      </c>
      <c r="E905" s="47" t="s">
        <v>1719</v>
      </c>
      <c r="F905" s="55" t="b">
        <v>1</v>
      </c>
      <c r="G905" s="54" t="b">
        <v>1</v>
      </c>
      <c r="H905" s="54" t="b">
        <v>1</v>
      </c>
      <c r="I905" s="54" t="b">
        <v>1</v>
      </c>
      <c r="J905" s="54" t="b">
        <v>1</v>
      </c>
      <c r="K905" s="63" t="s">
        <v>601</v>
      </c>
      <c r="L905" s="63" t="s">
        <v>3329</v>
      </c>
      <c r="M905" s="63" t="s">
        <v>3330</v>
      </c>
      <c r="N905" s="63" t="s">
        <v>1719</v>
      </c>
    </row>
    <row r="906" spans="1:14" x14ac:dyDescent="0.2">
      <c r="A906" s="51">
        <v>905</v>
      </c>
      <c r="B906" s="54" t="s">
        <v>601</v>
      </c>
      <c r="C906" s="47" t="s">
        <v>3357</v>
      </c>
      <c r="D906" s="47" t="s">
        <v>3358</v>
      </c>
      <c r="E906" s="47" t="s">
        <v>2164</v>
      </c>
      <c r="F906" s="55" t="b">
        <v>1</v>
      </c>
      <c r="G906" s="54" t="b">
        <v>1</v>
      </c>
      <c r="H906" s="54" t="b">
        <v>1</v>
      </c>
      <c r="I906" s="54" t="b">
        <v>1</v>
      </c>
      <c r="J906" s="54" t="b">
        <v>1</v>
      </c>
      <c r="K906" s="63" t="s">
        <v>601</v>
      </c>
      <c r="L906" s="63" t="s">
        <v>3357</v>
      </c>
      <c r="M906" s="63" t="s">
        <v>3358</v>
      </c>
      <c r="N906" s="63" t="s">
        <v>2164</v>
      </c>
    </row>
    <row r="907" spans="1:14" x14ac:dyDescent="0.2">
      <c r="A907" s="51">
        <v>906</v>
      </c>
      <c r="B907" s="54" t="s">
        <v>601</v>
      </c>
      <c r="C907" s="47" t="s">
        <v>3338</v>
      </c>
      <c r="D907" s="47" t="s">
        <v>3339</v>
      </c>
      <c r="E907" s="47" t="s">
        <v>1719</v>
      </c>
      <c r="F907" s="55" t="b">
        <v>1</v>
      </c>
      <c r="G907" s="54" t="b">
        <v>1</v>
      </c>
      <c r="H907" s="54" t="b">
        <v>1</v>
      </c>
      <c r="I907" s="54" t="b">
        <v>1</v>
      </c>
      <c r="J907" s="54" t="b">
        <v>1</v>
      </c>
      <c r="K907" s="63" t="s">
        <v>601</v>
      </c>
      <c r="L907" s="63" t="s">
        <v>3338</v>
      </c>
      <c r="M907" s="63" t="s">
        <v>3339</v>
      </c>
      <c r="N907" s="63" t="s">
        <v>1719</v>
      </c>
    </row>
    <row r="908" spans="1:14" x14ac:dyDescent="0.2">
      <c r="A908" s="51">
        <v>907</v>
      </c>
      <c r="B908" s="54" t="s">
        <v>601</v>
      </c>
      <c r="C908" s="47" t="s">
        <v>3374</v>
      </c>
      <c r="D908" s="47" t="s">
        <v>3375</v>
      </c>
      <c r="E908" s="47" t="s">
        <v>1719</v>
      </c>
      <c r="F908" s="55" t="b">
        <v>1</v>
      </c>
      <c r="G908" s="54" t="b">
        <v>1</v>
      </c>
      <c r="H908" s="54" t="b">
        <v>1</v>
      </c>
      <c r="I908" s="54" t="b">
        <v>1</v>
      </c>
      <c r="J908" s="54" t="b">
        <v>1</v>
      </c>
      <c r="K908" s="63" t="s">
        <v>601</v>
      </c>
      <c r="L908" s="63" t="s">
        <v>3374</v>
      </c>
      <c r="M908" s="63" t="s">
        <v>3375</v>
      </c>
      <c r="N908" s="63" t="s">
        <v>1719</v>
      </c>
    </row>
    <row r="909" spans="1:14" x14ac:dyDescent="0.2">
      <c r="A909" s="51">
        <v>908</v>
      </c>
      <c r="B909" s="54" t="s">
        <v>601</v>
      </c>
      <c r="C909" s="47" t="s">
        <v>3305</v>
      </c>
      <c r="D909" s="47" t="s">
        <v>3306</v>
      </c>
      <c r="E909" s="47" t="s">
        <v>1719</v>
      </c>
      <c r="F909" s="55" t="b">
        <v>1</v>
      </c>
      <c r="G909" s="54" t="b">
        <v>1</v>
      </c>
      <c r="H909" s="54" t="b">
        <v>1</v>
      </c>
      <c r="I909" s="54" t="b">
        <v>1</v>
      </c>
      <c r="J909" s="54" t="b">
        <v>1</v>
      </c>
      <c r="K909" s="63" t="s">
        <v>601</v>
      </c>
      <c r="L909" s="63" t="s">
        <v>3305</v>
      </c>
      <c r="M909" s="63" t="s">
        <v>3306</v>
      </c>
      <c r="N909" s="63" t="s">
        <v>1719</v>
      </c>
    </row>
    <row r="910" spans="1:14" x14ac:dyDescent="0.2">
      <c r="A910" s="51">
        <v>909</v>
      </c>
      <c r="B910" s="54" t="s">
        <v>601</v>
      </c>
      <c r="C910" s="47" t="s">
        <v>3314</v>
      </c>
      <c r="D910" s="47" t="s">
        <v>3315</v>
      </c>
      <c r="E910" s="47" t="s">
        <v>1719</v>
      </c>
      <c r="F910" s="55" t="b">
        <v>1</v>
      </c>
      <c r="G910" s="54" t="b">
        <v>1</v>
      </c>
      <c r="H910" s="54" t="b">
        <v>1</v>
      </c>
      <c r="I910" s="54" t="b">
        <v>1</v>
      </c>
      <c r="J910" s="54" t="b">
        <v>1</v>
      </c>
      <c r="K910" s="63" t="s">
        <v>601</v>
      </c>
      <c r="L910" s="63" t="s">
        <v>3314</v>
      </c>
      <c r="M910" s="63" t="s">
        <v>3315</v>
      </c>
      <c r="N910" s="63" t="s">
        <v>1719</v>
      </c>
    </row>
    <row r="911" spans="1:14" x14ac:dyDescent="0.2">
      <c r="A911" s="51">
        <v>910</v>
      </c>
      <c r="B911" s="54" t="s">
        <v>601</v>
      </c>
      <c r="C911" s="47" t="s">
        <v>3340</v>
      </c>
      <c r="D911" s="47" t="s">
        <v>3341</v>
      </c>
      <c r="E911" s="47" t="s">
        <v>1719</v>
      </c>
      <c r="F911" s="55" t="b">
        <v>1</v>
      </c>
      <c r="G911" s="54" t="b">
        <v>1</v>
      </c>
      <c r="H911" s="54" t="b">
        <v>1</v>
      </c>
      <c r="I911" s="54" t="b">
        <v>1</v>
      </c>
      <c r="J911" s="54" t="b">
        <v>1</v>
      </c>
      <c r="K911" s="63" t="s">
        <v>601</v>
      </c>
      <c r="L911" s="63" t="s">
        <v>3340</v>
      </c>
      <c r="M911" s="63" t="s">
        <v>3341</v>
      </c>
      <c r="N911" s="63" t="s">
        <v>1719</v>
      </c>
    </row>
    <row r="912" spans="1:14" x14ac:dyDescent="0.2">
      <c r="A912" s="51">
        <v>911</v>
      </c>
      <c r="B912" s="54" t="s">
        <v>601</v>
      </c>
      <c r="C912" s="47" t="s">
        <v>3355</v>
      </c>
      <c r="D912" s="47" t="s">
        <v>3356</v>
      </c>
      <c r="E912" s="47" t="s">
        <v>1719</v>
      </c>
      <c r="F912" s="55" t="b">
        <v>1</v>
      </c>
      <c r="G912" s="54" t="b">
        <v>1</v>
      </c>
      <c r="H912" s="54" t="b">
        <v>1</v>
      </c>
      <c r="I912" s="54" t="b">
        <v>1</v>
      </c>
      <c r="J912" s="54" t="b">
        <v>1</v>
      </c>
      <c r="K912" s="63" t="s">
        <v>601</v>
      </c>
      <c r="L912" s="63" t="s">
        <v>3355</v>
      </c>
      <c r="M912" s="63" t="s">
        <v>3356</v>
      </c>
      <c r="N912" s="63" t="s">
        <v>1719</v>
      </c>
    </row>
    <row r="913" spans="1:14" x14ac:dyDescent="0.2">
      <c r="A913" s="51">
        <v>912</v>
      </c>
      <c r="B913" s="54" t="s">
        <v>601</v>
      </c>
      <c r="C913" s="47" t="s">
        <v>3331</v>
      </c>
      <c r="D913" s="47" t="s">
        <v>3332</v>
      </c>
      <c r="E913" s="47" t="s">
        <v>1719</v>
      </c>
      <c r="F913" s="55" t="b">
        <v>1</v>
      </c>
      <c r="G913" s="54" t="b">
        <v>1</v>
      </c>
      <c r="H913" s="54" t="b">
        <v>1</v>
      </c>
      <c r="I913" s="54" t="b">
        <v>1</v>
      </c>
      <c r="J913" s="54" t="b">
        <v>1</v>
      </c>
      <c r="K913" s="63" t="s">
        <v>601</v>
      </c>
      <c r="L913" s="63" t="s">
        <v>3331</v>
      </c>
      <c r="M913" s="63" t="s">
        <v>3332</v>
      </c>
      <c r="N913" s="63" t="s">
        <v>1719</v>
      </c>
    </row>
    <row r="914" spans="1:14" x14ac:dyDescent="0.2">
      <c r="A914" s="51">
        <v>913</v>
      </c>
      <c r="B914" s="54" t="s">
        <v>601</v>
      </c>
      <c r="C914" s="47" t="s">
        <v>3334</v>
      </c>
      <c r="D914" s="47" t="s">
        <v>3335</v>
      </c>
      <c r="E914" s="47" t="s">
        <v>1719</v>
      </c>
      <c r="F914" s="55" t="b">
        <v>1</v>
      </c>
      <c r="G914" s="54" t="b">
        <v>1</v>
      </c>
      <c r="H914" s="54" t="b">
        <v>1</v>
      </c>
      <c r="I914" s="54" t="b">
        <v>1</v>
      </c>
      <c r="J914" s="54" t="b">
        <v>1</v>
      </c>
      <c r="K914" s="63" t="s">
        <v>601</v>
      </c>
      <c r="L914" s="63" t="s">
        <v>3334</v>
      </c>
      <c r="M914" s="63" t="s">
        <v>3335</v>
      </c>
      <c r="N914" s="63" t="s">
        <v>1719</v>
      </c>
    </row>
    <row r="915" spans="1:14" x14ac:dyDescent="0.2">
      <c r="A915" s="51">
        <v>914</v>
      </c>
      <c r="B915" s="54" t="s">
        <v>601</v>
      </c>
      <c r="C915" s="47" t="s">
        <v>3336</v>
      </c>
      <c r="D915" s="47" t="s">
        <v>3337</v>
      </c>
      <c r="E915" s="47" t="s">
        <v>1719</v>
      </c>
      <c r="F915" s="55" t="b">
        <v>1</v>
      </c>
      <c r="G915" s="54" t="b">
        <v>1</v>
      </c>
      <c r="H915" s="54" t="b">
        <v>1</v>
      </c>
      <c r="I915" s="54" t="b">
        <v>1</v>
      </c>
      <c r="J915" s="54" t="b">
        <v>1</v>
      </c>
      <c r="K915" s="63" t="s">
        <v>601</v>
      </c>
      <c r="L915" s="63" t="s">
        <v>3336</v>
      </c>
      <c r="M915" s="63" t="s">
        <v>3337</v>
      </c>
      <c r="N915" s="63" t="s">
        <v>1719</v>
      </c>
    </row>
    <row r="916" spans="1:14" x14ac:dyDescent="0.2">
      <c r="A916" s="51">
        <v>915</v>
      </c>
      <c r="B916" s="54" t="s">
        <v>601</v>
      </c>
      <c r="C916" s="47" t="s">
        <v>3318</v>
      </c>
      <c r="D916" s="47" t="s">
        <v>3319</v>
      </c>
      <c r="E916" s="47" t="s">
        <v>1719</v>
      </c>
      <c r="F916" s="55" t="b">
        <v>1</v>
      </c>
      <c r="G916" s="54" t="b">
        <v>1</v>
      </c>
      <c r="H916" s="54" t="b">
        <v>1</v>
      </c>
      <c r="I916" s="54" t="b">
        <v>1</v>
      </c>
      <c r="J916" s="54" t="b">
        <v>1</v>
      </c>
      <c r="K916" s="63" t="s">
        <v>601</v>
      </c>
      <c r="L916" s="63" t="s">
        <v>3318</v>
      </c>
      <c r="M916" s="63" t="s">
        <v>3319</v>
      </c>
      <c r="N916" s="63" t="s">
        <v>1719</v>
      </c>
    </row>
    <row r="917" spans="1:14" x14ac:dyDescent="0.2">
      <c r="A917" s="51">
        <v>916</v>
      </c>
      <c r="B917" s="54" t="s">
        <v>601</v>
      </c>
      <c r="C917" s="47" t="s">
        <v>3320</v>
      </c>
      <c r="D917" s="47" t="s">
        <v>3321</v>
      </c>
      <c r="E917" s="47" t="s">
        <v>3322</v>
      </c>
      <c r="F917" s="55" t="b">
        <v>1</v>
      </c>
      <c r="G917" s="54" t="b">
        <v>1</v>
      </c>
      <c r="H917" s="54" t="b">
        <v>1</v>
      </c>
      <c r="I917" s="54" t="b">
        <v>1</v>
      </c>
      <c r="J917" s="54" t="b">
        <v>1</v>
      </c>
      <c r="K917" s="63" t="s">
        <v>601</v>
      </c>
      <c r="L917" s="63" t="s">
        <v>3320</v>
      </c>
      <c r="M917" s="63" t="s">
        <v>3321</v>
      </c>
      <c r="N917" s="63" t="s">
        <v>3322</v>
      </c>
    </row>
    <row r="918" spans="1:14" x14ac:dyDescent="0.2">
      <c r="A918" s="51">
        <v>917</v>
      </c>
      <c r="B918" s="54" t="s">
        <v>601</v>
      </c>
      <c r="C918" s="47" t="s">
        <v>3325</v>
      </c>
      <c r="D918" s="47" t="s">
        <v>3326</v>
      </c>
      <c r="E918" s="47" t="s">
        <v>1719</v>
      </c>
      <c r="F918" s="55" t="b">
        <v>1</v>
      </c>
      <c r="G918" s="54" t="b">
        <v>1</v>
      </c>
      <c r="H918" s="54" t="b">
        <v>1</v>
      </c>
      <c r="I918" s="54" t="b">
        <v>1</v>
      </c>
      <c r="J918" s="54" t="b">
        <v>1</v>
      </c>
      <c r="K918" s="63" t="s">
        <v>601</v>
      </c>
      <c r="L918" s="63" t="s">
        <v>3325</v>
      </c>
      <c r="M918" s="63" t="s">
        <v>3326</v>
      </c>
      <c r="N918" s="63" t="s">
        <v>1719</v>
      </c>
    </row>
    <row r="919" spans="1:14" x14ac:dyDescent="0.2">
      <c r="A919" s="51">
        <v>918</v>
      </c>
      <c r="B919" s="54" t="s">
        <v>601</v>
      </c>
      <c r="C919" s="47" t="s">
        <v>3312</v>
      </c>
      <c r="D919" s="47" t="s">
        <v>3313</v>
      </c>
      <c r="E919" s="47" t="s">
        <v>2164</v>
      </c>
      <c r="F919" s="55" t="b">
        <v>1</v>
      </c>
      <c r="G919" s="54" t="b">
        <v>1</v>
      </c>
      <c r="H919" s="54" t="b">
        <v>1</v>
      </c>
      <c r="I919" s="54" t="b">
        <v>1</v>
      </c>
      <c r="J919" s="54" t="b">
        <v>1</v>
      </c>
      <c r="K919" s="63" t="s">
        <v>601</v>
      </c>
      <c r="L919" s="63" t="s">
        <v>3312</v>
      </c>
      <c r="M919" s="63" t="s">
        <v>3313</v>
      </c>
      <c r="N919" s="63" t="s">
        <v>2164</v>
      </c>
    </row>
    <row r="920" spans="1:14" x14ac:dyDescent="0.2">
      <c r="A920" s="51">
        <v>919</v>
      </c>
      <c r="B920" s="54" t="s">
        <v>601</v>
      </c>
      <c r="C920" s="47" t="s">
        <v>3361</v>
      </c>
      <c r="D920" s="47" t="s">
        <v>3362</v>
      </c>
      <c r="E920" s="47" t="s">
        <v>1719</v>
      </c>
      <c r="F920" s="55" t="b">
        <v>1</v>
      </c>
      <c r="G920" s="54" t="b">
        <v>1</v>
      </c>
      <c r="H920" s="54" t="b">
        <v>1</v>
      </c>
      <c r="I920" s="54" t="b">
        <v>1</v>
      </c>
      <c r="J920" s="54" t="b">
        <v>1</v>
      </c>
      <c r="K920" s="63" t="s">
        <v>601</v>
      </c>
      <c r="L920" s="63" t="s">
        <v>3361</v>
      </c>
      <c r="M920" s="63" t="s">
        <v>3362</v>
      </c>
      <c r="N920" s="63" t="s">
        <v>1719</v>
      </c>
    </row>
    <row r="921" spans="1:14" x14ac:dyDescent="0.2">
      <c r="A921" s="51">
        <v>920</v>
      </c>
      <c r="B921" s="54" t="s">
        <v>601</v>
      </c>
      <c r="C921" s="47" t="s">
        <v>3323</v>
      </c>
      <c r="D921" s="47" t="s">
        <v>3324</v>
      </c>
      <c r="E921" s="47" t="s">
        <v>1719</v>
      </c>
      <c r="F921" s="55" t="b">
        <v>1</v>
      </c>
      <c r="G921" s="54" t="b">
        <v>1</v>
      </c>
      <c r="H921" s="54" t="b">
        <v>1</v>
      </c>
      <c r="I921" s="54" t="b">
        <v>1</v>
      </c>
      <c r="J921" s="54" t="b">
        <v>1</v>
      </c>
      <c r="K921" s="63" t="s">
        <v>601</v>
      </c>
      <c r="L921" s="63" t="s">
        <v>3323</v>
      </c>
      <c r="M921" s="63" t="s">
        <v>3324</v>
      </c>
      <c r="N921" s="63" t="s">
        <v>1719</v>
      </c>
    </row>
    <row r="922" spans="1:14" x14ac:dyDescent="0.2">
      <c r="A922" s="51">
        <v>921</v>
      </c>
      <c r="B922" s="54" t="s">
        <v>601</v>
      </c>
      <c r="C922" s="47" t="s">
        <v>3372</v>
      </c>
      <c r="D922" s="47" t="s">
        <v>3373</v>
      </c>
      <c r="E922" s="47" t="s">
        <v>1719</v>
      </c>
      <c r="F922" s="55" t="b">
        <v>1</v>
      </c>
      <c r="G922" s="54" t="b">
        <v>1</v>
      </c>
      <c r="H922" s="54" t="b">
        <v>1</v>
      </c>
      <c r="I922" s="54" t="b">
        <v>1</v>
      </c>
      <c r="J922" s="54" t="b">
        <v>1</v>
      </c>
      <c r="K922" s="63" t="s">
        <v>601</v>
      </c>
      <c r="L922" s="63" t="s">
        <v>3372</v>
      </c>
      <c r="M922" s="63" t="s">
        <v>3373</v>
      </c>
      <c r="N922" s="63" t="s">
        <v>1719</v>
      </c>
    </row>
    <row r="923" spans="1:14" x14ac:dyDescent="0.2">
      <c r="A923" s="51">
        <v>922</v>
      </c>
      <c r="B923" s="54" t="s">
        <v>601</v>
      </c>
      <c r="C923" s="47" t="s">
        <v>3370</v>
      </c>
      <c r="D923" s="47" t="s">
        <v>12200</v>
      </c>
      <c r="E923" s="47" t="s">
        <v>3322</v>
      </c>
      <c r="F923" s="55" t="b">
        <v>1</v>
      </c>
      <c r="G923" s="54" t="b">
        <v>1</v>
      </c>
      <c r="H923" s="54" t="b">
        <v>1</v>
      </c>
      <c r="I923" s="65" t="b">
        <v>0</v>
      </c>
      <c r="J923" s="54" t="b">
        <v>1</v>
      </c>
      <c r="K923" s="63" t="s">
        <v>601</v>
      </c>
      <c r="L923" s="63" t="s">
        <v>3370</v>
      </c>
      <c r="M923" s="63" t="s">
        <v>3371</v>
      </c>
      <c r="N923" s="63" t="s">
        <v>3322</v>
      </c>
    </row>
    <row r="924" spans="1:14" x14ac:dyDescent="0.2">
      <c r="A924" s="51">
        <v>923</v>
      </c>
      <c r="B924" s="54" t="s">
        <v>601</v>
      </c>
      <c r="C924" s="47" t="s">
        <v>3353</v>
      </c>
      <c r="D924" s="47" t="s">
        <v>3354</v>
      </c>
      <c r="E924" s="47" t="s">
        <v>1719</v>
      </c>
      <c r="F924" s="55" t="b">
        <v>1</v>
      </c>
      <c r="G924" s="54" t="b">
        <v>1</v>
      </c>
      <c r="H924" s="54" t="b">
        <v>1</v>
      </c>
      <c r="I924" s="54" t="b">
        <v>1</v>
      </c>
      <c r="J924" s="54" t="b">
        <v>1</v>
      </c>
      <c r="K924" s="63" t="s">
        <v>601</v>
      </c>
      <c r="L924" s="63" t="s">
        <v>3353</v>
      </c>
      <c r="M924" s="63" t="s">
        <v>3354</v>
      </c>
      <c r="N924" s="63" t="s">
        <v>1719</v>
      </c>
    </row>
    <row r="925" spans="1:14" x14ac:dyDescent="0.2">
      <c r="A925" s="51">
        <v>924</v>
      </c>
      <c r="B925" s="54" t="s">
        <v>601</v>
      </c>
      <c r="C925" s="47" t="s">
        <v>3316</v>
      </c>
      <c r="D925" s="47" t="s">
        <v>3317</v>
      </c>
      <c r="E925" s="47" t="s">
        <v>1719</v>
      </c>
      <c r="F925" s="55" t="b">
        <v>1</v>
      </c>
      <c r="G925" s="54" t="b">
        <v>1</v>
      </c>
      <c r="H925" s="54" t="b">
        <v>1</v>
      </c>
      <c r="I925" s="54" t="b">
        <v>1</v>
      </c>
      <c r="J925" s="54" t="b">
        <v>1</v>
      </c>
      <c r="K925" s="63" t="s">
        <v>601</v>
      </c>
      <c r="L925" s="63" t="s">
        <v>3316</v>
      </c>
      <c r="M925" s="63" t="s">
        <v>3317</v>
      </c>
      <c r="N925" s="63" t="s">
        <v>1719</v>
      </c>
    </row>
    <row r="926" spans="1:14" x14ac:dyDescent="0.2">
      <c r="A926" s="51">
        <v>925</v>
      </c>
      <c r="B926" s="54" t="s">
        <v>601</v>
      </c>
      <c r="C926" s="47" t="s">
        <v>3351</v>
      </c>
      <c r="D926" s="47" t="s">
        <v>3352</v>
      </c>
      <c r="E926" s="47" t="s">
        <v>1719</v>
      </c>
      <c r="F926" s="55" t="b">
        <v>1</v>
      </c>
      <c r="G926" s="54" t="b">
        <v>1</v>
      </c>
      <c r="H926" s="54" t="b">
        <v>1</v>
      </c>
      <c r="I926" s="54" t="b">
        <v>1</v>
      </c>
      <c r="J926" s="54" t="b">
        <v>1</v>
      </c>
      <c r="K926" s="63" t="s">
        <v>601</v>
      </c>
      <c r="L926" s="63" t="s">
        <v>3351</v>
      </c>
      <c r="M926" s="63" t="s">
        <v>3352</v>
      </c>
      <c r="N926" s="63" t="s">
        <v>1719</v>
      </c>
    </row>
    <row r="927" spans="1:14" x14ac:dyDescent="0.2">
      <c r="A927" s="51">
        <v>926</v>
      </c>
      <c r="B927" s="54" t="s">
        <v>601</v>
      </c>
      <c r="C927" s="47" t="s">
        <v>3349</v>
      </c>
      <c r="D927" s="47" t="s">
        <v>3350</v>
      </c>
      <c r="E927" s="47" t="s">
        <v>3322</v>
      </c>
      <c r="F927" s="55" t="b">
        <v>1</v>
      </c>
      <c r="G927" s="54" t="b">
        <v>1</v>
      </c>
      <c r="H927" s="54" t="b">
        <v>1</v>
      </c>
      <c r="I927" s="54" t="b">
        <v>1</v>
      </c>
      <c r="J927" s="54" t="b">
        <v>1</v>
      </c>
      <c r="K927" s="63" t="s">
        <v>601</v>
      </c>
      <c r="L927" s="63" t="s">
        <v>3349</v>
      </c>
      <c r="M927" s="63" t="s">
        <v>3350</v>
      </c>
      <c r="N927" s="63" t="s">
        <v>3322</v>
      </c>
    </row>
    <row r="928" spans="1:14" x14ac:dyDescent="0.2">
      <c r="A928" s="51">
        <v>927</v>
      </c>
      <c r="B928" s="54" t="s">
        <v>601</v>
      </c>
      <c r="C928" s="47" t="s">
        <v>3368</v>
      </c>
      <c r="D928" s="47" t="s">
        <v>3369</v>
      </c>
      <c r="E928" s="47" t="s">
        <v>3322</v>
      </c>
      <c r="F928" s="55" t="b">
        <v>1</v>
      </c>
      <c r="G928" s="54" t="b">
        <v>1</v>
      </c>
      <c r="H928" s="54" t="b">
        <v>1</v>
      </c>
      <c r="I928" s="54" t="b">
        <v>1</v>
      </c>
      <c r="J928" s="54" t="b">
        <v>1</v>
      </c>
      <c r="K928" s="63" t="s">
        <v>601</v>
      </c>
      <c r="L928" s="63" t="s">
        <v>3368</v>
      </c>
      <c r="M928" s="63" t="s">
        <v>3369</v>
      </c>
      <c r="N928" s="63" t="s">
        <v>3322</v>
      </c>
    </row>
    <row r="929" spans="1:14" x14ac:dyDescent="0.2">
      <c r="A929" s="51">
        <v>928</v>
      </c>
      <c r="G929" s="65" t="b">
        <v>0</v>
      </c>
      <c r="H929" s="65" t="b">
        <v>0</v>
      </c>
      <c r="I929" s="65" t="b">
        <v>0</v>
      </c>
      <c r="J929" s="65" t="b">
        <v>0</v>
      </c>
      <c r="K929" s="63" t="s">
        <v>601</v>
      </c>
      <c r="L929" s="63" t="s">
        <v>3363</v>
      </c>
      <c r="M929" s="63" t="s">
        <v>3364</v>
      </c>
      <c r="N929" s="63" t="s">
        <v>1719</v>
      </c>
    </row>
    <row r="930" spans="1:14" x14ac:dyDescent="0.2">
      <c r="A930" s="51">
        <v>929</v>
      </c>
      <c r="G930" s="65" t="b">
        <v>0</v>
      </c>
      <c r="H930" s="65" t="b">
        <v>0</v>
      </c>
      <c r="I930" s="65" t="b">
        <v>0</v>
      </c>
      <c r="J930" s="65" t="b">
        <v>0</v>
      </c>
      <c r="K930" s="63" t="s">
        <v>601</v>
      </c>
      <c r="L930" s="63" t="s">
        <v>3333</v>
      </c>
      <c r="M930" s="63" t="s">
        <v>1649</v>
      </c>
      <c r="N930" s="63" t="s">
        <v>3309</v>
      </c>
    </row>
    <row r="931" spans="1:14" x14ac:dyDescent="0.2">
      <c r="A931" s="51">
        <v>930</v>
      </c>
      <c r="G931" s="65" t="b">
        <v>0</v>
      </c>
      <c r="H931" s="65" t="b">
        <v>0</v>
      </c>
      <c r="I931" s="65" t="b">
        <v>0</v>
      </c>
      <c r="J931" s="65" t="b">
        <v>0</v>
      </c>
      <c r="K931" s="63" t="s">
        <v>601</v>
      </c>
      <c r="L931" s="63" t="s">
        <v>3333</v>
      </c>
      <c r="M931" s="63" t="s">
        <v>3367</v>
      </c>
      <c r="N931" s="63" t="s">
        <v>3309</v>
      </c>
    </row>
    <row r="932" spans="1:14" x14ac:dyDescent="0.2">
      <c r="A932" s="51">
        <v>931</v>
      </c>
      <c r="G932" s="65" t="b">
        <v>0</v>
      </c>
      <c r="H932" s="65" t="b">
        <v>0</v>
      </c>
      <c r="I932" s="65" t="b">
        <v>0</v>
      </c>
      <c r="J932" s="65" t="b">
        <v>0</v>
      </c>
      <c r="K932" s="63" t="s">
        <v>601</v>
      </c>
      <c r="L932" s="63" t="s">
        <v>3307</v>
      </c>
      <c r="M932" s="63" t="s">
        <v>3308</v>
      </c>
      <c r="N932" s="63" t="s">
        <v>3309</v>
      </c>
    </row>
    <row r="933" spans="1:14" x14ac:dyDescent="0.2">
      <c r="A933" s="51">
        <v>932</v>
      </c>
      <c r="G933" s="65" t="b">
        <v>0</v>
      </c>
      <c r="H933" s="65" t="b">
        <v>0</v>
      </c>
      <c r="I933" s="65" t="b">
        <v>0</v>
      </c>
      <c r="J933" s="65" t="b">
        <v>0</v>
      </c>
      <c r="K933" s="63" t="s">
        <v>601</v>
      </c>
      <c r="L933" s="63" t="s">
        <v>3307</v>
      </c>
      <c r="M933" s="63" t="s">
        <v>3346</v>
      </c>
      <c r="N933" s="63" t="s">
        <v>3309</v>
      </c>
    </row>
    <row r="934" spans="1:14" x14ac:dyDescent="0.2">
      <c r="A934" s="51">
        <v>933</v>
      </c>
      <c r="B934" s="54" t="s">
        <v>610</v>
      </c>
      <c r="C934" s="47" t="s">
        <v>3376</v>
      </c>
      <c r="D934" s="47" t="s">
        <v>2744</v>
      </c>
      <c r="E934" s="47" t="s">
        <v>2590</v>
      </c>
      <c r="F934" s="55" t="b">
        <v>1</v>
      </c>
      <c r="G934" s="54" t="b">
        <v>1</v>
      </c>
      <c r="H934" s="54" t="b">
        <v>1</v>
      </c>
      <c r="I934" s="54" t="b">
        <v>1</v>
      </c>
      <c r="J934" s="54" t="b">
        <v>1</v>
      </c>
      <c r="K934" s="63" t="s">
        <v>610</v>
      </c>
      <c r="L934" s="63" t="s">
        <v>3376</v>
      </c>
      <c r="M934" s="63" t="s">
        <v>2744</v>
      </c>
      <c r="N934" s="63" t="s">
        <v>2590</v>
      </c>
    </row>
    <row r="935" spans="1:14" x14ac:dyDescent="0.2">
      <c r="A935" s="51">
        <v>934</v>
      </c>
      <c r="B935" s="54" t="s">
        <v>610</v>
      </c>
      <c r="C935" s="47" t="s">
        <v>3377</v>
      </c>
      <c r="D935" s="47" t="s">
        <v>3378</v>
      </c>
      <c r="E935" s="47" t="s">
        <v>2590</v>
      </c>
      <c r="F935" s="55" t="b">
        <v>1</v>
      </c>
      <c r="G935" s="54" t="b">
        <v>1</v>
      </c>
      <c r="H935" s="54" t="b">
        <v>1</v>
      </c>
      <c r="I935" s="54" t="b">
        <v>1</v>
      </c>
      <c r="J935" s="54" t="b">
        <v>1</v>
      </c>
      <c r="K935" s="63" t="s">
        <v>610</v>
      </c>
      <c r="L935" s="63" t="s">
        <v>3377</v>
      </c>
      <c r="M935" s="63" t="s">
        <v>3378</v>
      </c>
      <c r="N935" s="63" t="s">
        <v>2590</v>
      </c>
    </row>
    <row r="936" spans="1:14" x14ac:dyDescent="0.2">
      <c r="A936" s="51">
        <v>935</v>
      </c>
      <c r="B936" s="54" t="s">
        <v>610</v>
      </c>
      <c r="C936" s="47" t="s">
        <v>3379</v>
      </c>
      <c r="D936" s="47" t="s">
        <v>3380</v>
      </c>
      <c r="E936" s="47" t="s">
        <v>2590</v>
      </c>
      <c r="F936" s="55" t="b">
        <v>1</v>
      </c>
      <c r="G936" s="54" t="b">
        <v>1</v>
      </c>
      <c r="H936" s="54" t="b">
        <v>1</v>
      </c>
      <c r="I936" s="54" t="b">
        <v>1</v>
      </c>
      <c r="J936" s="54" t="b">
        <v>1</v>
      </c>
      <c r="K936" s="63" t="s">
        <v>610</v>
      </c>
      <c r="L936" s="63" t="s">
        <v>3379</v>
      </c>
      <c r="M936" s="63" t="s">
        <v>3380</v>
      </c>
      <c r="N936" s="63" t="s">
        <v>2590</v>
      </c>
    </row>
    <row r="937" spans="1:14" x14ac:dyDescent="0.2">
      <c r="A937" s="51">
        <v>936</v>
      </c>
      <c r="B937" s="54" t="s">
        <v>610</v>
      </c>
      <c r="C937" s="47" t="s">
        <v>3381</v>
      </c>
      <c r="D937" s="47" t="s">
        <v>3382</v>
      </c>
      <c r="E937" s="47" t="s">
        <v>2590</v>
      </c>
      <c r="F937" s="55" t="b">
        <v>1</v>
      </c>
      <c r="G937" s="54" t="b">
        <v>1</v>
      </c>
      <c r="H937" s="54" t="b">
        <v>1</v>
      </c>
      <c r="I937" s="54" t="b">
        <v>1</v>
      </c>
      <c r="J937" s="54" t="b">
        <v>1</v>
      </c>
      <c r="K937" s="63" t="s">
        <v>610</v>
      </c>
      <c r="L937" s="63" t="s">
        <v>3381</v>
      </c>
      <c r="M937" s="63" t="s">
        <v>3382</v>
      </c>
      <c r="N937" s="63" t="s">
        <v>2590</v>
      </c>
    </row>
    <row r="938" spans="1:14" x14ac:dyDescent="0.2">
      <c r="A938" s="51">
        <v>937</v>
      </c>
      <c r="B938" s="54" t="s">
        <v>610</v>
      </c>
      <c r="C938" s="47" t="s">
        <v>3383</v>
      </c>
      <c r="D938" s="47" t="s">
        <v>3384</v>
      </c>
      <c r="E938" s="47" t="s">
        <v>2590</v>
      </c>
      <c r="F938" s="55" t="b">
        <v>1</v>
      </c>
      <c r="G938" s="54" t="b">
        <v>1</v>
      </c>
      <c r="H938" s="54" t="b">
        <v>1</v>
      </c>
      <c r="I938" s="54" t="b">
        <v>1</v>
      </c>
      <c r="J938" s="54" t="b">
        <v>1</v>
      </c>
      <c r="K938" s="63" t="s">
        <v>610</v>
      </c>
      <c r="L938" s="63" t="s">
        <v>3383</v>
      </c>
      <c r="M938" s="63" t="s">
        <v>3384</v>
      </c>
      <c r="N938" s="63" t="s">
        <v>2590</v>
      </c>
    </row>
    <row r="939" spans="1:14" x14ac:dyDescent="0.2">
      <c r="A939" s="51">
        <v>938</v>
      </c>
      <c r="B939" s="54" t="s">
        <v>610</v>
      </c>
      <c r="C939" s="47" t="s">
        <v>3385</v>
      </c>
      <c r="D939" s="47" t="s">
        <v>3386</v>
      </c>
      <c r="E939" s="47" t="s">
        <v>2590</v>
      </c>
      <c r="F939" s="55" t="b">
        <v>1</v>
      </c>
      <c r="G939" s="54" t="b">
        <v>1</v>
      </c>
      <c r="H939" s="54" t="b">
        <v>1</v>
      </c>
      <c r="I939" s="54" t="b">
        <v>1</v>
      </c>
      <c r="J939" s="54" t="b">
        <v>1</v>
      </c>
      <c r="K939" s="63" t="s">
        <v>610</v>
      </c>
      <c r="L939" s="63" t="s">
        <v>3385</v>
      </c>
      <c r="M939" s="63" t="s">
        <v>3386</v>
      </c>
      <c r="N939" s="63" t="s">
        <v>2590</v>
      </c>
    </row>
    <row r="940" spans="1:14" x14ac:dyDescent="0.2">
      <c r="A940" s="51">
        <v>939</v>
      </c>
      <c r="B940" s="54" t="s">
        <v>610</v>
      </c>
      <c r="C940" s="47" t="s">
        <v>3387</v>
      </c>
      <c r="D940" s="47" t="s">
        <v>3388</v>
      </c>
      <c r="E940" s="47" t="s">
        <v>2590</v>
      </c>
      <c r="F940" s="55" t="b">
        <v>1</v>
      </c>
      <c r="G940" s="54" t="b">
        <v>1</v>
      </c>
      <c r="H940" s="54" t="b">
        <v>1</v>
      </c>
      <c r="I940" s="54" t="b">
        <v>1</v>
      </c>
      <c r="J940" s="54" t="b">
        <v>1</v>
      </c>
      <c r="K940" s="63" t="s">
        <v>610</v>
      </c>
      <c r="L940" s="63" t="s">
        <v>3387</v>
      </c>
      <c r="M940" s="63" t="s">
        <v>3388</v>
      </c>
      <c r="N940" s="63" t="s">
        <v>2590</v>
      </c>
    </row>
    <row r="941" spans="1:14" x14ac:dyDescent="0.2">
      <c r="A941" s="51">
        <v>940</v>
      </c>
      <c r="B941" s="54" t="s">
        <v>610</v>
      </c>
      <c r="C941" s="47" t="s">
        <v>3389</v>
      </c>
      <c r="D941" s="47" t="s">
        <v>3390</v>
      </c>
      <c r="E941" s="47" t="s">
        <v>2590</v>
      </c>
      <c r="F941" s="55" t="b">
        <v>1</v>
      </c>
      <c r="G941" s="54" t="b">
        <v>1</v>
      </c>
      <c r="H941" s="54" t="b">
        <v>1</v>
      </c>
      <c r="I941" s="54" t="b">
        <v>1</v>
      </c>
      <c r="J941" s="54" t="b">
        <v>1</v>
      </c>
      <c r="K941" s="63" t="s">
        <v>610</v>
      </c>
      <c r="L941" s="63" t="s">
        <v>3389</v>
      </c>
      <c r="M941" s="63" t="s">
        <v>3390</v>
      </c>
      <c r="N941" s="63" t="s">
        <v>2590</v>
      </c>
    </row>
    <row r="942" spans="1:14" x14ac:dyDescent="0.2">
      <c r="A942" s="51">
        <v>941</v>
      </c>
      <c r="B942" s="54" t="s">
        <v>610</v>
      </c>
      <c r="C942" s="47" t="s">
        <v>3391</v>
      </c>
      <c r="D942" s="47" t="s">
        <v>3392</v>
      </c>
      <c r="E942" s="47" t="s">
        <v>2590</v>
      </c>
      <c r="F942" s="55" t="b">
        <v>1</v>
      </c>
      <c r="G942" s="54" t="b">
        <v>1</v>
      </c>
      <c r="H942" s="54" t="b">
        <v>1</v>
      </c>
      <c r="I942" s="54" t="b">
        <v>1</v>
      </c>
      <c r="J942" s="54" t="b">
        <v>1</v>
      </c>
      <c r="K942" s="63" t="s">
        <v>610</v>
      </c>
      <c r="L942" s="63" t="s">
        <v>3391</v>
      </c>
      <c r="M942" s="63" t="s">
        <v>3392</v>
      </c>
      <c r="N942" s="63" t="s">
        <v>2590</v>
      </c>
    </row>
    <row r="943" spans="1:14" x14ac:dyDescent="0.2">
      <c r="A943" s="51">
        <v>942</v>
      </c>
      <c r="B943" s="54" t="s">
        <v>610</v>
      </c>
      <c r="C943" s="47" t="s">
        <v>3393</v>
      </c>
      <c r="D943" s="47" t="s">
        <v>3394</v>
      </c>
      <c r="E943" s="47" t="s">
        <v>2590</v>
      </c>
      <c r="F943" s="55" t="b">
        <v>1</v>
      </c>
      <c r="G943" s="54" t="b">
        <v>1</v>
      </c>
      <c r="H943" s="54" t="b">
        <v>1</v>
      </c>
      <c r="I943" s="54" t="b">
        <v>1</v>
      </c>
      <c r="J943" s="54" t="b">
        <v>1</v>
      </c>
      <c r="K943" s="63" t="s">
        <v>610</v>
      </c>
      <c r="L943" s="63" t="s">
        <v>3393</v>
      </c>
      <c r="M943" s="63" t="s">
        <v>3394</v>
      </c>
      <c r="N943" s="63" t="s">
        <v>2590</v>
      </c>
    </row>
    <row r="944" spans="1:14" x14ac:dyDescent="0.2">
      <c r="A944" s="51">
        <v>943</v>
      </c>
      <c r="B944" s="54" t="s">
        <v>610</v>
      </c>
      <c r="C944" s="47" t="s">
        <v>3395</v>
      </c>
      <c r="D944" s="47" t="s">
        <v>3396</v>
      </c>
      <c r="E944" s="47" t="s">
        <v>2590</v>
      </c>
      <c r="F944" s="55" t="b">
        <v>1</v>
      </c>
      <c r="G944" s="54" t="b">
        <v>1</v>
      </c>
      <c r="H944" s="54" t="b">
        <v>1</v>
      </c>
      <c r="I944" s="54" t="b">
        <v>1</v>
      </c>
      <c r="J944" s="54" t="b">
        <v>1</v>
      </c>
      <c r="K944" s="63" t="s">
        <v>610</v>
      </c>
      <c r="L944" s="63" t="s">
        <v>3395</v>
      </c>
      <c r="M944" s="63" t="s">
        <v>3396</v>
      </c>
      <c r="N944" s="63" t="s">
        <v>2590</v>
      </c>
    </row>
    <row r="945" spans="1:14" x14ac:dyDescent="0.2">
      <c r="A945" s="51">
        <v>944</v>
      </c>
      <c r="B945" s="54" t="s">
        <v>610</v>
      </c>
      <c r="C945" s="47" t="s">
        <v>3397</v>
      </c>
      <c r="D945" s="47" t="s">
        <v>3398</v>
      </c>
      <c r="E945" s="47" t="s">
        <v>2590</v>
      </c>
      <c r="F945" s="55" t="b">
        <v>1</v>
      </c>
      <c r="G945" s="54" t="b">
        <v>1</v>
      </c>
      <c r="H945" s="54" t="b">
        <v>1</v>
      </c>
      <c r="I945" s="54" t="b">
        <v>1</v>
      </c>
      <c r="J945" s="54" t="b">
        <v>1</v>
      </c>
      <c r="K945" s="63" t="s">
        <v>610</v>
      </c>
      <c r="L945" s="63" t="s">
        <v>3397</v>
      </c>
      <c r="M945" s="63" t="s">
        <v>3398</v>
      </c>
      <c r="N945" s="63" t="s">
        <v>2590</v>
      </c>
    </row>
    <row r="946" spans="1:14" x14ac:dyDescent="0.2">
      <c r="A946" s="51">
        <v>945</v>
      </c>
      <c r="B946" s="54" t="s">
        <v>610</v>
      </c>
      <c r="C946" s="47" t="s">
        <v>3401</v>
      </c>
      <c r="D946" s="47" t="s">
        <v>2050</v>
      </c>
      <c r="E946" s="47" t="s">
        <v>2590</v>
      </c>
      <c r="F946" s="55" t="b">
        <v>1</v>
      </c>
      <c r="G946" s="54" t="b">
        <v>1</v>
      </c>
      <c r="H946" s="54" t="b">
        <v>1</v>
      </c>
      <c r="I946" s="54" t="b">
        <v>1</v>
      </c>
      <c r="J946" s="54" t="b">
        <v>1</v>
      </c>
      <c r="K946" s="63" t="s">
        <v>610</v>
      </c>
      <c r="L946" s="63" t="s">
        <v>3401</v>
      </c>
      <c r="M946" s="63" t="s">
        <v>2050</v>
      </c>
      <c r="N946" s="63" t="s">
        <v>2590</v>
      </c>
    </row>
    <row r="947" spans="1:14" x14ac:dyDescent="0.2">
      <c r="A947" s="51">
        <v>946</v>
      </c>
      <c r="B947" s="54" t="s">
        <v>610</v>
      </c>
      <c r="C947" s="47" t="s">
        <v>3399</v>
      </c>
      <c r="D947" s="47" t="s">
        <v>3400</v>
      </c>
      <c r="E947" s="47" t="s">
        <v>2590</v>
      </c>
      <c r="F947" s="55" t="b">
        <v>1</v>
      </c>
      <c r="G947" s="54" t="b">
        <v>1</v>
      </c>
      <c r="H947" s="54" t="b">
        <v>1</v>
      </c>
      <c r="I947" s="54" t="b">
        <v>1</v>
      </c>
      <c r="J947" s="54" t="b">
        <v>1</v>
      </c>
      <c r="K947" s="63" t="s">
        <v>610</v>
      </c>
      <c r="L947" s="63" t="s">
        <v>3399</v>
      </c>
      <c r="M947" s="63" t="s">
        <v>3400</v>
      </c>
      <c r="N947" s="63" t="s">
        <v>2590</v>
      </c>
    </row>
    <row r="948" spans="1:14" x14ac:dyDescent="0.2">
      <c r="A948" s="51">
        <v>947</v>
      </c>
      <c r="B948" s="54" t="s">
        <v>610</v>
      </c>
      <c r="C948" s="47" t="s">
        <v>3402</v>
      </c>
      <c r="D948" s="47" t="s">
        <v>12201</v>
      </c>
      <c r="E948" s="47" t="s">
        <v>3404</v>
      </c>
      <c r="F948" s="55" t="b">
        <v>1</v>
      </c>
      <c r="G948" s="54" t="b">
        <v>1</v>
      </c>
      <c r="H948" s="54" t="b">
        <v>1</v>
      </c>
      <c r="I948" s="65" t="b">
        <v>0</v>
      </c>
      <c r="J948" s="54" t="b">
        <v>1</v>
      </c>
      <c r="K948" s="63" t="s">
        <v>610</v>
      </c>
      <c r="L948" s="63" t="s">
        <v>3402</v>
      </c>
      <c r="M948" s="63" t="s">
        <v>3403</v>
      </c>
      <c r="N948" s="63" t="s">
        <v>3404</v>
      </c>
    </row>
    <row r="949" spans="1:14" x14ac:dyDescent="0.2">
      <c r="A949" s="51">
        <v>948</v>
      </c>
      <c r="B949" s="54" t="s">
        <v>610</v>
      </c>
      <c r="C949" s="47" t="s">
        <v>3405</v>
      </c>
      <c r="D949" s="47" t="s">
        <v>3406</v>
      </c>
      <c r="E949" s="47" t="s">
        <v>2590</v>
      </c>
      <c r="F949" s="55" t="b">
        <v>1</v>
      </c>
      <c r="G949" s="54" t="b">
        <v>1</v>
      </c>
      <c r="H949" s="54" t="b">
        <v>1</v>
      </c>
      <c r="I949" s="54" t="b">
        <v>1</v>
      </c>
      <c r="J949" s="54" t="b">
        <v>1</v>
      </c>
      <c r="K949" s="63" t="s">
        <v>610</v>
      </c>
      <c r="L949" s="63" t="s">
        <v>3405</v>
      </c>
      <c r="M949" s="63" t="s">
        <v>3406</v>
      </c>
      <c r="N949" s="63" t="s">
        <v>2590</v>
      </c>
    </row>
    <row r="950" spans="1:14" x14ac:dyDescent="0.2">
      <c r="A950" s="51">
        <v>949</v>
      </c>
      <c r="B950" s="54" t="s">
        <v>610</v>
      </c>
      <c r="C950" s="47" t="s">
        <v>3407</v>
      </c>
      <c r="D950" s="47" t="s">
        <v>3408</v>
      </c>
      <c r="E950" s="47" t="s">
        <v>2590</v>
      </c>
      <c r="F950" s="55" t="b">
        <v>1</v>
      </c>
      <c r="G950" s="54" t="b">
        <v>1</v>
      </c>
      <c r="H950" s="54" t="b">
        <v>1</v>
      </c>
      <c r="I950" s="54" t="b">
        <v>1</v>
      </c>
      <c r="J950" s="54" t="b">
        <v>1</v>
      </c>
      <c r="K950" s="63" t="s">
        <v>610</v>
      </c>
      <c r="L950" s="63" t="s">
        <v>3407</v>
      </c>
      <c r="M950" s="63" t="s">
        <v>3408</v>
      </c>
      <c r="N950" s="63" t="s">
        <v>2590</v>
      </c>
    </row>
    <row r="951" spans="1:14" x14ac:dyDescent="0.2">
      <c r="A951" s="51">
        <v>950</v>
      </c>
      <c r="B951" s="54" t="s">
        <v>610</v>
      </c>
      <c r="C951" s="47" t="s">
        <v>3409</v>
      </c>
      <c r="D951" s="47" t="s">
        <v>3410</v>
      </c>
      <c r="E951" s="47" t="s">
        <v>2590</v>
      </c>
      <c r="F951" s="55" t="b">
        <v>1</v>
      </c>
      <c r="G951" s="54" t="b">
        <v>1</v>
      </c>
      <c r="H951" s="54" t="b">
        <v>1</v>
      </c>
      <c r="I951" s="54" t="b">
        <v>1</v>
      </c>
      <c r="J951" s="54" t="b">
        <v>1</v>
      </c>
      <c r="K951" s="63" t="s">
        <v>610</v>
      </c>
      <c r="L951" s="63" t="s">
        <v>3409</v>
      </c>
      <c r="M951" s="63" t="s">
        <v>3410</v>
      </c>
      <c r="N951" s="63" t="s">
        <v>2590</v>
      </c>
    </row>
    <row r="952" spans="1:14" x14ac:dyDescent="0.2">
      <c r="A952" s="51">
        <v>951</v>
      </c>
      <c r="B952" s="54" t="s">
        <v>610</v>
      </c>
      <c r="C952" s="47" t="s">
        <v>3411</v>
      </c>
      <c r="D952" s="47" t="s">
        <v>3412</v>
      </c>
      <c r="E952" s="47" t="s">
        <v>2590</v>
      </c>
      <c r="F952" s="55" t="b">
        <v>1</v>
      </c>
      <c r="G952" s="54" t="b">
        <v>1</v>
      </c>
      <c r="H952" s="54" t="b">
        <v>1</v>
      </c>
      <c r="I952" s="54" t="b">
        <v>1</v>
      </c>
      <c r="J952" s="54" t="b">
        <v>1</v>
      </c>
      <c r="K952" s="63" t="s">
        <v>610</v>
      </c>
      <c r="L952" s="63" t="s">
        <v>3411</v>
      </c>
      <c r="M952" s="63" t="s">
        <v>3412</v>
      </c>
      <c r="N952" s="63" t="s">
        <v>2590</v>
      </c>
    </row>
    <row r="953" spans="1:14" x14ac:dyDescent="0.2">
      <c r="A953" s="51">
        <v>952</v>
      </c>
      <c r="B953" s="54" t="s">
        <v>610</v>
      </c>
      <c r="C953" s="47" t="s">
        <v>3413</v>
      </c>
      <c r="D953" s="47" t="s">
        <v>3414</v>
      </c>
      <c r="E953" s="47" t="s">
        <v>2590</v>
      </c>
      <c r="F953" s="55" t="b">
        <v>1</v>
      </c>
      <c r="G953" s="54" t="b">
        <v>1</v>
      </c>
      <c r="H953" s="54" t="b">
        <v>1</v>
      </c>
      <c r="I953" s="54" t="b">
        <v>1</v>
      </c>
      <c r="J953" s="54" t="b">
        <v>1</v>
      </c>
      <c r="K953" s="63" t="s">
        <v>610</v>
      </c>
      <c r="L953" s="63" t="s">
        <v>3413</v>
      </c>
      <c r="M953" s="63" t="s">
        <v>3414</v>
      </c>
      <c r="N953" s="63" t="s">
        <v>2590</v>
      </c>
    </row>
    <row r="954" spans="1:14" x14ac:dyDescent="0.2">
      <c r="A954" s="51">
        <v>953</v>
      </c>
      <c r="B954" s="54" t="s">
        <v>610</v>
      </c>
      <c r="C954" s="47" t="s">
        <v>3415</v>
      </c>
      <c r="D954" s="47" t="s">
        <v>3416</v>
      </c>
      <c r="E954" s="47" t="s">
        <v>2590</v>
      </c>
      <c r="F954" s="55" t="b">
        <v>1</v>
      </c>
      <c r="G954" s="54" t="b">
        <v>1</v>
      </c>
      <c r="H954" s="54" t="b">
        <v>1</v>
      </c>
      <c r="I954" s="54" t="b">
        <v>1</v>
      </c>
      <c r="J954" s="54" t="b">
        <v>1</v>
      </c>
      <c r="K954" s="63" t="s">
        <v>610</v>
      </c>
      <c r="L954" s="63" t="s">
        <v>3415</v>
      </c>
      <c r="M954" s="63" t="s">
        <v>3416</v>
      </c>
      <c r="N954" s="63" t="s">
        <v>2590</v>
      </c>
    </row>
    <row r="955" spans="1:14" x14ac:dyDescent="0.2">
      <c r="A955" s="51">
        <v>954</v>
      </c>
      <c r="B955" s="54" t="s">
        <v>610</v>
      </c>
      <c r="C955" s="47" t="s">
        <v>3417</v>
      </c>
      <c r="D955" s="47" t="s">
        <v>3418</v>
      </c>
      <c r="E955" s="47" t="s">
        <v>2590</v>
      </c>
      <c r="F955" s="55" t="b">
        <v>1</v>
      </c>
      <c r="G955" s="54" t="b">
        <v>1</v>
      </c>
      <c r="H955" s="54" t="b">
        <v>1</v>
      </c>
      <c r="I955" s="54" t="b">
        <v>1</v>
      </c>
      <c r="J955" s="54" t="b">
        <v>1</v>
      </c>
      <c r="K955" s="63" t="s">
        <v>610</v>
      </c>
      <c r="L955" s="63" t="s">
        <v>3417</v>
      </c>
      <c r="M955" s="63" t="s">
        <v>3418</v>
      </c>
      <c r="N955" s="63" t="s">
        <v>2590</v>
      </c>
    </row>
    <row r="956" spans="1:14" x14ac:dyDescent="0.2">
      <c r="A956" s="51">
        <v>955</v>
      </c>
      <c r="B956" s="54" t="s">
        <v>610</v>
      </c>
      <c r="C956" s="47" t="s">
        <v>3419</v>
      </c>
      <c r="D956" s="47" t="s">
        <v>3420</v>
      </c>
      <c r="E956" s="47" t="s">
        <v>2590</v>
      </c>
      <c r="F956" s="55" t="b">
        <v>1</v>
      </c>
      <c r="G956" s="54" t="b">
        <v>1</v>
      </c>
      <c r="H956" s="54" t="b">
        <v>1</v>
      </c>
      <c r="I956" s="54" t="b">
        <v>1</v>
      </c>
      <c r="J956" s="54" t="b">
        <v>1</v>
      </c>
      <c r="K956" s="63" t="s">
        <v>610</v>
      </c>
      <c r="L956" s="63" t="s">
        <v>3419</v>
      </c>
      <c r="M956" s="63" t="s">
        <v>3420</v>
      </c>
      <c r="N956" s="63" t="s">
        <v>2590</v>
      </c>
    </row>
    <row r="957" spans="1:14" x14ac:dyDescent="0.2">
      <c r="A957" s="51">
        <v>956</v>
      </c>
      <c r="B957" s="54" t="s">
        <v>610</v>
      </c>
      <c r="C957" s="47" t="s">
        <v>3421</v>
      </c>
      <c r="D957" s="47" t="s">
        <v>3422</v>
      </c>
      <c r="E957" s="47" t="s">
        <v>2590</v>
      </c>
      <c r="F957" s="55" t="b">
        <v>1</v>
      </c>
      <c r="G957" s="54" t="b">
        <v>1</v>
      </c>
      <c r="H957" s="54" t="b">
        <v>1</v>
      </c>
      <c r="I957" s="54" t="b">
        <v>1</v>
      </c>
      <c r="J957" s="54" t="b">
        <v>1</v>
      </c>
      <c r="K957" s="63" t="s">
        <v>610</v>
      </c>
      <c r="L957" s="63" t="s">
        <v>3421</v>
      </c>
      <c r="M957" s="63" t="s">
        <v>3422</v>
      </c>
      <c r="N957" s="63" t="s">
        <v>2590</v>
      </c>
    </row>
    <row r="958" spans="1:14" x14ac:dyDescent="0.2">
      <c r="A958" s="51">
        <v>957</v>
      </c>
      <c r="B958" s="54" t="s">
        <v>610</v>
      </c>
      <c r="C958" s="47" t="s">
        <v>3423</v>
      </c>
      <c r="D958" s="47" t="s">
        <v>3424</v>
      </c>
      <c r="E958" s="47" t="s">
        <v>2590</v>
      </c>
      <c r="F958" s="55" t="b">
        <v>1</v>
      </c>
      <c r="G958" s="54" t="b">
        <v>1</v>
      </c>
      <c r="H958" s="54" t="b">
        <v>1</v>
      </c>
      <c r="I958" s="54" t="b">
        <v>1</v>
      </c>
      <c r="J958" s="54" t="b">
        <v>1</v>
      </c>
      <c r="K958" s="63" t="s">
        <v>610</v>
      </c>
      <c r="L958" s="63" t="s">
        <v>3423</v>
      </c>
      <c r="M958" s="63" t="s">
        <v>3424</v>
      </c>
      <c r="N958" s="63" t="s">
        <v>2590</v>
      </c>
    </row>
    <row r="959" spans="1:14" x14ac:dyDescent="0.2">
      <c r="A959" s="51">
        <v>958</v>
      </c>
      <c r="B959" s="54" t="s">
        <v>610</v>
      </c>
      <c r="C959" s="47" t="s">
        <v>3425</v>
      </c>
      <c r="D959" s="47" t="s">
        <v>3426</v>
      </c>
      <c r="E959" s="47" t="s">
        <v>2590</v>
      </c>
      <c r="F959" s="55" t="b">
        <v>1</v>
      </c>
      <c r="G959" s="54" t="b">
        <v>1</v>
      </c>
      <c r="H959" s="54" t="b">
        <v>1</v>
      </c>
      <c r="I959" s="54" t="b">
        <v>1</v>
      </c>
      <c r="J959" s="54" t="b">
        <v>1</v>
      </c>
      <c r="K959" s="63" t="s">
        <v>610</v>
      </c>
      <c r="L959" s="63" t="s">
        <v>3425</v>
      </c>
      <c r="M959" s="63" t="s">
        <v>3426</v>
      </c>
      <c r="N959" s="63" t="s">
        <v>2590</v>
      </c>
    </row>
    <row r="960" spans="1:14" x14ac:dyDescent="0.2">
      <c r="A960" s="51">
        <v>959</v>
      </c>
      <c r="B960" s="54" t="s">
        <v>610</v>
      </c>
      <c r="C960" s="47" t="s">
        <v>3429</v>
      </c>
      <c r="D960" s="47" t="s">
        <v>3430</v>
      </c>
      <c r="E960" s="47" t="s">
        <v>2590</v>
      </c>
      <c r="F960" s="55" t="b">
        <v>1</v>
      </c>
      <c r="G960" s="54" t="b">
        <v>1</v>
      </c>
      <c r="H960" s="54" t="b">
        <v>1</v>
      </c>
      <c r="I960" s="54" t="b">
        <v>1</v>
      </c>
      <c r="J960" s="54" t="b">
        <v>1</v>
      </c>
      <c r="K960" s="63" t="s">
        <v>610</v>
      </c>
      <c r="L960" s="63" t="s">
        <v>3429</v>
      </c>
      <c r="M960" s="63" t="s">
        <v>3430</v>
      </c>
      <c r="N960" s="63" t="s">
        <v>2590</v>
      </c>
    </row>
    <row r="961" spans="1:14" x14ac:dyDescent="0.2">
      <c r="A961" s="51">
        <v>960</v>
      </c>
      <c r="B961" s="54" t="s">
        <v>610</v>
      </c>
      <c r="C961" s="47" t="s">
        <v>3427</v>
      </c>
      <c r="D961" s="47" t="s">
        <v>12202</v>
      </c>
      <c r="E961" s="47" t="s">
        <v>2590</v>
      </c>
      <c r="F961" s="55" t="b">
        <v>1</v>
      </c>
      <c r="G961" s="54" t="b">
        <v>1</v>
      </c>
      <c r="H961" s="54" t="b">
        <v>1</v>
      </c>
      <c r="I961" s="65" t="b">
        <v>0</v>
      </c>
      <c r="J961" s="54" t="b">
        <v>1</v>
      </c>
      <c r="K961" s="63" t="s">
        <v>610</v>
      </c>
      <c r="L961" s="63" t="s">
        <v>3427</v>
      </c>
      <c r="M961" s="63" t="s">
        <v>3428</v>
      </c>
      <c r="N961" s="63" t="s">
        <v>2590</v>
      </c>
    </row>
    <row r="962" spans="1:14" x14ac:dyDescent="0.2">
      <c r="A962" s="51">
        <v>961</v>
      </c>
      <c r="B962" s="54" t="s">
        <v>610</v>
      </c>
      <c r="C962" s="47" t="s">
        <v>3431</v>
      </c>
      <c r="D962" s="47" t="s">
        <v>3432</v>
      </c>
      <c r="E962" s="47" t="s">
        <v>2590</v>
      </c>
      <c r="F962" s="55" t="b">
        <v>1</v>
      </c>
      <c r="G962" s="54" t="b">
        <v>1</v>
      </c>
      <c r="H962" s="54" t="b">
        <v>1</v>
      </c>
      <c r="I962" s="54" t="b">
        <v>1</v>
      </c>
      <c r="J962" s="54" t="b">
        <v>1</v>
      </c>
      <c r="K962" s="63" t="s">
        <v>610</v>
      </c>
      <c r="L962" s="63" t="s">
        <v>3431</v>
      </c>
      <c r="M962" s="63" t="s">
        <v>3432</v>
      </c>
      <c r="N962" s="63" t="s">
        <v>2590</v>
      </c>
    </row>
    <row r="963" spans="1:14" x14ac:dyDescent="0.2">
      <c r="A963" s="51">
        <v>962</v>
      </c>
      <c r="B963" s="54" t="s">
        <v>610</v>
      </c>
      <c r="C963" s="47" t="s">
        <v>3433</v>
      </c>
      <c r="D963" s="47" t="s">
        <v>3434</v>
      </c>
      <c r="E963" s="47" t="s">
        <v>2590</v>
      </c>
      <c r="F963" s="55" t="b">
        <v>1</v>
      </c>
      <c r="G963" s="54" t="b">
        <v>1</v>
      </c>
      <c r="H963" s="54" t="b">
        <v>1</v>
      </c>
      <c r="I963" s="54" t="b">
        <v>1</v>
      </c>
      <c r="J963" s="54" t="b">
        <v>1</v>
      </c>
      <c r="K963" s="63" t="s">
        <v>610</v>
      </c>
      <c r="L963" s="63" t="s">
        <v>3433</v>
      </c>
      <c r="M963" s="63" t="s">
        <v>3434</v>
      </c>
      <c r="N963" s="63" t="s">
        <v>2590</v>
      </c>
    </row>
    <row r="964" spans="1:14" x14ac:dyDescent="0.2">
      <c r="A964" s="51">
        <v>963</v>
      </c>
      <c r="B964" s="54" t="s">
        <v>610</v>
      </c>
      <c r="C964" s="47" t="s">
        <v>3435</v>
      </c>
      <c r="D964" s="47" t="s">
        <v>3436</v>
      </c>
      <c r="E964" s="47" t="s">
        <v>2590</v>
      </c>
      <c r="F964" s="55" t="b">
        <v>1</v>
      </c>
      <c r="G964" s="54" t="b">
        <v>1</v>
      </c>
      <c r="H964" s="54" t="b">
        <v>1</v>
      </c>
      <c r="I964" s="54" t="b">
        <v>1</v>
      </c>
      <c r="J964" s="54" t="b">
        <v>1</v>
      </c>
      <c r="K964" s="63" t="s">
        <v>610</v>
      </c>
      <c r="L964" s="63" t="s">
        <v>3435</v>
      </c>
      <c r="M964" s="63" t="s">
        <v>3436</v>
      </c>
      <c r="N964" s="63" t="s">
        <v>2590</v>
      </c>
    </row>
    <row r="965" spans="1:14" x14ac:dyDescent="0.2">
      <c r="A965" s="51">
        <v>964</v>
      </c>
      <c r="B965" s="54" t="s">
        <v>610</v>
      </c>
      <c r="C965" s="47" t="s">
        <v>3437</v>
      </c>
      <c r="D965" s="47" t="s">
        <v>3438</v>
      </c>
      <c r="E965" s="47" t="s">
        <v>2590</v>
      </c>
      <c r="F965" s="55" t="b">
        <v>1</v>
      </c>
      <c r="G965" s="54" t="b">
        <v>1</v>
      </c>
      <c r="H965" s="54" t="b">
        <v>1</v>
      </c>
      <c r="I965" s="54" t="b">
        <v>1</v>
      </c>
      <c r="J965" s="54" t="b">
        <v>1</v>
      </c>
      <c r="K965" s="63" t="s">
        <v>610</v>
      </c>
      <c r="L965" s="63" t="s">
        <v>3437</v>
      </c>
      <c r="M965" s="63" t="s">
        <v>3438</v>
      </c>
      <c r="N965" s="63" t="s">
        <v>2590</v>
      </c>
    </row>
    <row r="966" spans="1:14" x14ac:dyDescent="0.2">
      <c r="A966" s="51">
        <v>965</v>
      </c>
      <c r="B966" s="54" t="s">
        <v>610</v>
      </c>
      <c r="C966" s="47" t="s">
        <v>3439</v>
      </c>
      <c r="D966" s="47" t="s">
        <v>3440</v>
      </c>
      <c r="E966" s="47" t="s">
        <v>2590</v>
      </c>
      <c r="F966" s="55" t="b">
        <v>1</v>
      </c>
      <c r="G966" s="54" t="b">
        <v>1</v>
      </c>
      <c r="H966" s="54" t="b">
        <v>1</v>
      </c>
      <c r="I966" s="54" t="b">
        <v>1</v>
      </c>
      <c r="J966" s="54" t="b">
        <v>1</v>
      </c>
      <c r="K966" s="63" t="s">
        <v>610</v>
      </c>
      <c r="L966" s="63" t="s">
        <v>3439</v>
      </c>
      <c r="M966" s="63" t="s">
        <v>3440</v>
      </c>
      <c r="N966" s="63" t="s">
        <v>2590</v>
      </c>
    </row>
    <row r="967" spans="1:14" x14ac:dyDescent="0.2">
      <c r="A967" s="51">
        <v>966</v>
      </c>
      <c r="B967" s="54" t="s">
        <v>612</v>
      </c>
      <c r="C967" s="47" t="s">
        <v>3444</v>
      </c>
      <c r="D967" s="47" t="s">
        <v>3446</v>
      </c>
      <c r="E967" s="47" t="s">
        <v>12203</v>
      </c>
      <c r="F967" s="55" t="b">
        <v>1</v>
      </c>
      <c r="G967" s="54" t="b">
        <v>1</v>
      </c>
      <c r="H967" s="54" t="b">
        <v>1</v>
      </c>
      <c r="I967" s="65" t="b">
        <v>0</v>
      </c>
      <c r="J967" s="65" t="b">
        <v>0</v>
      </c>
      <c r="K967" s="63" t="s">
        <v>612</v>
      </c>
      <c r="L967" s="63" t="s">
        <v>3444</v>
      </c>
      <c r="M967" s="63" t="s">
        <v>3445</v>
      </c>
      <c r="N967" s="63" t="s">
        <v>3443</v>
      </c>
    </row>
    <row r="968" spans="1:14" x14ac:dyDescent="0.2">
      <c r="A968" s="51">
        <v>967</v>
      </c>
      <c r="G968" s="65" t="b">
        <v>0</v>
      </c>
      <c r="H968" s="65" t="b">
        <v>0</v>
      </c>
      <c r="I968" s="65" t="b">
        <v>0</v>
      </c>
      <c r="J968" s="65" t="b">
        <v>0</v>
      </c>
      <c r="K968" s="63" t="s">
        <v>612</v>
      </c>
      <c r="L968" s="63" t="s">
        <v>3444</v>
      </c>
      <c r="M968" s="63" t="s">
        <v>3446</v>
      </c>
      <c r="N968" s="63" t="s">
        <v>3443</v>
      </c>
    </row>
    <row r="969" spans="1:14" x14ac:dyDescent="0.2">
      <c r="A969" s="51">
        <v>968</v>
      </c>
      <c r="B969" s="63"/>
      <c r="C969" s="63"/>
      <c r="D969" s="63"/>
      <c r="E969" s="63"/>
      <c r="F969" s="63"/>
      <c r="G969" s="65" t="b">
        <v>0</v>
      </c>
      <c r="H969" s="65" t="b">
        <v>0</v>
      </c>
      <c r="I969" s="65" t="b">
        <v>0</v>
      </c>
      <c r="J969" s="65" t="b">
        <v>0</v>
      </c>
      <c r="K969" s="63" t="s">
        <v>612</v>
      </c>
      <c r="L969" s="63" t="s">
        <v>3444</v>
      </c>
      <c r="M969" s="63" t="s">
        <v>3452</v>
      </c>
      <c r="N969" s="63" t="s">
        <v>3443</v>
      </c>
    </row>
    <row r="970" spans="1:14" x14ac:dyDescent="0.2">
      <c r="A970" s="51">
        <v>969</v>
      </c>
      <c r="G970" s="65" t="b">
        <v>0</v>
      </c>
      <c r="H970" s="65" t="b">
        <v>0</v>
      </c>
      <c r="I970" s="65" t="b">
        <v>0</v>
      </c>
      <c r="J970" s="65" t="b">
        <v>0</v>
      </c>
      <c r="K970" s="63" t="s">
        <v>612</v>
      </c>
      <c r="L970" s="63" t="s">
        <v>3441</v>
      </c>
      <c r="M970" s="63" t="s">
        <v>3442</v>
      </c>
      <c r="N970" s="63" t="s">
        <v>3443</v>
      </c>
    </row>
    <row r="971" spans="1:14" x14ac:dyDescent="0.2">
      <c r="A971" s="51">
        <v>970</v>
      </c>
      <c r="B971" s="54" t="s">
        <v>612</v>
      </c>
      <c r="C971" s="47" t="s">
        <v>3441</v>
      </c>
      <c r="D971" s="47" t="s">
        <v>3447</v>
      </c>
      <c r="E971" s="47" t="s">
        <v>12203</v>
      </c>
      <c r="F971" s="55" t="b">
        <v>1</v>
      </c>
      <c r="G971" s="54" t="b">
        <v>1</v>
      </c>
      <c r="H971" s="54" t="b">
        <v>1</v>
      </c>
      <c r="I971" s="54" t="b">
        <v>1</v>
      </c>
      <c r="J971" s="65" t="b">
        <v>0</v>
      </c>
      <c r="K971" s="63" t="s">
        <v>612</v>
      </c>
      <c r="L971" s="63" t="s">
        <v>3441</v>
      </c>
      <c r="M971" s="63" t="s">
        <v>3447</v>
      </c>
      <c r="N971" s="63" t="s">
        <v>3443</v>
      </c>
    </row>
    <row r="972" spans="1:14" x14ac:dyDescent="0.2">
      <c r="A972" s="51">
        <v>971</v>
      </c>
      <c r="G972" s="65" t="b">
        <v>0</v>
      </c>
      <c r="H972" s="65" t="b">
        <v>0</v>
      </c>
      <c r="I972" s="65" t="b">
        <v>0</v>
      </c>
      <c r="J972" s="65" t="b">
        <v>0</v>
      </c>
      <c r="K972" s="63" t="s">
        <v>612</v>
      </c>
      <c r="L972" s="63" t="s">
        <v>3441</v>
      </c>
      <c r="M972" s="63" t="s">
        <v>3453</v>
      </c>
      <c r="N972" s="63" t="s">
        <v>3443</v>
      </c>
    </row>
    <row r="973" spans="1:14" x14ac:dyDescent="0.2">
      <c r="A973" s="51">
        <v>972</v>
      </c>
      <c r="B973" s="54" t="s">
        <v>612</v>
      </c>
      <c r="C973" s="47" t="s">
        <v>3448</v>
      </c>
      <c r="D973" s="47" t="s">
        <v>3449</v>
      </c>
      <c r="E973" s="47" t="s">
        <v>12203</v>
      </c>
      <c r="F973" s="55" t="b">
        <v>1</v>
      </c>
      <c r="G973" s="54" t="b">
        <v>1</v>
      </c>
      <c r="H973" s="54" t="b">
        <v>1</v>
      </c>
      <c r="I973" s="54" t="b">
        <v>1</v>
      </c>
      <c r="J973" s="65" t="b">
        <v>0</v>
      </c>
      <c r="K973" s="63" t="s">
        <v>612</v>
      </c>
      <c r="L973" s="63" t="s">
        <v>3448</v>
      </c>
      <c r="M973" s="63" t="s">
        <v>3449</v>
      </c>
      <c r="N973" s="63" t="s">
        <v>3443</v>
      </c>
    </row>
    <row r="974" spans="1:14" x14ac:dyDescent="0.2">
      <c r="A974" s="51">
        <v>973</v>
      </c>
      <c r="G974" s="65" t="b">
        <v>0</v>
      </c>
      <c r="H974" s="65" t="b">
        <v>0</v>
      </c>
      <c r="I974" s="65" t="b">
        <v>0</v>
      </c>
      <c r="J974" s="65" t="b">
        <v>0</v>
      </c>
      <c r="K974" s="63" t="s">
        <v>612</v>
      </c>
      <c r="L974" s="63" t="s">
        <v>3448</v>
      </c>
      <c r="M974" s="63" t="s">
        <v>3450</v>
      </c>
      <c r="N974" s="63" t="s">
        <v>3443</v>
      </c>
    </row>
    <row r="975" spans="1:14" x14ac:dyDescent="0.2">
      <c r="A975" s="51">
        <v>974</v>
      </c>
      <c r="G975" s="65" t="b">
        <v>0</v>
      </c>
      <c r="H975" s="65" t="b">
        <v>0</v>
      </c>
      <c r="I975" s="65" t="b">
        <v>0</v>
      </c>
      <c r="J975" s="65" t="b">
        <v>0</v>
      </c>
      <c r="K975" s="63" t="s">
        <v>612</v>
      </c>
      <c r="L975" s="63" t="s">
        <v>3448</v>
      </c>
      <c r="M975" s="63" t="s">
        <v>3451</v>
      </c>
      <c r="N975" s="63" t="s">
        <v>3443</v>
      </c>
    </row>
    <row r="976" spans="1:14" x14ac:dyDescent="0.2">
      <c r="A976" s="51">
        <v>975</v>
      </c>
      <c r="B976" s="56" t="s">
        <v>614</v>
      </c>
      <c r="C976" s="47" t="s">
        <v>3454</v>
      </c>
      <c r="D976" s="47" t="s">
        <v>3455</v>
      </c>
      <c r="E976" s="47" t="s">
        <v>2590</v>
      </c>
      <c r="F976" s="55" t="b">
        <v>1</v>
      </c>
      <c r="G976" s="65" t="b">
        <v>0</v>
      </c>
      <c r="H976" s="54" t="b">
        <v>1</v>
      </c>
      <c r="I976" s="54" t="b">
        <v>1</v>
      </c>
      <c r="J976" s="65" t="b">
        <v>0</v>
      </c>
      <c r="K976" s="63" t="s">
        <v>1101</v>
      </c>
      <c r="L976" s="63" t="s">
        <v>3454</v>
      </c>
      <c r="M976" s="63" t="s">
        <v>3455</v>
      </c>
      <c r="N976" s="63" t="s">
        <v>2087</v>
      </c>
    </row>
    <row r="977" spans="1:14" x14ac:dyDescent="0.2">
      <c r="A977" s="51">
        <v>976</v>
      </c>
      <c r="B977" s="56" t="s">
        <v>614</v>
      </c>
      <c r="C977" s="47" t="s">
        <v>3473</v>
      </c>
      <c r="D977" s="47" t="s">
        <v>3474</v>
      </c>
      <c r="E977" s="47" t="s">
        <v>2590</v>
      </c>
      <c r="F977" s="55" t="b">
        <v>1</v>
      </c>
      <c r="G977" s="65" t="b">
        <v>0</v>
      </c>
      <c r="H977" s="54" t="b">
        <v>1</v>
      </c>
      <c r="I977" s="54" t="b">
        <v>1</v>
      </c>
      <c r="J977" s="65" t="b">
        <v>0</v>
      </c>
      <c r="K977" s="63" t="s">
        <v>1101</v>
      </c>
      <c r="L977" s="63" t="s">
        <v>3473</v>
      </c>
      <c r="M977" s="63" t="s">
        <v>3474</v>
      </c>
      <c r="N977" s="63" t="s">
        <v>2087</v>
      </c>
    </row>
    <row r="978" spans="1:14" x14ac:dyDescent="0.2">
      <c r="A978" s="51">
        <v>977</v>
      </c>
      <c r="B978" s="56" t="s">
        <v>614</v>
      </c>
      <c r="C978" s="47" t="s">
        <v>3475</v>
      </c>
      <c r="D978" s="47" t="s">
        <v>3198</v>
      </c>
      <c r="E978" s="47" t="s">
        <v>2590</v>
      </c>
      <c r="F978" s="55" t="b">
        <v>1</v>
      </c>
      <c r="G978" s="65" t="b">
        <v>0</v>
      </c>
      <c r="H978" s="54" t="b">
        <v>1</v>
      </c>
      <c r="I978" s="54" t="b">
        <v>1</v>
      </c>
      <c r="J978" s="65" t="b">
        <v>0</v>
      </c>
      <c r="K978" s="63" t="s">
        <v>1101</v>
      </c>
      <c r="L978" s="63" t="s">
        <v>3475</v>
      </c>
      <c r="M978" s="63" t="s">
        <v>3198</v>
      </c>
      <c r="N978" s="63" t="s">
        <v>2087</v>
      </c>
    </row>
    <row r="979" spans="1:14" x14ac:dyDescent="0.2">
      <c r="A979" s="51">
        <v>978</v>
      </c>
      <c r="B979" s="56" t="s">
        <v>614</v>
      </c>
      <c r="C979" s="47" t="s">
        <v>3471</v>
      </c>
      <c r="D979" s="47" t="s">
        <v>3472</v>
      </c>
      <c r="E979" s="47" t="s">
        <v>2590</v>
      </c>
      <c r="F979" s="55" t="b">
        <v>1</v>
      </c>
      <c r="G979" s="65" t="b">
        <v>0</v>
      </c>
      <c r="H979" s="54" t="b">
        <v>1</v>
      </c>
      <c r="I979" s="54" t="b">
        <v>1</v>
      </c>
      <c r="J979" s="65" t="b">
        <v>0</v>
      </c>
      <c r="K979" s="63" t="s">
        <v>1101</v>
      </c>
      <c r="L979" s="63" t="s">
        <v>3471</v>
      </c>
      <c r="M979" s="63" t="s">
        <v>3472</v>
      </c>
      <c r="N979" s="63" t="s">
        <v>2087</v>
      </c>
    </row>
    <row r="980" spans="1:14" x14ac:dyDescent="0.2">
      <c r="A980" s="51">
        <v>979</v>
      </c>
      <c r="B980" s="56" t="s">
        <v>614</v>
      </c>
      <c r="C980" s="47" t="s">
        <v>3461</v>
      </c>
      <c r="D980" s="47" t="s">
        <v>3462</v>
      </c>
      <c r="E980" s="47" t="s">
        <v>2590</v>
      </c>
      <c r="F980" s="55" t="b">
        <v>1</v>
      </c>
      <c r="G980" s="65" t="b">
        <v>0</v>
      </c>
      <c r="H980" s="54" t="b">
        <v>1</v>
      </c>
      <c r="I980" s="54" t="b">
        <v>1</v>
      </c>
      <c r="J980" s="65" t="b">
        <v>0</v>
      </c>
      <c r="K980" s="63" t="s">
        <v>1101</v>
      </c>
      <c r="L980" s="63" t="s">
        <v>3461</v>
      </c>
      <c r="M980" s="63" t="s">
        <v>3462</v>
      </c>
      <c r="N980" s="63" t="s">
        <v>2087</v>
      </c>
    </row>
    <row r="981" spans="1:14" x14ac:dyDescent="0.2">
      <c r="A981" s="51">
        <v>980</v>
      </c>
      <c r="B981" s="56" t="s">
        <v>614</v>
      </c>
      <c r="C981" s="47" t="s">
        <v>12204</v>
      </c>
      <c r="D981" s="47" t="s">
        <v>12205</v>
      </c>
      <c r="E981" s="47" t="s">
        <v>2590</v>
      </c>
      <c r="F981" s="55" t="b">
        <v>1</v>
      </c>
      <c r="G981" s="65" t="b">
        <v>0</v>
      </c>
      <c r="H981" s="65" t="b">
        <v>0</v>
      </c>
      <c r="I981" s="65" t="b">
        <v>0</v>
      </c>
      <c r="J981" s="65" t="b">
        <v>0</v>
      </c>
    </row>
    <row r="982" spans="1:14" x14ac:dyDescent="0.2">
      <c r="A982" s="51">
        <v>981</v>
      </c>
      <c r="B982" s="56" t="s">
        <v>614</v>
      </c>
      <c r="C982" s="47" t="s">
        <v>3467</v>
      </c>
      <c r="D982" s="47" t="s">
        <v>3468</v>
      </c>
      <c r="E982" s="47" t="s">
        <v>2590</v>
      </c>
      <c r="F982" s="55" t="b">
        <v>1</v>
      </c>
      <c r="G982" s="65" t="b">
        <v>0</v>
      </c>
      <c r="H982" s="54" t="b">
        <v>1</v>
      </c>
      <c r="I982" s="54" t="b">
        <v>1</v>
      </c>
      <c r="J982" s="65" t="b">
        <v>0</v>
      </c>
      <c r="K982" s="63" t="s">
        <v>1101</v>
      </c>
      <c r="L982" s="63" t="s">
        <v>3467</v>
      </c>
      <c r="M982" s="63" t="s">
        <v>3468</v>
      </c>
      <c r="N982" s="63" t="s">
        <v>2087</v>
      </c>
    </row>
    <row r="983" spans="1:14" x14ac:dyDescent="0.2">
      <c r="A983" s="51">
        <v>982</v>
      </c>
      <c r="B983" s="56" t="s">
        <v>614</v>
      </c>
      <c r="C983" s="47" t="s">
        <v>3463</v>
      </c>
      <c r="D983" s="47" t="s">
        <v>3464</v>
      </c>
      <c r="E983" s="47" t="s">
        <v>2590</v>
      </c>
      <c r="F983" s="55" t="b">
        <v>1</v>
      </c>
      <c r="G983" s="65" t="b">
        <v>0</v>
      </c>
      <c r="H983" s="54" t="b">
        <v>1</v>
      </c>
      <c r="I983" s="54" t="b">
        <v>1</v>
      </c>
      <c r="J983" s="65" t="b">
        <v>0</v>
      </c>
      <c r="K983" s="63" t="s">
        <v>1101</v>
      </c>
      <c r="L983" s="63" t="s">
        <v>3463</v>
      </c>
      <c r="M983" s="63" t="s">
        <v>3464</v>
      </c>
      <c r="N983" s="63" t="s">
        <v>2087</v>
      </c>
    </row>
    <row r="984" spans="1:14" x14ac:dyDescent="0.2">
      <c r="A984" s="51">
        <v>983</v>
      </c>
      <c r="B984" s="56" t="s">
        <v>614</v>
      </c>
      <c r="C984" s="47" t="s">
        <v>3465</v>
      </c>
      <c r="D984" s="47" t="s">
        <v>3466</v>
      </c>
      <c r="E984" s="47" t="s">
        <v>2590</v>
      </c>
      <c r="F984" s="55" t="b">
        <v>1</v>
      </c>
      <c r="G984" s="65" t="b">
        <v>0</v>
      </c>
      <c r="H984" s="54" t="b">
        <v>1</v>
      </c>
      <c r="I984" s="54" t="b">
        <v>1</v>
      </c>
      <c r="J984" s="65" t="b">
        <v>0</v>
      </c>
      <c r="K984" s="63" t="s">
        <v>1101</v>
      </c>
      <c r="L984" s="63" t="s">
        <v>3465</v>
      </c>
      <c r="M984" s="63" t="s">
        <v>3466</v>
      </c>
      <c r="N984" s="63" t="s">
        <v>2087</v>
      </c>
    </row>
    <row r="985" spans="1:14" x14ac:dyDescent="0.2">
      <c r="A985" s="51">
        <v>984</v>
      </c>
      <c r="B985" s="56" t="s">
        <v>614</v>
      </c>
      <c r="C985" s="47" t="s">
        <v>3459</v>
      </c>
      <c r="D985" s="47" t="s">
        <v>3460</v>
      </c>
      <c r="E985" s="47" t="s">
        <v>2590</v>
      </c>
      <c r="F985" s="55" t="b">
        <v>1</v>
      </c>
      <c r="G985" s="65" t="b">
        <v>0</v>
      </c>
      <c r="H985" s="54" t="b">
        <v>1</v>
      </c>
      <c r="I985" s="54" t="b">
        <v>1</v>
      </c>
      <c r="J985" s="65" t="b">
        <v>0</v>
      </c>
      <c r="K985" s="63" t="s">
        <v>1101</v>
      </c>
      <c r="L985" s="63" t="s">
        <v>3459</v>
      </c>
      <c r="M985" s="63" t="s">
        <v>3460</v>
      </c>
      <c r="N985" s="63" t="s">
        <v>2087</v>
      </c>
    </row>
    <row r="986" spans="1:14" x14ac:dyDescent="0.2">
      <c r="A986" s="51">
        <v>985</v>
      </c>
      <c r="B986" s="56" t="s">
        <v>614</v>
      </c>
      <c r="C986" s="47" t="s">
        <v>3469</v>
      </c>
      <c r="D986" s="47" t="s">
        <v>3470</v>
      </c>
      <c r="E986" s="47" t="s">
        <v>2590</v>
      </c>
      <c r="F986" s="55" t="b">
        <v>1</v>
      </c>
      <c r="G986" s="65" t="b">
        <v>0</v>
      </c>
      <c r="H986" s="54" t="b">
        <v>1</v>
      </c>
      <c r="I986" s="54" t="b">
        <v>1</v>
      </c>
      <c r="J986" s="65" t="b">
        <v>0</v>
      </c>
      <c r="K986" s="63" t="s">
        <v>1101</v>
      </c>
      <c r="L986" s="63" t="s">
        <v>3469</v>
      </c>
      <c r="M986" s="63" t="s">
        <v>3470</v>
      </c>
      <c r="N986" s="63" t="s">
        <v>2087</v>
      </c>
    </row>
    <row r="987" spans="1:14" x14ac:dyDescent="0.2">
      <c r="A987" s="51">
        <v>986</v>
      </c>
      <c r="B987" s="56" t="s">
        <v>614</v>
      </c>
      <c r="C987" s="47" t="s">
        <v>3456</v>
      </c>
      <c r="D987" s="47" t="s">
        <v>3457</v>
      </c>
      <c r="E987" s="47" t="s">
        <v>2590</v>
      </c>
      <c r="F987" s="55" t="b">
        <v>1</v>
      </c>
      <c r="G987" s="65" t="b">
        <v>0</v>
      </c>
      <c r="H987" s="54" t="b">
        <v>1</v>
      </c>
      <c r="I987" s="54" t="b">
        <v>1</v>
      </c>
      <c r="J987" s="65" t="b">
        <v>0</v>
      </c>
      <c r="K987" s="63" t="s">
        <v>1101</v>
      </c>
      <c r="L987" s="63" t="s">
        <v>3456</v>
      </c>
      <c r="M987" s="63" t="s">
        <v>3457</v>
      </c>
      <c r="N987" s="63" t="s">
        <v>3458</v>
      </c>
    </row>
    <row r="988" spans="1:14" x14ac:dyDescent="0.2">
      <c r="A988" s="51">
        <v>987</v>
      </c>
      <c r="B988" s="56" t="s">
        <v>13953</v>
      </c>
      <c r="C988" s="47" t="s">
        <v>3478</v>
      </c>
      <c r="D988" s="47" t="s">
        <v>3479</v>
      </c>
      <c r="E988" s="47" t="s">
        <v>1719</v>
      </c>
      <c r="F988" s="55" t="b">
        <v>1</v>
      </c>
      <c r="G988" s="65" t="b">
        <v>0</v>
      </c>
      <c r="H988" s="54" t="b">
        <v>1</v>
      </c>
      <c r="I988" s="54" t="b">
        <v>1</v>
      </c>
      <c r="J988" s="54" t="b">
        <v>1</v>
      </c>
      <c r="K988" s="63" t="s">
        <v>1102</v>
      </c>
      <c r="L988" s="63" t="s">
        <v>3478</v>
      </c>
      <c r="M988" s="63" t="s">
        <v>3479</v>
      </c>
      <c r="N988" s="63" t="s">
        <v>1719</v>
      </c>
    </row>
    <row r="989" spans="1:14" x14ac:dyDescent="0.2">
      <c r="A989" s="51">
        <v>988</v>
      </c>
      <c r="B989" s="56" t="s">
        <v>13953</v>
      </c>
      <c r="C989" s="47" t="s">
        <v>3476</v>
      </c>
      <c r="D989" s="47" t="s">
        <v>3477</v>
      </c>
      <c r="E989" s="47" t="s">
        <v>1719</v>
      </c>
      <c r="F989" s="55" t="b">
        <v>1</v>
      </c>
      <c r="G989" s="65" t="b">
        <v>0</v>
      </c>
      <c r="H989" s="54" t="b">
        <v>1</v>
      </c>
      <c r="I989" s="54" t="b">
        <v>1</v>
      </c>
      <c r="J989" s="54" t="b">
        <v>1</v>
      </c>
      <c r="K989" s="63" t="s">
        <v>1102</v>
      </c>
      <c r="L989" s="63" t="s">
        <v>3476</v>
      </c>
      <c r="M989" s="63" t="s">
        <v>3477</v>
      </c>
      <c r="N989" s="63" t="s">
        <v>1719</v>
      </c>
    </row>
    <row r="990" spans="1:14" x14ac:dyDescent="0.2">
      <c r="A990" s="51">
        <v>989</v>
      </c>
      <c r="B990" s="56" t="s">
        <v>13953</v>
      </c>
      <c r="C990" s="47" t="s">
        <v>3496</v>
      </c>
      <c r="D990" s="47" t="s">
        <v>3497</v>
      </c>
      <c r="E990" s="47" t="s">
        <v>1719</v>
      </c>
      <c r="F990" s="55" t="b">
        <v>1</v>
      </c>
      <c r="G990" s="65" t="b">
        <v>0</v>
      </c>
      <c r="H990" s="54" t="b">
        <v>1</v>
      </c>
      <c r="I990" s="54" t="b">
        <v>1</v>
      </c>
      <c r="J990" s="54" t="b">
        <v>1</v>
      </c>
      <c r="K990" s="63" t="s">
        <v>1102</v>
      </c>
      <c r="L990" s="63" t="s">
        <v>3496</v>
      </c>
      <c r="M990" s="63" t="s">
        <v>3497</v>
      </c>
      <c r="N990" s="63" t="s">
        <v>1719</v>
      </c>
    </row>
    <row r="991" spans="1:14" x14ac:dyDescent="0.2">
      <c r="A991" s="51">
        <v>990</v>
      </c>
      <c r="B991" s="56" t="s">
        <v>13953</v>
      </c>
      <c r="C991" s="47" t="s">
        <v>3484</v>
      </c>
      <c r="D991" s="47" t="s">
        <v>3485</v>
      </c>
      <c r="E991" s="47" t="s">
        <v>1719</v>
      </c>
      <c r="F991" s="55" t="b">
        <v>1</v>
      </c>
      <c r="G991" s="65" t="b">
        <v>0</v>
      </c>
      <c r="H991" s="54" t="b">
        <v>1</v>
      </c>
      <c r="I991" s="54" t="b">
        <v>1</v>
      </c>
      <c r="J991" s="54" t="b">
        <v>1</v>
      </c>
      <c r="K991" s="63" t="s">
        <v>1102</v>
      </c>
      <c r="L991" s="63" t="s">
        <v>3484</v>
      </c>
      <c r="M991" s="63" t="s">
        <v>3485</v>
      </c>
      <c r="N991" s="63" t="s">
        <v>1719</v>
      </c>
    </row>
    <row r="992" spans="1:14" x14ac:dyDescent="0.2">
      <c r="A992" s="51">
        <v>991</v>
      </c>
      <c r="B992" s="56" t="s">
        <v>13953</v>
      </c>
      <c r="C992" s="47" t="s">
        <v>3482</v>
      </c>
      <c r="D992" s="47" t="s">
        <v>12207</v>
      </c>
      <c r="E992" s="47" t="s">
        <v>1719</v>
      </c>
      <c r="F992" s="55" t="b">
        <v>1</v>
      </c>
      <c r="G992" s="65" t="b">
        <v>0</v>
      </c>
      <c r="H992" s="54" t="b">
        <v>1</v>
      </c>
      <c r="I992" s="65" t="b">
        <v>0</v>
      </c>
      <c r="J992" s="54" t="b">
        <v>1</v>
      </c>
      <c r="K992" s="63" t="s">
        <v>1102</v>
      </c>
      <c r="L992" s="63" t="s">
        <v>3482</v>
      </c>
      <c r="M992" s="63" t="s">
        <v>3483</v>
      </c>
      <c r="N992" s="63" t="s">
        <v>1719</v>
      </c>
    </row>
    <row r="993" spans="1:14" x14ac:dyDescent="0.2">
      <c r="A993" s="51">
        <v>992</v>
      </c>
      <c r="B993" s="56" t="s">
        <v>13953</v>
      </c>
      <c r="C993" s="47" t="s">
        <v>3486</v>
      </c>
      <c r="D993" s="47" t="s">
        <v>3487</v>
      </c>
      <c r="E993" s="47" t="s">
        <v>12127</v>
      </c>
      <c r="F993" s="55" t="b">
        <v>1</v>
      </c>
      <c r="G993" s="65" t="b">
        <v>0</v>
      </c>
      <c r="H993" s="54" t="b">
        <v>1</v>
      </c>
      <c r="I993" s="54" t="b">
        <v>1</v>
      </c>
      <c r="J993" s="65" t="b">
        <v>0</v>
      </c>
      <c r="K993" s="63" t="s">
        <v>1102</v>
      </c>
      <c r="L993" s="63" t="s">
        <v>3486</v>
      </c>
      <c r="M993" s="63" t="s">
        <v>3487</v>
      </c>
      <c r="N993" s="63" t="s">
        <v>2046</v>
      </c>
    </row>
    <row r="994" spans="1:14" x14ac:dyDescent="0.2">
      <c r="A994" s="51">
        <v>993</v>
      </c>
      <c r="B994" s="56" t="s">
        <v>13953</v>
      </c>
      <c r="C994" s="47" t="s">
        <v>3480</v>
      </c>
      <c r="D994" s="47" t="s">
        <v>12206</v>
      </c>
      <c r="E994" s="47" t="s">
        <v>1719</v>
      </c>
      <c r="F994" s="55" t="b">
        <v>1</v>
      </c>
      <c r="G994" s="65" t="b">
        <v>0</v>
      </c>
      <c r="H994" s="54" t="b">
        <v>1</v>
      </c>
      <c r="I994" s="65" t="b">
        <v>0</v>
      </c>
      <c r="J994" s="54" t="b">
        <v>1</v>
      </c>
      <c r="K994" s="63" t="s">
        <v>1102</v>
      </c>
      <c r="L994" s="63" t="s">
        <v>3480</v>
      </c>
      <c r="M994" s="63" t="s">
        <v>3481</v>
      </c>
      <c r="N994" s="63" t="s">
        <v>1719</v>
      </c>
    </row>
    <row r="995" spans="1:14" x14ac:dyDescent="0.2">
      <c r="A995" s="51">
        <v>994</v>
      </c>
      <c r="B995" s="56" t="s">
        <v>13953</v>
      </c>
      <c r="C995" s="47" t="s">
        <v>3488</v>
      </c>
      <c r="D995" s="47" t="s">
        <v>3489</v>
      </c>
      <c r="E995" s="47" t="s">
        <v>1719</v>
      </c>
      <c r="F995" s="55" t="b">
        <v>1</v>
      </c>
      <c r="G995" s="65" t="b">
        <v>0</v>
      </c>
      <c r="H995" s="54" t="b">
        <v>1</v>
      </c>
      <c r="I995" s="54" t="b">
        <v>1</v>
      </c>
      <c r="J995" s="54" t="b">
        <v>1</v>
      </c>
      <c r="K995" s="63" t="s">
        <v>1102</v>
      </c>
      <c r="L995" s="63" t="s">
        <v>3488</v>
      </c>
      <c r="M995" s="63" t="s">
        <v>3489</v>
      </c>
      <c r="N995" s="63" t="s">
        <v>1719</v>
      </c>
    </row>
    <row r="996" spans="1:14" x14ac:dyDescent="0.2">
      <c r="A996" s="51">
        <v>995</v>
      </c>
      <c r="B996" s="56" t="s">
        <v>13953</v>
      </c>
      <c r="C996" s="47" t="s">
        <v>3490</v>
      </c>
      <c r="D996" s="47" t="s">
        <v>3491</v>
      </c>
      <c r="E996" s="47" t="s">
        <v>1719</v>
      </c>
      <c r="F996" s="55" t="b">
        <v>1</v>
      </c>
      <c r="G996" s="65" t="b">
        <v>0</v>
      </c>
      <c r="H996" s="54" t="b">
        <v>1</v>
      </c>
      <c r="I996" s="54" t="b">
        <v>1</v>
      </c>
      <c r="J996" s="54" t="b">
        <v>1</v>
      </c>
      <c r="K996" s="63" t="s">
        <v>1102</v>
      </c>
      <c r="L996" s="63" t="s">
        <v>3490</v>
      </c>
      <c r="M996" s="63" t="s">
        <v>3491</v>
      </c>
      <c r="N996" s="63" t="s">
        <v>1719</v>
      </c>
    </row>
    <row r="997" spans="1:14" x14ac:dyDescent="0.2">
      <c r="A997" s="51">
        <v>996</v>
      </c>
      <c r="B997" s="56" t="s">
        <v>13953</v>
      </c>
      <c r="C997" s="47" t="s">
        <v>3492</v>
      </c>
      <c r="D997" s="47" t="s">
        <v>3493</v>
      </c>
      <c r="E997" s="47" t="s">
        <v>1719</v>
      </c>
      <c r="F997" s="55" t="b">
        <v>1</v>
      </c>
      <c r="G997" s="65" t="b">
        <v>0</v>
      </c>
      <c r="H997" s="54" t="b">
        <v>1</v>
      </c>
      <c r="I997" s="54" t="b">
        <v>1</v>
      </c>
      <c r="J997" s="54" t="b">
        <v>1</v>
      </c>
      <c r="K997" s="63" t="s">
        <v>1102</v>
      </c>
      <c r="L997" s="63" t="s">
        <v>3492</v>
      </c>
      <c r="M997" s="63" t="s">
        <v>3493</v>
      </c>
      <c r="N997" s="63" t="s">
        <v>1719</v>
      </c>
    </row>
    <row r="998" spans="1:14" x14ac:dyDescent="0.2">
      <c r="A998" s="51">
        <v>997</v>
      </c>
      <c r="B998" s="56" t="s">
        <v>13953</v>
      </c>
      <c r="C998" s="47" t="s">
        <v>3494</v>
      </c>
      <c r="D998" s="47" t="s">
        <v>3495</v>
      </c>
      <c r="E998" s="47" t="s">
        <v>1719</v>
      </c>
      <c r="F998" s="55" t="b">
        <v>1</v>
      </c>
      <c r="G998" s="65" t="b">
        <v>0</v>
      </c>
      <c r="H998" s="54" t="b">
        <v>1</v>
      </c>
      <c r="I998" s="54" t="b">
        <v>1</v>
      </c>
      <c r="J998" s="54" t="b">
        <v>1</v>
      </c>
      <c r="K998" s="63" t="s">
        <v>1102</v>
      </c>
      <c r="L998" s="63" t="s">
        <v>3494</v>
      </c>
      <c r="M998" s="63" t="s">
        <v>3495</v>
      </c>
      <c r="N998" s="63" t="s">
        <v>1719</v>
      </c>
    </row>
    <row r="999" spans="1:14" x14ac:dyDescent="0.2">
      <c r="A999" s="51">
        <v>998</v>
      </c>
      <c r="B999" s="54" t="s">
        <v>623</v>
      </c>
      <c r="C999" s="47" t="s">
        <v>3498</v>
      </c>
      <c r="D999" s="47" t="s">
        <v>3499</v>
      </c>
      <c r="E999" s="47" t="s">
        <v>1719</v>
      </c>
      <c r="F999" s="55" t="b">
        <v>1</v>
      </c>
      <c r="G999" s="54" t="b">
        <v>1</v>
      </c>
      <c r="H999" s="54" t="b">
        <v>1</v>
      </c>
      <c r="I999" s="54" t="b">
        <v>1</v>
      </c>
      <c r="J999" s="54" t="b">
        <v>1</v>
      </c>
      <c r="K999" s="63" t="s">
        <v>623</v>
      </c>
      <c r="L999" s="63" t="s">
        <v>3498</v>
      </c>
      <c r="M999" s="63" t="s">
        <v>3499</v>
      </c>
      <c r="N999" s="63" t="s">
        <v>1719</v>
      </c>
    </row>
    <row r="1000" spans="1:14" x14ac:dyDescent="0.2">
      <c r="A1000" s="51">
        <v>999</v>
      </c>
      <c r="B1000" s="54" t="s">
        <v>623</v>
      </c>
      <c r="C1000" s="47" t="s">
        <v>3500</v>
      </c>
      <c r="D1000" s="47" t="s">
        <v>3501</v>
      </c>
      <c r="E1000" s="47" t="s">
        <v>1719</v>
      </c>
      <c r="F1000" s="55" t="b">
        <v>1</v>
      </c>
      <c r="G1000" s="54" t="b">
        <v>1</v>
      </c>
      <c r="H1000" s="54" t="b">
        <v>1</v>
      </c>
      <c r="I1000" s="54" t="b">
        <v>1</v>
      </c>
      <c r="J1000" s="54" t="b">
        <v>1</v>
      </c>
      <c r="K1000" s="63" t="s">
        <v>623</v>
      </c>
      <c r="L1000" s="63" t="s">
        <v>3500</v>
      </c>
      <c r="M1000" s="63" t="s">
        <v>3501</v>
      </c>
      <c r="N1000" s="63" t="s">
        <v>1719</v>
      </c>
    </row>
    <row r="1001" spans="1:14" x14ac:dyDescent="0.2">
      <c r="A1001" s="51">
        <v>1000</v>
      </c>
      <c r="B1001" s="54" t="s">
        <v>623</v>
      </c>
      <c r="C1001" s="47" t="s">
        <v>3502</v>
      </c>
      <c r="D1001" s="47" t="s">
        <v>3503</v>
      </c>
      <c r="E1001" s="47" t="s">
        <v>1719</v>
      </c>
      <c r="F1001" s="55" t="b">
        <v>1</v>
      </c>
      <c r="G1001" s="54" t="b">
        <v>1</v>
      </c>
      <c r="H1001" s="54" t="b">
        <v>1</v>
      </c>
      <c r="I1001" s="54" t="b">
        <v>1</v>
      </c>
      <c r="J1001" s="54" t="b">
        <v>1</v>
      </c>
      <c r="K1001" s="63" t="s">
        <v>623</v>
      </c>
      <c r="L1001" s="63" t="s">
        <v>3502</v>
      </c>
      <c r="M1001" s="63" t="s">
        <v>3503</v>
      </c>
      <c r="N1001" s="63" t="s">
        <v>1719</v>
      </c>
    </row>
    <row r="1002" spans="1:14" x14ac:dyDescent="0.2">
      <c r="A1002" s="51">
        <v>1001</v>
      </c>
      <c r="B1002" s="54" t="s">
        <v>623</v>
      </c>
      <c r="C1002" s="47" t="s">
        <v>3504</v>
      </c>
      <c r="D1002" s="47" t="s">
        <v>3505</v>
      </c>
      <c r="E1002" s="47" t="s">
        <v>1719</v>
      </c>
      <c r="F1002" s="55" t="b">
        <v>1</v>
      </c>
      <c r="G1002" s="54" t="b">
        <v>1</v>
      </c>
      <c r="H1002" s="54" t="b">
        <v>1</v>
      </c>
      <c r="I1002" s="54" t="b">
        <v>1</v>
      </c>
      <c r="J1002" s="54" t="b">
        <v>1</v>
      </c>
      <c r="K1002" s="63" t="s">
        <v>623</v>
      </c>
      <c r="L1002" s="63" t="s">
        <v>3504</v>
      </c>
      <c r="M1002" s="63" t="s">
        <v>3505</v>
      </c>
      <c r="N1002" s="63" t="s">
        <v>1719</v>
      </c>
    </row>
    <row r="1003" spans="1:14" x14ac:dyDescent="0.2">
      <c r="A1003" s="51">
        <v>1002</v>
      </c>
      <c r="B1003" s="54" t="s">
        <v>623</v>
      </c>
      <c r="C1003" s="47" t="s">
        <v>3506</v>
      </c>
      <c r="D1003" s="47" t="s">
        <v>3507</v>
      </c>
      <c r="E1003" s="47" t="s">
        <v>1719</v>
      </c>
      <c r="F1003" s="55" t="b">
        <v>1</v>
      </c>
      <c r="G1003" s="54" t="b">
        <v>1</v>
      </c>
      <c r="H1003" s="54" t="b">
        <v>1</v>
      </c>
      <c r="I1003" s="54" t="b">
        <v>1</v>
      </c>
      <c r="J1003" s="54" t="b">
        <v>1</v>
      </c>
      <c r="K1003" s="63" t="s">
        <v>623</v>
      </c>
      <c r="L1003" s="63" t="s">
        <v>3506</v>
      </c>
      <c r="M1003" s="63" t="s">
        <v>3507</v>
      </c>
      <c r="N1003" s="63" t="s">
        <v>1719</v>
      </c>
    </row>
    <row r="1004" spans="1:14" x14ac:dyDescent="0.2">
      <c r="A1004" s="51">
        <v>1003</v>
      </c>
      <c r="B1004" s="54" t="s">
        <v>623</v>
      </c>
      <c r="C1004" s="47" t="s">
        <v>3508</v>
      </c>
      <c r="D1004" s="47" t="s">
        <v>3509</v>
      </c>
      <c r="E1004" s="47" t="s">
        <v>1719</v>
      </c>
      <c r="F1004" s="55" t="b">
        <v>1</v>
      </c>
      <c r="G1004" s="54" t="b">
        <v>1</v>
      </c>
      <c r="H1004" s="54" t="b">
        <v>1</v>
      </c>
      <c r="I1004" s="54" t="b">
        <v>1</v>
      </c>
      <c r="J1004" s="54" t="b">
        <v>1</v>
      </c>
      <c r="K1004" s="63" t="s">
        <v>623</v>
      </c>
      <c r="L1004" s="63" t="s">
        <v>3508</v>
      </c>
      <c r="M1004" s="63" t="s">
        <v>3509</v>
      </c>
      <c r="N1004" s="63" t="s">
        <v>1719</v>
      </c>
    </row>
    <row r="1005" spans="1:14" x14ac:dyDescent="0.2">
      <c r="A1005" s="51">
        <v>1004</v>
      </c>
      <c r="B1005" s="54" t="s">
        <v>623</v>
      </c>
      <c r="C1005" s="47" t="s">
        <v>3510</v>
      </c>
      <c r="D1005" s="47" t="s">
        <v>3511</v>
      </c>
      <c r="E1005" s="47" t="s">
        <v>1719</v>
      </c>
      <c r="F1005" s="55" t="b">
        <v>1</v>
      </c>
      <c r="G1005" s="54" t="b">
        <v>1</v>
      </c>
      <c r="H1005" s="54" t="b">
        <v>1</v>
      </c>
      <c r="I1005" s="54" t="b">
        <v>1</v>
      </c>
      <c r="J1005" s="54" t="b">
        <v>1</v>
      </c>
      <c r="K1005" s="63" t="s">
        <v>623</v>
      </c>
      <c r="L1005" s="63" t="s">
        <v>3510</v>
      </c>
      <c r="M1005" s="63" t="s">
        <v>3511</v>
      </c>
      <c r="N1005" s="63" t="s">
        <v>1719</v>
      </c>
    </row>
    <row r="1006" spans="1:14" x14ac:dyDescent="0.2">
      <c r="A1006" s="51">
        <v>1005</v>
      </c>
      <c r="B1006" s="57" t="s">
        <v>1517</v>
      </c>
      <c r="C1006" s="47" t="s">
        <v>3827</v>
      </c>
      <c r="D1006" s="47" t="s">
        <v>12216</v>
      </c>
      <c r="E1006" s="47" t="s">
        <v>1790</v>
      </c>
      <c r="F1006" s="55" t="b">
        <v>1</v>
      </c>
      <c r="G1006" s="54" t="b">
        <v>1</v>
      </c>
      <c r="H1006" s="54" t="b">
        <v>1</v>
      </c>
      <c r="I1006" s="65" t="b">
        <v>0</v>
      </c>
      <c r="J1006" s="65" t="b">
        <v>0</v>
      </c>
      <c r="K1006" s="63" t="s">
        <v>1517</v>
      </c>
      <c r="L1006" s="63" t="s">
        <v>3827</v>
      </c>
      <c r="M1006" s="63" t="s">
        <v>3828</v>
      </c>
      <c r="N1006" s="63" t="s">
        <v>2087</v>
      </c>
    </row>
    <row r="1007" spans="1:14" x14ac:dyDescent="0.2">
      <c r="A1007" s="51">
        <v>1006</v>
      </c>
      <c r="B1007" s="57"/>
      <c r="G1007" s="65" t="b">
        <v>0</v>
      </c>
      <c r="H1007" s="65" t="b">
        <v>0</v>
      </c>
      <c r="I1007" s="65" t="b">
        <v>0</v>
      </c>
      <c r="J1007" s="65" t="b">
        <v>0</v>
      </c>
      <c r="K1007" s="63" t="s">
        <v>1517</v>
      </c>
      <c r="L1007" s="63" t="s">
        <v>3823</v>
      </c>
      <c r="M1007" s="63" t="s">
        <v>3824</v>
      </c>
      <c r="N1007" s="63" t="s">
        <v>2087</v>
      </c>
    </row>
    <row r="1008" spans="1:14" x14ac:dyDescent="0.2">
      <c r="A1008" s="51">
        <v>1007</v>
      </c>
      <c r="B1008" s="57" t="s">
        <v>1517</v>
      </c>
      <c r="C1008" s="47" t="s">
        <v>3837</v>
      </c>
      <c r="D1008" s="47" t="s">
        <v>12220</v>
      </c>
      <c r="E1008" s="47" t="s">
        <v>1790</v>
      </c>
      <c r="F1008" s="55" t="b">
        <v>1</v>
      </c>
      <c r="G1008" s="54" t="b">
        <v>1</v>
      </c>
      <c r="H1008" s="54" t="b">
        <v>1</v>
      </c>
      <c r="I1008" s="65" t="b">
        <v>0</v>
      </c>
      <c r="J1008" s="65" t="b">
        <v>0</v>
      </c>
      <c r="K1008" s="63" t="s">
        <v>1517</v>
      </c>
      <c r="L1008" s="63" t="s">
        <v>3837</v>
      </c>
      <c r="M1008" s="63" t="s">
        <v>3838</v>
      </c>
      <c r="N1008" s="63" t="s">
        <v>2087</v>
      </c>
    </row>
    <row r="1009" spans="1:14" x14ac:dyDescent="0.2">
      <c r="A1009" s="51">
        <v>1008</v>
      </c>
      <c r="B1009" s="57" t="s">
        <v>1517</v>
      </c>
      <c r="C1009" s="47" t="s">
        <v>3843</v>
      </c>
      <c r="D1009" s="47" t="s">
        <v>12221</v>
      </c>
      <c r="E1009" s="47" t="s">
        <v>1790</v>
      </c>
      <c r="F1009" s="55" t="b">
        <v>1</v>
      </c>
      <c r="G1009" s="54" t="b">
        <v>1</v>
      </c>
      <c r="H1009" s="54" t="b">
        <v>1</v>
      </c>
      <c r="I1009" s="65" t="b">
        <v>0</v>
      </c>
      <c r="J1009" s="65" t="b">
        <v>0</v>
      </c>
      <c r="K1009" s="63" t="s">
        <v>1517</v>
      </c>
      <c r="L1009" s="63" t="s">
        <v>3843</v>
      </c>
      <c r="M1009" s="63" t="s">
        <v>3844</v>
      </c>
      <c r="N1009" s="63" t="s">
        <v>2087</v>
      </c>
    </row>
    <row r="1010" spans="1:14" x14ac:dyDescent="0.2">
      <c r="A1010" s="51">
        <v>1009</v>
      </c>
      <c r="B1010" s="57"/>
      <c r="G1010" s="65" t="b">
        <v>0</v>
      </c>
      <c r="H1010" s="65" t="b">
        <v>0</v>
      </c>
      <c r="I1010" s="65" t="b">
        <v>0</v>
      </c>
      <c r="J1010" s="65" t="b">
        <v>0</v>
      </c>
      <c r="K1010" s="63" t="s">
        <v>1517</v>
      </c>
      <c r="L1010" s="63" t="s">
        <v>3833</v>
      </c>
      <c r="M1010" s="63" t="s">
        <v>3834</v>
      </c>
      <c r="N1010" s="63" t="s">
        <v>2087</v>
      </c>
    </row>
    <row r="1011" spans="1:14" x14ac:dyDescent="0.2">
      <c r="A1011" s="51">
        <v>1010</v>
      </c>
      <c r="B1011" s="57" t="s">
        <v>1517</v>
      </c>
      <c r="C1011" s="47" t="s">
        <v>3811</v>
      </c>
      <c r="D1011" s="47" t="s">
        <v>12217</v>
      </c>
      <c r="E1011" s="47" t="s">
        <v>1790</v>
      </c>
      <c r="F1011" s="55" t="b">
        <v>1</v>
      </c>
      <c r="G1011" s="54" t="b">
        <v>1</v>
      </c>
      <c r="H1011" s="54" t="b">
        <v>1</v>
      </c>
      <c r="I1011" s="65" t="b">
        <v>0</v>
      </c>
      <c r="J1011" s="65" t="b">
        <v>0</v>
      </c>
      <c r="K1011" s="63" t="s">
        <v>1517</v>
      </c>
      <c r="L1011" s="63" t="s">
        <v>3811</v>
      </c>
      <c r="M1011" s="63" t="s">
        <v>3812</v>
      </c>
      <c r="N1011" s="63" t="s">
        <v>2087</v>
      </c>
    </row>
    <row r="1012" spans="1:14" x14ac:dyDescent="0.2">
      <c r="A1012" s="51">
        <v>1011</v>
      </c>
      <c r="B1012" s="57" t="s">
        <v>1517</v>
      </c>
      <c r="C1012" s="47" t="s">
        <v>3825</v>
      </c>
      <c r="D1012" s="47" t="s">
        <v>12215</v>
      </c>
      <c r="E1012" s="47" t="s">
        <v>1790</v>
      </c>
      <c r="F1012" s="55" t="b">
        <v>1</v>
      </c>
      <c r="G1012" s="54" t="b">
        <v>1</v>
      </c>
      <c r="H1012" s="54" t="b">
        <v>1</v>
      </c>
      <c r="I1012" s="65" t="b">
        <v>0</v>
      </c>
      <c r="J1012" s="65" t="b">
        <v>0</v>
      </c>
      <c r="K1012" s="63" t="s">
        <v>1517</v>
      </c>
      <c r="L1012" s="63" t="s">
        <v>3825</v>
      </c>
      <c r="M1012" s="63" t="s">
        <v>3826</v>
      </c>
      <c r="N1012" s="63" t="s">
        <v>2087</v>
      </c>
    </row>
    <row r="1013" spans="1:14" x14ac:dyDescent="0.2">
      <c r="A1013" s="51">
        <v>1012</v>
      </c>
      <c r="B1013" s="57" t="s">
        <v>1517</v>
      </c>
      <c r="C1013" s="47" t="s">
        <v>3847</v>
      </c>
      <c r="D1013" s="47" t="s">
        <v>12226</v>
      </c>
      <c r="E1013" s="47" t="s">
        <v>1790</v>
      </c>
      <c r="F1013" s="55" t="b">
        <v>1</v>
      </c>
      <c r="G1013" s="54" t="b">
        <v>1</v>
      </c>
      <c r="H1013" s="54" t="b">
        <v>1</v>
      </c>
      <c r="I1013" s="65" t="b">
        <v>0</v>
      </c>
      <c r="J1013" s="65" t="b">
        <v>0</v>
      </c>
      <c r="K1013" s="63" t="s">
        <v>1517</v>
      </c>
      <c r="L1013" s="63" t="s">
        <v>3847</v>
      </c>
      <c r="M1013" s="63" t="s">
        <v>3848</v>
      </c>
      <c r="N1013" s="63" t="s">
        <v>2087</v>
      </c>
    </row>
    <row r="1014" spans="1:14" x14ac:dyDescent="0.2">
      <c r="A1014" s="51">
        <v>1013</v>
      </c>
      <c r="B1014" s="57" t="s">
        <v>1517</v>
      </c>
      <c r="C1014" s="47" t="s">
        <v>3817</v>
      </c>
      <c r="D1014" s="47" t="s">
        <v>12210</v>
      </c>
      <c r="E1014" s="47" t="s">
        <v>1790</v>
      </c>
      <c r="F1014" s="55" t="b">
        <v>1</v>
      </c>
      <c r="G1014" s="54" t="b">
        <v>1</v>
      </c>
      <c r="H1014" s="54" t="b">
        <v>1</v>
      </c>
      <c r="I1014" s="65" t="b">
        <v>0</v>
      </c>
      <c r="J1014" s="65" t="b">
        <v>0</v>
      </c>
      <c r="K1014" s="63" t="s">
        <v>1517</v>
      </c>
      <c r="L1014" s="63" t="s">
        <v>3817</v>
      </c>
      <c r="M1014" s="63" t="s">
        <v>3818</v>
      </c>
      <c r="N1014" s="63" t="s">
        <v>2087</v>
      </c>
    </row>
    <row r="1015" spans="1:14" x14ac:dyDescent="0.2">
      <c r="A1015" s="51">
        <v>1014</v>
      </c>
      <c r="B1015" s="57" t="s">
        <v>1517</v>
      </c>
      <c r="C1015" s="47" t="s">
        <v>3819</v>
      </c>
      <c r="D1015" s="47" t="s">
        <v>12212</v>
      </c>
      <c r="E1015" s="47" t="s">
        <v>1790</v>
      </c>
      <c r="F1015" s="55" t="b">
        <v>1</v>
      </c>
      <c r="G1015" s="54" t="b">
        <v>1</v>
      </c>
      <c r="H1015" s="54" t="b">
        <v>1</v>
      </c>
      <c r="I1015" s="65" t="b">
        <v>0</v>
      </c>
      <c r="J1015" s="65" t="b">
        <v>0</v>
      </c>
      <c r="K1015" s="63" t="s">
        <v>1517</v>
      </c>
      <c r="L1015" s="63" t="s">
        <v>3819</v>
      </c>
      <c r="M1015" s="63" t="s">
        <v>3820</v>
      </c>
      <c r="N1015" s="63" t="s">
        <v>2087</v>
      </c>
    </row>
    <row r="1016" spans="1:14" x14ac:dyDescent="0.2">
      <c r="A1016" s="51">
        <v>1015</v>
      </c>
      <c r="B1016" s="57"/>
      <c r="G1016" s="65" t="b">
        <v>0</v>
      </c>
      <c r="H1016" s="65" t="b">
        <v>0</v>
      </c>
      <c r="I1016" s="65" t="b">
        <v>0</v>
      </c>
      <c r="J1016" s="65" t="b">
        <v>0</v>
      </c>
      <c r="K1016" s="63" t="s">
        <v>1517</v>
      </c>
      <c r="L1016" s="63" t="s">
        <v>3835</v>
      </c>
      <c r="M1016" s="63" t="s">
        <v>3836</v>
      </c>
      <c r="N1016" s="63" t="s">
        <v>2087</v>
      </c>
    </row>
    <row r="1017" spans="1:14" x14ac:dyDescent="0.2">
      <c r="A1017" s="51">
        <v>1016</v>
      </c>
      <c r="B1017" s="57"/>
      <c r="G1017" s="65" t="b">
        <v>0</v>
      </c>
      <c r="H1017" s="65" t="b">
        <v>0</v>
      </c>
      <c r="I1017" s="65" t="b">
        <v>0</v>
      </c>
      <c r="J1017" s="65" t="b">
        <v>0</v>
      </c>
      <c r="K1017" s="63" t="s">
        <v>1517</v>
      </c>
      <c r="L1017" s="63" t="s">
        <v>3829</v>
      </c>
      <c r="M1017" s="63" t="s">
        <v>3830</v>
      </c>
      <c r="N1017" s="63" t="s">
        <v>2087</v>
      </c>
    </row>
    <row r="1018" spans="1:14" x14ac:dyDescent="0.2">
      <c r="A1018" s="51">
        <v>1017</v>
      </c>
      <c r="B1018" s="57"/>
      <c r="G1018" s="65" t="b">
        <v>0</v>
      </c>
      <c r="H1018" s="65" t="b">
        <v>0</v>
      </c>
      <c r="I1018" s="65" t="b">
        <v>0</v>
      </c>
      <c r="J1018" s="65" t="b">
        <v>0</v>
      </c>
      <c r="K1018" s="63" t="s">
        <v>1517</v>
      </c>
      <c r="L1018" s="63" t="s">
        <v>3841</v>
      </c>
      <c r="M1018" s="63" t="s">
        <v>3842</v>
      </c>
      <c r="N1018" s="63" t="s">
        <v>2087</v>
      </c>
    </row>
    <row r="1019" spans="1:14" x14ac:dyDescent="0.2">
      <c r="A1019" s="51">
        <v>1018</v>
      </c>
      <c r="B1019" s="57"/>
      <c r="G1019" s="65" t="b">
        <v>0</v>
      </c>
      <c r="H1019" s="65" t="b">
        <v>0</v>
      </c>
      <c r="I1019" s="65" t="b">
        <v>0</v>
      </c>
      <c r="J1019" s="65" t="b">
        <v>0</v>
      </c>
      <c r="K1019" s="63" t="s">
        <v>1517</v>
      </c>
      <c r="L1019" s="63" t="s">
        <v>3845</v>
      </c>
      <c r="M1019" s="63" t="s">
        <v>3846</v>
      </c>
      <c r="N1019" s="63" t="s">
        <v>2087</v>
      </c>
    </row>
    <row r="1020" spans="1:14" x14ac:dyDescent="0.2">
      <c r="A1020" s="51">
        <v>1019</v>
      </c>
      <c r="B1020" s="57"/>
      <c r="G1020" s="65" t="b">
        <v>0</v>
      </c>
      <c r="H1020" s="65" t="b">
        <v>0</v>
      </c>
      <c r="I1020" s="65" t="b">
        <v>0</v>
      </c>
      <c r="J1020" s="65" t="b">
        <v>0</v>
      </c>
      <c r="K1020" s="63" t="s">
        <v>1517</v>
      </c>
      <c r="L1020" s="63" t="s">
        <v>3839</v>
      </c>
      <c r="M1020" s="63" t="s">
        <v>3840</v>
      </c>
      <c r="N1020" s="63" t="s">
        <v>2087</v>
      </c>
    </row>
    <row r="1021" spans="1:14" x14ac:dyDescent="0.2">
      <c r="A1021" s="51">
        <v>1020</v>
      </c>
      <c r="B1021" s="57"/>
      <c r="G1021" s="65" t="b">
        <v>0</v>
      </c>
      <c r="H1021" s="65" t="b">
        <v>0</v>
      </c>
      <c r="I1021" s="65" t="b">
        <v>0</v>
      </c>
      <c r="J1021" s="65" t="b">
        <v>0</v>
      </c>
      <c r="K1021" s="63" t="s">
        <v>1517</v>
      </c>
      <c r="L1021" s="63" t="s">
        <v>3813</v>
      </c>
      <c r="M1021" s="63" t="s">
        <v>3814</v>
      </c>
      <c r="N1021" s="63" t="s">
        <v>2087</v>
      </c>
    </row>
    <row r="1022" spans="1:14" x14ac:dyDescent="0.2">
      <c r="A1022" s="51">
        <v>1021</v>
      </c>
      <c r="B1022" s="57"/>
      <c r="G1022" s="65" t="b">
        <v>0</v>
      </c>
      <c r="H1022" s="65" t="b">
        <v>0</v>
      </c>
      <c r="I1022" s="65" t="b">
        <v>0</v>
      </c>
      <c r="J1022" s="65" t="b">
        <v>0</v>
      </c>
      <c r="K1022" s="63" t="s">
        <v>1517</v>
      </c>
      <c r="L1022" s="63" t="s">
        <v>3815</v>
      </c>
      <c r="M1022" s="63" t="s">
        <v>3816</v>
      </c>
      <c r="N1022" s="63" t="s">
        <v>2087</v>
      </c>
    </row>
    <row r="1023" spans="1:14" x14ac:dyDescent="0.2">
      <c r="A1023" s="51">
        <v>1022</v>
      </c>
      <c r="B1023" s="57"/>
      <c r="G1023" s="65" t="b">
        <v>0</v>
      </c>
      <c r="H1023" s="65" t="b">
        <v>0</v>
      </c>
      <c r="I1023" s="65" t="b">
        <v>0</v>
      </c>
      <c r="J1023" s="65" t="b">
        <v>0</v>
      </c>
      <c r="K1023" s="63" t="s">
        <v>1517</v>
      </c>
      <c r="L1023" s="63" t="s">
        <v>3821</v>
      </c>
      <c r="M1023" s="63" t="s">
        <v>3822</v>
      </c>
      <c r="N1023" s="63" t="s">
        <v>2087</v>
      </c>
    </row>
    <row r="1024" spans="1:14" x14ac:dyDescent="0.2">
      <c r="A1024" s="51">
        <v>1023</v>
      </c>
      <c r="B1024" s="57"/>
      <c r="G1024" s="65" t="b">
        <v>0</v>
      </c>
      <c r="H1024" s="65" t="b">
        <v>0</v>
      </c>
      <c r="I1024" s="65" t="b">
        <v>0</v>
      </c>
      <c r="J1024" s="65" t="b">
        <v>0</v>
      </c>
      <c r="K1024" s="63" t="s">
        <v>1517</v>
      </c>
      <c r="L1024" s="63" t="s">
        <v>3831</v>
      </c>
      <c r="M1024" s="63" t="s">
        <v>3832</v>
      </c>
      <c r="N1024" s="63" t="s">
        <v>2087</v>
      </c>
    </row>
    <row r="1025" spans="1:14" x14ac:dyDescent="0.2">
      <c r="A1025" s="51">
        <v>1024</v>
      </c>
      <c r="B1025" s="57" t="s">
        <v>1517</v>
      </c>
      <c r="C1025" s="47" t="s">
        <v>12208</v>
      </c>
      <c r="D1025" s="47" t="s">
        <v>12209</v>
      </c>
      <c r="E1025" s="47" t="s">
        <v>8709</v>
      </c>
      <c r="F1025" s="55" t="b">
        <v>1</v>
      </c>
      <c r="G1025" s="65" t="b">
        <v>0</v>
      </c>
      <c r="H1025" s="65" t="b">
        <v>0</v>
      </c>
      <c r="I1025" s="65" t="b">
        <v>0</v>
      </c>
      <c r="J1025" s="65" t="b">
        <v>0</v>
      </c>
    </row>
    <row r="1026" spans="1:14" x14ac:dyDescent="0.2">
      <c r="A1026" s="51">
        <v>1025</v>
      </c>
      <c r="B1026" s="57" t="s">
        <v>1517</v>
      </c>
      <c r="C1026" s="47" t="s">
        <v>12211</v>
      </c>
      <c r="D1026" s="47" t="s">
        <v>2885</v>
      </c>
      <c r="E1026" s="47" t="s">
        <v>1790</v>
      </c>
      <c r="F1026" s="55" t="b">
        <v>1</v>
      </c>
      <c r="G1026" s="65" t="b">
        <v>0</v>
      </c>
      <c r="H1026" s="65" t="b">
        <v>0</v>
      </c>
      <c r="I1026" s="65" t="b">
        <v>0</v>
      </c>
      <c r="J1026" s="65" t="b">
        <v>0</v>
      </c>
    </row>
    <row r="1027" spans="1:14" x14ac:dyDescent="0.2">
      <c r="A1027" s="51">
        <v>1026</v>
      </c>
      <c r="B1027" s="57" t="s">
        <v>1517</v>
      </c>
      <c r="C1027" s="47" t="s">
        <v>12213</v>
      </c>
      <c r="D1027" s="47" t="s">
        <v>12214</v>
      </c>
      <c r="E1027" s="47" t="s">
        <v>1790</v>
      </c>
      <c r="F1027" s="55" t="b">
        <v>1</v>
      </c>
      <c r="G1027" s="65" t="b">
        <v>0</v>
      </c>
      <c r="H1027" s="65" t="b">
        <v>0</v>
      </c>
      <c r="I1027" s="65" t="b">
        <v>0</v>
      </c>
      <c r="J1027" s="65" t="b">
        <v>0</v>
      </c>
    </row>
    <row r="1028" spans="1:14" x14ac:dyDescent="0.2">
      <c r="A1028" s="51">
        <v>1027</v>
      </c>
      <c r="B1028" s="57" t="s">
        <v>1517</v>
      </c>
      <c r="C1028" s="47" t="s">
        <v>12218</v>
      </c>
      <c r="D1028" s="47" t="s">
        <v>12219</v>
      </c>
      <c r="E1028" s="47" t="s">
        <v>1790</v>
      </c>
      <c r="F1028" s="55" t="b">
        <v>1</v>
      </c>
      <c r="G1028" s="65" t="b">
        <v>0</v>
      </c>
      <c r="H1028" s="65" t="b">
        <v>0</v>
      </c>
      <c r="I1028" s="65" t="b">
        <v>0</v>
      </c>
      <c r="J1028" s="65" t="b">
        <v>0</v>
      </c>
    </row>
    <row r="1029" spans="1:14" x14ac:dyDescent="0.2">
      <c r="A1029" s="51">
        <v>1028</v>
      </c>
      <c r="B1029" s="57" t="s">
        <v>1517</v>
      </c>
      <c r="C1029" s="47" t="s">
        <v>12222</v>
      </c>
      <c r="D1029" s="47" t="s">
        <v>12223</v>
      </c>
      <c r="E1029" s="47" t="s">
        <v>1790</v>
      </c>
      <c r="F1029" s="55" t="b">
        <v>1</v>
      </c>
      <c r="G1029" s="65" t="b">
        <v>0</v>
      </c>
      <c r="H1029" s="65" t="b">
        <v>0</v>
      </c>
      <c r="I1029" s="65" t="b">
        <v>0</v>
      </c>
      <c r="J1029" s="65" t="b">
        <v>0</v>
      </c>
    </row>
    <row r="1030" spans="1:14" x14ac:dyDescent="0.2">
      <c r="A1030" s="51">
        <v>1029</v>
      </c>
      <c r="B1030" s="57" t="s">
        <v>1517</v>
      </c>
      <c r="C1030" s="47" t="s">
        <v>12224</v>
      </c>
      <c r="D1030" s="47" t="s">
        <v>12225</v>
      </c>
      <c r="E1030" s="47" t="s">
        <v>8709</v>
      </c>
      <c r="F1030" s="55" t="b">
        <v>1</v>
      </c>
      <c r="G1030" s="65" t="b">
        <v>0</v>
      </c>
      <c r="H1030" s="65" t="b">
        <v>0</v>
      </c>
      <c r="I1030" s="65" t="b">
        <v>0</v>
      </c>
      <c r="J1030" s="65" t="b">
        <v>0</v>
      </c>
    </row>
    <row r="1031" spans="1:14" x14ac:dyDescent="0.2">
      <c r="A1031" s="51">
        <v>1030</v>
      </c>
      <c r="B1031" s="54" t="s">
        <v>626</v>
      </c>
      <c r="C1031" s="47" t="s">
        <v>3550</v>
      </c>
      <c r="D1031" s="47" t="s">
        <v>12247</v>
      </c>
      <c r="E1031" s="47" t="s">
        <v>1788</v>
      </c>
      <c r="F1031" s="55" t="b">
        <v>1</v>
      </c>
      <c r="G1031" s="54" t="b">
        <v>1</v>
      </c>
      <c r="H1031" s="54" t="b">
        <v>1</v>
      </c>
      <c r="I1031" s="65" t="b">
        <v>0</v>
      </c>
      <c r="J1031" s="54" t="b">
        <v>1</v>
      </c>
      <c r="K1031" s="63" t="s">
        <v>626</v>
      </c>
      <c r="L1031" s="63" t="s">
        <v>3550</v>
      </c>
      <c r="M1031" s="63" t="s">
        <v>3551</v>
      </c>
      <c r="N1031" s="63" t="s">
        <v>1788</v>
      </c>
    </row>
    <row r="1032" spans="1:14" x14ac:dyDescent="0.2">
      <c r="A1032" s="51">
        <v>1031</v>
      </c>
      <c r="B1032" s="54" t="s">
        <v>626</v>
      </c>
      <c r="C1032" s="47" t="s">
        <v>3526</v>
      </c>
      <c r="D1032" s="47" t="s">
        <v>12233</v>
      </c>
      <c r="E1032" s="47" t="s">
        <v>1788</v>
      </c>
      <c r="F1032" s="55" t="b">
        <v>1</v>
      </c>
      <c r="G1032" s="54" t="b">
        <v>1</v>
      </c>
      <c r="H1032" s="54" t="b">
        <v>1</v>
      </c>
      <c r="I1032" s="65" t="b">
        <v>0</v>
      </c>
      <c r="J1032" s="54" t="b">
        <v>1</v>
      </c>
      <c r="K1032" s="63" t="s">
        <v>626</v>
      </c>
      <c r="L1032" s="63" t="s">
        <v>3526</v>
      </c>
      <c r="M1032" s="63" t="s">
        <v>3527</v>
      </c>
      <c r="N1032" s="63" t="s">
        <v>1788</v>
      </c>
    </row>
    <row r="1033" spans="1:14" x14ac:dyDescent="0.2">
      <c r="A1033" s="51">
        <v>1032</v>
      </c>
      <c r="B1033" s="54" t="s">
        <v>626</v>
      </c>
      <c r="C1033" s="47" t="s">
        <v>3538</v>
      </c>
      <c r="D1033" s="47" t="s">
        <v>12240</v>
      </c>
      <c r="E1033" s="47" t="s">
        <v>1788</v>
      </c>
      <c r="F1033" s="55" t="b">
        <v>1</v>
      </c>
      <c r="G1033" s="54" t="b">
        <v>1</v>
      </c>
      <c r="H1033" s="54" t="b">
        <v>1</v>
      </c>
      <c r="I1033" s="65" t="b">
        <v>0</v>
      </c>
      <c r="J1033" s="54" t="b">
        <v>1</v>
      </c>
      <c r="K1033" s="63" t="s">
        <v>626</v>
      </c>
      <c r="L1033" s="63" t="s">
        <v>3538</v>
      </c>
      <c r="M1033" s="63" t="s">
        <v>3539</v>
      </c>
      <c r="N1033" s="63" t="s">
        <v>1788</v>
      </c>
    </row>
    <row r="1034" spans="1:14" x14ac:dyDescent="0.2">
      <c r="A1034" s="51">
        <v>1033</v>
      </c>
      <c r="B1034" s="54" t="s">
        <v>626</v>
      </c>
      <c r="C1034" s="47" t="s">
        <v>3522</v>
      </c>
      <c r="D1034" s="47" t="s">
        <v>12231</v>
      </c>
      <c r="E1034" s="47" t="s">
        <v>1788</v>
      </c>
      <c r="F1034" s="55" t="b">
        <v>1</v>
      </c>
      <c r="G1034" s="54" t="b">
        <v>1</v>
      </c>
      <c r="H1034" s="54" t="b">
        <v>1</v>
      </c>
      <c r="I1034" s="65" t="b">
        <v>0</v>
      </c>
      <c r="J1034" s="54" t="b">
        <v>1</v>
      </c>
      <c r="K1034" s="63" t="s">
        <v>626</v>
      </c>
      <c r="L1034" s="63" t="s">
        <v>3522</v>
      </c>
      <c r="M1034" s="63" t="s">
        <v>3523</v>
      </c>
      <c r="N1034" s="63" t="s">
        <v>1788</v>
      </c>
    </row>
    <row r="1035" spans="1:14" x14ac:dyDescent="0.2">
      <c r="A1035" s="51">
        <v>1034</v>
      </c>
      <c r="B1035" s="54" t="s">
        <v>626</v>
      </c>
      <c r="C1035" s="47" t="s">
        <v>3542</v>
      </c>
      <c r="D1035" s="47" t="s">
        <v>12242</v>
      </c>
      <c r="E1035" s="47" t="s">
        <v>1788</v>
      </c>
      <c r="F1035" s="55" t="b">
        <v>1</v>
      </c>
      <c r="G1035" s="54" t="b">
        <v>1</v>
      </c>
      <c r="H1035" s="54" t="b">
        <v>1</v>
      </c>
      <c r="I1035" s="65" t="b">
        <v>0</v>
      </c>
      <c r="J1035" s="54" t="b">
        <v>1</v>
      </c>
      <c r="K1035" s="63" t="s">
        <v>626</v>
      </c>
      <c r="L1035" s="63" t="s">
        <v>3542</v>
      </c>
      <c r="M1035" s="63" t="s">
        <v>3543</v>
      </c>
      <c r="N1035" s="63" t="s">
        <v>1788</v>
      </c>
    </row>
    <row r="1036" spans="1:14" x14ac:dyDescent="0.2">
      <c r="A1036" s="51">
        <v>1035</v>
      </c>
      <c r="B1036" s="54" t="s">
        <v>626</v>
      </c>
      <c r="C1036" s="47" t="s">
        <v>3524</v>
      </c>
      <c r="D1036" s="47" t="s">
        <v>12232</v>
      </c>
      <c r="E1036" s="47" t="s">
        <v>1788</v>
      </c>
      <c r="F1036" s="55" t="b">
        <v>1</v>
      </c>
      <c r="G1036" s="54" t="b">
        <v>1</v>
      </c>
      <c r="H1036" s="54" t="b">
        <v>1</v>
      </c>
      <c r="I1036" s="65" t="b">
        <v>0</v>
      </c>
      <c r="J1036" s="54" t="b">
        <v>1</v>
      </c>
      <c r="K1036" s="63" t="s">
        <v>626</v>
      </c>
      <c r="L1036" s="63" t="s">
        <v>3524</v>
      </c>
      <c r="M1036" s="63" t="s">
        <v>3525</v>
      </c>
      <c r="N1036" s="63" t="s">
        <v>1788</v>
      </c>
    </row>
    <row r="1037" spans="1:14" x14ac:dyDescent="0.2">
      <c r="A1037" s="51">
        <v>1036</v>
      </c>
      <c r="B1037" s="54" t="s">
        <v>626</v>
      </c>
      <c r="C1037" s="47" t="s">
        <v>3512</v>
      </c>
      <c r="D1037" s="47" t="s">
        <v>12227</v>
      </c>
      <c r="E1037" s="47" t="s">
        <v>1788</v>
      </c>
      <c r="F1037" s="55" t="b">
        <v>1</v>
      </c>
      <c r="G1037" s="54" t="b">
        <v>1</v>
      </c>
      <c r="H1037" s="54" t="b">
        <v>1</v>
      </c>
      <c r="I1037" s="65" t="b">
        <v>0</v>
      </c>
      <c r="J1037" s="54" t="b">
        <v>1</v>
      </c>
      <c r="K1037" s="63" t="s">
        <v>626</v>
      </c>
      <c r="L1037" s="63" t="s">
        <v>3512</v>
      </c>
      <c r="M1037" s="63" t="s">
        <v>3513</v>
      </c>
      <c r="N1037" s="63" t="s">
        <v>1788</v>
      </c>
    </row>
    <row r="1038" spans="1:14" x14ac:dyDescent="0.2">
      <c r="A1038" s="51">
        <v>1037</v>
      </c>
      <c r="B1038" s="54" t="s">
        <v>626</v>
      </c>
      <c r="C1038" s="47" t="s">
        <v>3536</v>
      </c>
      <c r="D1038" s="47" t="s">
        <v>12238</v>
      </c>
      <c r="E1038" s="47" t="s">
        <v>1788</v>
      </c>
      <c r="F1038" s="55" t="b">
        <v>1</v>
      </c>
      <c r="G1038" s="54" t="b">
        <v>1</v>
      </c>
      <c r="H1038" s="54" t="b">
        <v>1</v>
      </c>
      <c r="I1038" s="65" t="b">
        <v>0</v>
      </c>
      <c r="J1038" s="54" t="b">
        <v>1</v>
      </c>
      <c r="K1038" s="63" t="s">
        <v>626</v>
      </c>
      <c r="L1038" s="63" t="s">
        <v>3536</v>
      </c>
      <c r="M1038" s="63" t="s">
        <v>3537</v>
      </c>
      <c r="N1038" s="63" t="s">
        <v>1788</v>
      </c>
    </row>
    <row r="1039" spans="1:14" x14ac:dyDescent="0.2">
      <c r="A1039" s="51">
        <v>1038</v>
      </c>
      <c r="B1039" s="54" t="s">
        <v>626</v>
      </c>
      <c r="C1039" s="47" t="s">
        <v>3528</v>
      </c>
      <c r="D1039" s="47" t="s">
        <v>12234</v>
      </c>
      <c r="E1039" s="47" t="s">
        <v>1788</v>
      </c>
      <c r="F1039" s="55" t="b">
        <v>1</v>
      </c>
      <c r="G1039" s="54" t="b">
        <v>1</v>
      </c>
      <c r="H1039" s="54" t="b">
        <v>1</v>
      </c>
      <c r="I1039" s="65" t="b">
        <v>0</v>
      </c>
      <c r="J1039" s="54" t="b">
        <v>1</v>
      </c>
      <c r="K1039" s="63" t="s">
        <v>626</v>
      </c>
      <c r="L1039" s="63" t="s">
        <v>3528</v>
      </c>
      <c r="M1039" s="63" t="s">
        <v>3529</v>
      </c>
      <c r="N1039" s="63" t="s">
        <v>1788</v>
      </c>
    </row>
    <row r="1040" spans="1:14" x14ac:dyDescent="0.2">
      <c r="A1040" s="51">
        <v>1039</v>
      </c>
      <c r="B1040" s="54" t="s">
        <v>626</v>
      </c>
      <c r="C1040" s="47" t="s">
        <v>3544</v>
      </c>
      <c r="D1040" s="47" t="s">
        <v>12243</v>
      </c>
      <c r="E1040" s="47" t="s">
        <v>1788</v>
      </c>
      <c r="F1040" s="55" t="b">
        <v>1</v>
      </c>
      <c r="G1040" s="54" t="b">
        <v>1</v>
      </c>
      <c r="H1040" s="54" t="b">
        <v>1</v>
      </c>
      <c r="I1040" s="65" t="b">
        <v>0</v>
      </c>
      <c r="J1040" s="54" t="b">
        <v>1</v>
      </c>
      <c r="K1040" s="63" t="s">
        <v>626</v>
      </c>
      <c r="L1040" s="63" t="s">
        <v>3544</v>
      </c>
      <c r="M1040" s="63" t="s">
        <v>3545</v>
      </c>
      <c r="N1040" s="63" t="s">
        <v>1788</v>
      </c>
    </row>
    <row r="1041" spans="1:14" x14ac:dyDescent="0.2">
      <c r="A1041" s="51">
        <v>1040</v>
      </c>
      <c r="B1041" s="54" t="s">
        <v>626</v>
      </c>
      <c r="C1041" s="47" t="s">
        <v>3534</v>
      </c>
      <c r="D1041" s="47" t="s">
        <v>12237</v>
      </c>
      <c r="E1041" s="47" t="s">
        <v>1788</v>
      </c>
      <c r="F1041" s="55" t="b">
        <v>1</v>
      </c>
      <c r="G1041" s="54" t="b">
        <v>1</v>
      </c>
      <c r="H1041" s="54" t="b">
        <v>1</v>
      </c>
      <c r="I1041" s="65" t="b">
        <v>0</v>
      </c>
      <c r="J1041" s="54" t="b">
        <v>1</v>
      </c>
      <c r="K1041" s="63" t="s">
        <v>626</v>
      </c>
      <c r="L1041" s="63" t="s">
        <v>3534</v>
      </c>
      <c r="M1041" s="63" t="s">
        <v>3535</v>
      </c>
      <c r="N1041" s="63" t="s">
        <v>1788</v>
      </c>
    </row>
    <row r="1042" spans="1:14" x14ac:dyDescent="0.2">
      <c r="A1042" s="51">
        <v>1041</v>
      </c>
      <c r="B1042" s="54" t="s">
        <v>626</v>
      </c>
      <c r="C1042" s="47" t="s">
        <v>3514</v>
      </c>
      <c r="D1042" s="47" t="s">
        <v>12228</v>
      </c>
      <c r="E1042" s="47" t="s">
        <v>1788</v>
      </c>
      <c r="F1042" s="55" t="b">
        <v>1</v>
      </c>
      <c r="G1042" s="54" t="b">
        <v>1</v>
      </c>
      <c r="H1042" s="54" t="b">
        <v>1</v>
      </c>
      <c r="I1042" s="65" t="b">
        <v>0</v>
      </c>
      <c r="J1042" s="54" t="b">
        <v>1</v>
      </c>
      <c r="K1042" s="63" t="s">
        <v>626</v>
      </c>
      <c r="L1042" s="63" t="s">
        <v>3514</v>
      </c>
      <c r="M1042" s="63" t="s">
        <v>3515</v>
      </c>
      <c r="N1042" s="63" t="s">
        <v>1788</v>
      </c>
    </row>
    <row r="1043" spans="1:14" x14ac:dyDescent="0.2">
      <c r="A1043" s="51">
        <v>1042</v>
      </c>
      <c r="B1043" s="54" t="s">
        <v>626</v>
      </c>
      <c r="C1043" s="47" t="s">
        <v>3548</v>
      </c>
      <c r="D1043" s="47" t="s">
        <v>12245</v>
      </c>
      <c r="E1043" s="47" t="s">
        <v>1788</v>
      </c>
      <c r="F1043" s="55" t="b">
        <v>1</v>
      </c>
      <c r="G1043" s="54" t="b">
        <v>1</v>
      </c>
      <c r="H1043" s="54" t="b">
        <v>1</v>
      </c>
      <c r="I1043" s="65" t="b">
        <v>0</v>
      </c>
      <c r="J1043" s="54" t="b">
        <v>1</v>
      </c>
      <c r="K1043" s="63" t="s">
        <v>626</v>
      </c>
      <c r="L1043" s="63" t="s">
        <v>3548</v>
      </c>
      <c r="M1043" s="63" t="s">
        <v>3549</v>
      </c>
      <c r="N1043" s="63" t="s">
        <v>1788</v>
      </c>
    </row>
    <row r="1044" spans="1:14" x14ac:dyDescent="0.2">
      <c r="A1044" s="51">
        <v>1043</v>
      </c>
      <c r="B1044" s="54" t="s">
        <v>626</v>
      </c>
      <c r="C1044" s="47" t="s">
        <v>3532</v>
      </c>
      <c r="D1044" s="47" t="s">
        <v>12236</v>
      </c>
      <c r="E1044" s="47" t="s">
        <v>1788</v>
      </c>
      <c r="F1044" s="55" t="b">
        <v>1</v>
      </c>
      <c r="G1044" s="54" t="b">
        <v>1</v>
      </c>
      <c r="H1044" s="54" t="b">
        <v>1</v>
      </c>
      <c r="I1044" s="65" t="b">
        <v>0</v>
      </c>
      <c r="J1044" s="54" t="b">
        <v>1</v>
      </c>
      <c r="K1044" s="63" t="s">
        <v>626</v>
      </c>
      <c r="L1044" s="63" t="s">
        <v>3532</v>
      </c>
      <c r="M1044" s="63" t="s">
        <v>3533</v>
      </c>
      <c r="N1044" s="63" t="s">
        <v>1788</v>
      </c>
    </row>
    <row r="1045" spans="1:14" x14ac:dyDescent="0.2">
      <c r="A1045" s="51">
        <v>1044</v>
      </c>
      <c r="B1045" s="54" t="s">
        <v>626</v>
      </c>
      <c r="C1045" s="47" t="s">
        <v>3552</v>
      </c>
      <c r="D1045" s="47" t="s">
        <v>12239</v>
      </c>
      <c r="E1045" s="47" t="s">
        <v>1788</v>
      </c>
      <c r="F1045" s="55" t="b">
        <v>1</v>
      </c>
      <c r="G1045" s="54" t="b">
        <v>1</v>
      </c>
      <c r="H1045" s="54" t="b">
        <v>1</v>
      </c>
      <c r="I1045" s="65" t="b">
        <v>0</v>
      </c>
      <c r="J1045" s="54" t="b">
        <v>1</v>
      </c>
      <c r="K1045" s="63" t="s">
        <v>626</v>
      </c>
      <c r="L1045" s="63" t="s">
        <v>3552</v>
      </c>
      <c r="M1045" s="63" t="s">
        <v>3553</v>
      </c>
      <c r="N1045" s="63" t="s">
        <v>1788</v>
      </c>
    </row>
    <row r="1046" spans="1:14" x14ac:dyDescent="0.2">
      <c r="A1046" s="51">
        <v>1045</v>
      </c>
      <c r="B1046" s="54" t="s">
        <v>626</v>
      </c>
      <c r="C1046" s="47" t="s">
        <v>3546</v>
      </c>
      <c r="D1046" s="47" t="s">
        <v>12244</v>
      </c>
      <c r="E1046" s="47" t="s">
        <v>1788</v>
      </c>
      <c r="F1046" s="55" t="b">
        <v>1</v>
      </c>
      <c r="G1046" s="54" t="b">
        <v>1</v>
      </c>
      <c r="H1046" s="54" t="b">
        <v>1</v>
      </c>
      <c r="I1046" s="65" t="b">
        <v>0</v>
      </c>
      <c r="J1046" s="54" t="b">
        <v>1</v>
      </c>
      <c r="K1046" s="63" t="s">
        <v>626</v>
      </c>
      <c r="L1046" s="63" t="s">
        <v>3546</v>
      </c>
      <c r="M1046" s="63" t="s">
        <v>3547</v>
      </c>
      <c r="N1046" s="63" t="s">
        <v>1788</v>
      </c>
    </row>
    <row r="1047" spans="1:14" x14ac:dyDescent="0.2">
      <c r="A1047" s="51">
        <v>1046</v>
      </c>
      <c r="B1047" s="54" t="s">
        <v>626</v>
      </c>
      <c r="C1047" s="47" t="s">
        <v>3540</v>
      </c>
      <c r="D1047" s="47" t="s">
        <v>12241</v>
      </c>
      <c r="E1047" s="47" t="s">
        <v>1788</v>
      </c>
      <c r="F1047" s="55" t="b">
        <v>1</v>
      </c>
      <c r="G1047" s="54" t="b">
        <v>1</v>
      </c>
      <c r="H1047" s="54" t="b">
        <v>1</v>
      </c>
      <c r="I1047" s="65" t="b">
        <v>0</v>
      </c>
      <c r="J1047" s="54" t="b">
        <v>1</v>
      </c>
      <c r="K1047" s="63" t="s">
        <v>626</v>
      </c>
      <c r="L1047" s="63" t="s">
        <v>3540</v>
      </c>
      <c r="M1047" s="63" t="s">
        <v>3541</v>
      </c>
      <c r="N1047" s="63" t="s">
        <v>1788</v>
      </c>
    </row>
    <row r="1048" spans="1:14" x14ac:dyDescent="0.2">
      <c r="A1048" s="51">
        <v>1047</v>
      </c>
      <c r="B1048" s="54" t="s">
        <v>626</v>
      </c>
      <c r="C1048" s="47" t="s">
        <v>3520</v>
      </c>
      <c r="D1048" s="47" t="s">
        <v>12230</v>
      </c>
      <c r="E1048" s="47" t="s">
        <v>1788</v>
      </c>
      <c r="F1048" s="55" t="b">
        <v>1</v>
      </c>
      <c r="G1048" s="54" t="b">
        <v>1</v>
      </c>
      <c r="H1048" s="54" t="b">
        <v>1</v>
      </c>
      <c r="I1048" s="65" t="b">
        <v>0</v>
      </c>
      <c r="J1048" s="54" t="b">
        <v>1</v>
      </c>
      <c r="K1048" s="63" t="s">
        <v>626</v>
      </c>
      <c r="L1048" s="63" t="s">
        <v>3520</v>
      </c>
      <c r="M1048" s="63" t="s">
        <v>3521</v>
      </c>
      <c r="N1048" s="63" t="s">
        <v>1788</v>
      </c>
    </row>
    <row r="1049" spans="1:14" x14ac:dyDescent="0.2">
      <c r="A1049" s="51">
        <v>1048</v>
      </c>
      <c r="B1049" s="54" t="s">
        <v>626</v>
      </c>
      <c r="C1049" s="47" t="s">
        <v>3516</v>
      </c>
      <c r="D1049" s="47" t="s">
        <v>12229</v>
      </c>
      <c r="E1049" s="47" t="s">
        <v>1788</v>
      </c>
      <c r="F1049" s="55" t="b">
        <v>1</v>
      </c>
      <c r="G1049" s="54" t="b">
        <v>1</v>
      </c>
      <c r="H1049" s="54" t="b">
        <v>1</v>
      </c>
      <c r="I1049" s="65" t="b">
        <v>0</v>
      </c>
      <c r="J1049" s="54" t="b">
        <v>1</v>
      </c>
      <c r="K1049" s="63" t="s">
        <v>626</v>
      </c>
      <c r="L1049" s="63" t="s">
        <v>3516</v>
      </c>
      <c r="M1049" s="63" t="s">
        <v>3517</v>
      </c>
      <c r="N1049" s="63" t="s">
        <v>1788</v>
      </c>
    </row>
    <row r="1050" spans="1:14" x14ac:dyDescent="0.2">
      <c r="A1050" s="51">
        <v>1049</v>
      </c>
      <c r="B1050" s="54" t="s">
        <v>626</v>
      </c>
      <c r="C1050" s="47" t="s">
        <v>3530</v>
      </c>
      <c r="D1050" s="47" t="s">
        <v>12235</v>
      </c>
      <c r="E1050" s="47" t="s">
        <v>1788</v>
      </c>
      <c r="F1050" s="55" t="b">
        <v>1</v>
      </c>
      <c r="G1050" s="54" t="b">
        <v>1</v>
      </c>
      <c r="H1050" s="54" t="b">
        <v>1</v>
      </c>
      <c r="I1050" s="65" t="b">
        <v>0</v>
      </c>
      <c r="J1050" s="54" t="b">
        <v>1</v>
      </c>
      <c r="K1050" s="63" t="s">
        <v>626</v>
      </c>
      <c r="L1050" s="63" t="s">
        <v>3530</v>
      </c>
      <c r="M1050" s="63" t="s">
        <v>3531</v>
      </c>
      <c r="N1050" s="63" t="s">
        <v>1788</v>
      </c>
    </row>
    <row r="1051" spans="1:14" x14ac:dyDescent="0.2">
      <c r="A1051" s="51">
        <v>1050</v>
      </c>
      <c r="B1051" s="54" t="s">
        <v>626</v>
      </c>
      <c r="C1051" s="47" t="s">
        <v>3518</v>
      </c>
      <c r="D1051" s="47" t="s">
        <v>12246</v>
      </c>
      <c r="E1051" s="47" t="s">
        <v>2046</v>
      </c>
      <c r="F1051" s="55" t="b">
        <v>1</v>
      </c>
      <c r="G1051" s="54" t="b">
        <v>1</v>
      </c>
      <c r="H1051" s="54" t="b">
        <v>1</v>
      </c>
      <c r="I1051" s="65" t="b">
        <v>0</v>
      </c>
      <c r="J1051" s="54" t="b">
        <v>1</v>
      </c>
      <c r="K1051" s="63" t="s">
        <v>626</v>
      </c>
      <c r="L1051" s="63" t="s">
        <v>3518</v>
      </c>
      <c r="M1051" s="63" t="s">
        <v>3519</v>
      </c>
      <c r="N1051" s="63" t="s">
        <v>2046</v>
      </c>
    </row>
    <row r="1052" spans="1:14" x14ac:dyDescent="0.2">
      <c r="A1052" s="51">
        <v>1051</v>
      </c>
      <c r="B1052" s="54" t="s">
        <v>628</v>
      </c>
      <c r="C1052" s="47" t="s">
        <v>3576</v>
      </c>
      <c r="D1052" s="47" t="s">
        <v>3577</v>
      </c>
      <c r="E1052" s="47" t="s">
        <v>1719</v>
      </c>
      <c r="F1052" s="55" t="b">
        <v>1</v>
      </c>
      <c r="G1052" s="54" t="b">
        <v>1</v>
      </c>
      <c r="H1052" s="54" t="b">
        <v>1</v>
      </c>
      <c r="I1052" s="54" t="b">
        <v>1</v>
      </c>
      <c r="J1052" s="54" t="b">
        <v>1</v>
      </c>
      <c r="K1052" s="63" t="s">
        <v>628</v>
      </c>
      <c r="L1052" s="63" t="s">
        <v>3576</v>
      </c>
      <c r="M1052" s="63" t="s">
        <v>3577</v>
      </c>
      <c r="N1052" s="63" t="s">
        <v>1719</v>
      </c>
    </row>
    <row r="1053" spans="1:14" x14ac:dyDescent="0.2">
      <c r="A1053" s="51">
        <v>1052</v>
      </c>
      <c r="G1053" s="65" t="b">
        <v>0</v>
      </c>
      <c r="H1053" s="65" t="b">
        <v>0</v>
      </c>
      <c r="I1053" s="65" t="b">
        <v>0</v>
      </c>
      <c r="J1053" s="65" t="b">
        <v>0</v>
      </c>
      <c r="K1053" s="63" t="s">
        <v>628</v>
      </c>
      <c r="L1053" s="63" t="s">
        <v>3570</v>
      </c>
      <c r="M1053" s="63" t="s">
        <v>3571</v>
      </c>
      <c r="N1053" s="63" t="s">
        <v>1719</v>
      </c>
    </row>
    <row r="1054" spans="1:14" x14ac:dyDescent="0.2">
      <c r="A1054" s="51">
        <v>1053</v>
      </c>
      <c r="B1054" s="54" t="s">
        <v>628</v>
      </c>
      <c r="C1054" s="47" t="s">
        <v>3560</v>
      </c>
      <c r="D1054" s="47" t="s">
        <v>3571</v>
      </c>
      <c r="E1054" s="47" t="s">
        <v>1719</v>
      </c>
      <c r="F1054" s="55" t="b">
        <v>1</v>
      </c>
      <c r="G1054" s="54" t="b">
        <v>1</v>
      </c>
      <c r="H1054" s="54" t="b">
        <v>1</v>
      </c>
      <c r="I1054" s="65" t="b">
        <v>0</v>
      </c>
      <c r="J1054" s="54" t="b">
        <v>1</v>
      </c>
      <c r="K1054" s="63" t="s">
        <v>628</v>
      </c>
      <c r="L1054" s="63" t="s">
        <v>3560</v>
      </c>
      <c r="M1054" s="63" t="s">
        <v>3561</v>
      </c>
      <c r="N1054" s="63" t="s">
        <v>1719</v>
      </c>
    </row>
    <row r="1055" spans="1:14" x14ac:dyDescent="0.2">
      <c r="A1055" s="51">
        <v>1054</v>
      </c>
      <c r="B1055" s="54" t="s">
        <v>628</v>
      </c>
      <c r="C1055" s="47" t="s">
        <v>3574</v>
      </c>
      <c r="D1055" s="47" t="s">
        <v>3575</v>
      </c>
      <c r="E1055" s="47" t="s">
        <v>1719</v>
      </c>
      <c r="F1055" s="55" t="b">
        <v>1</v>
      </c>
      <c r="G1055" s="54" t="b">
        <v>1</v>
      </c>
      <c r="H1055" s="54" t="b">
        <v>1</v>
      </c>
      <c r="I1055" s="54" t="b">
        <v>1</v>
      </c>
      <c r="J1055" s="54" t="b">
        <v>1</v>
      </c>
      <c r="K1055" s="63" t="s">
        <v>628</v>
      </c>
      <c r="L1055" s="63" t="s">
        <v>3574</v>
      </c>
      <c r="M1055" s="63" t="s">
        <v>3575</v>
      </c>
      <c r="N1055" s="63" t="s">
        <v>1719</v>
      </c>
    </row>
    <row r="1056" spans="1:14" x14ac:dyDescent="0.2">
      <c r="A1056" s="51">
        <v>1055</v>
      </c>
      <c r="B1056" s="54" t="s">
        <v>628</v>
      </c>
      <c r="C1056" s="47" t="s">
        <v>3582</v>
      </c>
      <c r="D1056" s="47" t="s">
        <v>3583</v>
      </c>
      <c r="E1056" s="47" t="s">
        <v>1719</v>
      </c>
      <c r="F1056" s="55" t="b">
        <v>1</v>
      </c>
      <c r="G1056" s="54" t="b">
        <v>1</v>
      </c>
      <c r="H1056" s="54" t="b">
        <v>1</v>
      </c>
      <c r="I1056" s="54" t="b">
        <v>1</v>
      </c>
      <c r="J1056" s="54" t="b">
        <v>1</v>
      </c>
      <c r="K1056" s="63" t="s">
        <v>628</v>
      </c>
      <c r="L1056" s="63" t="s">
        <v>3582</v>
      </c>
      <c r="M1056" s="63" t="s">
        <v>3583</v>
      </c>
      <c r="N1056" s="63" t="s">
        <v>1719</v>
      </c>
    </row>
    <row r="1057" spans="1:14" x14ac:dyDescent="0.2">
      <c r="A1057" s="51">
        <v>1056</v>
      </c>
      <c r="B1057" s="54" t="s">
        <v>628</v>
      </c>
      <c r="C1057" s="47" t="s">
        <v>3558</v>
      </c>
      <c r="D1057" s="47" t="s">
        <v>3559</v>
      </c>
      <c r="E1057" s="47" t="s">
        <v>1719</v>
      </c>
      <c r="F1057" s="55" t="b">
        <v>1</v>
      </c>
      <c r="G1057" s="54" t="b">
        <v>1</v>
      </c>
      <c r="H1057" s="54" t="b">
        <v>1</v>
      </c>
      <c r="I1057" s="54" t="b">
        <v>1</v>
      </c>
      <c r="J1057" s="54" t="b">
        <v>1</v>
      </c>
      <c r="K1057" s="63" t="s">
        <v>628</v>
      </c>
      <c r="L1057" s="63" t="s">
        <v>3558</v>
      </c>
      <c r="M1057" s="63" t="s">
        <v>3559</v>
      </c>
      <c r="N1057" s="63" t="s">
        <v>1719</v>
      </c>
    </row>
    <row r="1058" spans="1:14" x14ac:dyDescent="0.2">
      <c r="A1058" s="51">
        <v>1057</v>
      </c>
      <c r="B1058" s="54" t="s">
        <v>628</v>
      </c>
      <c r="C1058" s="47" t="s">
        <v>3578</v>
      </c>
      <c r="D1058" s="47" t="s">
        <v>3579</v>
      </c>
      <c r="E1058" s="47" t="s">
        <v>1719</v>
      </c>
      <c r="F1058" s="55" t="b">
        <v>1</v>
      </c>
      <c r="G1058" s="54" t="b">
        <v>1</v>
      </c>
      <c r="H1058" s="54" t="b">
        <v>1</v>
      </c>
      <c r="I1058" s="54" t="b">
        <v>1</v>
      </c>
      <c r="J1058" s="54" t="b">
        <v>1</v>
      </c>
      <c r="K1058" s="63" t="s">
        <v>628</v>
      </c>
      <c r="L1058" s="63" t="s">
        <v>3578</v>
      </c>
      <c r="M1058" s="63" t="s">
        <v>3579</v>
      </c>
      <c r="N1058" s="63" t="s">
        <v>1719</v>
      </c>
    </row>
    <row r="1059" spans="1:14" x14ac:dyDescent="0.2">
      <c r="A1059" s="51">
        <v>1058</v>
      </c>
      <c r="B1059" s="54" t="s">
        <v>628</v>
      </c>
      <c r="C1059" s="47" t="s">
        <v>3556</v>
      </c>
      <c r="D1059" s="47" t="s">
        <v>3557</v>
      </c>
      <c r="E1059" s="47" t="s">
        <v>1719</v>
      </c>
      <c r="F1059" s="55" t="b">
        <v>1</v>
      </c>
      <c r="G1059" s="54" t="b">
        <v>1</v>
      </c>
      <c r="H1059" s="54" t="b">
        <v>1</v>
      </c>
      <c r="I1059" s="54" t="b">
        <v>1</v>
      </c>
      <c r="J1059" s="54" t="b">
        <v>1</v>
      </c>
      <c r="K1059" s="63" t="s">
        <v>628</v>
      </c>
      <c r="L1059" s="63" t="s">
        <v>3556</v>
      </c>
      <c r="M1059" s="63" t="s">
        <v>3557</v>
      </c>
      <c r="N1059" s="63" t="s">
        <v>1719</v>
      </c>
    </row>
    <row r="1060" spans="1:14" x14ac:dyDescent="0.2">
      <c r="A1060" s="51">
        <v>1059</v>
      </c>
      <c r="B1060" s="54" t="s">
        <v>628</v>
      </c>
      <c r="C1060" s="47" t="s">
        <v>3554</v>
      </c>
      <c r="D1060" s="47" t="s">
        <v>3555</v>
      </c>
      <c r="E1060" s="47" t="s">
        <v>1719</v>
      </c>
      <c r="F1060" s="55" t="b">
        <v>1</v>
      </c>
      <c r="G1060" s="54" t="b">
        <v>1</v>
      </c>
      <c r="H1060" s="54" t="b">
        <v>1</v>
      </c>
      <c r="I1060" s="54" t="b">
        <v>1</v>
      </c>
      <c r="J1060" s="54" t="b">
        <v>1</v>
      </c>
      <c r="K1060" s="63" t="s">
        <v>628</v>
      </c>
      <c r="L1060" s="63" t="s">
        <v>3554</v>
      </c>
      <c r="M1060" s="63" t="s">
        <v>3555</v>
      </c>
      <c r="N1060" s="63" t="s">
        <v>1719</v>
      </c>
    </row>
    <row r="1061" spans="1:14" x14ac:dyDescent="0.2">
      <c r="A1061" s="51">
        <v>1060</v>
      </c>
      <c r="B1061" s="54" t="s">
        <v>628</v>
      </c>
      <c r="C1061" s="47" t="s">
        <v>3572</v>
      </c>
      <c r="D1061" s="47" t="s">
        <v>3573</v>
      </c>
      <c r="E1061" s="47" t="s">
        <v>1719</v>
      </c>
      <c r="F1061" s="55" t="b">
        <v>1</v>
      </c>
      <c r="G1061" s="54" t="b">
        <v>1</v>
      </c>
      <c r="H1061" s="54" t="b">
        <v>1</v>
      </c>
      <c r="I1061" s="54" t="b">
        <v>1</v>
      </c>
      <c r="J1061" s="54" t="b">
        <v>1</v>
      </c>
      <c r="K1061" s="63" t="s">
        <v>628</v>
      </c>
      <c r="L1061" s="63" t="s">
        <v>3572</v>
      </c>
      <c r="M1061" s="63" t="s">
        <v>3573</v>
      </c>
      <c r="N1061" s="63" t="s">
        <v>1719</v>
      </c>
    </row>
    <row r="1062" spans="1:14" x14ac:dyDescent="0.2">
      <c r="A1062" s="51">
        <v>1061</v>
      </c>
      <c r="B1062" s="54" t="s">
        <v>628</v>
      </c>
      <c r="C1062" s="47" t="s">
        <v>3566</v>
      </c>
      <c r="D1062" s="47" t="s">
        <v>3567</v>
      </c>
      <c r="E1062" s="47" t="s">
        <v>1719</v>
      </c>
      <c r="F1062" s="55" t="b">
        <v>1</v>
      </c>
      <c r="G1062" s="54" t="b">
        <v>1</v>
      </c>
      <c r="H1062" s="54" t="b">
        <v>1</v>
      </c>
      <c r="I1062" s="54" t="b">
        <v>1</v>
      </c>
      <c r="J1062" s="54" t="b">
        <v>1</v>
      </c>
      <c r="K1062" s="63" t="s">
        <v>628</v>
      </c>
      <c r="L1062" s="63" t="s">
        <v>3566</v>
      </c>
      <c r="M1062" s="63" t="s">
        <v>3567</v>
      </c>
      <c r="N1062" s="63" t="s">
        <v>1719</v>
      </c>
    </row>
    <row r="1063" spans="1:14" x14ac:dyDescent="0.2">
      <c r="A1063" s="51">
        <v>1062</v>
      </c>
      <c r="B1063" s="54" t="s">
        <v>628</v>
      </c>
      <c r="C1063" s="47" t="s">
        <v>3562</v>
      </c>
      <c r="D1063" s="47" t="s">
        <v>3563</v>
      </c>
      <c r="E1063" s="47" t="s">
        <v>1719</v>
      </c>
      <c r="F1063" s="55" t="b">
        <v>1</v>
      </c>
      <c r="G1063" s="54" t="b">
        <v>1</v>
      </c>
      <c r="H1063" s="54" t="b">
        <v>1</v>
      </c>
      <c r="I1063" s="54" t="b">
        <v>1</v>
      </c>
      <c r="J1063" s="54" t="b">
        <v>1</v>
      </c>
      <c r="K1063" s="63" t="s">
        <v>628</v>
      </c>
      <c r="L1063" s="63" t="s">
        <v>3562</v>
      </c>
      <c r="M1063" s="63" t="s">
        <v>3563</v>
      </c>
      <c r="N1063" s="63" t="s">
        <v>1719</v>
      </c>
    </row>
    <row r="1064" spans="1:14" x14ac:dyDescent="0.2">
      <c r="A1064" s="51">
        <v>1063</v>
      </c>
      <c r="B1064" s="54" t="s">
        <v>628</v>
      </c>
      <c r="C1064" s="47" t="s">
        <v>3580</v>
      </c>
      <c r="D1064" s="47" t="s">
        <v>3581</v>
      </c>
      <c r="E1064" s="47" t="s">
        <v>1719</v>
      </c>
      <c r="F1064" s="55" t="b">
        <v>1</v>
      </c>
      <c r="G1064" s="54" t="b">
        <v>1</v>
      </c>
      <c r="H1064" s="54" t="b">
        <v>1</v>
      </c>
      <c r="I1064" s="54" t="b">
        <v>1</v>
      </c>
      <c r="J1064" s="54" t="b">
        <v>1</v>
      </c>
      <c r="K1064" s="63" t="s">
        <v>628</v>
      </c>
      <c r="L1064" s="63" t="s">
        <v>3580</v>
      </c>
      <c r="M1064" s="63" t="s">
        <v>3581</v>
      </c>
      <c r="N1064" s="63" t="s">
        <v>1719</v>
      </c>
    </row>
    <row r="1065" spans="1:14" x14ac:dyDescent="0.2">
      <c r="A1065" s="51">
        <v>1064</v>
      </c>
      <c r="B1065" s="54" t="s">
        <v>628</v>
      </c>
      <c r="C1065" s="47" t="s">
        <v>3564</v>
      </c>
      <c r="D1065" s="47" t="s">
        <v>3565</v>
      </c>
      <c r="E1065" s="47" t="s">
        <v>1719</v>
      </c>
      <c r="F1065" s="55" t="b">
        <v>1</v>
      </c>
      <c r="G1065" s="54" t="b">
        <v>1</v>
      </c>
      <c r="H1065" s="54" t="b">
        <v>1</v>
      </c>
      <c r="I1065" s="54" t="b">
        <v>1</v>
      </c>
      <c r="J1065" s="54" t="b">
        <v>1</v>
      </c>
      <c r="K1065" s="63" t="s">
        <v>628</v>
      </c>
      <c r="L1065" s="63" t="s">
        <v>3564</v>
      </c>
      <c r="M1065" s="63" t="s">
        <v>3565</v>
      </c>
      <c r="N1065" s="63" t="s">
        <v>1719</v>
      </c>
    </row>
    <row r="1066" spans="1:14" x14ac:dyDescent="0.2">
      <c r="A1066" s="51">
        <v>1065</v>
      </c>
      <c r="B1066" s="54" t="s">
        <v>628</v>
      </c>
      <c r="C1066" s="47" t="s">
        <v>12248</v>
      </c>
      <c r="D1066" s="47" t="s">
        <v>12249</v>
      </c>
      <c r="E1066" s="47" t="s">
        <v>1719</v>
      </c>
      <c r="F1066" s="55" t="b">
        <v>1</v>
      </c>
      <c r="G1066" s="65" t="b">
        <v>0</v>
      </c>
      <c r="H1066" s="65" t="b">
        <v>0</v>
      </c>
      <c r="I1066" s="65" t="b">
        <v>0</v>
      </c>
      <c r="J1066" s="65" t="b">
        <v>0</v>
      </c>
    </row>
    <row r="1067" spans="1:14" x14ac:dyDescent="0.2">
      <c r="A1067" s="51">
        <v>1066</v>
      </c>
      <c r="B1067" s="54" t="s">
        <v>628</v>
      </c>
      <c r="C1067" s="47" t="s">
        <v>12250</v>
      </c>
      <c r="D1067" s="47" t="s">
        <v>12251</v>
      </c>
      <c r="E1067" s="47" t="s">
        <v>1719</v>
      </c>
      <c r="F1067" s="55" t="b">
        <v>1</v>
      </c>
      <c r="G1067" s="65" t="b">
        <v>0</v>
      </c>
      <c r="H1067" s="65" t="b">
        <v>0</v>
      </c>
      <c r="I1067" s="65" t="b">
        <v>0</v>
      </c>
      <c r="J1067" s="65" t="b">
        <v>0</v>
      </c>
    </row>
    <row r="1068" spans="1:14" x14ac:dyDescent="0.2">
      <c r="A1068" s="51">
        <v>1067</v>
      </c>
      <c r="B1068" s="54" t="s">
        <v>628</v>
      </c>
      <c r="C1068" s="47" t="s">
        <v>3568</v>
      </c>
      <c r="D1068" s="47" t="s">
        <v>3569</v>
      </c>
      <c r="E1068" s="47" t="s">
        <v>2673</v>
      </c>
      <c r="F1068" s="55" t="b">
        <v>1</v>
      </c>
      <c r="G1068" s="54" t="b">
        <v>1</v>
      </c>
      <c r="H1068" s="54" t="b">
        <v>1</v>
      </c>
      <c r="I1068" s="54" t="b">
        <v>1</v>
      </c>
      <c r="J1068" s="54" t="b">
        <v>1</v>
      </c>
      <c r="K1068" s="63" t="s">
        <v>628</v>
      </c>
      <c r="L1068" s="63" t="s">
        <v>3568</v>
      </c>
      <c r="M1068" s="63" t="s">
        <v>3569</v>
      </c>
      <c r="N1068" s="63" t="s">
        <v>2673</v>
      </c>
    </row>
    <row r="1069" spans="1:14" x14ac:dyDescent="0.2">
      <c r="A1069" s="51">
        <v>1068</v>
      </c>
      <c r="B1069" s="54" t="s">
        <v>632</v>
      </c>
      <c r="C1069" s="47" t="s">
        <v>3594</v>
      </c>
      <c r="D1069" s="47" t="s">
        <v>12255</v>
      </c>
      <c r="E1069" s="47" t="s">
        <v>1790</v>
      </c>
      <c r="F1069" s="55" t="b">
        <v>1</v>
      </c>
      <c r="G1069" s="54" t="b">
        <v>1</v>
      </c>
      <c r="H1069" s="54" t="b">
        <v>1</v>
      </c>
      <c r="I1069" s="65" t="b">
        <v>0</v>
      </c>
      <c r="J1069" s="54" t="b">
        <v>1</v>
      </c>
      <c r="K1069" s="63" t="s">
        <v>632</v>
      </c>
      <c r="L1069" s="63" t="s">
        <v>3594</v>
      </c>
      <c r="M1069" s="63" t="s">
        <v>3595</v>
      </c>
      <c r="N1069" s="63" t="s">
        <v>1790</v>
      </c>
    </row>
    <row r="1070" spans="1:14" x14ac:dyDescent="0.2">
      <c r="A1070" s="51">
        <v>1069</v>
      </c>
      <c r="G1070" s="65" t="b">
        <v>0</v>
      </c>
      <c r="H1070" s="65" t="b">
        <v>0</v>
      </c>
      <c r="I1070" s="65" t="b">
        <v>0</v>
      </c>
      <c r="J1070" s="65" t="b">
        <v>0</v>
      </c>
      <c r="K1070" s="63" t="s">
        <v>632</v>
      </c>
      <c r="L1070" s="63" t="s">
        <v>3594</v>
      </c>
      <c r="M1070" s="63" t="s">
        <v>3596</v>
      </c>
      <c r="N1070" s="63" t="s">
        <v>1790</v>
      </c>
    </row>
    <row r="1071" spans="1:14" x14ac:dyDescent="0.2">
      <c r="A1071" s="51">
        <v>1070</v>
      </c>
      <c r="B1071" s="54" t="s">
        <v>632</v>
      </c>
      <c r="C1071" s="47" t="s">
        <v>3597</v>
      </c>
      <c r="D1071" s="47" t="s">
        <v>12256</v>
      </c>
      <c r="E1071" s="47" t="s">
        <v>1790</v>
      </c>
      <c r="F1071" s="55" t="b">
        <v>1</v>
      </c>
      <c r="G1071" s="54" t="b">
        <v>1</v>
      </c>
      <c r="H1071" s="54" t="b">
        <v>1</v>
      </c>
      <c r="I1071" s="65" t="b">
        <v>0</v>
      </c>
      <c r="J1071" s="54" t="b">
        <v>1</v>
      </c>
      <c r="K1071" s="63" t="s">
        <v>632</v>
      </c>
      <c r="L1071" s="63" t="s">
        <v>3597</v>
      </c>
      <c r="M1071" s="63" t="s">
        <v>3598</v>
      </c>
      <c r="N1071" s="63" t="s">
        <v>1790</v>
      </c>
    </row>
    <row r="1072" spans="1:14" x14ac:dyDescent="0.2">
      <c r="A1072" s="51">
        <v>1071</v>
      </c>
      <c r="G1072" s="65" t="b">
        <v>0</v>
      </c>
      <c r="H1072" s="65" t="b">
        <v>0</v>
      </c>
      <c r="I1072" s="65" t="b">
        <v>0</v>
      </c>
      <c r="J1072" s="65" t="b">
        <v>0</v>
      </c>
      <c r="K1072" s="63" t="s">
        <v>632</v>
      </c>
      <c r="L1072" s="63" t="s">
        <v>3597</v>
      </c>
      <c r="M1072" s="63" t="s">
        <v>3599</v>
      </c>
      <c r="N1072" s="63" t="s">
        <v>1790</v>
      </c>
    </row>
    <row r="1073" spans="1:14" x14ac:dyDescent="0.2">
      <c r="A1073" s="51">
        <v>1072</v>
      </c>
      <c r="B1073" s="54" t="s">
        <v>632</v>
      </c>
      <c r="C1073" s="47" t="s">
        <v>3592</v>
      </c>
      <c r="D1073" s="47" t="s">
        <v>12254</v>
      </c>
      <c r="E1073" s="47" t="s">
        <v>1790</v>
      </c>
      <c r="F1073" s="55" t="b">
        <v>1</v>
      </c>
      <c r="G1073" s="54" t="b">
        <v>1</v>
      </c>
      <c r="H1073" s="54" t="b">
        <v>1</v>
      </c>
      <c r="I1073" s="65" t="b">
        <v>0</v>
      </c>
      <c r="J1073" s="54" t="b">
        <v>1</v>
      </c>
      <c r="K1073" s="63" t="s">
        <v>632</v>
      </c>
      <c r="L1073" s="63" t="s">
        <v>3592</v>
      </c>
      <c r="M1073" s="63" t="s">
        <v>3593</v>
      </c>
      <c r="N1073" s="63" t="s">
        <v>1790</v>
      </c>
    </row>
    <row r="1074" spans="1:14" x14ac:dyDescent="0.2">
      <c r="A1074" s="51">
        <v>1073</v>
      </c>
      <c r="B1074" s="54" t="s">
        <v>632</v>
      </c>
      <c r="C1074" s="47" t="s">
        <v>3584</v>
      </c>
      <c r="D1074" s="47" t="s">
        <v>12252</v>
      </c>
      <c r="E1074" s="47" t="s">
        <v>1790</v>
      </c>
      <c r="F1074" s="55" t="b">
        <v>1</v>
      </c>
      <c r="G1074" s="54" t="b">
        <v>1</v>
      </c>
      <c r="H1074" s="54" t="b">
        <v>1</v>
      </c>
      <c r="I1074" s="65" t="b">
        <v>0</v>
      </c>
      <c r="J1074" s="54" t="b">
        <v>1</v>
      </c>
      <c r="K1074" s="63" t="s">
        <v>632</v>
      </c>
      <c r="L1074" s="63" t="s">
        <v>3584</v>
      </c>
      <c r="M1074" s="63" t="s">
        <v>3585</v>
      </c>
      <c r="N1074" s="63" t="s">
        <v>1790</v>
      </c>
    </row>
    <row r="1075" spans="1:14" x14ac:dyDescent="0.2">
      <c r="A1075" s="51">
        <v>1074</v>
      </c>
      <c r="G1075" s="65" t="b">
        <v>0</v>
      </c>
      <c r="H1075" s="65" t="b">
        <v>0</v>
      </c>
      <c r="I1075" s="65" t="b">
        <v>0</v>
      </c>
      <c r="J1075" s="65" t="b">
        <v>0</v>
      </c>
      <c r="K1075" s="63" t="s">
        <v>632</v>
      </c>
      <c r="L1075" s="63" t="s">
        <v>3584</v>
      </c>
      <c r="M1075" s="63" t="s">
        <v>3588</v>
      </c>
      <c r="N1075" s="63" t="s">
        <v>1790</v>
      </c>
    </row>
    <row r="1076" spans="1:14" x14ac:dyDescent="0.2">
      <c r="A1076" s="51">
        <v>1075</v>
      </c>
      <c r="G1076" s="65" t="b">
        <v>0</v>
      </c>
      <c r="H1076" s="65" t="b">
        <v>0</v>
      </c>
      <c r="I1076" s="65" t="b">
        <v>0</v>
      </c>
      <c r="J1076" s="65" t="b">
        <v>0</v>
      </c>
      <c r="K1076" s="63" t="s">
        <v>632</v>
      </c>
      <c r="L1076" s="63" t="s">
        <v>3586</v>
      </c>
      <c r="M1076" s="63" t="s">
        <v>3587</v>
      </c>
      <c r="N1076" s="63" t="s">
        <v>1790</v>
      </c>
    </row>
    <row r="1077" spans="1:14" x14ac:dyDescent="0.2">
      <c r="A1077" s="51">
        <v>1076</v>
      </c>
      <c r="B1077" s="54" t="s">
        <v>632</v>
      </c>
      <c r="C1077" s="47" t="s">
        <v>3586</v>
      </c>
      <c r="D1077" s="47" t="s">
        <v>12257</v>
      </c>
      <c r="E1077" s="47" t="s">
        <v>1790</v>
      </c>
      <c r="F1077" s="55" t="b">
        <v>1</v>
      </c>
      <c r="G1077" s="54" t="b">
        <v>1</v>
      </c>
      <c r="H1077" s="54" t="b">
        <v>1</v>
      </c>
      <c r="I1077" s="65" t="b">
        <v>0</v>
      </c>
      <c r="J1077" s="54" t="b">
        <v>1</v>
      </c>
      <c r="K1077" s="63" t="s">
        <v>632</v>
      </c>
      <c r="L1077" s="63" t="s">
        <v>3586</v>
      </c>
      <c r="M1077" s="63" t="s">
        <v>3600</v>
      </c>
      <c r="N1077" s="63" t="s">
        <v>1790</v>
      </c>
    </row>
    <row r="1078" spans="1:14" x14ac:dyDescent="0.2">
      <c r="A1078" s="51">
        <v>1077</v>
      </c>
      <c r="G1078" s="65" t="b">
        <v>0</v>
      </c>
      <c r="H1078" s="65" t="b">
        <v>0</v>
      </c>
      <c r="I1078" s="65" t="b">
        <v>0</v>
      </c>
      <c r="J1078" s="65" t="b">
        <v>0</v>
      </c>
      <c r="K1078" s="63" t="s">
        <v>632</v>
      </c>
      <c r="L1078" s="63" t="s">
        <v>3589</v>
      </c>
      <c r="M1078" s="63" t="s">
        <v>3590</v>
      </c>
      <c r="N1078" s="63" t="s">
        <v>1790</v>
      </c>
    </row>
    <row r="1079" spans="1:14" x14ac:dyDescent="0.2">
      <c r="A1079" s="51">
        <v>1078</v>
      </c>
      <c r="B1079" s="54" t="s">
        <v>632</v>
      </c>
      <c r="C1079" s="47" t="s">
        <v>3589</v>
      </c>
      <c r="D1079" s="47" t="s">
        <v>12253</v>
      </c>
      <c r="E1079" s="47" t="s">
        <v>1790</v>
      </c>
      <c r="F1079" s="55" t="b">
        <v>1</v>
      </c>
      <c r="G1079" s="54" t="b">
        <v>1</v>
      </c>
      <c r="H1079" s="54" t="b">
        <v>1</v>
      </c>
      <c r="I1079" s="65" t="b">
        <v>0</v>
      </c>
      <c r="J1079" s="54" t="b">
        <v>1</v>
      </c>
      <c r="K1079" s="63" t="s">
        <v>632</v>
      </c>
      <c r="L1079" s="63" t="s">
        <v>3589</v>
      </c>
      <c r="M1079" s="63" t="s">
        <v>3591</v>
      </c>
      <c r="N1079" s="63" t="s">
        <v>1790</v>
      </c>
    </row>
    <row r="1080" spans="1:14" x14ac:dyDescent="0.2">
      <c r="A1080" s="51">
        <v>1079</v>
      </c>
      <c r="B1080" s="54" t="s">
        <v>634</v>
      </c>
      <c r="C1080" s="47" t="s">
        <v>3711</v>
      </c>
      <c r="D1080" s="47" t="s">
        <v>12282</v>
      </c>
      <c r="E1080" s="48" t="s">
        <v>1790</v>
      </c>
      <c r="F1080" s="66" t="b">
        <v>0</v>
      </c>
      <c r="G1080" s="54" t="b">
        <v>1</v>
      </c>
      <c r="H1080" s="54" t="b">
        <v>1</v>
      </c>
      <c r="I1080" s="65" t="b">
        <v>0</v>
      </c>
      <c r="J1080" s="54" t="b">
        <v>1</v>
      </c>
      <c r="K1080" s="63" t="s">
        <v>634</v>
      </c>
      <c r="L1080" s="63" t="s">
        <v>3711</v>
      </c>
      <c r="M1080" s="63" t="s">
        <v>3712</v>
      </c>
      <c r="N1080" s="63" t="s">
        <v>1790</v>
      </c>
    </row>
    <row r="1081" spans="1:14" x14ac:dyDescent="0.2">
      <c r="A1081" s="51">
        <v>1080</v>
      </c>
      <c r="B1081" s="54" t="s">
        <v>634</v>
      </c>
      <c r="C1081" s="47" t="s">
        <v>3725</v>
      </c>
      <c r="D1081" s="47" t="s">
        <v>12280</v>
      </c>
      <c r="E1081" s="48" t="s">
        <v>1790</v>
      </c>
      <c r="F1081" s="66" t="b">
        <v>0</v>
      </c>
      <c r="G1081" s="54" t="b">
        <v>1</v>
      </c>
      <c r="H1081" s="54" t="b">
        <v>1</v>
      </c>
      <c r="I1081" s="65" t="b">
        <v>0</v>
      </c>
      <c r="J1081" s="54" t="b">
        <v>1</v>
      </c>
      <c r="K1081" s="63" t="s">
        <v>634</v>
      </c>
      <c r="L1081" s="63" t="s">
        <v>3725</v>
      </c>
      <c r="M1081" s="63" t="s">
        <v>3726</v>
      </c>
      <c r="N1081" s="63" t="s">
        <v>1790</v>
      </c>
    </row>
    <row r="1082" spans="1:14" x14ac:dyDescent="0.2">
      <c r="A1082" s="51">
        <v>1081</v>
      </c>
      <c r="B1082" s="54" t="s">
        <v>634</v>
      </c>
      <c r="C1082" s="47" t="s">
        <v>3727</v>
      </c>
      <c r="D1082" s="47" t="s">
        <v>12289</v>
      </c>
      <c r="E1082" s="48" t="s">
        <v>1790</v>
      </c>
      <c r="F1082" s="66" t="b">
        <v>0</v>
      </c>
      <c r="G1082" s="54" t="b">
        <v>1</v>
      </c>
      <c r="H1082" s="54" t="b">
        <v>1</v>
      </c>
      <c r="I1082" s="65" t="b">
        <v>0</v>
      </c>
      <c r="J1082" s="54" t="b">
        <v>1</v>
      </c>
      <c r="K1082" s="63" t="s">
        <v>634</v>
      </c>
      <c r="L1082" s="63" t="s">
        <v>3727</v>
      </c>
      <c r="M1082" s="63" t="s">
        <v>3728</v>
      </c>
      <c r="N1082" s="63" t="s">
        <v>1790</v>
      </c>
    </row>
    <row r="1083" spans="1:14" x14ac:dyDescent="0.2">
      <c r="A1083" s="51">
        <v>1082</v>
      </c>
      <c r="B1083" s="54" t="s">
        <v>634</v>
      </c>
      <c r="C1083" s="47" t="s">
        <v>3729</v>
      </c>
      <c r="D1083" s="47" t="s">
        <v>12277</v>
      </c>
      <c r="E1083" s="48" t="s">
        <v>1790</v>
      </c>
      <c r="F1083" s="66" t="b">
        <v>0</v>
      </c>
      <c r="G1083" s="54" t="b">
        <v>1</v>
      </c>
      <c r="H1083" s="54" t="b">
        <v>1</v>
      </c>
      <c r="I1083" s="65" t="b">
        <v>0</v>
      </c>
      <c r="J1083" s="54" t="b">
        <v>1</v>
      </c>
      <c r="K1083" s="63" t="s">
        <v>634</v>
      </c>
      <c r="L1083" s="63" t="s">
        <v>3729</v>
      </c>
      <c r="M1083" s="63" t="s">
        <v>3730</v>
      </c>
      <c r="N1083" s="63" t="s">
        <v>1790</v>
      </c>
    </row>
    <row r="1084" spans="1:14" x14ac:dyDescent="0.2">
      <c r="A1084" s="51">
        <v>1083</v>
      </c>
      <c r="B1084" s="54" t="s">
        <v>634</v>
      </c>
      <c r="C1084" s="47" t="s">
        <v>3731</v>
      </c>
      <c r="D1084" s="47" t="s">
        <v>12286</v>
      </c>
      <c r="E1084" s="48" t="s">
        <v>1790</v>
      </c>
      <c r="F1084" s="66" t="b">
        <v>0</v>
      </c>
      <c r="G1084" s="54" t="b">
        <v>1</v>
      </c>
      <c r="H1084" s="54" t="b">
        <v>1</v>
      </c>
      <c r="I1084" s="65" t="b">
        <v>0</v>
      </c>
      <c r="J1084" s="54" t="b">
        <v>1</v>
      </c>
      <c r="K1084" s="63" t="s">
        <v>634</v>
      </c>
      <c r="L1084" s="63" t="s">
        <v>3731</v>
      </c>
      <c r="M1084" s="63" t="s">
        <v>3732</v>
      </c>
      <c r="N1084" s="63" t="s">
        <v>1790</v>
      </c>
    </row>
    <row r="1085" spans="1:14" x14ac:dyDescent="0.2">
      <c r="A1085" s="51">
        <v>1084</v>
      </c>
      <c r="B1085" s="54" t="s">
        <v>634</v>
      </c>
      <c r="C1085" s="47" t="s">
        <v>3733</v>
      </c>
      <c r="D1085" s="47" t="s">
        <v>12288</v>
      </c>
      <c r="E1085" s="48" t="s">
        <v>1790</v>
      </c>
      <c r="F1085" s="66" t="b">
        <v>0</v>
      </c>
      <c r="G1085" s="54" t="b">
        <v>1</v>
      </c>
      <c r="H1085" s="54" t="b">
        <v>1</v>
      </c>
      <c r="I1085" s="65" t="b">
        <v>0</v>
      </c>
      <c r="J1085" s="54" t="b">
        <v>1</v>
      </c>
      <c r="K1085" s="63" t="s">
        <v>634</v>
      </c>
      <c r="L1085" s="63" t="s">
        <v>3733</v>
      </c>
      <c r="M1085" s="63" t="s">
        <v>3734</v>
      </c>
      <c r="N1085" s="63" t="s">
        <v>1790</v>
      </c>
    </row>
    <row r="1086" spans="1:14" x14ac:dyDescent="0.2">
      <c r="A1086" s="51">
        <v>1085</v>
      </c>
      <c r="B1086" s="54" t="s">
        <v>634</v>
      </c>
      <c r="C1086" s="47" t="s">
        <v>3735</v>
      </c>
      <c r="D1086" s="47" t="s">
        <v>12287</v>
      </c>
      <c r="E1086" s="48" t="s">
        <v>1790</v>
      </c>
      <c r="F1086" s="66" t="b">
        <v>0</v>
      </c>
      <c r="G1086" s="54" t="b">
        <v>1</v>
      </c>
      <c r="H1086" s="54" t="b">
        <v>1</v>
      </c>
      <c r="I1086" s="65" t="b">
        <v>0</v>
      </c>
      <c r="J1086" s="54" t="b">
        <v>1</v>
      </c>
      <c r="K1086" s="63" t="s">
        <v>634</v>
      </c>
      <c r="L1086" s="63" t="s">
        <v>3735</v>
      </c>
      <c r="M1086" s="63" t="s">
        <v>3736</v>
      </c>
      <c r="N1086" s="63" t="s">
        <v>1790</v>
      </c>
    </row>
    <row r="1087" spans="1:14" x14ac:dyDescent="0.2">
      <c r="A1087" s="51">
        <v>1086</v>
      </c>
      <c r="B1087" s="54" t="s">
        <v>634</v>
      </c>
      <c r="C1087" s="47" t="s">
        <v>3737</v>
      </c>
      <c r="D1087" s="47" t="s">
        <v>12284</v>
      </c>
      <c r="E1087" s="48" t="s">
        <v>1790</v>
      </c>
      <c r="F1087" s="66" t="b">
        <v>0</v>
      </c>
      <c r="G1087" s="54" t="b">
        <v>1</v>
      </c>
      <c r="H1087" s="54" t="b">
        <v>1</v>
      </c>
      <c r="I1087" s="65" t="b">
        <v>0</v>
      </c>
      <c r="J1087" s="54" t="b">
        <v>1</v>
      </c>
      <c r="K1087" s="63" t="s">
        <v>634</v>
      </c>
      <c r="L1087" s="63" t="s">
        <v>3737</v>
      </c>
      <c r="M1087" s="63" t="s">
        <v>3738</v>
      </c>
      <c r="N1087" s="63" t="s">
        <v>1790</v>
      </c>
    </row>
    <row r="1088" spans="1:14" x14ac:dyDescent="0.2">
      <c r="A1088" s="51">
        <v>1087</v>
      </c>
      <c r="B1088" s="54" t="s">
        <v>634</v>
      </c>
      <c r="C1088" s="47" t="s">
        <v>3739</v>
      </c>
      <c r="D1088" s="47" t="s">
        <v>12279</v>
      </c>
      <c r="E1088" s="48" t="s">
        <v>1790</v>
      </c>
      <c r="F1088" s="66" t="b">
        <v>0</v>
      </c>
      <c r="G1088" s="54" t="b">
        <v>1</v>
      </c>
      <c r="H1088" s="54" t="b">
        <v>1</v>
      </c>
      <c r="I1088" s="65" t="b">
        <v>0</v>
      </c>
      <c r="J1088" s="54" t="b">
        <v>1</v>
      </c>
      <c r="K1088" s="63" t="s">
        <v>634</v>
      </c>
      <c r="L1088" s="63" t="s">
        <v>3739</v>
      </c>
      <c r="M1088" s="63" t="s">
        <v>3740</v>
      </c>
      <c r="N1088" s="63" t="s">
        <v>1790</v>
      </c>
    </row>
    <row r="1089" spans="1:14" x14ac:dyDescent="0.2">
      <c r="A1089" s="51">
        <v>1088</v>
      </c>
      <c r="B1089" s="54" t="s">
        <v>634</v>
      </c>
      <c r="C1089" s="47" t="s">
        <v>3713</v>
      </c>
      <c r="D1089" s="47" t="s">
        <v>12278</v>
      </c>
      <c r="E1089" s="48" t="s">
        <v>1790</v>
      </c>
      <c r="F1089" s="66" t="b">
        <v>0</v>
      </c>
      <c r="G1089" s="54" t="b">
        <v>1</v>
      </c>
      <c r="H1089" s="54" t="b">
        <v>1</v>
      </c>
      <c r="I1089" s="65" t="b">
        <v>0</v>
      </c>
      <c r="J1089" s="54" t="b">
        <v>1</v>
      </c>
      <c r="K1089" s="63" t="s">
        <v>634</v>
      </c>
      <c r="L1089" s="63" t="s">
        <v>3713</v>
      </c>
      <c r="M1089" s="63" t="s">
        <v>3714</v>
      </c>
      <c r="N1089" s="63" t="s">
        <v>1790</v>
      </c>
    </row>
    <row r="1090" spans="1:14" x14ac:dyDescent="0.2">
      <c r="A1090" s="51">
        <v>1089</v>
      </c>
      <c r="B1090" s="54" t="s">
        <v>634</v>
      </c>
      <c r="C1090" s="47" t="s">
        <v>3715</v>
      </c>
      <c r="D1090" s="47" t="s">
        <v>12283</v>
      </c>
      <c r="E1090" s="48" t="s">
        <v>1790</v>
      </c>
      <c r="F1090" s="66" t="b">
        <v>0</v>
      </c>
      <c r="G1090" s="54" t="b">
        <v>1</v>
      </c>
      <c r="H1090" s="54" t="b">
        <v>1</v>
      </c>
      <c r="I1090" s="65" t="b">
        <v>0</v>
      </c>
      <c r="J1090" s="54" t="b">
        <v>1</v>
      </c>
      <c r="K1090" s="63" t="s">
        <v>634</v>
      </c>
      <c r="L1090" s="63" t="s">
        <v>3715</v>
      </c>
      <c r="M1090" s="63" t="s">
        <v>3716</v>
      </c>
      <c r="N1090" s="63" t="s">
        <v>1790</v>
      </c>
    </row>
    <row r="1091" spans="1:14" x14ac:dyDescent="0.2">
      <c r="A1091" s="51">
        <v>1090</v>
      </c>
      <c r="B1091" s="54" t="s">
        <v>634</v>
      </c>
      <c r="C1091" s="47" t="s">
        <v>3717</v>
      </c>
      <c r="D1091" s="47" t="s">
        <v>12281</v>
      </c>
      <c r="E1091" s="48" t="s">
        <v>1790</v>
      </c>
      <c r="F1091" s="66" t="b">
        <v>0</v>
      </c>
      <c r="G1091" s="54" t="b">
        <v>1</v>
      </c>
      <c r="H1091" s="54" t="b">
        <v>1</v>
      </c>
      <c r="I1091" s="65" t="b">
        <v>0</v>
      </c>
      <c r="J1091" s="54" t="b">
        <v>1</v>
      </c>
      <c r="K1091" s="63" t="s">
        <v>634</v>
      </c>
      <c r="L1091" s="63" t="s">
        <v>3717</v>
      </c>
      <c r="M1091" s="63" t="s">
        <v>3718</v>
      </c>
      <c r="N1091" s="63" t="s">
        <v>1790</v>
      </c>
    </row>
    <row r="1092" spans="1:14" x14ac:dyDescent="0.2">
      <c r="A1092" s="51">
        <v>1091</v>
      </c>
      <c r="B1092" s="54" t="s">
        <v>634</v>
      </c>
      <c r="C1092" s="47" t="s">
        <v>3719</v>
      </c>
      <c r="D1092" s="47" t="s">
        <v>12290</v>
      </c>
      <c r="E1092" s="48" t="s">
        <v>1790</v>
      </c>
      <c r="F1092" s="66" t="b">
        <v>0</v>
      </c>
      <c r="G1092" s="54" t="b">
        <v>1</v>
      </c>
      <c r="H1092" s="54" t="b">
        <v>1</v>
      </c>
      <c r="I1092" s="65" t="b">
        <v>0</v>
      </c>
      <c r="J1092" s="54" t="b">
        <v>1</v>
      </c>
      <c r="K1092" s="63" t="s">
        <v>634</v>
      </c>
      <c r="L1092" s="63" t="s">
        <v>3719</v>
      </c>
      <c r="M1092" s="63" t="s">
        <v>3720</v>
      </c>
      <c r="N1092" s="63" t="s">
        <v>1790</v>
      </c>
    </row>
    <row r="1093" spans="1:14" x14ac:dyDescent="0.2">
      <c r="A1093" s="51">
        <v>1092</v>
      </c>
      <c r="B1093" s="54" t="s">
        <v>634</v>
      </c>
      <c r="C1093" s="47" t="s">
        <v>3721</v>
      </c>
      <c r="D1093" s="47" t="s">
        <v>12276</v>
      </c>
      <c r="E1093" s="48" t="s">
        <v>1790</v>
      </c>
      <c r="F1093" s="66" t="b">
        <v>0</v>
      </c>
      <c r="G1093" s="54" t="b">
        <v>1</v>
      </c>
      <c r="H1093" s="54" t="b">
        <v>1</v>
      </c>
      <c r="I1093" s="65" t="b">
        <v>0</v>
      </c>
      <c r="J1093" s="54" t="b">
        <v>1</v>
      </c>
      <c r="K1093" s="63" t="s">
        <v>634</v>
      </c>
      <c r="L1093" s="63" t="s">
        <v>3721</v>
      </c>
      <c r="M1093" s="63" t="s">
        <v>3722</v>
      </c>
      <c r="N1093" s="63" t="s">
        <v>1790</v>
      </c>
    </row>
    <row r="1094" spans="1:14" x14ac:dyDescent="0.2">
      <c r="A1094" s="51">
        <v>1093</v>
      </c>
      <c r="B1094" s="54" t="s">
        <v>634</v>
      </c>
      <c r="C1094" s="47" t="s">
        <v>3723</v>
      </c>
      <c r="D1094" s="47" t="s">
        <v>12285</v>
      </c>
      <c r="E1094" s="48" t="s">
        <v>1790</v>
      </c>
      <c r="F1094" s="66" t="b">
        <v>0</v>
      </c>
      <c r="G1094" s="54" t="b">
        <v>1</v>
      </c>
      <c r="H1094" s="54" t="b">
        <v>1</v>
      </c>
      <c r="I1094" s="65" t="b">
        <v>0</v>
      </c>
      <c r="J1094" s="54" t="b">
        <v>1</v>
      </c>
      <c r="K1094" s="63" t="s">
        <v>634</v>
      </c>
      <c r="L1094" s="63" t="s">
        <v>3723</v>
      </c>
      <c r="M1094" s="63" t="s">
        <v>3724</v>
      </c>
      <c r="N1094" s="63" t="s">
        <v>1790</v>
      </c>
    </row>
    <row r="1095" spans="1:14" x14ac:dyDescent="0.2">
      <c r="A1095" s="51">
        <v>1094</v>
      </c>
      <c r="B1095" s="54" t="s">
        <v>634</v>
      </c>
      <c r="C1095" s="47" t="s">
        <v>3601</v>
      </c>
      <c r="D1095" s="47" t="s">
        <v>3602</v>
      </c>
      <c r="E1095" s="48" t="s">
        <v>1790</v>
      </c>
      <c r="F1095" s="66" t="b">
        <v>0</v>
      </c>
      <c r="G1095" s="54" t="b">
        <v>1</v>
      </c>
      <c r="H1095" s="54" t="b">
        <v>1</v>
      </c>
      <c r="I1095" s="54" t="b">
        <v>1</v>
      </c>
      <c r="J1095" s="54" t="b">
        <v>1</v>
      </c>
      <c r="K1095" s="63" t="s">
        <v>634</v>
      </c>
      <c r="L1095" s="63" t="s">
        <v>3601</v>
      </c>
      <c r="M1095" s="63" t="s">
        <v>3602</v>
      </c>
      <c r="N1095" s="63" t="s">
        <v>1790</v>
      </c>
    </row>
    <row r="1096" spans="1:14" x14ac:dyDescent="0.2">
      <c r="A1096" s="51">
        <v>1095</v>
      </c>
      <c r="B1096" s="54" t="s">
        <v>634</v>
      </c>
      <c r="C1096" s="47" t="s">
        <v>3603</v>
      </c>
      <c r="D1096" s="47" t="s">
        <v>3604</v>
      </c>
      <c r="E1096" s="48" t="s">
        <v>1790</v>
      </c>
      <c r="F1096" s="66" t="b">
        <v>0</v>
      </c>
      <c r="G1096" s="54" t="b">
        <v>1</v>
      </c>
      <c r="H1096" s="54" t="b">
        <v>1</v>
      </c>
      <c r="I1096" s="54" t="b">
        <v>1</v>
      </c>
      <c r="J1096" s="54" t="b">
        <v>1</v>
      </c>
      <c r="K1096" s="63" t="s">
        <v>634</v>
      </c>
      <c r="L1096" s="63" t="s">
        <v>3603</v>
      </c>
      <c r="M1096" s="63" t="s">
        <v>3604</v>
      </c>
      <c r="N1096" s="63" t="s">
        <v>1790</v>
      </c>
    </row>
    <row r="1097" spans="1:14" x14ac:dyDescent="0.2">
      <c r="A1097" s="51">
        <v>1096</v>
      </c>
      <c r="B1097" s="54" t="s">
        <v>634</v>
      </c>
      <c r="C1097" s="47" t="s">
        <v>3653</v>
      </c>
      <c r="D1097" s="47" t="s">
        <v>3654</v>
      </c>
      <c r="E1097" s="48" t="s">
        <v>1790</v>
      </c>
      <c r="F1097" s="66" t="b">
        <v>0</v>
      </c>
      <c r="G1097" s="54" t="b">
        <v>1</v>
      </c>
      <c r="H1097" s="54" t="b">
        <v>1</v>
      </c>
      <c r="I1097" s="54" t="b">
        <v>1</v>
      </c>
      <c r="J1097" s="54" t="b">
        <v>1</v>
      </c>
      <c r="K1097" s="63" t="s">
        <v>634</v>
      </c>
      <c r="L1097" s="63" t="s">
        <v>3653</v>
      </c>
      <c r="M1097" s="63" t="s">
        <v>3654</v>
      </c>
      <c r="N1097" s="63" t="s">
        <v>1790</v>
      </c>
    </row>
    <row r="1098" spans="1:14" x14ac:dyDescent="0.2">
      <c r="A1098" s="51">
        <v>1097</v>
      </c>
      <c r="B1098" s="54" t="s">
        <v>634</v>
      </c>
      <c r="C1098" s="47" t="s">
        <v>3657</v>
      </c>
      <c r="D1098" s="47" t="s">
        <v>3658</v>
      </c>
      <c r="E1098" s="48" t="s">
        <v>1790</v>
      </c>
      <c r="F1098" s="66" t="b">
        <v>0</v>
      </c>
      <c r="G1098" s="54" t="b">
        <v>1</v>
      </c>
      <c r="H1098" s="54" t="b">
        <v>1</v>
      </c>
      <c r="I1098" s="54" t="b">
        <v>1</v>
      </c>
      <c r="J1098" s="54" t="b">
        <v>1</v>
      </c>
      <c r="K1098" s="63" t="s">
        <v>634</v>
      </c>
      <c r="L1098" s="63" t="s">
        <v>3657</v>
      </c>
      <c r="M1098" s="63" t="s">
        <v>3658</v>
      </c>
      <c r="N1098" s="63" t="s">
        <v>1790</v>
      </c>
    </row>
    <row r="1099" spans="1:14" x14ac:dyDescent="0.2">
      <c r="A1099" s="51">
        <v>1098</v>
      </c>
      <c r="B1099" s="54" t="s">
        <v>634</v>
      </c>
      <c r="C1099" s="47" t="s">
        <v>3663</v>
      </c>
      <c r="D1099" s="47" t="s">
        <v>3664</v>
      </c>
      <c r="E1099" s="48" t="s">
        <v>1790</v>
      </c>
      <c r="F1099" s="66" t="b">
        <v>0</v>
      </c>
      <c r="G1099" s="54" t="b">
        <v>1</v>
      </c>
      <c r="H1099" s="54" t="b">
        <v>1</v>
      </c>
      <c r="I1099" s="54" t="b">
        <v>1</v>
      </c>
      <c r="J1099" s="54" t="b">
        <v>1</v>
      </c>
      <c r="K1099" s="63" t="s">
        <v>634</v>
      </c>
      <c r="L1099" s="63" t="s">
        <v>3663</v>
      </c>
      <c r="M1099" s="63" t="s">
        <v>3664</v>
      </c>
      <c r="N1099" s="63" t="s">
        <v>1790</v>
      </c>
    </row>
    <row r="1100" spans="1:14" x14ac:dyDescent="0.2">
      <c r="A1100" s="51">
        <v>1099</v>
      </c>
      <c r="B1100" s="54" t="s">
        <v>634</v>
      </c>
      <c r="C1100" s="47" t="s">
        <v>3679</v>
      </c>
      <c r="D1100" s="47" t="s">
        <v>3680</v>
      </c>
      <c r="E1100" s="48" t="s">
        <v>1790</v>
      </c>
      <c r="F1100" s="66" t="b">
        <v>0</v>
      </c>
      <c r="G1100" s="54" t="b">
        <v>1</v>
      </c>
      <c r="H1100" s="54" t="b">
        <v>1</v>
      </c>
      <c r="I1100" s="54" t="b">
        <v>1</v>
      </c>
      <c r="J1100" s="54" t="b">
        <v>1</v>
      </c>
      <c r="K1100" s="63" t="s">
        <v>634</v>
      </c>
      <c r="L1100" s="63" t="s">
        <v>3679</v>
      </c>
      <c r="M1100" s="63" t="s">
        <v>3680</v>
      </c>
      <c r="N1100" s="63" t="s">
        <v>1790</v>
      </c>
    </row>
    <row r="1101" spans="1:14" x14ac:dyDescent="0.2">
      <c r="A1101" s="51">
        <v>1100</v>
      </c>
      <c r="B1101" s="54" t="s">
        <v>634</v>
      </c>
      <c r="C1101" s="47" t="s">
        <v>3673</v>
      </c>
      <c r="D1101" s="47" t="s">
        <v>3674</v>
      </c>
      <c r="E1101" s="48" t="s">
        <v>1790</v>
      </c>
      <c r="F1101" s="66" t="b">
        <v>0</v>
      </c>
      <c r="G1101" s="54" t="b">
        <v>1</v>
      </c>
      <c r="H1101" s="54" t="b">
        <v>1</v>
      </c>
      <c r="I1101" s="54" t="b">
        <v>1</v>
      </c>
      <c r="J1101" s="54" t="b">
        <v>1</v>
      </c>
      <c r="K1101" s="63" t="s">
        <v>634</v>
      </c>
      <c r="L1101" s="63" t="s">
        <v>3673</v>
      </c>
      <c r="M1101" s="63" t="s">
        <v>3674</v>
      </c>
      <c r="N1101" s="63" t="s">
        <v>1790</v>
      </c>
    </row>
    <row r="1102" spans="1:14" x14ac:dyDescent="0.2">
      <c r="A1102" s="51">
        <v>1101</v>
      </c>
      <c r="B1102" s="54" t="s">
        <v>634</v>
      </c>
      <c r="C1102" s="47" t="s">
        <v>3683</v>
      </c>
      <c r="D1102" s="47" t="s">
        <v>3684</v>
      </c>
      <c r="E1102" s="48" t="s">
        <v>1790</v>
      </c>
      <c r="F1102" s="66" t="b">
        <v>0</v>
      </c>
      <c r="G1102" s="54" t="b">
        <v>1</v>
      </c>
      <c r="H1102" s="54" t="b">
        <v>1</v>
      </c>
      <c r="I1102" s="54" t="b">
        <v>1</v>
      </c>
      <c r="J1102" s="54" t="b">
        <v>1</v>
      </c>
      <c r="K1102" s="63" t="s">
        <v>634</v>
      </c>
      <c r="L1102" s="63" t="s">
        <v>3683</v>
      </c>
      <c r="M1102" s="63" t="s">
        <v>3684</v>
      </c>
      <c r="N1102" s="63" t="s">
        <v>1790</v>
      </c>
    </row>
    <row r="1103" spans="1:14" x14ac:dyDescent="0.2">
      <c r="A1103" s="51">
        <v>1102</v>
      </c>
      <c r="B1103" s="54" t="s">
        <v>634</v>
      </c>
      <c r="C1103" s="47" t="s">
        <v>3741</v>
      </c>
      <c r="D1103" s="47" t="s">
        <v>12291</v>
      </c>
      <c r="E1103" s="48" t="s">
        <v>1790</v>
      </c>
      <c r="F1103" s="66" t="b">
        <v>0</v>
      </c>
      <c r="G1103" s="54" t="b">
        <v>1</v>
      </c>
      <c r="H1103" s="54" t="b">
        <v>1</v>
      </c>
      <c r="I1103" s="65" t="b">
        <v>0</v>
      </c>
      <c r="J1103" s="54" t="b">
        <v>1</v>
      </c>
      <c r="K1103" s="63" t="s">
        <v>634</v>
      </c>
      <c r="L1103" s="63" t="s">
        <v>3741</v>
      </c>
      <c r="M1103" s="63" t="s">
        <v>3742</v>
      </c>
      <c r="N1103" s="63" t="s">
        <v>1790</v>
      </c>
    </row>
    <row r="1104" spans="1:14" x14ac:dyDescent="0.2">
      <c r="A1104" s="51">
        <v>1103</v>
      </c>
      <c r="B1104" s="54" t="s">
        <v>634</v>
      </c>
      <c r="C1104" s="47" t="s">
        <v>3743</v>
      </c>
      <c r="D1104" s="47" t="s">
        <v>12292</v>
      </c>
      <c r="E1104" s="48" t="s">
        <v>1790</v>
      </c>
      <c r="F1104" s="66" t="b">
        <v>0</v>
      </c>
      <c r="G1104" s="54" t="b">
        <v>1</v>
      </c>
      <c r="H1104" s="54" t="b">
        <v>1</v>
      </c>
      <c r="I1104" s="65" t="b">
        <v>0</v>
      </c>
      <c r="J1104" s="54" t="b">
        <v>1</v>
      </c>
      <c r="K1104" s="63" t="s">
        <v>634</v>
      </c>
      <c r="L1104" s="63" t="s">
        <v>3743</v>
      </c>
      <c r="M1104" s="63" t="s">
        <v>3744</v>
      </c>
      <c r="N1104" s="63" t="s">
        <v>1790</v>
      </c>
    </row>
    <row r="1105" spans="1:14" x14ac:dyDescent="0.2">
      <c r="A1105" s="51">
        <v>1104</v>
      </c>
      <c r="B1105" s="54" t="s">
        <v>634</v>
      </c>
      <c r="C1105" s="47" t="s">
        <v>3753</v>
      </c>
      <c r="D1105" s="47" t="s">
        <v>3754</v>
      </c>
      <c r="E1105" s="48" t="s">
        <v>1790</v>
      </c>
      <c r="F1105" s="66" t="b">
        <v>0</v>
      </c>
      <c r="G1105" s="54" t="b">
        <v>1</v>
      </c>
      <c r="H1105" s="54" t="b">
        <v>1</v>
      </c>
      <c r="I1105" s="54" t="b">
        <v>1</v>
      </c>
      <c r="J1105" s="54" t="b">
        <v>1</v>
      </c>
      <c r="K1105" s="63" t="s">
        <v>634</v>
      </c>
      <c r="L1105" s="63" t="s">
        <v>3753</v>
      </c>
      <c r="M1105" s="63" t="s">
        <v>3754</v>
      </c>
      <c r="N1105" s="63" t="s">
        <v>1790</v>
      </c>
    </row>
    <row r="1106" spans="1:14" x14ac:dyDescent="0.2">
      <c r="A1106" s="51">
        <v>1105</v>
      </c>
      <c r="B1106" s="54" t="s">
        <v>634</v>
      </c>
      <c r="C1106" s="47" t="s">
        <v>3755</v>
      </c>
      <c r="D1106" s="47" t="s">
        <v>3756</v>
      </c>
      <c r="E1106" s="48" t="s">
        <v>1790</v>
      </c>
      <c r="F1106" s="66" t="b">
        <v>0</v>
      </c>
      <c r="G1106" s="54" t="b">
        <v>1</v>
      </c>
      <c r="H1106" s="54" t="b">
        <v>1</v>
      </c>
      <c r="I1106" s="54" t="b">
        <v>1</v>
      </c>
      <c r="J1106" s="54" t="b">
        <v>1</v>
      </c>
      <c r="K1106" s="63" t="s">
        <v>634</v>
      </c>
      <c r="L1106" s="63" t="s">
        <v>3755</v>
      </c>
      <c r="M1106" s="63" t="s">
        <v>3756</v>
      </c>
      <c r="N1106" s="63" t="s">
        <v>1790</v>
      </c>
    </row>
    <row r="1107" spans="1:14" x14ac:dyDescent="0.2">
      <c r="A1107" s="51">
        <v>1106</v>
      </c>
      <c r="B1107" s="54" t="s">
        <v>634</v>
      </c>
      <c r="C1107" s="47" t="s">
        <v>3803</v>
      </c>
      <c r="D1107" s="47" t="s">
        <v>3804</v>
      </c>
      <c r="E1107" s="48" t="s">
        <v>1790</v>
      </c>
      <c r="F1107" s="66" t="b">
        <v>0</v>
      </c>
      <c r="G1107" s="54" t="b">
        <v>1</v>
      </c>
      <c r="H1107" s="54" t="b">
        <v>1</v>
      </c>
      <c r="I1107" s="54" t="b">
        <v>1</v>
      </c>
      <c r="J1107" s="54" t="b">
        <v>1</v>
      </c>
      <c r="K1107" s="63" t="s">
        <v>634</v>
      </c>
      <c r="L1107" s="63" t="s">
        <v>3803</v>
      </c>
      <c r="M1107" s="63" t="s">
        <v>3804</v>
      </c>
      <c r="N1107" s="63" t="s">
        <v>1790</v>
      </c>
    </row>
    <row r="1108" spans="1:14" x14ac:dyDescent="0.2">
      <c r="A1108" s="51">
        <v>1107</v>
      </c>
      <c r="B1108" s="54" t="s">
        <v>634</v>
      </c>
      <c r="C1108" s="47" t="s">
        <v>3805</v>
      </c>
      <c r="D1108" s="47" t="s">
        <v>3806</v>
      </c>
      <c r="E1108" s="48" t="s">
        <v>1790</v>
      </c>
      <c r="F1108" s="66" t="b">
        <v>0</v>
      </c>
      <c r="G1108" s="54" t="b">
        <v>1</v>
      </c>
      <c r="H1108" s="54" t="b">
        <v>1</v>
      </c>
      <c r="I1108" s="54" t="b">
        <v>1</v>
      </c>
      <c r="J1108" s="54" t="b">
        <v>1</v>
      </c>
      <c r="K1108" s="63" t="s">
        <v>634</v>
      </c>
      <c r="L1108" s="63" t="s">
        <v>3805</v>
      </c>
      <c r="M1108" s="63" t="s">
        <v>3806</v>
      </c>
      <c r="N1108" s="63" t="s">
        <v>1790</v>
      </c>
    </row>
    <row r="1109" spans="1:14" x14ac:dyDescent="0.2">
      <c r="A1109" s="51">
        <v>1108</v>
      </c>
      <c r="B1109" s="54" t="s">
        <v>634</v>
      </c>
      <c r="C1109" s="47" t="s">
        <v>3643</v>
      </c>
      <c r="D1109" s="47" t="s">
        <v>3644</v>
      </c>
      <c r="E1109" s="48" t="s">
        <v>1790</v>
      </c>
      <c r="F1109" s="66" t="b">
        <v>0</v>
      </c>
      <c r="G1109" s="54" t="b">
        <v>1</v>
      </c>
      <c r="H1109" s="54" t="b">
        <v>1</v>
      </c>
      <c r="I1109" s="54" t="b">
        <v>1</v>
      </c>
      <c r="J1109" s="54" t="b">
        <v>1</v>
      </c>
      <c r="K1109" s="63" t="s">
        <v>634</v>
      </c>
      <c r="L1109" s="63" t="s">
        <v>3643</v>
      </c>
      <c r="M1109" s="63" t="s">
        <v>3644</v>
      </c>
      <c r="N1109" s="63" t="s">
        <v>1790</v>
      </c>
    </row>
    <row r="1110" spans="1:14" x14ac:dyDescent="0.2">
      <c r="A1110" s="51">
        <v>1109</v>
      </c>
      <c r="B1110" s="54" t="s">
        <v>634</v>
      </c>
      <c r="C1110" s="47" t="s">
        <v>3749</v>
      </c>
      <c r="D1110" s="47" t="s">
        <v>3750</v>
      </c>
      <c r="E1110" s="48" t="s">
        <v>1790</v>
      </c>
      <c r="F1110" s="66" t="b">
        <v>0</v>
      </c>
      <c r="G1110" s="54" t="b">
        <v>1</v>
      </c>
      <c r="H1110" s="54" t="b">
        <v>1</v>
      </c>
      <c r="I1110" s="54" t="b">
        <v>1</v>
      </c>
      <c r="J1110" s="54" t="b">
        <v>1</v>
      </c>
      <c r="K1110" s="63" t="s">
        <v>634</v>
      </c>
      <c r="L1110" s="63" t="s">
        <v>3749</v>
      </c>
      <c r="M1110" s="63" t="s">
        <v>3750</v>
      </c>
      <c r="N1110" s="63" t="s">
        <v>1790</v>
      </c>
    </row>
    <row r="1111" spans="1:14" x14ac:dyDescent="0.2">
      <c r="A1111" s="51">
        <v>1110</v>
      </c>
      <c r="B1111" s="54" t="s">
        <v>634</v>
      </c>
      <c r="C1111" s="47" t="s">
        <v>3709</v>
      </c>
      <c r="D1111" s="47" t="s">
        <v>3710</v>
      </c>
      <c r="E1111" s="48" t="s">
        <v>1790</v>
      </c>
      <c r="F1111" s="66" t="b">
        <v>0</v>
      </c>
      <c r="G1111" s="54" t="b">
        <v>1</v>
      </c>
      <c r="H1111" s="54" t="b">
        <v>1</v>
      </c>
      <c r="I1111" s="54" t="b">
        <v>1</v>
      </c>
      <c r="J1111" s="54" t="b">
        <v>1</v>
      </c>
      <c r="K1111" s="63" t="s">
        <v>634</v>
      </c>
      <c r="L1111" s="63" t="s">
        <v>3709</v>
      </c>
      <c r="M1111" s="63" t="s">
        <v>3710</v>
      </c>
      <c r="N1111" s="63" t="s">
        <v>1790</v>
      </c>
    </row>
    <row r="1112" spans="1:14" x14ac:dyDescent="0.2">
      <c r="A1112" s="51">
        <v>1111</v>
      </c>
      <c r="B1112" s="54" t="s">
        <v>634</v>
      </c>
      <c r="C1112" s="47" t="s">
        <v>3765</v>
      </c>
      <c r="D1112" s="47" t="s">
        <v>3766</v>
      </c>
      <c r="E1112" s="48" t="s">
        <v>1790</v>
      </c>
      <c r="F1112" s="66" t="b">
        <v>0</v>
      </c>
      <c r="G1112" s="54" t="b">
        <v>1</v>
      </c>
      <c r="H1112" s="54" t="b">
        <v>1</v>
      </c>
      <c r="I1112" s="54" t="b">
        <v>1</v>
      </c>
      <c r="J1112" s="54" t="b">
        <v>1</v>
      </c>
      <c r="K1112" s="63" t="s">
        <v>634</v>
      </c>
      <c r="L1112" s="63" t="s">
        <v>3765</v>
      </c>
      <c r="M1112" s="63" t="s">
        <v>3766</v>
      </c>
      <c r="N1112" s="63" t="s">
        <v>1790</v>
      </c>
    </row>
    <row r="1113" spans="1:14" x14ac:dyDescent="0.2">
      <c r="A1113" s="51">
        <v>1112</v>
      </c>
      <c r="B1113" s="54" t="s">
        <v>634</v>
      </c>
      <c r="C1113" s="47" t="s">
        <v>3777</v>
      </c>
      <c r="D1113" s="47" t="s">
        <v>3778</v>
      </c>
      <c r="E1113" s="48" t="s">
        <v>1790</v>
      </c>
      <c r="F1113" s="66" t="b">
        <v>0</v>
      </c>
      <c r="G1113" s="54" t="b">
        <v>1</v>
      </c>
      <c r="H1113" s="54" t="b">
        <v>1</v>
      </c>
      <c r="I1113" s="54" t="b">
        <v>1</v>
      </c>
      <c r="J1113" s="54" t="b">
        <v>1</v>
      </c>
      <c r="K1113" s="63" t="s">
        <v>634</v>
      </c>
      <c r="L1113" s="63" t="s">
        <v>3777</v>
      </c>
      <c r="M1113" s="63" t="s">
        <v>3778</v>
      </c>
      <c r="N1113" s="63" t="s">
        <v>1790</v>
      </c>
    </row>
    <row r="1114" spans="1:14" x14ac:dyDescent="0.2">
      <c r="A1114" s="51">
        <v>1113</v>
      </c>
      <c r="B1114" s="54" t="s">
        <v>634</v>
      </c>
      <c r="C1114" s="47" t="s">
        <v>3621</v>
      </c>
      <c r="D1114" s="47" t="s">
        <v>3622</v>
      </c>
      <c r="E1114" s="48" t="s">
        <v>1790</v>
      </c>
      <c r="F1114" s="66" t="b">
        <v>0</v>
      </c>
      <c r="G1114" s="54" t="b">
        <v>1</v>
      </c>
      <c r="H1114" s="54" t="b">
        <v>1</v>
      </c>
      <c r="I1114" s="54" t="b">
        <v>1</v>
      </c>
      <c r="J1114" s="54" t="b">
        <v>1</v>
      </c>
      <c r="K1114" s="63" t="s">
        <v>634</v>
      </c>
      <c r="L1114" s="63" t="s">
        <v>3621</v>
      </c>
      <c r="M1114" s="63" t="s">
        <v>3622</v>
      </c>
      <c r="N1114" s="63" t="s">
        <v>1790</v>
      </c>
    </row>
    <row r="1115" spans="1:14" x14ac:dyDescent="0.2">
      <c r="A1115" s="51">
        <v>1114</v>
      </c>
      <c r="B1115" s="54" t="s">
        <v>634</v>
      </c>
      <c r="C1115" s="47" t="s">
        <v>3655</v>
      </c>
      <c r="D1115" s="47" t="s">
        <v>3656</v>
      </c>
      <c r="E1115" s="48" t="s">
        <v>1790</v>
      </c>
      <c r="F1115" s="66" t="b">
        <v>0</v>
      </c>
      <c r="G1115" s="54" t="b">
        <v>1</v>
      </c>
      <c r="H1115" s="54" t="b">
        <v>1</v>
      </c>
      <c r="I1115" s="54" t="b">
        <v>1</v>
      </c>
      <c r="J1115" s="54" t="b">
        <v>1</v>
      </c>
      <c r="K1115" s="63" t="s">
        <v>634</v>
      </c>
      <c r="L1115" s="63" t="s">
        <v>3655</v>
      </c>
      <c r="M1115" s="63" t="s">
        <v>3656</v>
      </c>
      <c r="N1115" s="63" t="s">
        <v>1790</v>
      </c>
    </row>
    <row r="1116" spans="1:14" x14ac:dyDescent="0.2">
      <c r="A1116" s="51">
        <v>1115</v>
      </c>
      <c r="B1116" s="54" t="s">
        <v>634</v>
      </c>
      <c r="C1116" s="47" t="s">
        <v>3703</v>
      </c>
      <c r="D1116" s="47" t="s">
        <v>12272</v>
      </c>
      <c r="E1116" s="48" t="s">
        <v>1790</v>
      </c>
      <c r="F1116" s="66" t="b">
        <v>0</v>
      </c>
      <c r="G1116" s="54" t="b">
        <v>1</v>
      </c>
      <c r="H1116" s="54" t="b">
        <v>1</v>
      </c>
      <c r="I1116" s="65" t="b">
        <v>0</v>
      </c>
      <c r="J1116" s="54" t="b">
        <v>1</v>
      </c>
      <c r="K1116" s="63" t="s">
        <v>634</v>
      </c>
      <c r="L1116" s="63" t="s">
        <v>3703</v>
      </c>
      <c r="M1116" s="63" t="s">
        <v>3704</v>
      </c>
      <c r="N1116" s="63" t="s">
        <v>1790</v>
      </c>
    </row>
    <row r="1117" spans="1:14" x14ac:dyDescent="0.2">
      <c r="A1117" s="51">
        <v>1116</v>
      </c>
      <c r="B1117" s="54" t="s">
        <v>634</v>
      </c>
      <c r="C1117" s="47" t="s">
        <v>3701</v>
      </c>
      <c r="D1117" s="47" t="s">
        <v>12271</v>
      </c>
      <c r="E1117" s="48" t="s">
        <v>1790</v>
      </c>
      <c r="F1117" s="66" t="b">
        <v>0</v>
      </c>
      <c r="G1117" s="54" t="b">
        <v>1</v>
      </c>
      <c r="H1117" s="54" t="b">
        <v>1</v>
      </c>
      <c r="I1117" s="65" t="b">
        <v>0</v>
      </c>
      <c r="J1117" s="54" t="b">
        <v>1</v>
      </c>
      <c r="K1117" s="63" t="s">
        <v>634</v>
      </c>
      <c r="L1117" s="63" t="s">
        <v>3701</v>
      </c>
      <c r="M1117" s="63" t="s">
        <v>3702</v>
      </c>
      <c r="N1117" s="63" t="s">
        <v>1790</v>
      </c>
    </row>
    <row r="1118" spans="1:14" x14ac:dyDescent="0.2">
      <c r="A1118" s="51">
        <v>1117</v>
      </c>
      <c r="B1118" s="54" t="s">
        <v>634</v>
      </c>
      <c r="C1118" s="47" t="s">
        <v>3705</v>
      </c>
      <c r="D1118" s="47" t="s">
        <v>12273</v>
      </c>
      <c r="E1118" s="48" t="s">
        <v>1790</v>
      </c>
      <c r="F1118" s="66" t="b">
        <v>0</v>
      </c>
      <c r="G1118" s="54" t="b">
        <v>1</v>
      </c>
      <c r="H1118" s="54" t="b">
        <v>1</v>
      </c>
      <c r="I1118" s="65" t="b">
        <v>0</v>
      </c>
      <c r="J1118" s="54" t="b">
        <v>1</v>
      </c>
      <c r="K1118" s="63" t="s">
        <v>634</v>
      </c>
      <c r="L1118" s="63" t="s">
        <v>3705</v>
      </c>
      <c r="M1118" s="63" t="s">
        <v>3706</v>
      </c>
      <c r="N1118" s="63" t="s">
        <v>1790</v>
      </c>
    </row>
    <row r="1119" spans="1:14" x14ac:dyDescent="0.2">
      <c r="A1119" s="51">
        <v>1118</v>
      </c>
      <c r="B1119" s="54" t="s">
        <v>634</v>
      </c>
      <c r="C1119" s="47" t="s">
        <v>3757</v>
      </c>
      <c r="D1119" s="47" t="s">
        <v>3758</v>
      </c>
      <c r="E1119" s="48" t="s">
        <v>1790</v>
      </c>
      <c r="F1119" s="66" t="b">
        <v>0</v>
      </c>
      <c r="G1119" s="54" t="b">
        <v>1</v>
      </c>
      <c r="H1119" s="54" t="b">
        <v>1</v>
      </c>
      <c r="I1119" s="54" t="b">
        <v>1</v>
      </c>
      <c r="J1119" s="54" t="b">
        <v>1</v>
      </c>
      <c r="K1119" s="63" t="s">
        <v>634</v>
      </c>
      <c r="L1119" s="63" t="s">
        <v>3757</v>
      </c>
      <c r="M1119" s="63" t="s">
        <v>3758</v>
      </c>
      <c r="N1119" s="63" t="s">
        <v>1790</v>
      </c>
    </row>
    <row r="1120" spans="1:14" x14ac:dyDescent="0.2">
      <c r="A1120" s="51">
        <v>1119</v>
      </c>
      <c r="B1120" s="54" t="s">
        <v>634</v>
      </c>
      <c r="C1120" s="47" t="s">
        <v>3771</v>
      </c>
      <c r="D1120" s="47" t="s">
        <v>3772</v>
      </c>
      <c r="E1120" s="48" t="s">
        <v>1790</v>
      </c>
      <c r="F1120" s="66" t="b">
        <v>0</v>
      </c>
      <c r="G1120" s="54" t="b">
        <v>1</v>
      </c>
      <c r="H1120" s="54" t="b">
        <v>1</v>
      </c>
      <c r="I1120" s="54" t="b">
        <v>1</v>
      </c>
      <c r="J1120" s="54" t="b">
        <v>1</v>
      </c>
      <c r="K1120" s="63" t="s">
        <v>634</v>
      </c>
      <c r="L1120" s="63" t="s">
        <v>3771</v>
      </c>
      <c r="M1120" s="63" t="s">
        <v>3772</v>
      </c>
      <c r="N1120" s="63" t="s">
        <v>1790</v>
      </c>
    </row>
    <row r="1121" spans="1:14" x14ac:dyDescent="0.2">
      <c r="A1121" s="51">
        <v>1120</v>
      </c>
      <c r="B1121" s="54" t="s">
        <v>634</v>
      </c>
      <c r="C1121" s="47" t="s">
        <v>3615</v>
      </c>
      <c r="D1121" s="47" t="s">
        <v>3616</v>
      </c>
      <c r="E1121" s="48" t="s">
        <v>1790</v>
      </c>
      <c r="F1121" s="66" t="b">
        <v>0</v>
      </c>
      <c r="G1121" s="54" t="b">
        <v>1</v>
      </c>
      <c r="H1121" s="54" t="b">
        <v>1</v>
      </c>
      <c r="I1121" s="54" t="b">
        <v>1</v>
      </c>
      <c r="J1121" s="54" t="b">
        <v>1</v>
      </c>
      <c r="K1121" s="63" t="s">
        <v>634</v>
      </c>
      <c r="L1121" s="63" t="s">
        <v>3615</v>
      </c>
      <c r="M1121" s="63" t="s">
        <v>3616</v>
      </c>
      <c r="N1121" s="63" t="s">
        <v>1790</v>
      </c>
    </row>
    <row r="1122" spans="1:14" x14ac:dyDescent="0.2">
      <c r="A1122" s="51">
        <v>1121</v>
      </c>
      <c r="B1122" s="54" t="s">
        <v>634</v>
      </c>
      <c r="C1122" s="47" t="s">
        <v>3649</v>
      </c>
      <c r="D1122" s="47" t="s">
        <v>3650</v>
      </c>
      <c r="E1122" s="48" t="s">
        <v>1790</v>
      </c>
      <c r="F1122" s="66" t="b">
        <v>0</v>
      </c>
      <c r="G1122" s="54" t="b">
        <v>1</v>
      </c>
      <c r="H1122" s="54" t="b">
        <v>1</v>
      </c>
      <c r="I1122" s="54" t="b">
        <v>1</v>
      </c>
      <c r="J1122" s="54" t="b">
        <v>1</v>
      </c>
      <c r="K1122" s="63" t="s">
        <v>634</v>
      </c>
      <c r="L1122" s="63" t="s">
        <v>3649</v>
      </c>
      <c r="M1122" s="63" t="s">
        <v>3650</v>
      </c>
      <c r="N1122" s="63" t="s">
        <v>1790</v>
      </c>
    </row>
    <row r="1123" spans="1:14" x14ac:dyDescent="0.2">
      <c r="A1123" s="51">
        <v>1122</v>
      </c>
      <c r="B1123" s="54" t="s">
        <v>634</v>
      </c>
      <c r="C1123" s="47" t="s">
        <v>3763</v>
      </c>
      <c r="D1123" s="47" t="s">
        <v>3764</v>
      </c>
      <c r="E1123" s="48" t="s">
        <v>1790</v>
      </c>
      <c r="F1123" s="66" t="b">
        <v>0</v>
      </c>
      <c r="G1123" s="54" t="b">
        <v>1</v>
      </c>
      <c r="H1123" s="54" t="b">
        <v>1</v>
      </c>
      <c r="I1123" s="54" t="b">
        <v>1</v>
      </c>
      <c r="J1123" s="54" t="b">
        <v>1</v>
      </c>
      <c r="K1123" s="63" t="s">
        <v>634</v>
      </c>
      <c r="L1123" s="63" t="s">
        <v>3763</v>
      </c>
      <c r="M1123" s="63" t="s">
        <v>3764</v>
      </c>
      <c r="N1123" s="63" t="s">
        <v>1790</v>
      </c>
    </row>
    <row r="1124" spans="1:14" x14ac:dyDescent="0.2">
      <c r="A1124" s="51">
        <v>1123</v>
      </c>
      <c r="B1124" s="54" t="s">
        <v>634</v>
      </c>
      <c r="C1124" s="47" t="s">
        <v>3623</v>
      </c>
      <c r="D1124" s="47" t="s">
        <v>3624</v>
      </c>
      <c r="E1124" s="48" t="s">
        <v>1790</v>
      </c>
      <c r="F1124" s="66" t="b">
        <v>0</v>
      </c>
      <c r="G1124" s="54" t="b">
        <v>1</v>
      </c>
      <c r="H1124" s="54" t="b">
        <v>1</v>
      </c>
      <c r="I1124" s="54" t="b">
        <v>1</v>
      </c>
      <c r="J1124" s="54" t="b">
        <v>1</v>
      </c>
      <c r="K1124" s="63" t="s">
        <v>634</v>
      </c>
      <c r="L1124" s="63" t="s">
        <v>3623</v>
      </c>
      <c r="M1124" s="63" t="s">
        <v>3624</v>
      </c>
      <c r="N1124" s="63" t="s">
        <v>1790</v>
      </c>
    </row>
    <row r="1125" spans="1:14" x14ac:dyDescent="0.2">
      <c r="A1125" s="51">
        <v>1124</v>
      </c>
      <c r="B1125" s="54" t="s">
        <v>634</v>
      </c>
      <c r="C1125" s="47" t="s">
        <v>3617</v>
      </c>
      <c r="D1125" s="47" t="s">
        <v>3618</v>
      </c>
      <c r="E1125" s="48" t="s">
        <v>1790</v>
      </c>
      <c r="F1125" s="66" t="b">
        <v>0</v>
      </c>
      <c r="G1125" s="54" t="b">
        <v>1</v>
      </c>
      <c r="H1125" s="54" t="b">
        <v>1</v>
      </c>
      <c r="I1125" s="54" t="b">
        <v>1</v>
      </c>
      <c r="J1125" s="54" t="b">
        <v>1</v>
      </c>
      <c r="K1125" s="63" t="s">
        <v>634</v>
      </c>
      <c r="L1125" s="63" t="s">
        <v>3617</v>
      </c>
      <c r="M1125" s="63" t="s">
        <v>3618</v>
      </c>
      <c r="N1125" s="63" t="s">
        <v>1790</v>
      </c>
    </row>
    <row r="1126" spans="1:14" x14ac:dyDescent="0.2">
      <c r="A1126" s="51">
        <v>1125</v>
      </c>
      <c r="B1126" s="54" t="s">
        <v>634</v>
      </c>
      <c r="C1126" s="47" t="s">
        <v>3669</v>
      </c>
      <c r="D1126" s="47" t="s">
        <v>3670</v>
      </c>
      <c r="E1126" s="48" t="s">
        <v>1790</v>
      </c>
      <c r="F1126" s="66" t="b">
        <v>0</v>
      </c>
      <c r="G1126" s="54" t="b">
        <v>1</v>
      </c>
      <c r="H1126" s="54" t="b">
        <v>1</v>
      </c>
      <c r="I1126" s="54" t="b">
        <v>1</v>
      </c>
      <c r="J1126" s="54" t="b">
        <v>1</v>
      </c>
      <c r="K1126" s="63" t="s">
        <v>634</v>
      </c>
      <c r="L1126" s="63" t="s">
        <v>3669</v>
      </c>
      <c r="M1126" s="63" t="s">
        <v>3670</v>
      </c>
      <c r="N1126" s="63" t="s">
        <v>1790</v>
      </c>
    </row>
    <row r="1127" spans="1:14" x14ac:dyDescent="0.2">
      <c r="A1127" s="51">
        <v>1126</v>
      </c>
      <c r="B1127" s="54" t="s">
        <v>634</v>
      </c>
      <c r="C1127" s="47" t="s">
        <v>3671</v>
      </c>
      <c r="D1127" s="47" t="s">
        <v>3672</v>
      </c>
      <c r="E1127" s="48" t="s">
        <v>1790</v>
      </c>
      <c r="F1127" s="66" t="b">
        <v>0</v>
      </c>
      <c r="G1127" s="54" t="b">
        <v>1</v>
      </c>
      <c r="H1127" s="54" t="b">
        <v>1</v>
      </c>
      <c r="I1127" s="54" t="b">
        <v>1</v>
      </c>
      <c r="J1127" s="54" t="b">
        <v>1</v>
      </c>
      <c r="K1127" s="63" t="s">
        <v>634</v>
      </c>
      <c r="L1127" s="63" t="s">
        <v>3671</v>
      </c>
      <c r="M1127" s="63" t="s">
        <v>3672</v>
      </c>
      <c r="N1127" s="63" t="s">
        <v>1790</v>
      </c>
    </row>
    <row r="1128" spans="1:14" x14ac:dyDescent="0.2">
      <c r="A1128" s="51">
        <v>1127</v>
      </c>
      <c r="B1128" s="54" t="s">
        <v>634</v>
      </c>
      <c r="C1128" s="47" t="s">
        <v>3677</v>
      </c>
      <c r="D1128" s="47" t="s">
        <v>3678</v>
      </c>
      <c r="E1128" s="48" t="s">
        <v>1790</v>
      </c>
      <c r="F1128" s="66" t="b">
        <v>0</v>
      </c>
      <c r="G1128" s="54" t="b">
        <v>1</v>
      </c>
      <c r="H1128" s="54" t="b">
        <v>1</v>
      </c>
      <c r="I1128" s="54" t="b">
        <v>1</v>
      </c>
      <c r="J1128" s="54" t="b">
        <v>1</v>
      </c>
      <c r="K1128" s="63" t="s">
        <v>634</v>
      </c>
      <c r="L1128" s="63" t="s">
        <v>3677</v>
      </c>
      <c r="M1128" s="63" t="s">
        <v>3678</v>
      </c>
      <c r="N1128" s="63" t="s">
        <v>1790</v>
      </c>
    </row>
    <row r="1129" spans="1:14" x14ac:dyDescent="0.2">
      <c r="A1129" s="51">
        <v>1128</v>
      </c>
      <c r="B1129" s="54" t="s">
        <v>634</v>
      </c>
      <c r="C1129" s="47" t="s">
        <v>3773</v>
      </c>
      <c r="D1129" s="47" t="s">
        <v>3774</v>
      </c>
      <c r="E1129" s="48" t="s">
        <v>1790</v>
      </c>
      <c r="F1129" s="66" t="b">
        <v>0</v>
      </c>
      <c r="G1129" s="54" t="b">
        <v>1</v>
      </c>
      <c r="H1129" s="54" t="b">
        <v>1</v>
      </c>
      <c r="I1129" s="54" t="b">
        <v>1</v>
      </c>
      <c r="J1129" s="54" t="b">
        <v>1</v>
      </c>
      <c r="K1129" s="63" t="s">
        <v>634</v>
      </c>
      <c r="L1129" s="63" t="s">
        <v>3773</v>
      </c>
      <c r="M1129" s="63" t="s">
        <v>3774</v>
      </c>
      <c r="N1129" s="63" t="s">
        <v>1790</v>
      </c>
    </row>
    <row r="1130" spans="1:14" x14ac:dyDescent="0.2">
      <c r="A1130" s="51">
        <v>1129</v>
      </c>
      <c r="B1130" s="54" t="s">
        <v>634</v>
      </c>
      <c r="C1130" s="47" t="s">
        <v>3797</v>
      </c>
      <c r="D1130" s="47" t="s">
        <v>3798</v>
      </c>
      <c r="E1130" s="48" t="s">
        <v>1790</v>
      </c>
      <c r="F1130" s="66" t="b">
        <v>0</v>
      </c>
      <c r="G1130" s="54" t="b">
        <v>1</v>
      </c>
      <c r="H1130" s="54" t="b">
        <v>1</v>
      </c>
      <c r="I1130" s="54" t="b">
        <v>1</v>
      </c>
      <c r="J1130" s="54" t="b">
        <v>1</v>
      </c>
      <c r="K1130" s="63" t="s">
        <v>634</v>
      </c>
      <c r="L1130" s="63" t="s">
        <v>3797</v>
      </c>
      <c r="M1130" s="63" t="s">
        <v>3798</v>
      </c>
      <c r="N1130" s="63" t="s">
        <v>1790</v>
      </c>
    </row>
    <row r="1131" spans="1:14" x14ac:dyDescent="0.2">
      <c r="A1131" s="51">
        <v>1130</v>
      </c>
      <c r="B1131" s="54" t="s">
        <v>634</v>
      </c>
      <c r="C1131" s="47" t="s">
        <v>3801</v>
      </c>
      <c r="D1131" s="47" t="s">
        <v>3802</v>
      </c>
      <c r="E1131" s="48" t="s">
        <v>1790</v>
      </c>
      <c r="F1131" s="66" t="b">
        <v>0</v>
      </c>
      <c r="G1131" s="54" t="b">
        <v>1</v>
      </c>
      <c r="H1131" s="54" t="b">
        <v>1</v>
      </c>
      <c r="I1131" s="54" t="b">
        <v>1</v>
      </c>
      <c r="J1131" s="54" t="b">
        <v>1</v>
      </c>
      <c r="K1131" s="63" t="s">
        <v>634</v>
      </c>
      <c r="L1131" s="63" t="s">
        <v>3801</v>
      </c>
      <c r="M1131" s="63" t="s">
        <v>3802</v>
      </c>
      <c r="N1131" s="63" t="s">
        <v>1790</v>
      </c>
    </row>
    <row r="1132" spans="1:14" x14ac:dyDescent="0.2">
      <c r="A1132" s="51">
        <v>1131</v>
      </c>
      <c r="B1132" s="54" t="s">
        <v>634</v>
      </c>
      <c r="C1132" s="47" t="s">
        <v>3633</v>
      </c>
      <c r="D1132" s="47" t="s">
        <v>3634</v>
      </c>
      <c r="E1132" s="48" t="s">
        <v>1790</v>
      </c>
      <c r="F1132" s="66" t="b">
        <v>0</v>
      </c>
      <c r="G1132" s="54" t="b">
        <v>1</v>
      </c>
      <c r="H1132" s="54" t="b">
        <v>1</v>
      </c>
      <c r="I1132" s="54" t="b">
        <v>1</v>
      </c>
      <c r="J1132" s="54" t="b">
        <v>1</v>
      </c>
      <c r="K1132" s="63" t="s">
        <v>634</v>
      </c>
      <c r="L1132" s="63" t="s">
        <v>3633</v>
      </c>
      <c r="M1132" s="63" t="s">
        <v>3634</v>
      </c>
      <c r="N1132" s="63" t="s">
        <v>1790</v>
      </c>
    </row>
    <row r="1133" spans="1:14" x14ac:dyDescent="0.2">
      <c r="A1133" s="51">
        <v>1132</v>
      </c>
      <c r="B1133" s="54" t="s">
        <v>634</v>
      </c>
      <c r="C1133" s="47" t="s">
        <v>3665</v>
      </c>
      <c r="D1133" s="47" t="s">
        <v>3666</v>
      </c>
      <c r="E1133" s="48" t="s">
        <v>1790</v>
      </c>
      <c r="F1133" s="66" t="b">
        <v>0</v>
      </c>
      <c r="G1133" s="54" t="b">
        <v>1</v>
      </c>
      <c r="H1133" s="54" t="b">
        <v>1</v>
      </c>
      <c r="I1133" s="54" t="b">
        <v>1</v>
      </c>
      <c r="J1133" s="54" t="b">
        <v>1</v>
      </c>
      <c r="K1133" s="63" t="s">
        <v>634</v>
      </c>
      <c r="L1133" s="63" t="s">
        <v>3665</v>
      </c>
      <c r="M1133" s="63" t="s">
        <v>3666</v>
      </c>
      <c r="N1133" s="63" t="s">
        <v>1790</v>
      </c>
    </row>
    <row r="1134" spans="1:14" x14ac:dyDescent="0.2">
      <c r="A1134" s="51">
        <v>1133</v>
      </c>
      <c r="B1134" s="54" t="s">
        <v>634</v>
      </c>
      <c r="C1134" s="47" t="s">
        <v>3761</v>
      </c>
      <c r="D1134" s="47" t="s">
        <v>3762</v>
      </c>
      <c r="E1134" s="48" t="s">
        <v>1790</v>
      </c>
      <c r="F1134" s="66" t="b">
        <v>0</v>
      </c>
      <c r="G1134" s="54" t="b">
        <v>1</v>
      </c>
      <c r="H1134" s="54" t="b">
        <v>1</v>
      </c>
      <c r="I1134" s="54" t="b">
        <v>1</v>
      </c>
      <c r="J1134" s="54" t="b">
        <v>1</v>
      </c>
      <c r="K1134" s="63" t="s">
        <v>634</v>
      </c>
      <c r="L1134" s="63" t="s">
        <v>3761</v>
      </c>
      <c r="M1134" s="63" t="s">
        <v>3762</v>
      </c>
      <c r="N1134" s="63" t="s">
        <v>1790</v>
      </c>
    </row>
    <row r="1135" spans="1:14" x14ac:dyDescent="0.2">
      <c r="A1135" s="51">
        <v>1134</v>
      </c>
      <c r="B1135" s="54" t="s">
        <v>634</v>
      </c>
      <c r="C1135" s="47" t="s">
        <v>3631</v>
      </c>
      <c r="D1135" s="47" t="s">
        <v>3632</v>
      </c>
      <c r="E1135" s="48" t="s">
        <v>1790</v>
      </c>
      <c r="F1135" s="66" t="b">
        <v>0</v>
      </c>
      <c r="G1135" s="54" t="b">
        <v>1</v>
      </c>
      <c r="H1135" s="54" t="b">
        <v>1</v>
      </c>
      <c r="I1135" s="54" t="b">
        <v>1</v>
      </c>
      <c r="J1135" s="54" t="b">
        <v>1</v>
      </c>
      <c r="K1135" s="63" t="s">
        <v>634</v>
      </c>
      <c r="L1135" s="63" t="s">
        <v>3631</v>
      </c>
      <c r="M1135" s="63" t="s">
        <v>3632</v>
      </c>
      <c r="N1135" s="63" t="s">
        <v>1790</v>
      </c>
    </row>
    <row r="1136" spans="1:14" x14ac:dyDescent="0.2">
      <c r="A1136" s="51">
        <v>1135</v>
      </c>
      <c r="B1136" s="54" t="s">
        <v>634</v>
      </c>
      <c r="C1136" s="47" t="s">
        <v>3645</v>
      </c>
      <c r="D1136" s="47" t="s">
        <v>3646</v>
      </c>
      <c r="E1136" s="48" t="s">
        <v>1790</v>
      </c>
      <c r="F1136" s="66" t="b">
        <v>0</v>
      </c>
      <c r="G1136" s="54" t="b">
        <v>1</v>
      </c>
      <c r="H1136" s="54" t="b">
        <v>1</v>
      </c>
      <c r="I1136" s="54" t="b">
        <v>1</v>
      </c>
      <c r="J1136" s="54" t="b">
        <v>1</v>
      </c>
      <c r="K1136" s="63" t="s">
        <v>634</v>
      </c>
      <c r="L1136" s="63" t="s">
        <v>3645</v>
      </c>
      <c r="M1136" s="63" t="s">
        <v>3646</v>
      </c>
      <c r="N1136" s="63" t="s">
        <v>1790</v>
      </c>
    </row>
    <row r="1137" spans="1:14" x14ac:dyDescent="0.2">
      <c r="A1137" s="51">
        <v>1136</v>
      </c>
      <c r="B1137" s="54" t="s">
        <v>634</v>
      </c>
      <c r="C1137" s="47" t="s">
        <v>3685</v>
      </c>
      <c r="D1137" s="47" t="s">
        <v>3686</v>
      </c>
      <c r="E1137" s="48" t="s">
        <v>1790</v>
      </c>
      <c r="F1137" s="66" t="b">
        <v>0</v>
      </c>
      <c r="G1137" s="54" t="b">
        <v>1</v>
      </c>
      <c r="H1137" s="54" t="b">
        <v>1</v>
      </c>
      <c r="I1137" s="54" t="b">
        <v>1</v>
      </c>
      <c r="J1137" s="54" t="b">
        <v>1</v>
      </c>
      <c r="K1137" s="63" t="s">
        <v>634</v>
      </c>
      <c r="L1137" s="63" t="s">
        <v>3685</v>
      </c>
      <c r="M1137" s="63" t="s">
        <v>3686</v>
      </c>
      <c r="N1137" s="63" t="s">
        <v>1790</v>
      </c>
    </row>
    <row r="1138" spans="1:14" x14ac:dyDescent="0.2">
      <c r="A1138" s="51">
        <v>1137</v>
      </c>
      <c r="B1138" s="54" t="s">
        <v>634</v>
      </c>
      <c r="C1138" s="47" t="s">
        <v>3759</v>
      </c>
      <c r="D1138" s="47" t="s">
        <v>3760</v>
      </c>
      <c r="E1138" s="48" t="s">
        <v>1790</v>
      </c>
      <c r="F1138" s="66" t="b">
        <v>0</v>
      </c>
      <c r="G1138" s="54" t="b">
        <v>1</v>
      </c>
      <c r="H1138" s="54" t="b">
        <v>1</v>
      </c>
      <c r="I1138" s="54" t="b">
        <v>1</v>
      </c>
      <c r="J1138" s="54" t="b">
        <v>1</v>
      </c>
      <c r="K1138" s="63" t="s">
        <v>634</v>
      </c>
      <c r="L1138" s="63" t="s">
        <v>3759</v>
      </c>
      <c r="M1138" s="63" t="s">
        <v>3760</v>
      </c>
      <c r="N1138" s="63" t="s">
        <v>1790</v>
      </c>
    </row>
    <row r="1139" spans="1:14" x14ac:dyDescent="0.2">
      <c r="A1139" s="51">
        <v>1138</v>
      </c>
      <c r="B1139" s="54" t="s">
        <v>634</v>
      </c>
      <c r="C1139" s="47" t="s">
        <v>3775</v>
      </c>
      <c r="D1139" s="47" t="s">
        <v>3776</v>
      </c>
      <c r="E1139" s="48" t="s">
        <v>1790</v>
      </c>
      <c r="F1139" s="66" t="b">
        <v>0</v>
      </c>
      <c r="G1139" s="54" t="b">
        <v>1</v>
      </c>
      <c r="H1139" s="54" t="b">
        <v>1</v>
      </c>
      <c r="I1139" s="54" t="b">
        <v>1</v>
      </c>
      <c r="J1139" s="54" t="b">
        <v>1</v>
      </c>
      <c r="K1139" s="63" t="s">
        <v>634</v>
      </c>
      <c r="L1139" s="63" t="s">
        <v>3775</v>
      </c>
      <c r="M1139" s="63" t="s">
        <v>3776</v>
      </c>
      <c r="N1139" s="63" t="s">
        <v>1790</v>
      </c>
    </row>
    <row r="1140" spans="1:14" x14ac:dyDescent="0.2">
      <c r="A1140" s="51">
        <v>1139</v>
      </c>
      <c r="B1140" s="54" t="s">
        <v>634</v>
      </c>
      <c r="C1140" s="47" t="s">
        <v>3619</v>
      </c>
      <c r="D1140" s="47" t="s">
        <v>3620</v>
      </c>
      <c r="E1140" s="48" t="s">
        <v>1790</v>
      </c>
      <c r="F1140" s="66" t="b">
        <v>0</v>
      </c>
      <c r="G1140" s="54" t="b">
        <v>1</v>
      </c>
      <c r="H1140" s="54" t="b">
        <v>1</v>
      </c>
      <c r="I1140" s="54" t="b">
        <v>1</v>
      </c>
      <c r="J1140" s="54" t="b">
        <v>1</v>
      </c>
      <c r="K1140" s="63" t="s">
        <v>634</v>
      </c>
      <c r="L1140" s="63" t="s">
        <v>3619</v>
      </c>
      <c r="M1140" s="63" t="s">
        <v>3620</v>
      </c>
      <c r="N1140" s="63" t="s">
        <v>1790</v>
      </c>
    </row>
    <row r="1141" spans="1:14" x14ac:dyDescent="0.2">
      <c r="A1141" s="51">
        <v>1140</v>
      </c>
      <c r="B1141" s="54" t="s">
        <v>634</v>
      </c>
      <c r="C1141" s="47" t="s">
        <v>3695</v>
      </c>
      <c r="D1141" s="47" t="s">
        <v>3696</v>
      </c>
      <c r="E1141" s="48" t="s">
        <v>1790</v>
      </c>
      <c r="F1141" s="66" t="b">
        <v>0</v>
      </c>
      <c r="G1141" s="54" t="b">
        <v>1</v>
      </c>
      <c r="H1141" s="54" t="b">
        <v>1</v>
      </c>
      <c r="I1141" s="54" t="b">
        <v>1</v>
      </c>
      <c r="J1141" s="54" t="b">
        <v>1</v>
      </c>
      <c r="K1141" s="63" t="s">
        <v>634</v>
      </c>
      <c r="L1141" s="63" t="s">
        <v>3695</v>
      </c>
      <c r="M1141" s="63" t="s">
        <v>3696</v>
      </c>
      <c r="N1141" s="63" t="s">
        <v>1790</v>
      </c>
    </row>
    <row r="1142" spans="1:14" x14ac:dyDescent="0.2">
      <c r="A1142" s="51">
        <v>1141</v>
      </c>
      <c r="B1142" s="54" t="s">
        <v>634</v>
      </c>
      <c r="C1142" s="47" t="s">
        <v>3769</v>
      </c>
      <c r="D1142" s="47" t="s">
        <v>3770</v>
      </c>
      <c r="E1142" s="48" t="s">
        <v>1790</v>
      </c>
      <c r="F1142" s="66" t="b">
        <v>0</v>
      </c>
      <c r="G1142" s="54" t="b">
        <v>1</v>
      </c>
      <c r="H1142" s="54" t="b">
        <v>1</v>
      </c>
      <c r="I1142" s="54" t="b">
        <v>1</v>
      </c>
      <c r="J1142" s="54" t="b">
        <v>1</v>
      </c>
      <c r="K1142" s="63" t="s">
        <v>634</v>
      </c>
      <c r="L1142" s="63" t="s">
        <v>3769</v>
      </c>
      <c r="M1142" s="63" t="s">
        <v>3770</v>
      </c>
      <c r="N1142" s="63" t="s">
        <v>1790</v>
      </c>
    </row>
    <row r="1143" spans="1:14" x14ac:dyDescent="0.2">
      <c r="A1143" s="51">
        <v>1142</v>
      </c>
      <c r="B1143" s="54" t="s">
        <v>634</v>
      </c>
      <c r="C1143" s="47" t="s">
        <v>3799</v>
      </c>
      <c r="D1143" s="47" t="s">
        <v>3800</v>
      </c>
      <c r="E1143" s="48" t="s">
        <v>1790</v>
      </c>
      <c r="F1143" s="66" t="b">
        <v>0</v>
      </c>
      <c r="G1143" s="54" t="b">
        <v>1</v>
      </c>
      <c r="H1143" s="54" t="b">
        <v>1</v>
      </c>
      <c r="I1143" s="54" t="b">
        <v>1</v>
      </c>
      <c r="J1143" s="54" t="b">
        <v>1</v>
      </c>
      <c r="K1143" s="63" t="s">
        <v>634</v>
      </c>
      <c r="L1143" s="63" t="s">
        <v>3799</v>
      </c>
      <c r="M1143" s="63" t="s">
        <v>3800</v>
      </c>
      <c r="N1143" s="63" t="s">
        <v>1790</v>
      </c>
    </row>
    <row r="1144" spans="1:14" x14ac:dyDescent="0.2">
      <c r="A1144" s="51">
        <v>1143</v>
      </c>
      <c r="B1144" s="54" t="s">
        <v>634</v>
      </c>
      <c r="C1144" s="47" t="s">
        <v>3627</v>
      </c>
      <c r="D1144" s="47" t="s">
        <v>3628</v>
      </c>
      <c r="E1144" s="48" t="s">
        <v>1790</v>
      </c>
      <c r="F1144" s="66" t="b">
        <v>0</v>
      </c>
      <c r="G1144" s="54" t="b">
        <v>1</v>
      </c>
      <c r="H1144" s="54" t="b">
        <v>1</v>
      </c>
      <c r="I1144" s="54" t="b">
        <v>1</v>
      </c>
      <c r="J1144" s="54" t="b">
        <v>1</v>
      </c>
      <c r="K1144" s="63" t="s">
        <v>634</v>
      </c>
      <c r="L1144" s="63" t="s">
        <v>3627</v>
      </c>
      <c r="M1144" s="63" t="s">
        <v>3628</v>
      </c>
      <c r="N1144" s="63" t="s">
        <v>1790</v>
      </c>
    </row>
    <row r="1145" spans="1:14" x14ac:dyDescent="0.2">
      <c r="A1145" s="51">
        <v>1144</v>
      </c>
      <c r="B1145" s="54" t="s">
        <v>634</v>
      </c>
      <c r="C1145" s="47" t="s">
        <v>3637</v>
      </c>
      <c r="D1145" s="47" t="s">
        <v>3638</v>
      </c>
      <c r="E1145" s="48" t="s">
        <v>1790</v>
      </c>
      <c r="F1145" s="66" t="b">
        <v>0</v>
      </c>
      <c r="G1145" s="54" t="b">
        <v>1</v>
      </c>
      <c r="H1145" s="54" t="b">
        <v>1</v>
      </c>
      <c r="I1145" s="54" t="b">
        <v>1</v>
      </c>
      <c r="J1145" s="54" t="b">
        <v>1</v>
      </c>
      <c r="K1145" s="63" t="s">
        <v>634</v>
      </c>
      <c r="L1145" s="63" t="s">
        <v>3637</v>
      </c>
      <c r="M1145" s="63" t="s">
        <v>3638</v>
      </c>
      <c r="N1145" s="63" t="s">
        <v>1790</v>
      </c>
    </row>
    <row r="1146" spans="1:14" x14ac:dyDescent="0.2">
      <c r="A1146" s="51">
        <v>1145</v>
      </c>
      <c r="B1146" s="54" t="s">
        <v>634</v>
      </c>
      <c r="C1146" s="47" t="s">
        <v>3699</v>
      </c>
      <c r="D1146" s="47" t="s">
        <v>3700</v>
      </c>
      <c r="E1146" s="48" t="s">
        <v>1790</v>
      </c>
      <c r="F1146" s="66" t="b">
        <v>0</v>
      </c>
      <c r="G1146" s="54" t="b">
        <v>1</v>
      </c>
      <c r="H1146" s="54" t="b">
        <v>1</v>
      </c>
      <c r="I1146" s="54" t="b">
        <v>1</v>
      </c>
      <c r="J1146" s="54" t="b">
        <v>1</v>
      </c>
      <c r="K1146" s="63" t="s">
        <v>634</v>
      </c>
      <c r="L1146" s="63" t="s">
        <v>3699</v>
      </c>
      <c r="M1146" s="63" t="s">
        <v>3700</v>
      </c>
      <c r="N1146" s="63" t="s">
        <v>1790</v>
      </c>
    </row>
    <row r="1147" spans="1:14" x14ac:dyDescent="0.2">
      <c r="A1147" s="51">
        <v>1146</v>
      </c>
      <c r="B1147" s="54" t="s">
        <v>634</v>
      </c>
      <c r="C1147" s="47" t="s">
        <v>3779</v>
      </c>
      <c r="D1147" s="47" t="s">
        <v>3780</v>
      </c>
      <c r="E1147" s="48" t="s">
        <v>1790</v>
      </c>
      <c r="F1147" s="66" t="b">
        <v>0</v>
      </c>
      <c r="G1147" s="54" t="b">
        <v>1</v>
      </c>
      <c r="H1147" s="54" t="b">
        <v>1</v>
      </c>
      <c r="I1147" s="54" t="b">
        <v>1</v>
      </c>
      <c r="J1147" s="54" t="b">
        <v>1</v>
      </c>
      <c r="K1147" s="63" t="s">
        <v>634</v>
      </c>
      <c r="L1147" s="63" t="s">
        <v>3779</v>
      </c>
      <c r="M1147" s="63" t="s">
        <v>3780</v>
      </c>
      <c r="N1147" s="63" t="s">
        <v>1790</v>
      </c>
    </row>
    <row r="1148" spans="1:14" x14ac:dyDescent="0.2">
      <c r="A1148" s="51">
        <v>1147</v>
      </c>
      <c r="B1148" s="54" t="s">
        <v>634</v>
      </c>
      <c r="C1148" s="47" t="s">
        <v>3809</v>
      </c>
      <c r="D1148" s="47" t="s">
        <v>12297</v>
      </c>
      <c r="E1148" s="48" t="s">
        <v>1790</v>
      </c>
      <c r="F1148" s="66" t="b">
        <v>0</v>
      </c>
      <c r="G1148" s="54" t="b">
        <v>1</v>
      </c>
      <c r="H1148" s="54" t="b">
        <v>1</v>
      </c>
      <c r="I1148" s="65" t="b">
        <v>0</v>
      </c>
      <c r="J1148" s="54" t="b">
        <v>1</v>
      </c>
      <c r="K1148" s="63" t="s">
        <v>634</v>
      </c>
      <c r="L1148" s="63" t="s">
        <v>3809</v>
      </c>
      <c r="M1148" s="63" t="s">
        <v>3810</v>
      </c>
      <c r="N1148" s="63" t="s">
        <v>1790</v>
      </c>
    </row>
    <row r="1149" spans="1:14" x14ac:dyDescent="0.2">
      <c r="A1149" s="51">
        <v>1148</v>
      </c>
      <c r="B1149" s="54" t="s">
        <v>634</v>
      </c>
      <c r="C1149" s="47" t="s">
        <v>3605</v>
      </c>
      <c r="D1149" s="47" t="s">
        <v>3606</v>
      </c>
      <c r="E1149" s="48" t="s">
        <v>1790</v>
      </c>
      <c r="F1149" s="66" t="b">
        <v>0</v>
      </c>
      <c r="G1149" s="54" t="b">
        <v>1</v>
      </c>
      <c r="H1149" s="54" t="b">
        <v>1</v>
      </c>
      <c r="I1149" s="54" t="b">
        <v>1</v>
      </c>
      <c r="J1149" s="54" t="b">
        <v>1</v>
      </c>
      <c r="K1149" s="63" t="s">
        <v>634</v>
      </c>
      <c r="L1149" s="63" t="s">
        <v>3605</v>
      </c>
      <c r="M1149" s="63" t="s">
        <v>3606</v>
      </c>
      <c r="N1149" s="63" t="s">
        <v>1790</v>
      </c>
    </row>
    <row r="1150" spans="1:14" x14ac:dyDescent="0.2">
      <c r="A1150" s="51">
        <v>1149</v>
      </c>
      <c r="B1150" s="54" t="s">
        <v>634</v>
      </c>
      <c r="C1150" s="47" t="s">
        <v>3607</v>
      </c>
      <c r="D1150" s="47" t="s">
        <v>12266</v>
      </c>
      <c r="E1150" s="48" t="s">
        <v>1790</v>
      </c>
      <c r="F1150" s="66" t="b">
        <v>0</v>
      </c>
      <c r="G1150" s="54" t="b">
        <v>1</v>
      </c>
      <c r="H1150" s="54" t="b">
        <v>1</v>
      </c>
      <c r="I1150" s="65" t="b">
        <v>0</v>
      </c>
      <c r="J1150" s="54" t="b">
        <v>1</v>
      </c>
      <c r="K1150" s="63" t="s">
        <v>634</v>
      </c>
      <c r="L1150" s="63" t="s">
        <v>3607</v>
      </c>
      <c r="M1150" s="63" t="s">
        <v>3608</v>
      </c>
      <c r="N1150" s="63" t="s">
        <v>1790</v>
      </c>
    </row>
    <row r="1151" spans="1:14" x14ac:dyDescent="0.2">
      <c r="A1151" s="51">
        <v>1150</v>
      </c>
      <c r="B1151" s="54" t="s">
        <v>634</v>
      </c>
      <c r="C1151" s="47" t="s">
        <v>3609</v>
      </c>
      <c r="D1151" s="47" t="s">
        <v>12258</v>
      </c>
      <c r="E1151" s="48" t="s">
        <v>1790</v>
      </c>
      <c r="F1151" s="66" t="b">
        <v>0</v>
      </c>
      <c r="G1151" s="54" t="b">
        <v>1</v>
      </c>
      <c r="H1151" s="54" t="b">
        <v>1</v>
      </c>
      <c r="I1151" s="65" t="b">
        <v>0</v>
      </c>
      <c r="J1151" s="54" t="b">
        <v>1</v>
      </c>
      <c r="K1151" s="63" t="s">
        <v>634</v>
      </c>
      <c r="L1151" s="63" t="s">
        <v>3609</v>
      </c>
      <c r="M1151" s="63" t="s">
        <v>3610</v>
      </c>
      <c r="N1151" s="63" t="s">
        <v>1790</v>
      </c>
    </row>
    <row r="1152" spans="1:14" x14ac:dyDescent="0.2">
      <c r="A1152" s="51">
        <v>1151</v>
      </c>
      <c r="B1152" s="54" t="s">
        <v>634</v>
      </c>
      <c r="C1152" s="47" t="s">
        <v>3613</v>
      </c>
      <c r="D1152" s="47" t="s">
        <v>3614</v>
      </c>
      <c r="E1152" s="48" t="s">
        <v>1790</v>
      </c>
      <c r="F1152" s="66" t="b">
        <v>0</v>
      </c>
      <c r="G1152" s="54" t="b">
        <v>1</v>
      </c>
      <c r="H1152" s="54" t="b">
        <v>1</v>
      </c>
      <c r="I1152" s="54" t="b">
        <v>1</v>
      </c>
      <c r="J1152" s="54" t="b">
        <v>1</v>
      </c>
      <c r="K1152" s="63" t="s">
        <v>634</v>
      </c>
      <c r="L1152" s="63" t="s">
        <v>3613</v>
      </c>
      <c r="M1152" s="63" t="s">
        <v>3614</v>
      </c>
      <c r="N1152" s="63" t="s">
        <v>1790</v>
      </c>
    </row>
    <row r="1153" spans="1:14" x14ac:dyDescent="0.2">
      <c r="A1153" s="51">
        <v>1152</v>
      </c>
      <c r="B1153" s="54" t="s">
        <v>634</v>
      </c>
      <c r="C1153" s="47" t="s">
        <v>3629</v>
      </c>
      <c r="D1153" s="47" t="s">
        <v>3630</v>
      </c>
      <c r="E1153" s="48" t="s">
        <v>1790</v>
      </c>
      <c r="F1153" s="66" t="b">
        <v>0</v>
      </c>
      <c r="G1153" s="54" t="b">
        <v>1</v>
      </c>
      <c r="H1153" s="54" t="b">
        <v>1</v>
      </c>
      <c r="I1153" s="54" t="b">
        <v>1</v>
      </c>
      <c r="J1153" s="54" t="b">
        <v>1</v>
      </c>
      <c r="K1153" s="63" t="s">
        <v>634</v>
      </c>
      <c r="L1153" s="63" t="s">
        <v>3629</v>
      </c>
      <c r="M1153" s="63" t="s">
        <v>3630</v>
      </c>
      <c r="N1153" s="63" t="s">
        <v>1790</v>
      </c>
    </row>
    <row r="1154" spans="1:14" x14ac:dyDescent="0.2">
      <c r="A1154" s="51">
        <v>1153</v>
      </c>
      <c r="B1154" s="54" t="s">
        <v>634</v>
      </c>
      <c r="C1154" s="47" t="s">
        <v>3787</v>
      </c>
      <c r="D1154" s="47" t="s">
        <v>3788</v>
      </c>
      <c r="E1154" s="48" t="s">
        <v>1790</v>
      </c>
      <c r="F1154" s="66" t="b">
        <v>0</v>
      </c>
      <c r="G1154" s="54" t="b">
        <v>1</v>
      </c>
      <c r="H1154" s="54" t="b">
        <v>1</v>
      </c>
      <c r="I1154" s="54" t="b">
        <v>1</v>
      </c>
      <c r="J1154" s="54" t="b">
        <v>1</v>
      </c>
      <c r="K1154" s="63" t="s">
        <v>634</v>
      </c>
      <c r="L1154" s="63" t="s">
        <v>3787</v>
      </c>
      <c r="M1154" s="63" t="s">
        <v>3788</v>
      </c>
      <c r="N1154" s="63" t="s">
        <v>1790</v>
      </c>
    </row>
    <row r="1155" spans="1:14" x14ac:dyDescent="0.2">
      <c r="A1155" s="51">
        <v>1154</v>
      </c>
      <c r="B1155" s="54" t="s">
        <v>634</v>
      </c>
      <c r="C1155" s="47" t="s">
        <v>3793</v>
      </c>
      <c r="D1155" s="47" t="s">
        <v>3794</v>
      </c>
      <c r="E1155" s="48" t="s">
        <v>1790</v>
      </c>
      <c r="F1155" s="66" t="b">
        <v>0</v>
      </c>
      <c r="G1155" s="54" t="b">
        <v>1</v>
      </c>
      <c r="H1155" s="54" t="b">
        <v>1</v>
      </c>
      <c r="I1155" s="54" t="b">
        <v>1</v>
      </c>
      <c r="J1155" s="54" t="b">
        <v>1</v>
      </c>
      <c r="K1155" s="63" t="s">
        <v>634</v>
      </c>
      <c r="L1155" s="63" t="s">
        <v>3793</v>
      </c>
      <c r="M1155" s="63" t="s">
        <v>3794</v>
      </c>
      <c r="N1155" s="63" t="s">
        <v>1790</v>
      </c>
    </row>
    <row r="1156" spans="1:14" x14ac:dyDescent="0.2">
      <c r="A1156" s="51">
        <v>1155</v>
      </c>
      <c r="B1156" s="54" t="s">
        <v>634</v>
      </c>
      <c r="C1156" s="47" t="s">
        <v>3635</v>
      </c>
      <c r="D1156" s="47" t="s">
        <v>3636</v>
      </c>
      <c r="E1156" s="48" t="s">
        <v>1790</v>
      </c>
      <c r="F1156" s="66" t="b">
        <v>0</v>
      </c>
      <c r="G1156" s="54" t="b">
        <v>1</v>
      </c>
      <c r="H1156" s="54" t="b">
        <v>1</v>
      </c>
      <c r="I1156" s="54" t="b">
        <v>1</v>
      </c>
      <c r="J1156" s="54" t="b">
        <v>1</v>
      </c>
      <c r="K1156" s="63" t="s">
        <v>634</v>
      </c>
      <c r="L1156" s="63" t="s">
        <v>3635</v>
      </c>
      <c r="M1156" s="63" t="s">
        <v>3636</v>
      </c>
      <c r="N1156" s="63" t="s">
        <v>1790</v>
      </c>
    </row>
    <row r="1157" spans="1:14" x14ac:dyDescent="0.2">
      <c r="A1157" s="51">
        <v>1156</v>
      </c>
      <c r="B1157" s="54" t="s">
        <v>634</v>
      </c>
      <c r="C1157" s="47" t="s">
        <v>3687</v>
      </c>
      <c r="D1157" s="47" t="s">
        <v>3688</v>
      </c>
      <c r="E1157" s="48" t="s">
        <v>1790</v>
      </c>
      <c r="F1157" s="66" t="b">
        <v>0</v>
      </c>
      <c r="G1157" s="54" t="b">
        <v>1</v>
      </c>
      <c r="H1157" s="54" t="b">
        <v>1</v>
      </c>
      <c r="I1157" s="54" t="b">
        <v>1</v>
      </c>
      <c r="J1157" s="54" t="b">
        <v>1</v>
      </c>
      <c r="K1157" s="63" t="s">
        <v>634</v>
      </c>
      <c r="L1157" s="63" t="s">
        <v>3687</v>
      </c>
      <c r="M1157" s="63" t="s">
        <v>3688</v>
      </c>
      <c r="N1157" s="63" t="s">
        <v>1790</v>
      </c>
    </row>
    <row r="1158" spans="1:14" x14ac:dyDescent="0.2">
      <c r="A1158" s="51">
        <v>1157</v>
      </c>
      <c r="B1158" s="54" t="s">
        <v>634</v>
      </c>
      <c r="C1158" s="47" t="s">
        <v>3747</v>
      </c>
      <c r="D1158" s="47" t="s">
        <v>12293</v>
      </c>
      <c r="E1158" s="48" t="s">
        <v>1790</v>
      </c>
      <c r="F1158" s="66" t="b">
        <v>0</v>
      </c>
      <c r="G1158" s="54" t="b">
        <v>1</v>
      </c>
      <c r="H1158" s="54" t="b">
        <v>1</v>
      </c>
      <c r="I1158" s="65" t="b">
        <v>0</v>
      </c>
      <c r="J1158" s="54" t="b">
        <v>1</v>
      </c>
      <c r="K1158" s="63" t="s">
        <v>634</v>
      </c>
      <c r="L1158" s="63" t="s">
        <v>3747</v>
      </c>
      <c r="M1158" s="63" t="s">
        <v>3748</v>
      </c>
      <c r="N1158" s="63" t="s">
        <v>1790</v>
      </c>
    </row>
    <row r="1159" spans="1:14" x14ac:dyDescent="0.2">
      <c r="A1159" s="51">
        <v>1158</v>
      </c>
      <c r="B1159" s="54" t="s">
        <v>634</v>
      </c>
      <c r="C1159" s="47" t="s">
        <v>3751</v>
      </c>
      <c r="D1159" s="47" t="s">
        <v>3752</v>
      </c>
      <c r="E1159" s="48" t="s">
        <v>1790</v>
      </c>
      <c r="F1159" s="66" t="b">
        <v>0</v>
      </c>
      <c r="G1159" s="54" t="b">
        <v>1</v>
      </c>
      <c r="H1159" s="54" t="b">
        <v>1</v>
      </c>
      <c r="I1159" s="54" t="b">
        <v>1</v>
      </c>
      <c r="J1159" s="54" t="b">
        <v>1</v>
      </c>
      <c r="K1159" s="63" t="s">
        <v>634</v>
      </c>
      <c r="L1159" s="63" t="s">
        <v>3751</v>
      </c>
      <c r="M1159" s="63" t="s">
        <v>3752</v>
      </c>
      <c r="N1159" s="63" t="s">
        <v>1790</v>
      </c>
    </row>
    <row r="1160" spans="1:14" x14ac:dyDescent="0.2">
      <c r="A1160" s="51">
        <v>1159</v>
      </c>
      <c r="B1160" s="54" t="s">
        <v>634</v>
      </c>
      <c r="C1160" s="47" t="s">
        <v>3807</v>
      </c>
      <c r="D1160" s="47" t="s">
        <v>3808</v>
      </c>
      <c r="E1160" s="48" t="s">
        <v>1790</v>
      </c>
      <c r="F1160" s="66" t="b">
        <v>0</v>
      </c>
      <c r="G1160" s="54" t="b">
        <v>1</v>
      </c>
      <c r="H1160" s="54" t="b">
        <v>1</v>
      </c>
      <c r="I1160" s="54" t="b">
        <v>1</v>
      </c>
      <c r="J1160" s="54" t="b">
        <v>1</v>
      </c>
      <c r="K1160" s="63" t="s">
        <v>634</v>
      </c>
      <c r="L1160" s="63" t="s">
        <v>3807</v>
      </c>
      <c r="M1160" s="63" t="s">
        <v>3808</v>
      </c>
      <c r="N1160" s="63" t="s">
        <v>1790</v>
      </c>
    </row>
    <row r="1161" spans="1:14" x14ac:dyDescent="0.2">
      <c r="A1161" s="51">
        <v>1160</v>
      </c>
      <c r="B1161" s="54" t="s">
        <v>634</v>
      </c>
      <c r="C1161" s="47" t="s">
        <v>3659</v>
      </c>
      <c r="D1161" s="47" t="s">
        <v>12264</v>
      </c>
      <c r="E1161" s="48" t="s">
        <v>1790</v>
      </c>
      <c r="F1161" s="66" t="b">
        <v>0</v>
      </c>
      <c r="G1161" s="54" t="b">
        <v>1</v>
      </c>
      <c r="H1161" s="54" t="b">
        <v>1</v>
      </c>
      <c r="I1161" s="65" t="b">
        <v>0</v>
      </c>
      <c r="J1161" s="54" t="b">
        <v>1</v>
      </c>
      <c r="K1161" s="63" t="s">
        <v>634</v>
      </c>
      <c r="L1161" s="63" t="s">
        <v>3659</v>
      </c>
      <c r="M1161" s="63" t="s">
        <v>3660</v>
      </c>
      <c r="N1161" s="63" t="s">
        <v>1790</v>
      </c>
    </row>
    <row r="1162" spans="1:14" x14ac:dyDescent="0.2">
      <c r="A1162" s="51">
        <v>1161</v>
      </c>
      <c r="B1162" s="54" t="s">
        <v>634</v>
      </c>
      <c r="C1162" s="47" t="s">
        <v>3781</v>
      </c>
      <c r="D1162" s="47" t="s">
        <v>12295</v>
      </c>
      <c r="E1162" s="48" t="s">
        <v>1790</v>
      </c>
      <c r="F1162" s="66" t="b">
        <v>0</v>
      </c>
      <c r="G1162" s="54" t="b">
        <v>1</v>
      </c>
      <c r="H1162" s="54" t="b">
        <v>1</v>
      </c>
      <c r="I1162" s="65" t="b">
        <v>0</v>
      </c>
      <c r="J1162" s="54" t="b">
        <v>1</v>
      </c>
      <c r="K1162" s="63" t="s">
        <v>634</v>
      </c>
      <c r="L1162" s="63" t="s">
        <v>3781</v>
      </c>
      <c r="M1162" s="63" t="s">
        <v>3782</v>
      </c>
      <c r="N1162" s="63" t="s">
        <v>1790</v>
      </c>
    </row>
    <row r="1163" spans="1:14" x14ac:dyDescent="0.2">
      <c r="A1163" s="51">
        <v>1162</v>
      </c>
      <c r="B1163" s="54" t="s">
        <v>634</v>
      </c>
      <c r="C1163" s="47" t="s">
        <v>3783</v>
      </c>
      <c r="D1163" s="47" t="s">
        <v>3784</v>
      </c>
      <c r="E1163" s="48" t="s">
        <v>1790</v>
      </c>
      <c r="F1163" s="66" t="b">
        <v>0</v>
      </c>
      <c r="G1163" s="54" t="b">
        <v>1</v>
      </c>
      <c r="H1163" s="54" t="b">
        <v>1</v>
      </c>
      <c r="I1163" s="54" t="b">
        <v>1</v>
      </c>
      <c r="J1163" s="54" t="b">
        <v>1</v>
      </c>
      <c r="K1163" s="63" t="s">
        <v>634</v>
      </c>
      <c r="L1163" s="63" t="s">
        <v>3783</v>
      </c>
      <c r="M1163" s="63" t="s">
        <v>3784</v>
      </c>
      <c r="N1163" s="63" t="s">
        <v>1790</v>
      </c>
    </row>
    <row r="1164" spans="1:14" x14ac:dyDescent="0.2">
      <c r="A1164" s="51">
        <v>1163</v>
      </c>
      <c r="B1164" s="54" t="s">
        <v>634</v>
      </c>
      <c r="C1164" s="47" t="s">
        <v>3789</v>
      </c>
      <c r="D1164" s="47" t="s">
        <v>3790</v>
      </c>
      <c r="E1164" s="48" t="s">
        <v>1790</v>
      </c>
      <c r="F1164" s="66" t="b">
        <v>0</v>
      </c>
      <c r="G1164" s="54" t="b">
        <v>1</v>
      </c>
      <c r="H1164" s="54" t="b">
        <v>1</v>
      </c>
      <c r="I1164" s="54" t="b">
        <v>1</v>
      </c>
      <c r="J1164" s="54" t="b">
        <v>1</v>
      </c>
      <c r="K1164" s="63" t="s">
        <v>634</v>
      </c>
      <c r="L1164" s="63" t="s">
        <v>3789</v>
      </c>
      <c r="M1164" s="63" t="s">
        <v>3790</v>
      </c>
      <c r="N1164" s="63" t="s">
        <v>1790</v>
      </c>
    </row>
    <row r="1165" spans="1:14" x14ac:dyDescent="0.2">
      <c r="A1165" s="51">
        <v>1164</v>
      </c>
      <c r="B1165" s="54" t="s">
        <v>634</v>
      </c>
      <c r="C1165" s="47" t="s">
        <v>3611</v>
      </c>
      <c r="D1165" s="47" t="s">
        <v>3612</v>
      </c>
      <c r="E1165" s="48" t="s">
        <v>1790</v>
      </c>
      <c r="F1165" s="66" t="b">
        <v>0</v>
      </c>
      <c r="G1165" s="54" t="b">
        <v>1</v>
      </c>
      <c r="H1165" s="54" t="b">
        <v>1</v>
      </c>
      <c r="I1165" s="54" t="b">
        <v>1</v>
      </c>
      <c r="J1165" s="54" t="b">
        <v>1</v>
      </c>
      <c r="K1165" s="63" t="s">
        <v>634</v>
      </c>
      <c r="L1165" s="63" t="s">
        <v>3611</v>
      </c>
      <c r="M1165" s="63" t="s">
        <v>3612</v>
      </c>
      <c r="N1165" s="63" t="s">
        <v>1790</v>
      </c>
    </row>
    <row r="1166" spans="1:14" x14ac:dyDescent="0.2">
      <c r="A1166" s="51">
        <v>1165</v>
      </c>
      <c r="B1166" s="54" t="s">
        <v>634</v>
      </c>
      <c r="C1166" s="47" t="s">
        <v>3625</v>
      </c>
      <c r="D1166" s="47" t="s">
        <v>12259</v>
      </c>
      <c r="E1166" s="48" t="s">
        <v>1790</v>
      </c>
      <c r="F1166" s="66" t="b">
        <v>0</v>
      </c>
      <c r="G1166" s="54" t="b">
        <v>1</v>
      </c>
      <c r="H1166" s="54" t="b">
        <v>1</v>
      </c>
      <c r="I1166" s="65" t="b">
        <v>0</v>
      </c>
      <c r="J1166" s="54" t="b">
        <v>1</v>
      </c>
      <c r="K1166" s="63" t="s">
        <v>634</v>
      </c>
      <c r="L1166" s="63" t="s">
        <v>3625</v>
      </c>
      <c r="M1166" s="63" t="s">
        <v>3626</v>
      </c>
      <c r="N1166" s="63" t="s">
        <v>1790</v>
      </c>
    </row>
    <row r="1167" spans="1:14" x14ac:dyDescent="0.2">
      <c r="A1167" s="51">
        <v>1166</v>
      </c>
      <c r="B1167" s="54" t="s">
        <v>634</v>
      </c>
      <c r="C1167" s="47" t="s">
        <v>3651</v>
      </c>
      <c r="D1167" s="47" t="s">
        <v>3652</v>
      </c>
      <c r="E1167" s="48" t="s">
        <v>1790</v>
      </c>
      <c r="F1167" s="66" t="b">
        <v>0</v>
      </c>
      <c r="G1167" s="54" t="b">
        <v>1</v>
      </c>
      <c r="H1167" s="54" t="b">
        <v>1</v>
      </c>
      <c r="I1167" s="54" t="b">
        <v>1</v>
      </c>
      <c r="J1167" s="54" t="b">
        <v>1</v>
      </c>
      <c r="K1167" s="63" t="s">
        <v>634</v>
      </c>
      <c r="L1167" s="63" t="s">
        <v>3651</v>
      </c>
      <c r="M1167" s="63" t="s">
        <v>3652</v>
      </c>
      <c r="N1167" s="63" t="s">
        <v>1790</v>
      </c>
    </row>
    <row r="1168" spans="1:14" x14ac:dyDescent="0.2">
      <c r="A1168" s="51">
        <v>1167</v>
      </c>
      <c r="B1168" s="54" t="s">
        <v>634</v>
      </c>
      <c r="C1168" s="47" t="s">
        <v>3681</v>
      </c>
      <c r="D1168" s="47" t="s">
        <v>3682</v>
      </c>
      <c r="E1168" s="48" t="s">
        <v>1790</v>
      </c>
      <c r="F1168" s="66" t="b">
        <v>0</v>
      </c>
      <c r="G1168" s="54" t="b">
        <v>1</v>
      </c>
      <c r="H1168" s="54" t="b">
        <v>1</v>
      </c>
      <c r="I1168" s="54" t="b">
        <v>1</v>
      </c>
      <c r="J1168" s="54" t="b">
        <v>1</v>
      </c>
      <c r="K1168" s="63" t="s">
        <v>634</v>
      </c>
      <c r="L1168" s="63" t="s">
        <v>3681</v>
      </c>
      <c r="M1168" s="63" t="s">
        <v>3682</v>
      </c>
      <c r="N1168" s="63" t="s">
        <v>1790</v>
      </c>
    </row>
    <row r="1169" spans="1:14" x14ac:dyDescent="0.2">
      <c r="A1169" s="51">
        <v>1168</v>
      </c>
      <c r="B1169" s="54" t="s">
        <v>634</v>
      </c>
      <c r="C1169" s="47" t="s">
        <v>3691</v>
      </c>
      <c r="D1169" s="47" t="s">
        <v>3692</v>
      </c>
      <c r="E1169" s="48" t="s">
        <v>1790</v>
      </c>
      <c r="F1169" s="66" t="b">
        <v>0</v>
      </c>
      <c r="G1169" s="54" t="b">
        <v>1</v>
      </c>
      <c r="H1169" s="54" t="b">
        <v>1</v>
      </c>
      <c r="I1169" s="54" t="b">
        <v>1</v>
      </c>
      <c r="J1169" s="54" t="b">
        <v>1</v>
      </c>
      <c r="K1169" s="63" t="s">
        <v>634</v>
      </c>
      <c r="L1169" s="63" t="s">
        <v>3691</v>
      </c>
      <c r="M1169" s="63" t="s">
        <v>3692</v>
      </c>
      <c r="N1169" s="63" t="s">
        <v>1790</v>
      </c>
    </row>
    <row r="1170" spans="1:14" x14ac:dyDescent="0.2">
      <c r="A1170" s="51">
        <v>1169</v>
      </c>
      <c r="B1170" s="54" t="s">
        <v>634</v>
      </c>
      <c r="C1170" s="47" t="s">
        <v>3693</v>
      </c>
      <c r="D1170" s="47" t="s">
        <v>12269</v>
      </c>
      <c r="E1170" s="48" t="s">
        <v>1790</v>
      </c>
      <c r="F1170" s="66" t="b">
        <v>0</v>
      </c>
      <c r="G1170" s="54" t="b">
        <v>1</v>
      </c>
      <c r="H1170" s="54" t="b">
        <v>1</v>
      </c>
      <c r="I1170" s="65" t="b">
        <v>0</v>
      </c>
      <c r="J1170" s="54" t="b">
        <v>1</v>
      </c>
      <c r="K1170" s="63" t="s">
        <v>634</v>
      </c>
      <c r="L1170" s="63" t="s">
        <v>3693</v>
      </c>
      <c r="M1170" s="63" t="s">
        <v>3694</v>
      </c>
      <c r="N1170" s="63" t="s">
        <v>1790</v>
      </c>
    </row>
    <row r="1171" spans="1:14" x14ac:dyDescent="0.2">
      <c r="A1171" s="51">
        <v>1170</v>
      </c>
      <c r="B1171" s="54" t="s">
        <v>634</v>
      </c>
      <c r="C1171" s="47" t="s">
        <v>3641</v>
      </c>
      <c r="D1171" s="47" t="s">
        <v>12260</v>
      </c>
      <c r="E1171" s="47" t="s">
        <v>2087</v>
      </c>
      <c r="F1171" s="55" t="b">
        <v>1</v>
      </c>
      <c r="G1171" s="54" t="b">
        <v>1</v>
      </c>
      <c r="H1171" s="54" t="b">
        <v>1</v>
      </c>
      <c r="I1171" s="65" t="b">
        <v>0</v>
      </c>
      <c r="J1171" s="54" t="b">
        <v>1</v>
      </c>
      <c r="K1171" s="63" t="s">
        <v>634</v>
      </c>
      <c r="L1171" s="63" t="s">
        <v>3641</v>
      </c>
      <c r="M1171" s="63" t="s">
        <v>3642</v>
      </c>
      <c r="N1171" s="63" t="s">
        <v>2087</v>
      </c>
    </row>
    <row r="1172" spans="1:14" x14ac:dyDescent="0.2">
      <c r="A1172" s="51">
        <v>1171</v>
      </c>
      <c r="B1172" s="54" t="s">
        <v>634</v>
      </c>
      <c r="C1172" s="47" t="s">
        <v>3639</v>
      </c>
      <c r="D1172" s="47" t="s">
        <v>12261</v>
      </c>
      <c r="E1172" s="47" t="s">
        <v>2087</v>
      </c>
      <c r="F1172" s="55" t="b">
        <v>1</v>
      </c>
      <c r="G1172" s="54" t="b">
        <v>1</v>
      </c>
      <c r="H1172" s="54" t="b">
        <v>1</v>
      </c>
      <c r="I1172" s="65" t="b">
        <v>0</v>
      </c>
      <c r="J1172" s="54" t="b">
        <v>1</v>
      </c>
      <c r="K1172" s="63" t="s">
        <v>634</v>
      </c>
      <c r="L1172" s="63" t="s">
        <v>3639</v>
      </c>
      <c r="M1172" s="63" t="s">
        <v>3640</v>
      </c>
      <c r="N1172" s="63" t="s">
        <v>2087</v>
      </c>
    </row>
    <row r="1173" spans="1:14" x14ac:dyDescent="0.2">
      <c r="A1173" s="51">
        <v>1172</v>
      </c>
      <c r="B1173" s="54" t="s">
        <v>634</v>
      </c>
      <c r="C1173" s="47" t="s">
        <v>3647</v>
      </c>
      <c r="D1173" s="47" t="s">
        <v>12262</v>
      </c>
      <c r="E1173" s="47" t="s">
        <v>2087</v>
      </c>
      <c r="F1173" s="55" t="b">
        <v>1</v>
      </c>
      <c r="G1173" s="54" t="b">
        <v>1</v>
      </c>
      <c r="H1173" s="54" t="b">
        <v>1</v>
      </c>
      <c r="I1173" s="65" t="b">
        <v>0</v>
      </c>
      <c r="J1173" s="54" t="b">
        <v>1</v>
      </c>
      <c r="K1173" s="63" t="s">
        <v>634</v>
      </c>
      <c r="L1173" s="63" t="s">
        <v>3647</v>
      </c>
      <c r="M1173" s="63" t="s">
        <v>3648</v>
      </c>
      <c r="N1173" s="63" t="s">
        <v>2087</v>
      </c>
    </row>
    <row r="1174" spans="1:14" x14ac:dyDescent="0.2">
      <c r="A1174" s="51">
        <v>1173</v>
      </c>
      <c r="B1174" s="54" t="s">
        <v>634</v>
      </c>
      <c r="C1174" s="47" t="s">
        <v>3661</v>
      </c>
      <c r="D1174" s="47" t="s">
        <v>12263</v>
      </c>
      <c r="E1174" s="47" t="s">
        <v>2087</v>
      </c>
      <c r="F1174" s="55" t="b">
        <v>1</v>
      </c>
      <c r="G1174" s="54" t="b">
        <v>1</v>
      </c>
      <c r="H1174" s="54" t="b">
        <v>1</v>
      </c>
      <c r="I1174" s="65" t="b">
        <v>0</v>
      </c>
      <c r="J1174" s="54" t="b">
        <v>1</v>
      </c>
      <c r="K1174" s="63" t="s">
        <v>634</v>
      </c>
      <c r="L1174" s="63" t="s">
        <v>3661</v>
      </c>
      <c r="M1174" s="63" t="s">
        <v>3662</v>
      </c>
      <c r="N1174" s="63" t="s">
        <v>2087</v>
      </c>
    </row>
    <row r="1175" spans="1:14" x14ac:dyDescent="0.2">
      <c r="A1175" s="51">
        <v>1174</v>
      </c>
      <c r="B1175" s="54" t="s">
        <v>634</v>
      </c>
      <c r="C1175" s="47" t="s">
        <v>3667</v>
      </c>
      <c r="D1175" s="47" t="s">
        <v>12265</v>
      </c>
      <c r="E1175" s="47" t="s">
        <v>2087</v>
      </c>
      <c r="F1175" s="55" t="b">
        <v>1</v>
      </c>
      <c r="G1175" s="54" t="b">
        <v>1</v>
      </c>
      <c r="H1175" s="54" t="b">
        <v>1</v>
      </c>
      <c r="I1175" s="65" t="b">
        <v>0</v>
      </c>
      <c r="J1175" s="54" t="b">
        <v>1</v>
      </c>
      <c r="K1175" s="63" t="s">
        <v>634</v>
      </c>
      <c r="L1175" s="63" t="s">
        <v>3667</v>
      </c>
      <c r="M1175" s="63" t="s">
        <v>3668</v>
      </c>
      <c r="N1175" s="63" t="s">
        <v>2087</v>
      </c>
    </row>
    <row r="1176" spans="1:14" x14ac:dyDescent="0.2">
      <c r="A1176" s="51">
        <v>1175</v>
      </c>
      <c r="B1176" s="54" t="s">
        <v>634</v>
      </c>
      <c r="C1176" s="47" t="s">
        <v>3675</v>
      </c>
      <c r="D1176" s="47" t="s">
        <v>12267</v>
      </c>
      <c r="E1176" s="47" t="s">
        <v>2087</v>
      </c>
      <c r="F1176" s="55" t="b">
        <v>1</v>
      </c>
      <c r="G1176" s="54" t="b">
        <v>1</v>
      </c>
      <c r="H1176" s="54" t="b">
        <v>1</v>
      </c>
      <c r="I1176" s="65" t="b">
        <v>0</v>
      </c>
      <c r="J1176" s="54" t="b">
        <v>1</v>
      </c>
      <c r="K1176" s="63" t="s">
        <v>634</v>
      </c>
      <c r="L1176" s="63" t="s">
        <v>3675</v>
      </c>
      <c r="M1176" s="63" t="s">
        <v>3676</v>
      </c>
      <c r="N1176" s="63" t="s">
        <v>2087</v>
      </c>
    </row>
    <row r="1177" spans="1:14" x14ac:dyDescent="0.2">
      <c r="A1177" s="51">
        <v>1176</v>
      </c>
      <c r="B1177" s="54" t="s">
        <v>634</v>
      </c>
      <c r="C1177" s="47" t="s">
        <v>3689</v>
      </c>
      <c r="D1177" s="47" t="s">
        <v>12268</v>
      </c>
      <c r="E1177" s="47" t="s">
        <v>2087</v>
      </c>
      <c r="F1177" s="55" t="b">
        <v>1</v>
      </c>
      <c r="G1177" s="54" t="b">
        <v>1</v>
      </c>
      <c r="H1177" s="54" t="b">
        <v>1</v>
      </c>
      <c r="I1177" s="65" t="b">
        <v>0</v>
      </c>
      <c r="J1177" s="54" t="b">
        <v>1</v>
      </c>
      <c r="K1177" s="63" t="s">
        <v>634</v>
      </c>
      <c r="L1177" s="63" t="s">
        <v>3689</v>
      </c>
      <c r="M1177" s="63" t="s">
        <v>3690</v>
      </c>
      <c r="N1177" s="63" t="s">
        <v>2087</v>
      </c>
    </row>
    <row r="1178" spans="1:14" x14ac:dyDescent="0.2">
      <c r="A1178" s="51">
        <v>1177</v>
      </c>
      <c r="B1178" s="54" t="s">
        <v>634</v>
      </c>
      <c r="C1178" s="47" t="s">
        <v>3697</v>
      </c>
      <c r="D1178" s="47" t="s">
        <v>12270</v>
      </c>
      <c r="E1178" s="47" t="s">
        <v>2087</v>
      </c>
      <c r="F1178" s="55" t="b">
        <v>1</v>
      </c>
      <c r="G1178" s="54" t="b">
        <v>1</v>
      </c>
      <c r="H1178" s="54" t="b">
        <v>1</v>
      </c>
      <c r="I1178" s="65" t="b">
        <v>0</v>
      </c>
      <c r="J1178" s="54" t="b">
        <v>1</v>
      </c>
      <c r="K1178" s="63" t="s">
        <v>634</v>
      </c>
      <c r="L1178" s="63" t="s">
        <v>3697</v>
      </c>
      <c r="M1178" s="63" t="s">
        <v>3698</v>
      </c>
      <c r="N1178" s="63" t="s">
        <v>2087</v>
      </c>
    </row>
    <row r="1179" spans="1:14" x14ac:dyDescent="0.2">
      <c r="A1179" s="51">
        <v>1178</v>
      </c>
      <c r="B1179" s="54" t="s">
        <v>634</v>
      </c>
      <c r="C1179" s="47" t="s">
        <v>3707</v>
      </c>
      <c r="D1179" s="47" t="s">
        <v>12274</v>
      </c>
      <c r="E1179" s="47" t="s">
        <v>2087</v>
      </c>
      <c r="F1179" s="55" t="b">
        <v>1</v>
      </c>
      <c r="G1179" s="54" t="b">
        <v>1</v>
      </c>
      <c r="H1179" s="54" t="b">
        <v>1</v>
      </c>
      <c r="I1179" s="65" t="b">
        <v>0</v>
      </c>
      <c r="J1179" s="54" t="b">
        <v>1</v>
      </c>
      <c r="K1179" s="63" t="s">
        <v>634</v>
      </c>
      <c r="L1179" s="63" t="s">
        <v>3707</v>
      </c>
      <c r="M1179" s="63" t="s">
        <v>3708</v>
      </c>
      <c r="N1179" s="63" t="s">
        <v>2087</v>
      </c>
    </row>
    <row r="1180" spans="1:14" x14ac:dyDescent="0.2">
      <c r="A1180" s="51">
        <v>1179</v>
      </c>
      <c r="B1180" s="54" t="s">
        <v>634</v>
      </c>
      <c r="C1180" s="47" t="s">
        <v>3745</v>
      </c>
      <c r="D1180" s="47" t="s">
        <v>12275</v>
      </c>
      <c r="E1180" s="47" t="s">
        <v>4996</v>
      </c>
      <c r="F1180" s="55" t="b">
        <v>1</v>
      </c>
      <c r="G1180" s="54" t="b">
        <v>1</v>
      </c>
      <c r="H1180" s="54" t="b">
        <v>1</v>
      </c>
      <c r="I1180" s="65" t="b">
        <v>0</v>
      </c>
      <c r="J1180" s="65" t="b">
        <v>0</v>
      </c>
      <c r="K1180" s="63" t="s">
        <v>634</v>
      </c>
      <c r="L1180" s="63" t="s">
        <v>3745</v>
      </c>
      <c r="M1180" s="63" t="s">
        <v>3746</v>
      </c>
      <c r="N1180" s="63" t="s">
        <v>2087</v>
      </c>
    </row>
    <row r="1181" spans="1:14" x14ac:dyDescent="0.2">
      <c r="A1181" s="51">
        <v>1180</v>
      </c>
      <c r="B1181" s="54" t="s">
        <v>634</v>
      </c>
      <c r="C1181" s="47" t="s">
        <v>3767</v>
      </c>
      <c r="D1181" s="47" t="s">
        <v>12294</v>
      </c>
      <c r="E1181" s="47" t="s">
        <v>2087</v>
      </c>
      <c r="F1181" s="55" t="b">
        <v>1</v>
      </c>
      <c r="G1181" s="54" t="b">
        <v>1</v>
      </c>
      <c r="H1181" s="54" t="b">
        <v>1</v>
      </c>
      <c r="I1181" s="65" t="b">
        <v>0</v>
      </c>
      <c r="J1181" s="54" t="b">
        <v>1</v>
      </c>
      <c r="K1181" s="63" t="s">
        <v>634</v>
      </c>
      <c r="L1181" s="63" t="s">
        <v>3767</v>
      </c>
      <c r="M1181" s="63" t="s">
        <v>3768</v>
      </c>
      <c r="N1181" s="63" t="s">
        <v>2087</v>
      </c>
    </row>
    <row r="1182" spans="1:14" x14ac:dyDescent="0.2">
      <c r="A1182" s="51">
        <v>1181</v>
      </c>
      <c r="B1182" s="54" t="s">
        <v>634</v>
      </c>
      <c r="C1182" s="47" t="s">
        <v>3795</v>
      </c>
      <c r="D1182" s="47" t="s">
        <v>12296</v>
      </c>
      <c r="E1182" s="47" t="s">
        <v>2087</v>
      </c>
      <c r="F1182" s="55" t="b">
        <v>1</v>
      </c>
      <c r="G1182" s="54" t="b">
        <v>1</v>
      </c>
      <c r="H1182" s="54" t="b">
        <v>1</v>
      </c>
      <c r="I1182" s="65" t="b">
        <v>0</v>
      </c>
      <c r="J1182" s="54" t="b">
        <v>1</v>
      </c>
      <c r="K1182" s="63" t="s">
        <v>634</v>
      </c>
      <c r="L1182" s="63" t="s">
        <v>3795</v>
      </c>
      <c r="M1182" s="63" t="s">
        <v>3796</v>
      </c>
      <c r="N1182" s="63" t="s">
        <v>2087</v>
      </c>
    </row>
    <row r="1183" spans="1:14" x14ac:dyDescent="0.2">
      <c r="A1183" s="51">
        <v>1182</v>
      </c>
      <c r="B1183" s="54" t="s">
        <v>634</v>
      </c>
      <c r="C1183" s="47" t="s">
        <v>3785</v>
      </c>
      <c r="D1183" s="47" t="s">
        <v>3786</v>
      </c>
      <c r="E1183" s="47" t="s">
        <v>2087</v>
      </c>
      <c r="F1183" s="55" t="b">
        <v>1</v>
      </c>
      <c r="G1183" s="54" t="b">
        <v>1</v>
      </c>
      <c r="H1183" s="54" t="b">
        <v>1</v>
      </c>
      <c r="I1183" s="54" t="b">
        <v>1</v>
      </c>
      <c r="J1183" s="54" t="b">
        <v>1</v>
      </c>
      <c r="K1183" s="63" t="s">
        <v>634</v>
      </c>
      <c r="L1183" s="63" t="s">
        <v>3785</v>
      </c>
      <c r="M1183" s="63" t="s">
        <v>3786</v>
      </c>
      <c r="N1183" s="63" t="s">
        <v>2087</v>
      </c>
    </row>
    <row r="1184" spans="1:14" x14ac:dyDescent="0.2">
      <c r="A1184" s="51">
        <v>1183</v>
      </c>
      <c r="B1184" s="54" t="s">
        <v>634</v>
      </c>
      <c r="C1184" s="47" t="s">
        <v>3791</v>
      </c>
      <c r="D1184" s="47" t="s">
        <v>12298</v>
      </c>
      <c r="E1184" s="47" t="s">
        <v>2087</v>
      </c>
      <c r="F1184" s="55" t="b">
        <v>1</v>
      </c>
      <c r="G1184" s="54" t="b">
        <v>1</v>
      </c>
      <c r="H1184" s="54" t="b">
        <v>1</v>
      </c>
      <c r="I1184" s="65" t="b">
        <v>0</v>
      </c>
      <c r="J1184" s="54" t="b">
        <v>1</v>
      </c>
      <c r="K1184" s="63" t="s">
        <v>634</v>
      </c>
      <c r="L1184" s="63" t="s">
        <v>3791</v>
      </c>
      <c r="M1184" s="63" t="s">
        <v>3792</v>
      </c>
      <c r="N1184" s="63" t="s">
        <v>2087</v>
      </c>
    </row>
    <row r="1185" spans="1:14" x14ac:dyDescent="0.2">
      <c r="A1185" s="51">
        <v>1184</v>
      </c>
      <c r="B1185" s="54" t="s">
        <v>636</v>
      </c>
      <c r="C1185" s="47" t="s">
        <v>3853</v>
      </c>
      <c r="D1185" s="47" t="s">
        <v>12301</v>
      </c>
      <c r="E1185" s="47" t="s">
        <v>2087</v>
      </c>
      <c r="F1185" s="55" t="b">
        <v>1</v>
      </c>
      <c r="G1185" s="54" t="b">
        <v>1</v>
      </c>
      <c r="H1185" s="54" t="b">
        <v>1</v>
      </c>
      <c r="I1185" s="65" t="b">
        <v>0</v>
      </c>
      <c r="J1185" s="54" t="b">
        <v>1</v>
      </c>
      <c r="K1185" s="63" t="s">
        <v>636</v>
      </c>
      <c r="L1185" s="63" t="s">
        <v>3853</v>
      </c>
      <c r="M1185" s="63" t="s">
        <v>3854</v>
      </c>
      <c r="N1185" s="63" t="s">
        <v>2087</v>
      </c>
    </row>
    <row r="1186" spans="1:14" x14ac:dyDescent="0.2">
      <c r="A1186" s="51">
        <v>1185</v>
      </c>
      <c r="B1186" s="54" t="s">
        <v>636</v>
      </c>
      <c r="C1186" s="47" t="s">
        <v>3851</v>
      </c>
      <c r="D1186" s="47" t="s">
        <v>12300</v>
      </c>
      <c r="E1186" s="47" t="s">
        <v>2087</v>
      </c>
      <c r="F1186" s="55" t="b">
        <v>1</v>
      </c>
      <c r="G1186" s="54" t="b">
        <v>1</v>
      </c>
      <c r="H1186" s="54" t="b">
        <v>1</v>
      </c>
      <c r="I1186" s="65" t="b">
        <v>0</v>
      </c>
      <c r="J1186" s="54" t="b">
        <v>1</v>
      </c>
      <c r="K1186" s="63" t="s">
        <v>636</v>
      </c>
      <c r="L1186" s="63" t="s">
        <v>3851</v>
      </c>
      <c r="M1186" s="63" t="s">
        <v>3852</v>
      </c>
      <c r="N1186" s="63" t="s">
        <v>2087</v>
      </c>
    </row>
    <row r="1187" spans="1:14" x14ac:dyDescent="0.2">
      <c r="A1187" s="51">
        <v>1186</v>
      </c>
      <c r="B1187" s="54" t="s">
        <v>636</v>
      </c>
      <c r="C1187" s="47" t="s">
        <v>3857</v>
      </c>
      <c r="D1187" s="47" t="s">
        <v>12303</v>
      </c>
      <c r="E1187" s="47" t="s">
        <v>2087</v>
      </c>
      <c r="F1187" s="55" t="b">
        <v>1</v>
      </c>
      <c r="G1187" s="54" t="b">
        <v>1</v>
      </c>
      <c r="H1187" s="54" t="b">
        <v>1</v>
      </c>
      <c r="I1187" s="65" t="b">
        <v>0</v>
      </c>
      <c r="J1187" s="54" t="b">
        <v>1</v>
      </c>
      <c r="K1187" s="63" t="s">
        <v>636</v>
      </c>
      <c r="L1187" s="63" t="s">
        <v>3857</v>
      </c>
      <c r="M1187" s="63" t="s">
        <v>3858</v>
      </c>
      <c r="N1187" s="63" t="s">
        <v>2087</v>
      </c>
    </row>
    <row r="1188" spans="1:14" x14ac:dyDescent="0.2">
      <c r="A1188" s="51">
        <v>1187</v>
      </c>
      <c r="B1188" s="54" t="s">
        <v>636</v>
      </c>
      <c r="C1188" s="47" t="s">
        <v>3849</v>
      </c>
      <c r="D1188" s="47" t="s">
        <v>12299</v>
      </c>
      <c r="E1188" s="47" t="s">
        <v>2087</v>
      </c>
      <c r="F1188" s="55" t="b">
        <v>1</v>
      </c>
      <c r="G1188" s="54" t="b">
        <v>1</v>
      </c>
      <c r="H1188" s="54" t="b">
        <v>1</v>
      </c>
      <c r="I1188" s="65" t="b">
        <v>0</v>
      </c>
      <c r="J1188" s="54" t="b">
        <v>1</v>
      </c>
      <c r="K1188" s="63" t="s">
        <v>636</v>
      </c>
      <c r="L1188" s="63" t="s">
        <v>3849</v>
      </c>
      <c r="M1188" s="63" t="s">
        <v>3850</v>
      </c>
      <c r="N1188" s="63" t="s">
        <v>2087</v>
      </c>
    </row>
    <row r="1189" spans="1:14" x14ac:dyDescent="0.2">
      <c r="A1189" s="51">
        <v>1188</v>
      </c>
      <c r="B1189" s="54" t="s">
        <v>636</v>
      </c>
      <c r="C1189" s="47" t="s">
        <v>3855</v>
      </c>
      <c r="D1189" s="47" t="s">
        <v>12302</v>
      </c>
      <c r="E1189" s="47" t="s">
        <v>2087</v>
      </c>
      <c r="F1189" s="55" t="b">
        <v>1</v>
      </c>
      <c r="G1189" s="54" t="b">
        <v>1</v>
      </c>
      <c r="H1189" s="54" t="b">
        <v>1</v>
      </c>
      <c r="I1189" s="65" t="b">
        <v>0</v>
      </c>
      <c r="J1189" s="54" t="b">
        <v>1</v>
      </c>
      <c r="K1189" s="63" t="s">
        <v>636</v>
      </c>
      <c r="L1189" s="63" t="s">
        <v>3855</v>
      </c>
      <c r="M1189" s="63" t="s">
        <v>3856</v>
      </c>
      <c r="N1189" s="63" t="s">
        <v>2087</v>
      </c>
    </row>
    <row r="1190" spans="1:14" x14ac:dyDescent="0.2">
      <c r="A1190" s="51">
        <v>1189</v>
      </c>
      <c r="B1190" s="54" t="s">
        <v>644</v>
      </c>
      <c r="C1190" s="47" t="s">
        <v>3861</v>
      </c>
      <c r="D1190" s="47" t="s">
        <v>3864</v>
      </c>
      <c r="E1190" s="47" t="s">
        <v>2087</v>
      </c>
      <c r="F1190" s="55" t="b">
        <v>1</v>
      </c>
      <c r="G1190" s="54" t="b">
        <v>1</v>
      </c>
      <c r="H1190" s="54" t="b">
        <v>1</v>
      </c>
      <c r="I1190" s="65" t="b">
        <v>0</v>
      </c>
      <c r="J1190" s="54" t="b">
        <v>1</v>
      </c>
      <c r="K1190" s="63" t="s">
        <v>644</v>
      </c>
      <c r="L1190" s="63" t="s">
        <v>3861</v>
      </c>
      <c r="M1190" s="63" t="s">
        <v>3862</v>
      </c>
      <c r="N1190" s="63" t="s">
        <v>2087</v>
      </c>
    </row>
    <row r="1191" spans="1:14" x14ac:dyDescent="0.2">
      <c r="A1191" s="51">
        <v>1190</v>
      </c>
      <c r="G1191" s="65" t="b">
        <v>0</v>
      </c>
      <c r="H1191" s="65" t="b">
        <v>0</v>
      </c>
      <c r="I1191" s="65" t="b">
        <v>0</v>
      </c>
      <c r="J1191" s="65" t="b">
        <v>0</v>
      </c>
      <c r="K1191" s="63" t="s">
        <v>644</v>
      </c>
      <c r="L1191" s="63" t="s">
        <v>3861</v>
      </c>
      <c r="M1191" s="63" t="s">
        <v>3864</v>
      </c>
      <c r="N1191" s="63" t="s">
        <v>2087</v>
      </c>
    </row>
    <row r="1192" spans="1:14" x14ac:dyDescent="0.2">
      <c r="A1192" s="51">
        <v>1191</v>
      </c>
      <c r="B1192" s="54" t="s">
        <v>644</v>
      </c>
      <c r="C1192" s="47" t="s">
        <v>3859</v>
      </c>
      <c r="D1192" s="47" t="s">
        <v>3863</v>
      </c>
      <c r="E1192" s="47" t="s">
        <v>2087</v>
      </c>
      <c r="F1192" s="55" t="b">
        <v>1</v>
      </c>
      <c r="G1192" s="54" t="b">
        <v>1</v>
      </c>
      <c r="H1192" s="54" t="b">
        <v>1</v>
      </c>
      <c r="I1192" s="65" t="b">
        <v>0</v>
      </c>
      <c r="J1192" s="54" t="b">
        <v>1</v>
      </c>
      <c r="K1192" s="63" t="s">
        <v>644</v>
      </c>
      <c r="L1192" s="63" t="s">
        <v>3859</v>
      </c>
      <c r="M1192" s="63" t="s">
        <v>3860</v>
      </c>
      <c r="N1192" s="63" t="s">
        <v>2087</v>
      </c>
    </row>
    <row r="1193" spans="1:14" x14ac:dyDescent="0.2">
      <c r="A1193" s="51">
        <v>1192</v>
      </c>
      <c r="G1193" s="65" t="b">
        <v>0</v>
      </c>
      <c r="H1193" s="65" t="b">
        <v>0</v>
      </c>
      <c r="I1193" s="65" t="b">
        <v>0</v>
      </c>
      <c r="J1193" s="65" t="b">
        <v>0</v>
      </c>
      <c r="K1193" s="63" t="s">
        <v>644</v>
      </c>
      <c r="L1193" s="63" t="s">
        <v>3859</v>
      </c>
      <c r="M1193" s="63" t="s">
        <v>3863</v>
      </c>
      <c r="N1193" s="63" t="s">
        <v>2087</v>
      </c>
    </row>
    <row r="1194" spans="1:14" x14ac:dyDescent="0.2">
      <c r="A1194" s="51">
        <v>1193</v>
      </c>
      <c r="B1194" s="54" t="s">
        <v>644</v>
      </c>
      <c r="C1194" s="47" t="s">
        <v>3865</v>
      </c>
      <c r="D1194" s="47" t="s">
        <v>3866</v>
      </c>
      <c r="E1194" s="47" t="s">
        <v>2087</v>
      </c>
      <c r="F1194" s="55" t="b">
        <v>1</v>
      </c>
      <c r="G1194" s="54" t="b">
        <v>1</v>
      </c>
      <c r="H1194" s="54" t="b">
        <v>1</v>
      </c>
      <c r="I1194" s="54" t="b">
        <v>1</v>
      </c>
      <c r="J1194" s="54" t="b">
        <v>1</v>
      </c>
      <c r="K1194" s="63" t="s">
        <v>644</v>
      </c>
      <c r="L1194" s="63" t="s">
        <v>3865</v>
      </c>
      <c r="M1194" s="63" t="s">
        <v>3866</v>
      </c>
      <c r="N1194" s="63" t="s">
        <v>2087</v>
      </c>
    </row>
    <row r="1195" spans="1:14" x14ac:dyDescent="0.2">
      <c r="A1195" s="51">
        <v>1194</v>
      </c>
      <c r="G1195" s="65" t="b">
        <v>0</v>
      </c>
      <c r="H1195" s="65" t="b">
        <v>0</v>
      </c>
      <c r="I1195" s="65" t="b">
        <v>0</v>
      </c>
      <c r="J1195" s="65" t="b">
        <v>0</v>
      </c>
      <c r="K1195" s="63" t="s">
        <v>644</v>
      </c>
      <c r="L1195" s="63" t="s">
        <v>3865</v>
      </c>
      <c r="M1195" s="63" t="s">
        <v>3867</v>
      </c>
      <c r="N1195" s="63" t="s">
        <v>2087</v>
      </c>
    </row>
    <row r="1196" spans="1:14" x14ac:dyDescent="0.2">
      <c r="A1196" s="51">
        <v>1195</v>
      </c>
      <c r="B1196" s="54" t="s">
        <v>644</v>
      </c>
      <c r="C1196" s="47" t="s">
        <v>3868</v>
      </c>
      <c r="D1196" s="47" t="s">
        <v>1510</v>
      </c>
      <c r="E1196" s="47" t="s">
        <v>2046</v>
      </c>
      <c r="F1196" s="55" t="b">
        <v>1</v>
      </c>
      <c r="G1196" s="54" t="b">
        <v>1</v>
      </c>
      <c r="H1196" s="54" t="b">
        <v>1</v>
      </c>
      <c r="I1196" s="54" t="b">
        <v>1</v>
      </c>
      <c r="J1196" s="54" t="b">
        <v>1</v>
      </c>
      <c r="K1196" s="63" t="s">
        <v>644</v>
      </c>
      <c r="L1196" s="63" t="s">
        <v>3868</v>
      </c>
      <c r="M1196" s="63" t="s">
        <v>1510</v>
      </c>
      <c r="N1196" s="63" t="s">
        <v>2046</v>
      </c>
    </row>
    <row r="1197" spans="1:14" x14ac:dyDescent="0.2">
      <c r="A1197" s="51">
        <v>1196</v>
      </c>
      <c r="G1197" s="65" t="b">
        <v>0</v>
      </c>
      <c r="H1197" s="65" t="b">
        <v>0</v>
      </c>
      <c r="I1197" s="65" t="b">
        <v>0</v>
      </c>
      <c r="J1197" s="65" t="b">
        <v>0</v>
      </c>
      <c r="K1197" s="63" t="s">
        <v>644</v>
      </c>
      <c r="L1197" s="63" t="s">
        <v>3868</v>
      </c>
      <c r="M1197" s="63" t="s">
        <v>3869</v>
      </c>
      <c r="N1197" s="63" t="s">
        <v>2046</v>
      </c>
    </row>
    <row r="1198" spans="1:14" x14ac:dyDescent="0.2">
      <c r="A1198" s="51">
        <v>1197</v>
      </c>
      <c r="B1198" s="54" t="s">
        <v>644</v>
      </c>
      <c r="C1198" s="47" t="s">
        <v>3870</v>
      </c>
      <c r="D1198" s="47" t="s">
        <v>3871</v>
      </c>
      <c r="E1198" s="47" t="s">
        <v>2087</v>
      </c>
      <c r="F1198" s="55" t="b">
        <v>1</v>
      </c>
      <c r="G1198" s="54" t="b">
        <v>1</v>
      </c>
      <c r="H1198" s="54" t="b">
        <v>1</v>
      </c>
      <c r="I1198" s="54" t="b">
        <v>1</v>
      </c>
      <c r="J1198" s="54" t="b">
        <v>1</v>
      </c>
      <c r="K1198" s="63" t="s">
        <v>644</v>
      </c>
      <c r="L1198" s="63" t="s">
        <v>3870</v>
      </c>
      <c r="M1198" s="63" t="s">
        <v>3871</v>
      </c>
      <c r="N1198" s="63" t="s">
        <v>2087</v>
      </c>
    </row>
    <row r="1199" spans="1:14" x14ac:dyDescent="0.2">
      <c r="A1199" s="51">
        <v>1198</v>
      </c>
      <c r="G1199" s="65" t="b">
        <v>0</v>
      </c>
      <c r="H1199" s="65" t="b">
        <v>0</v>
      </c>
      <c r="I1199" s="65" t="b">
        <v>0</v>
      </c>
      <c r="J1199" s="65" t="b">
        <v>0</v>
      </c>
      <c r="K1199" s="63" t="s">
        <v>644</v>
      </c>
      <c r="L1199" s="63" t="s">
        <v>3870</v>
      </c>
      <c r="M1199" s="63" t="s">
        <v>3875</v>
      </c>
      <c r="N1199" s="63" t="s">
        <v>2087</v>
      </c>
    </row>
    <row r="1200" spans="1:14" x14ac:dyDescent="0.2">
      <c r="A1200" s="51">
        <v>1199</v>
      </c>
      <c r="B1200" s="54" t="s">
        <v>644</v>
      </c>
      <c r="C1200" s="47" t="s">
        <v>3872</v>
      </c>
      <c r="D1200" s="47" t="s">
        <v>3873</v>
      </c>
      <c r="E1200" s="47" t="s">
        <v>2087</v>
      </c>
      <c r="F1200" s="55" t="b">
        <v>1</v>
      </c>
      <c r="G1200" s="54" t="b">
        <v>1</v>
      </c>
      <c r="H1200" s="54" t="b">
        <v>1</v>
      </c>
      <c r="I1200" s="54" t="b">
        <v>1</v>
      </c>
      <c r="J1200" s="54" t="b">
        <v>1</v>
      </c>
      <c r="K1200" s="63" t="s">
        <v>644</v>
      </c>
      <c r="L1200" s="63" t="s">
        <v>3872</v>
      </c>
      <c r="M1200" s="63" t="s">
        <v>3873</v>
      </c>
      <c r="N1200" s="63" t="s">
        <v>2087</v>
      </c>
    </row>
    <row r="1201" spans="1:14" x14ac:dyDescent="0.2">
      <c r="A1201" s="51">
        <v>1200</v>
      </c>
      <c r="G1201" s="65" t="b">
        <v>0</v>
      </c>
      <c r="H1201" s="65" t="b">
        <v>0</v>
      </c>
      <c r="I1201" s="65" t="b">
        <v>0</v>
      </c>
      <c r="J1201" s="65" t="b">
        <v>0</v>
      </c>
      <c r="K1201" s="63" t="s">
        <v>644</v>
      </c>
      <c r="L1201" s="63" t="s">
        <v>3872</v>
      </c>
      <c r="M1201" s="63" t="s">
        <v>3874</v>
      </c>
      <c r="N1201" s="63" t="s">
        <v>2087</v>
      </c>
    </row>
    <row r="1202" spans="1:14" x14ac:dyDescent="0.2">
      <c r="A1202" s="51">
        <v>1201</v>
      </c>
      <c r="B1202" s="54" t="s">
        <v>646</v>
      </c>
      <c r="C1202" s="47" t="s">
        <v>3876</v>
      </c>
      <c r="D1202" s="47" t="s">
        <v>2513</v>
      </c>
      <c r="E1202" s="47" t="s">
        <v>1970</v>
      </c>
      <c r="F1202" s="55" t="b">
        <v>1</v>
      </c>
      <c r="G1202" s="54" t="b">
        <v>1</v>
      </c>
      <c r="H1202" s="54" t="b">
        <v>1</v>
      </c>
      <c r="I1202" s="54" t="b">
        <v>1</v>
      </c>
      <c r="J1202" s="54" t="b">
        <v>1</v>
      </c>
      <c r="K1202" s="63" t="s">
        <v>646</v>
      </c>
      <c r="L1202" s="63" t="s">
        <v>3876</v>
      </c>
      <c r="M1202" s="63" t="s">
        <v>2513</v>
      </c>
      <c r="N1202" s="63" t="s">
        <v>1970</v>
      </c>
    </row>
    <row r="1203" spans="1:14" x14ac:dyDescent="0.2">
      <c r="A1203" s="51">
        <v>1202</v>
      </c>
      <c r="B1203" s="54" t="s">
        <v>646</v>
      </c>
      <c r="C1203" s="47" t="s">
        <v>3877</v>
      </c>
      <c r="D1203" s="47" t="s">
        <v>3878</v>
      </c>
      <c r="E1203" s="47" t="s">
        <v>1970</v>
      </c>
      <c r="F1203" s="55" t="b">
        <v>1</v>
      </c>
      <c r="G1203" s="54" t="b">
        <v>1</v>
      </c>
      <c r="H1203" s="54" t="b">
        <v>1</v>
      </c>
      <c r="I1203" s="54" t="b">
        <v>1</v>
      </c>
      <c r="J1203" s="54" t="b">
        <v>1</v>
      </c>
      <c r="K1203" s="63" t="s">
        <v>646</v>
      </c>
      <c r="L1203" s="63" t="s">
        <v>3877</v>
      </c>
      <c r="M1203" s="63" t="s">
        <v>3878</v>
      </c>
      <c r="N1203" s="63" t="s">
        <v>1970</v>
      </c>
    </row>
    <row r="1204" spans="1:14" x14ac:dyDescent="0.2">
      <c r="A1204" s="51">
        <v>1203</v>
      </c>
      <c r="B1204" s="54" t="s">
        <v>646</v>
      </c>
      <c r="C1204" s="47" t="s">
        <v>3879</v>
      </c>
      <c r="D1204" s="47" t="s">
        <v>2025</v>
      </c>
      <c r="E1204" s="47" t="s">
        <v>1970</v>
      </c>
      <c r="F1204" s="55" t="b">
        <v>1</v>
      </c>
      <c r="G1204" s="54" t="b">
        <v>1</v>
      </c>
      <c r="H1204" s="54" t="b">
        <v>1</v>
      </c>
      <c r="I1204" s="54" t="b">
        <v>1</v>
      </c>
      <c r="J1204" s="54" t="b">
        <v>1</v>
      </c>
      <c r="K1204" s="63" t="s">
        <v>646</v>
      </c>
      <c r="L1204" s="63" t="s">
        <v>3879</v>
      </c>
      <c r="M1204" s="63" t="s">
        <v>2025</v>
      </c>
      <c r="N1204" s="63" t="s">
        <v>1970</v>
      </c>
    </row>
    <row r="1205" spans="1:14" x14ac:dyDescent="0.2">
      <c r="A1205" s="51">
        <v>1204</v>
      </c>
      <c r="B1205" s="54" t="s">
        <v>646</v>
      </c>
      <c r="C1205" s="47" t="s">
        <v>3880</v>
      </c>
      <c r="D1205" s="47" t="s">
        <v>2518</v>
      </c>
      <c r="E1205" s="47" t="s">
        <v>1970</v>
      </c>
      <c r="F1205" s="55" t="b">
        <v>1</v>
      </c>
      <c r="G1205" s="54" t="b">
        <v>1</v>
      </c>
      <c r="H1205" s="54" t="b">
        <v>1</v>
      </c>
      <c r="I1205" s="54" t="b">
        <v>1</v>
      </c>
      <c r="J1205" s="54" t="b">
        <v>1</v>
      </c>
      <c r="K1205" s="63" t="s">
        <v>646</v>
      </c>
      <c r="L1205" s="63" t="s">
        <v>3880</v>
      </c>
      <c r="M1205" s="63" t="s">
        <v>2518</v>
      </c>
      <c r="N1205" s="63" t="s">
        <v>1970</v>
      </c>
    </row>
    <row r="1206" spans="1:14" x14ac:dyDescent="0.2">
      <c r="A1206" s="51">
        <v>1205</v>
      </c>
      <c r="B1206" s="54" t="s">
        <v>646</v>
      </c>
      <c r="C1206" s="47" t="s">
        <v>3881</v>
      </c>
      <c r="D1206" s="47" t="s">
        <v>2520</v>
      </c>
      <c r="E1206" s="47" t="s">
        <v>1970</v>
      </c>
      <c r="F1206" s="55" t="b">
        <v>1</v>
      </c>
      <c r="G1206" s="54" t="b">
        <v>1</v>
      </c>
      <c r="H1206" s="54" t="b">
        <v>1</v>
      </c>
      <c r="I1206" s="54" t="b">
        <v>1</v>
      </c>
      <c r="J1206" s="54" t="b">
        <v>1</v>
      </c>
      <c r="K1206" s="63" t="s">
        <v>646</v>
      </c>
      <c r="L1206" s="63" t="s">
        <v>3881</v>
      </c>
      <c r="M1206" s="63" t="s">
        <v>2520</v>
      </c>
      <c r="N1206" s="63" t="s">
        <v>1970</v>
      </c>
    </row>
    <row r="1207" spans="1:14" x14ac:dyDescent="0.2">
      <c r="A1207" s="51">
        <v>1206</v>
      </c>
      <c r="B1207" s="54" t="s">
        <v>646</v>
      </c>
      <c r="C1207" s="47" t="s">
        <v>3882</v>
      </c>
      <c r="D1207" s="47" t="s">
        <v>3883</v>
      </c>
      <c r="E1207" s="47" t="s">
        <v>1970</v>
      </c>
      <c r="F1207" s="55" t="b">
        <v>1</v>
      </c>
      <c r="G1207" s="54" t="b">
        <v>1</v>
      </c>
      <c r="H1207" s="54" t="b">
        <v>1</v>
      </c>
      <c r="I1207" s="54" t="b">
        <v>1</v>
      </c>
      <c r="J1207" s="54" t="b">
        <v>1</v>
      </c>
      <c r="K1207" s="63" t="s">
        <v>646</v>
      </c>
      <c r="L1207" s="63" t="s">
        <v>3882</v>
      </c>
      <c r="M1207" s="63" t="s">
        <v>3883</v>
      </c>
      <c r="N1207" s="63" t="s">
        <v>1970</v>
      </c>
    </row>
    <row r="1208" spans="1:14" x14ac:dyDescent="0.2">
      <c r="A1208" s="51">
        <v>1207</v>
      </c>
      <c r="B1208" s="54" t="s">
        <v>646</v>
      </c>
      <c r="C1208" s="47" t="s">
        <v>3884</v>
      </c>
      <c r="D1208" s="47" t="s">
        <v>3885</v>
      </c>
      <c r="E1208" s="47" t="s">
        <v>1970</v>
      </c>
      <c r="F1208" s="55" t="b">
        <v>1</v>
      </c>
      <c r="G1208" s="54" t="b">
        <v>1</v>
      </c>
      <c r="H1208" s="54" t="b">
        <v>1</v>
      </c>
      <c r="I1208" s="54" t="b">
        <v>1</v>
      </c>
      <c r="J1208" s="54" t="b">
        <v>1</v>
      </c>
      <c r="K1208" s="63" t="s">
        <v>646</v>
      </c>
      <c r="L1208" s="63" t="s">
        <v>3884</v>
      </c>
      <c r="M1208" s="63" t="s">
        <v>3885</v>
      </c>
      <c r="N1208" s="63" t="s">
        <v>1970</v>
      </c>
    </row>
    <row r="1209" spans="1:14" x14ac:dyDescent="0.2">
      <c r="A1209" s="51">
        <v>1208</v>
      </c>
      <c r="B1209" s="54" t="s">
        <v>646</v>
      </c>
      <c r="C1209" s="47" t="s">
        <v>3886</v>
      </c>
      <c r="D1209" s="47" t="s">
        <v>3887</v>
      </c>
      <c r="E1209" s="47" t="s">
        <v>1970</v>
      </c>
      <c r="F1209" s="55" t="b">
        <v>1</v>
      </c>
      <c r="G1209" s="54" t="b">
        <v>1</v>
      </c>
      <c r="H1209" s="54" t="b">
        <v>1</v>
      </c>
      <c r="I1209" s="54" t="b">
        <v>1</v>
      </c>
      <c r="J1209" s="54" t="b">
        <v>1</v>
      </c>
      <c r="K1209" s="63" t="s">
        <v>646</v>
      </c>
      <c r="L1209" s="63" t="s">
        <v>3886</v>
      </c>
      <c r="M1209" s="63" t="s">
        <v>3887</v>
      </c>
      <c r="N1209" s="63" t="s">
        <v>1970</v>
      </c>
    </row>
    <row r="1210" spans="1:14" x14ac:dyDescent="0.2">
      <c r="A1210" s="51">
        <v>1209</v>
      </c>
      <c r="B1210" s="54" t="s">
        <v>646</v>
      </c>
      <c r="C1210" s="47" t="s">
        <v>3888</v>
      </c>
      <c r="D1210" s="47" t="s">
        <v>2031</v>
      </c>
      <c r="E1210" s="47" t="s">
        <v>1970</v>
      </c>
      <c r="F1210" s="55" t="b">
        <v>1</v>
      </c>
      <c r="G1210" s="54" t="b">
        <v>1</v>
      </c>
      <c r="H1210" s="54" t="b">
        <v>1</v>
      </c>
      <c r="I1210" s="54" t="b">
        <v>1</v>
      </c>
      <c r="J1210" s="54" t="b">
        <v>1</v>
      </c>
      <c r="K1210" s="63" t="s">
        <v>646</v>
      </c>
      <c r="L1210" s="63" t="s">
        <v>3888</v>
      </c>
      <c r="M1210" s="63" t="s">
        <v>2031</v>
      </c>
      <c r="N1210" s="63" t="s">
        <v>1970</v>
      </c>
    </row>
    <row r="1211" spans="1:14" x14ac:dyDescent="0.2">
      <c r="A1211" s="51">
        <v>1210</v>
      </c>
      <c r="B1211" s="54" t="s">
        <v>646</v>
      </c>
      <c r="C1211" s="47" t="s">
        <v>3889</v>
      </c>
      <c r="D1211" s="47" t="s">
        <v>2033</v>
      </c>
      <c r="E1211" s="47" t="s">
        <v>1970</v>
      </c>
      <c r="F1211" s="55" t="b">
        <v>1</v>
      </c>
      <c r="G1211" s="54" t="b">
        <v>1</v>
      </c>
      <c r="H1211" s="54" t="b">
        <v>1</v>
      </c>
      <c r="I1211" s="54" t="b">
        <v>1</v>
      </c>
      <c r="J1211" s="54" t="b">
        <v>1</v>
      </c>
      <c r="K1211" s="63" t="s">
        <v>646</v>
      </c>
      <c r="L1211" s="63" t="s">
        <v>3889</v>
      </c>
      <c r="M1211" s="63" t="s">
        <v>2033</v>
      </c>
      <c r="N1211" s="63" t="s">
        <v>1970</v>
      </c>
    </row>
    <row r="1212" spans="1:14" x14ac:dyDescent="0.2">
      <c r="A1212" s="51">
        <v>1211</v>
      </c>
      <c r="B1212" s="54" t="s">
        <v>648</v>
      </c>
      <c r="C1212" s="47" t="s">
        <v>3898</v>
      </c>
      <c r="D1212" s="47" t="s">
        <v>12313</v>
      </c>
      <c r="E1212" s="48" t="s">
        <v>1790</v>
      </c>
      <c r="F1212" s="66" t="b">
        <v>0</v>
      </c>
      <c r="G1212" s="54" t="b">
        <v>1</v>
      </c>
      <c r="H1212" s="54" t="b">
        <v>1</v>
      </c>
      <c r="I1212" s="65" t="b">
        <v>0</v>
      </c>
      <c r="J1212" s="54" t="b">
        <v>1</v>
      </c>
      <c r="K1212" s="63" t="s">
        <v>648</v>
      </c>
      <c r="L1212" s="63" t="s">
        <v>3898</v>
      </c>
      <c r="M1212" s="63" t="s">
        <v>3899</v>
      </c>
      <c r="N1212" s="63" t="s">
        <v>1790</v>
      </c>
    </row>
    <row r="1213" spans="1:14" x14ac:dyDescent="0.2">
      <c r="A1213" s="51">
        <v>1212</v>
      </c>
      <c r="B1213" s="54" t="s">
        <v>648</v>
      </c>
      <c r="C1213" s="47" t="s">
        <v>3890</v>
      </c>
      <c r="D1213" s="47" t="s">
        <v>3891</v>
      </c>
      <c r="E1213" s="48" t="s">
        <v>1719</v>
      </c>
      <c r="F1213" s="66" t="b">
        <v>0</v>
      </c>
      <c r="G1213" s="54" t="b">
        <v>1</v>
      </c>
      <c r="H1213" s="54" t="b">
        <v>1</v>
      </c>
      <c r="I1213" s="54" t="b">
        <v>1</v>
      </c>
      <c r="J1213" s="54" t="b">
        <v>1</v>
      </c>
      <c r="K1213" s="63" t="s">
        <v>648</v>
      </c>
      <c r="L1213" s="63" t="s">
        <v>3890</v>
      </c>
      <c r="M1213" s="63" t="s">
        <v>3891</v>
      </c>
      <c r="N1213" s="63" t="s">
        <v>1719</v>
      </c>
    </row>
    <row r="1214" spans="1:14" x14ac:dyDescent="0.2">
      <c r="A1214" s="51">
        <v>1213</v>
      </c>
      <c r="B1214" s="54" t="s">
        <v>648</v>
      </c>
      <c r="C1214" s="47" t="s">
        <v>3892</v>
      </c>
      <c r="D1214" s="47" t="s">
        <v>12304</v>
      </c>
      <c r="E1214" s="48" t="s">
        <v>1719</v>
      </c>
      <c r="F1214" s="66" t="b">
        <v>0</v>
      </c>
      <c r="G1214" s="54" t="b">
        <v>1</v>
      </c>
      <c r="H1214" s="54" t="b">
        <v>1</v>
      </c>
      <c r="I1214" s="65" t="b">
        <v>0</v>
      </c>
      <c r="J1214" s="54" t="b">
        <v>1</v>
      </c>
      <c r="K1214" s="63" t="s">
        <v>648</v>
      </c>
      <c r="L1214" s="63" t="s">
        <v>3892</v>
      </c>
      <c r="M1214" s="63" t="s">
        <v>3893</v>
      </c>
      <c r="N1214" s="63" t="s">
        <v>1719</v>
      </c>
    </row>
    <row r="1215" spans="1:14" x14ac:dyDescent="0.2">
      <c r="A1215" s="51">
        <v>1214</v>
      </c>
      <c r="B1215" s="54" t="s">
        <v>648</v>
      </c>
      <c r="C1215" s="47" t="s">
        <v>3894</v>
      </c>
      <c r="D1215" s="47" t="s">
        <v>3895</v>
      </c>
      <c r="E1215" s="48" t="s">
        <v>1719</v>
      </c>
      <c r="F1215" s="66" t="b">
        <v>0</v>
      </c>
      <c r="G1215" s="54" t="b">
        <v>1</v>
      </c>
      <c r="H1215" s="54" t="b">
        <v>1</v>
      </c>
      <c r="I1215" s="54" t="b">
        <v>1</v>
      </c>
      <c r="J1215" s="54" t="b">
        <v>1</v>
      </c>
      <c r="K1215" s="63" t="s">
        <v>648</v>
      </c>
      <c r="L1215" s="63" t="s">
        <v>3894</v>
      </c>
      <c r="M1215" s="63" t="s">
        <v>3895</v>
      </c>
      <c r="N1215" s="63" t="s">
        <v>1719</v>
      </c>
    </row>
    <row r="1216" spans="1:14" x14ac:dyDescent="0.2">
      <c r="A1216" s="51">
        <v>1215</v>
      </c>
      <c r="B1216" s="54" t="s">
        <v>648</v>
      </c>
      <c r="C1216" s="47" t="s">
        <v>3896</v>
      </c>
      <c r="D1216" s="47" t="s">
        <v>3897</v>
      </c>
      <c r="E1216" s="48" t="s">
        <v>1719</v>
      </c>
      <c r="F1216" s="66" t="b">
        <v>0</v>
      </c>
      <c r="G1216" s="54" t="b">
        <v>1</v>
      </c>
      <c r="H1216" s="54" t="b">
        <v>1</v>
      </c>
      <c r="I1216" s="54" t="b">
        <v>1</v>
      </c>
      <c r="J1216" s="54" t="b">
        <v>1</v>
      </c>
      <c r="K1216" s="63" t="s">
        <v>648</v>
      </c>
      <c r="L1216" s="63" t="s">
        <v>3896</v>
      </c>
      <c r="M1216" s="63" t="s">
        <v>3897</v>
      </c>
      <c r="N1216" s="63" t="s">
        <v>1719</v>
      </c>
    </row>
    <row r="1217" spans="1:14" x14ac:dyDescent="0.2">
      <c r="A1217" s="51">
        <v>1216</v>
      </c>
      <c r="B1217" s="54" t="s">
        <v>648</v>
      </c>
      <c r="C1217" s="47" t="s">
        <v>3900</v>
      </c>
      <c r="D1217" s="47" t="s">
        <v>3901</v>
      </c>
      <c r="E1217" s="48" t="s">
        <v>1719</v>
      </c>
      <c r="F1217" s="66" t="b">
        <v>0</v>
      </c>
      <c r="G1217" s="54" t="b">
        <v>1</v>
      </c>
      <c r="H1217" s="54" t="b">
        <v>1</v>
      </c>
      <c r="I1217" s="54" t="b">
        <v>1</v>
      </c>
      <c r="J1217" s="54" t="b">
        <v>1</v>
      </c>
      <c r="K1217" s="63" t="s">
        <v>648</v>
      </c>
      <c r="L1217" s="63" t="s">
        <v>3900</v>
      </c>
      <c r="M1217" s="63" t="s">
        <v>3901</v>
      </c>
      <c r="N1217" s="63" t="s">
        <v>1719</v>
      </c>
    </row>
    <row r="1218" spans="1:14" x14ac:dyDescent="0.2">
      <c r="A1218" s="51">
        <v>1217</v>
      </c>
      <c r="B1218" s="54" t="s">
        <v>648</v>
      </c>
      <c r="C1218" s="47" t="s">
        <v>3912</v>
      </c>
      <c r="D1218" s="47" t="s">
        <v>12314</v>
      </c>
      <c r="E1218" s="48" t="s">
        <v>1719</v>
      </c>
      <c r="F1218" s="66" t="b">
        <v>0</v>
      </c>
      <c r="G1218" s="54" t="b">
        <v>1</v>
      </c>
      <c r="H1218" s="54" t="b">
        <v>1</v>
      </c>
      <c r="I1218" s="65" t="b">
        <v>0</v>
      </c>
      <c r="J1218" s="54" t="b">
        <v>1</v>
      </c>
      <c r="K1218" s="63" t="s">
        <v>648</v>
      </c>
      <c r="L1218" s="63" t="s">
        <v>3912</v>
      </c>
      <c r="M1218" s="63" t="s">
        <v>3913</v>
      </c>
      <c r="N1218" s="63" t="s">
        <v>1719</v>
      </c>
    </row>
    <row r="1219" spans="1:14" x14ac:dyDescent="0.2">
      <c r="A1219" s="51">
        <v>1218</v>
      </c>
      <c r="B1219" s="54" t="s">
        <v>648</v>
      </c>
      <c r="C1219" s="47" t="s">
        <v>3902</v>
      </c>
      <c r="D1219" s="47" t="s">
        <v>12315</v>
      </c>
      <c r="E1219" s="48" t="s">
        <v>1719</v>
      </c>
      <c r="F1219" s="66" t="b">
        <v>0</v>
      </c>
      <c r="G1219" s="54" t="b">
        <v>1</v>
      </c>
      <c r="H1219" s="54" t="b">
        <v>1</v>
      </c>
      <c r="I1219" s="65" t="b">
        <v>0</v>
      </c>
      <c r="J1219" s="54" t="b">
        <v>1</v>
      </c>
      <c r="K1219" s="63" t="s">
        <v>648</v>
      </c>
      <c r="L1219" s="63" t="s">
        <v>3902</v>
      </c>
      <c r="M1219" s="63" t="s">
        <v>3903</v>
      </c>
      <c r="N1219" s="63" t="s">
        <v>1719</v>
      </c>
    </row>
    <row r="1220" spans="1:14" x14ac:dyDescent="0.2">
      <c r="A1220" s="51">
        <v>1219</v>
      </c>
      <c r="B1220" s="54" t="s">
        <v>648</v>
      </c>
      <c r="C1220" s="47" t="s">
        <v>3904</v>
      </c>
      <c r="D1220" s="47" t="s">
        <v>3905</v>
      </c>
      <c r="E1220" s="48" t="s">
        <v>1719</v>
      </c>
      <c r="F1220" s="66" t="b">
        <v>0</v>
      </c>
      <c r="G1220" s="54" t="b">
        <v>1</v>
      </c>
      <c r="H1220" s="54" t="b">
        <v>1</v>
      </c>
      <c r="I1220" s="54" t="b">
        <v>1</v>
      </c>
      <c r="J1220" s="54" t="b">
        <v>1</v>
      </c>
      <c r="K1220" s="63" t="s">
        <v>648</v>
      </c>
      <c r="L1220" s="63" t="s">
        <v>3904</v>
      </c>
      <c r="M1220" s="63" t="s">
        <v>3905</v>
      </c>
      <c r="N1220" s="63" t="s">
        <v>1719</v>
      </c>
    </row>
    <row r="1221" spans="1:14" x14ac:dyDescent="0.2">
      <c r="A1221" s="51">
        <v>1220</v>
      </c>
      <c r="B1221" s="54" t="s">
        <v>648</v>
      </c>
      <c r="C1221" s="47" t="s">
        <v>3908</v>
      </c>
      <c r="D1221" s="47" t="s">
        <v>3909</v>
      </c>
      <c r="E1221" s="48" t="s">
        <v>1719</v>
      </c>
      <c r="F1221" s="66" t="b">
        <v>0</v>
      </c>
      <c r="G1221" s="54" t="b">
        <v>1</v>
      </c>
      <c r="H1221" s="54" t="b">
        <v>1</v>
      </c>
      <c r="I1221" s="54" t="b">
        <v>1</v>
      </c>
      <c r="J1221" s="54" t="b">
        <v>1</v>
      </c>
      <c r="K1221" s="63" t="s">
        <v>648</v>
      </c>
      <c r="L1221" s="63" t="s">
        <v>3908</v>
      </c>
      <c r="M1221" s="63" t="s">
        <v>3909</v>
      </c>
      <c r="N1221" s="63" t="s">
        <v>1719</v>
      </c>
    </row>
    <row r="1222" spans="1:14" x14ac:dyDescent="0.2">
      <c r="A1222" s="51">
        <v>1221</v>
      </c>
      <c r="B1222" s="54" t="s">
        <v>648</v>
      </c>
      <c r="C1222" s="47" t="s">
        <v>3910</v>
      </c>
      <c r="D1222" s="47" t="s">
        <v>3911</v>
      </c>
      <c r="E1222" s="48" t="s">
        <v>1719</v>
      </c>
      <c r="F1222" s="66" t="b">
        <v>0</v>
      </c>
      <c r="G1222" s="54" t="b">
        <v>1</v>
      </c>
      <c r="H1222" s="54" t="b">
        <v>1</v>
      </c>
      <c r="I1222" s="54" t="b">
        <v>1</v>
      </c>
      <c r="J1222" s="54" t="b">
        <v>1</v>
      </c>
      <c r="K1222" s="63" t="s">
        <v>648</v>
      </c>
      <c r="L1222" s="63" t="s">
        <v>3910</v>
      </c>
      <c r="M1222" s="63" t="s">
        <v>3911</v>
      </c>
      <c r="N1222" s="63" t="s">
        <v>1719</v>
      </c>
    </row>
    <row r="1223" spans="1:14" x14ac:dyDescent="0.2">
      <c r="A1223" s="51">
        <v>1222</v>
      </c>
      <c r="B1223" s="54" t="s">
        <v>648</v>
      </c>
      <c r="C1223" s="47" t="s">
        <v>3914</v>
      </c>
      <c r="D1223" s="47" t="s">
        <v>3915</v>
      </c>
      <c r="E1223" s="48" t="s">
        <v>1719</v>
      </c>
      <c r="F1223" s="66" t="b">
        <v>0</v>
      </c>
      <c r="G1223" s="54" t="b">
        <v>1</v>
      </c>
      <c r="H1223" s="54" t="b">
        <v>1</v>
      </c>
      <c r="I1223" s="54" t="b">
        <v>1</v>
      </c>
      <c r="J1223" s="54" t="b">
        <v>1</v>
      </c>
      <c r="K1223" s="63" t="s">
        <v>648</v>
      </c>
      <c r="L1223" s="63" t="s">
        <v>3914</v>
      </c>
      <c r="M1223" s="63" t="s">
        <v>3915</v>
      </c>
      <c r="N1223" s="63" t="s">
        <v>1719</v>
      </c>
    </row>
    <row r="1224" spans="1:14" x14ac:dyDescent="0.2">
      <c r="A1224" s="51">
        <v>1223</v>
      </c>
      <c r="B1224" s="54" t="s">
        <v>648</v>
      </c>
      <c r="C1224" s="47" t="s">
        <v>3916</v>
      </c>
      <c r="D1224" s="47" t="s">
        <v>3917</v>
      </c>
      <c r="E1224" s="48" t="s">
        <v>1719</v>
      </c>
      <c r="F1224" s="66" t="b">
        <v>0</v>
      </c>
      <c r="G1224" s="54" t="b">
        <v>1</v>
      </c>
      <c r="H1224" s="54" t="b">
        <v>1</v>
      </c>
      <c r="I1224" s="54" t="b">
        <v>1</v>
      </c>
      <c r="J1224" s="54" t="b">
        <v>1</v>
      </c>
      <c r="K1224" s="63" t="s">
        <v>648</v>
      </c>
      <c r="L1224" s="63" t="s">
        <v>3916</v>
      </c>
      <c r="M1224" s="63" t="s">
        <v>3917</v>
      </c>
      <c r="N1224" s="63" t="s">
        <v>1719</v>
      </c>
    </row>
    <row r="1225" spans="1:14" x14ac:dyDescent="0.2">
      <c r="A1225" s="51">
        <v>1224</v>
      </c>
      <c r="B1225" s="54" t="s">
        <v>648</v>
      </c>
      <c r="C1225" s="47" t="s">
        <v>3918</v>
      </c>
      <c r="D1225" s="47" t="s">
        <v>3919</v>
      </c>
      <c r="E1225" s="48" t="s">
        <v>1719</v>
      </c>
      <c r="F1225" s="66" t="b">
        <v>0</v>
      </c>
      <c r="G1225" s="54" t="b">
        <v>1</v>
      </c>
      <c r="H1225" s="54" t="b">
        <v>1</v>
      </c>
      <c r="I1225" s="54" t="b">
        <v>1</v>
      </c>
      <c r="J1225" s="54" t="b">
        <v>1</v>
      </c>
      <c r="K1225" s="63" t="s">
        <v>648</v>
      </c>
      <c r="L1225" s="63" t="s">
        <v>3918</v>
      </c>
      <c r="M1225" s="63" t="s">
        <v>3919</v>
      </c>
      <c r="N1225" s="63" t="s">
        <v>1719</v>
      </c>
    </row>
    <row r="1226" spans="1:14" x14ac:dyDescent="0.2">
      <c r="A1226" s="51">
        <v>1225</v>
      </c>
      <c r="B1226" s="54" t="s">
        <v>648</v>
      </c>
      <c r="C1226" s="47" t="s">
        <v>3922</v>
      </c>
      <c r="D1226" s="47" t="s">
        <v>3923</v>
      </c>
      <c r="E1226" s="48" t="s">
        <v>1719</v>
      </c>
      <c r="F1226" s="66" t="b">
        <v>0</v>
      </c>
      <c r="G1226" s="54" t="b">
        <v>1</v>
      </c>
      <c r="H1226" s="54" t="b">
        <v>1</v>
      </c>
      <c r="I1226" s="54" t="b">
        <v>1</v>
      </c>
      <c r="J1226" s="54" t="b">
        <v>1</v>
      </c>
      <c r="K1226" s="63" t="s">
        <v>648</v>
      </c>
      <c r="L1226" s="63" t="s">
        <v>3922</v>
      </c>
      <c r="M1226" s="63" t="s">
        <v>3923</v>
      </c>
      <c r="N1226" s="63" t="s">
        <v>1719</v>
      </c>
    </row>
    <row r="1227" spans="1:14" x14ac:dyDescent="0.2">
      <c r="A1227" s="51">
        <v>1226</v>
      </c>
      <c r="B1227" s="54" t="s">
        <v>648</v>
      </c>
      <c r="C1227" s="47" t="s">
        <v>3926</v>
      </c>
      <c r="D1227" s="47" t="s">
        <v>3927</v>
      </c>
      <c r="E1227" s="48" t="s">
        <v>1719</v>
      </c>
      <c r="F1227" s="66" t="b">
        <v>0</v>
      </c>
      <c r="G1227" s="54" t="b">
        <v>1</v>
      </c>
      <c r="H1227" s="54" t="b">
        <v>1</v>
      </c>
      <c r="I1227" s="54" t="b">
        <v>1</v>
      </c>
      <c r="J1227" s="54" t="b">
        <v>1</v>
      </c>
      <c r="K1227" s="63" t="s">
        <v>648</v>
      </c>
      <c r="L1227" s="63" t="s">
        <v>3926</v>
      </c>
      <c r="M1227" s="63" t="s">
        <v>3927</v>
      </c>
      <c r="N1227" s="63" t="s">
        <v>1719</v>
      </c>
    </row>
    <row r="1228" spans="1:14" x14ac:dyDescent="0.2">
      <c r="A1228" s="51">
        <v>1227</v>
      </c>
      <c r="B1228" s="54" t="s">
        <v>648</v>
      </c>
      <c r="C1228" s="47" t="s">
        <v>3928</v>
      </c>
      <c r="D1228" s="47" t="s">
        <v>3929</v>
      </c>
      <c r="E1228" s="48" t="s">
        <v>1719</v>
      </c>
      <c r="F1228" s="66" t="b">
        <v>0</v>
      </c>
      <c r="G1228" s="54" t="b">
        <v>1</v>
      </c>
      <c r="H1228" s="54" t="b">
        <v>1</v>
      </c>
      <c r="I1228" s="54" t="b">
        <v>1</v>
      </c>
      <c r="J1228" s="54" t="b">
        <v>1</v>
      </c>
      <c r="K1228" s="63" t="s">
        <v>648</v>
      </c>
      <c r="L1228" s="63" t="s">
        <v>3928</v>
      </c>
      <c r="M1228" s="63" t="s">
        <v>3929</v>
      </c>
      <c r="N1228" s="63" t="s">
        <v>1719</v>
      </c>
    </row>
    <row r="1229" spans="1:14" x14ac:dyDescent="0.2">
      <c r="A1229" s="51">
        <v>1228</v>
      </c>
      <c r="B1229" s="54" t="s">
        <v>648</v>
      </c>
      <c r="C1229" s="47" t="s">
        <v>3930</v>
      </c>
      <c r="D1229" s="47" t="s">
        <v>3931</v>
      </c>
      <c r="E1229" s="48" t="s">
        <v>1719</v>
      </c>
      <c r="F1229" s="66" t="b">
        <v>0</v>
      </c>
      <c r="G1229" s="54" t="b">
        <v>1</v>
      </c>
      <c r="H1229" s="54" t="b">
        <v>1</v>
      </c>
      <c r="I1229" s="54" t="b">
        <v>1</v>
      </c>
      <c r="J1229" s="54" t="b">
        <v>1</v>
      </c>
      <c r="K1229" s="63" t="s">
        <v>648</v>
      </c>
      <c r="L1229" s="63" t="s">
        <v>3930</v>
      </c>
      <c r="M1229" s="63" t="s">
        <v>3931</v>
      </c>
      <c r="N1229" s="63" t="s">
        <v>1719</v>
      </c>
    </row>
    <row r="1230" spans="1:14" x14ac:dyDescent="0.2">
      <c r="A1230" s="51">
        <v>1229</v>
      </c>
      <c r="B1230" s="54" t="s">
        <v>648</v>
      </c>
      <c r="C1230" s="47" t="s">
        <v>3932</v>
      </c>
      <c r="D1230" s="47" t="s">
        <v>12320</v>
      </c>
      <c r="E1230" s="48" t="s">
        <v>1719</v>
      </c>
      <c r="F1230" s="66" t="b">
        <v>0</v>
      </c>
      <c r="G1230" s="54" t="b">
        <v>1</v>
      </c>
      <c r="H1230" s="54" t="b">
        <v>1</v>
      </c>
      <c r="I1230" s="65" t="b">
        <v>0</v>
      </c>
      <c r="J1230" s="54" t="b">
        <v>1</v>
      </c>
      <c r="K1230" s="63" t="s">
        <v>648</v>
      </c>
      <c r="L1230" s="63" t="s">
        <v>3932</v>
      </c>
      <c r="M1230" s="63" t="s">
        <v>3933</v>
      </c>
      <c r="N1230" s="63" t="s">
        <v>1719</v>
      </c>
    </row>
    <row r="1231" spans="1:14" x14ac:dyDescent="0.2">
      <c r="A1231" s="51">
        <v>1230</v>
      </c>
      <c r="B1231" s="54" t="s">
        <v>648</v>
      </c>
      <c r="C1231" s="47" t="s">
        <v>3934</v>
      </c>
      <c r="D1231" s="47" t="s">
        <v>3935</v>
      </c>
      <c r="E1231" s="48" t="s">
        <v>1719</v>
      </c>
      <c r="F1231" s="66" t="b">
        <v>0</v>
      </c>
      <c r="G1231" s="54" t="b">
        <v>1</v>
      </c>
      <c r="H1231" s="54" t="b">
        <v>1</v>
      </c>
      <c r="I1231" s="54" t="b">
        <v>1</v>
      </c>
      <c r="J1231" s="54" t="b">
        <v>1</v>
      </c>
      <c r="K1231" s="63" t="s">
        <v>648</v>
      </c>
      <c r="L1231" s="63" t="s">
        <v>3934</v>
      </c>
      <c r="M1231" s="63" t="s">
        <v>3935</v>
      </c>
      <c r="N1231" s="63" t="s">
        <v>1719</v>
      </c>
    </row>
    <row r="1232" spans="1:14" x14ac:dyDescent="0.2">
      <c r="A1232" s="51">
        <v>1231</v>
      </c>
      <c r="B1232" s="54" t="s">
        <v>648</v>
      </c>
      <c r="C1232" s="47" t="s">
        <v>3936</v>
      </c>
      <c r="D1232" s="47" t="s">
        <v>3937</v>
      </c>
      <c r="E1232" s="48" t="s">
        <v>1719</v>
      </c>
      <c r="F1232" s="66" t="b">
        <v>0</v>
      </c>
      <c r="G1232" s="54" t="b">
        <v>1</v>
      </c>
      <c r="H1232" s="54" t="b">
        <v>1</v>
      </c>
      <c r="I1232" s="54" t="b">
        <v>1</v>
      </c>
      <c r="J1232" s="54" t="b">
        <v>1</v>
      </c>
      <c r="K1232" s="63" t="s">
        <v>648</v>
      </c>
      <c r="L1232" s="63" t="s">
        <v>3936</v>
      </c>
      <c r="M1232" s="63" t="s">
        <v>3937</v>
      </c>
      <c r="N1232" s="63" t="s">
        <v>1719</v>
      </c>
    </row>
    <row r="1233" spans="1:14" x14ac:dyDescent="0.2">
      <c r="A1233" s="51">
        <v>1232</v>
      </c>
      <c r="B1233" s="54" t="s">
        <v>648</v>
      </c>
      <c r="C1233" s="47" t="s">
        <v>3940</v>
      </c>
      <c r="D1233" s="47" t="s">
        <v>2072</v>
      </c>
      <c r="E1233" s="48" t="s">
        <v>1719</v>
      </c>
      <c r="F1233" s="66" t="b">
        <v>0</v>
      </c>
      <c r="G1233" s="54" t="b">
        <v>1</v>
      </c>
      <c r="H1233" s="54" t="b">
        <v>1</v>
      </c>
      <c r="I1233" s="54" t="b">
        <v>1</v>
      </c>
      <c r="J1233" s="54" t="b">
        <v>1</v>
      </c>
      <c r="K1233" s="63" t="s">
        <v>648</v>
      </c>
      <c r="L1233" s="63" t="s">
        <v>3940</v>
      </c>
      <c r="M1233" s="63" t="s">
        <v>2072</v>
      </c>
      <c r="N1233" s="63" t="s">
        <v>1719</v>
      </c>
    </row>
    <row r="1234" spans="1:14" x14ac:dyDescent="0.2">
      <c r="A1234" s="51">
        <v>1233</v>
      </c>
      <c r="B1234" s="54" t="s">
        <v>648</v>
      </c>
      <c r="C1234" s="47" t="s">
        <v>3941</v>
      </c>
      <c r="D1234" s="47" t="s">
        <v>3942</v>
      </c>
      <c r="E1234" s="48" t="s">
        <v>1719</v>
      </c>
      <c r="F1234" s="66" t="b">
        <v>0</v>
      </c>
      <c r="G1234" s="54" t="b">
        <v>1</v>
      </c>
      <c r="H1234" s="54" t="b">
        <v>1</v>
      </c>
      <c r="I1234" s="54" t="b">
        <v>1</v>
      </c>
      <c r="J1234" s="54" t="b">
        <v>1</v>
      </c>
      <c r="K1234" s="63" t="s">
        <v>648</v>
      </c>
      <c r="L1234" s="63" t="s">
        <v>3941</v>
      </c>
      <c r="M1234" s="63" t="s">
        <v>3942</v>
      </c>
      <c r="N1234" s="63" t="s">
        <v>1719</v>
      </c>
    </row>
    <row r="1235" spans="1:14" x14ac:dyDescent="0.2">
      <c r="A1235" s="51">
        <v>1234</v>
      </c>
      <c r="B1235" s="54" t="s">
        <v>648</v>
      </c>
      <c r="C1235" s="47" t="s">
        <v>3949</v>
      </c>
      <c r="D1235" s="47" t="s">
        <v>3950</v>
      </c>
      <c r="E1235" s="48" t="s">
        <v>1719</v>
      </c>
      <c r="F1235" s="66" t="b">
        <v>0</v>
      </c>
      <c r="G1235" s="54" t="b">
        <v>1</v>
      </c>
      <c r="H1235" s="54" t="b">
        <v>1</v>
      </c>
      <c r="I1235" s="54" t="b">
        <v>1</v>
      </c>
      <c r="J1235" s="54" t="b">
        <v>1</v>
      </c>
      <c r="K1235" s="63" t="s">
        <v>648</v>
      </c>
      <c r="L1235" s="63" t="s">
        <v>3949</v>
      </c>
      <c r="M1235" s="63" t="s">
        <v>3950</v>
      </c>
      <c r="N1235" s="63" t="s">
        <v>1719</v>
      </c>
    </row>
    <row r="1236" spans="1:14" x14ac:dyDescent="0.2">
      <c r="A1236" s="51">
        <v>1235</v>
      </c>
      <c r="B1236" s="54" t="s">
        <v>648</v>
      </c>
      <c r="C1236" s="47" t="s">
        <v>3943</v>
      </c>
      <c r="D1236" s="47" t="s">
        <v>3944</v>
      </c>
      <c r="E1236" s="48" t="s">
        <v>1719</v>
      </c>
      <c r="F1236" s="66" t="b">
        <v>0</v>
      </c>
      <c r="G1236" s="54" t="b">
        <v>1</v>
      </c>
      <c r="H1236" s="54" t="b">
        <v>1</v>
      </c>
      <c r="I1236" s="54" t="b">
        <v>1</v>
      </c>
      <c r="J1236" s="54" t="b">
        <v>1</v>
      </c>
      <c r="K1236" s="63" t="s">
        <v>648</v>
      </c>
      <c r="L1236" s="63" t="s">
        <v>3943</v>
      </c>
      <c r="M1236" s="63" t="s">
        <v>3944</v>
      </c>
      <c r="N1236" s="63" t="s">
        <v>1719</v>
      </c>
    </row>
    <row r="1237" spans="1:14" x14ac:dyDescent="0.2">
      <c r="A1237" s="51">
        <v>1236</v>
      </c>
      <c r="B1237" s="54" t="s">
        <v>648</v>
      </c>
      <c r="C1237" s="47" t="s">
        <v>3945</v>
      </c>
      <c r="D1237" s="47" t="s">
        <v>3946</v>
      </c>
      <c r="E1237" s="48" t="s">
        <v>1719</v>
      </c>
      <c r="F1237" s="66" t="b">
        <v>0</v>
      </c>
      <c r="G1237" s="54" t="b">
        <v>1</v>
      </c>
      <c r="H1237" s="54" t="b">
        <v>1</v>
      </c>
      <c r="I1237" s="54" t="b">
        <v>1</v>
      </c>
      <c r="J1237" s="54" t="b">
        <v>1</v>
      </c>
      <c r="K1237" s="63" t="s">
        <v>648</v>
      </c>
      <c r="L1237" s="63" t="s">
        <v>3945</v>
      </c>
      <c r="M1237" s="63" t="s">
        <v>3946</v>
      </c>
      <c r="N1237" s="63" t="s">
        <v>1719</v>
      </c>
    </row>
    <row r="1238" spans="1:14" x14ac:dyDescent="0.2">
      <c r="A1238" s="51">
        <v>1237</v>
      </c>
      <c r="B1238" s="54" t="s">
        <v>648</v>
      </c>
      <c r="C1238" s="47" t="s">
        <v>3951</v>
      </c>
      <c r="D1238" s="47" t="s">
        <v>3952</v>
      </c>
      <c r="E1238" s="48" t="s">
        <v>1719</v>
      </c>
      <c r="F1238" s="66" t="b">
        <v>0</v>
      </c>
      <c r="G1238" s="54" t="b">
        <v>1</v>
      </c>
      <c r="H1238" s="54" t="b">
        <v>1</v>
      </c>
      <c r="I1238" s="54" t="b">
        <v>1</v>
      </c>
      <c r="J1238" s="54" t="b">
        <v>1</v>
      </c>
      <c r="K1238" s="63" t="s">
        <v>648</v>
      </c>
      <c r="L1238" s="63" t="s">
        <v>3951</v>
      </c>
      <c r="M1238" s="63" t="s">
        <v>3952</v>
      </c>
      <c r="N1238" s="63" t="s">
        <v>1719</v>
      </c>
    </row>
    <row r="1239" spans="1:14" x14ac:dyDescent="0.2">
      <c r="A1239" s="51">
        <v>1238</v>
      </c>
      <c r="B1239" s="54" t="s">
        <v>648</v>
      </c>
      <c r="C1239" s="47" t="s">
        <v>3920</v>
      </c>
      <c r="D1239" s="47" t="s">
        <v>3921</v>
      </c>
      <c r="E1239" s="48" t="s">
        <v>1719</v>
      </c>
      <c r="F1239" s="66" t="b">
        <v>0</v>
      </c>
      <c r="G1239" s="54" t="b">
        <v>1</v>
      </c>
      <c r="H1239" s="54" t="b">
        <v>1</v>
      </c>
      <c r="I1239" s="54" t="b">
        <v>1</v>
      </c>
      <c r="J1239" s="54" t="b">
        <v>1</v>
      </c>
      <c r="K1239" s="63" t="s">
        <v>648</v>
      </c>
      <c r="L1239" s="63" t="s">
        <v>3920</v>
      </c>
      <c r="M1239" s="63" t="s">
        <v>3921</v>
      </c>
      <c r="N1239" s="63" t="s">
        <v>1719</v>
      </c>
    </row>
    <row r="1240" spans="1:14" x14ac:dyDescent="0.2">
      <c r="A1240" s="51">
        <v>1239</v>
      </c>
      <c r="B1240" s="54" t="s">
        <v>648</v>
      </c>
      <c r="C1240" s="47" t="s">
        <v>3924</v>
      </c>
      <c r="D1240" s="47" t="s">
        <v>3925</v>
      </c>
      <c r="E1240" s="48" t="s">
        <v>1719</v>
      </c>
      <c r="F1240" s="66" t="b">
        <v>0</v>
      </c>
      <c r="G1240" s="54" t="b">
        <v>1</v>
      </c>
      <c r="H1240" s="54" t="b">
        <v>1</v>
      </c>
      <c r="I1240" s="54" t="b">
        <v>1</v>
      </c>
      <c r="J1240" s="54" t="b">
        <v>1</v>
      </c>
      <c r="K1240" s="63" t="s">
        <v>648</v>
      </c>
      <c r="L1240" s="63" t="s">
        <v>3924</v>
      </c>
      <c r="M1240" s="63" t="s">
        <v>3925</v>
      </c>
      <c r="N1240" s="63" t="s">
        <v>1719</v>
      </c>
    </row>
    <row r="1241" spans="1:14" x14ac:dyDescent="0.2">
      <c r="A1241" s="51">
        <v>1240</v>
      </c>
      <c r="B1241" s="54" t="s">
        <v>648</v>
      </c>
      <c r="C1241" s="47" t="s">
        <v>3906</v>
      </c>
      <c r="D1241" s="47" t="s">
        <v>3907</v>
      </c>
      <c r="E1241" s="48" t="s">
        <v>1719</v>
      </c>
      <c r="F1241" s="66" t="b">
        <v>0</v>
      </c>
      <c r="G1241" s="54" t="b">
        <v>1</v>
      </c>
      <c r="H1241" s="54" t="b">
        <v>1</v>
      </c>
      <c r="I1241" s="54" t="b">
        <v>1</v>
      </c>
      <c r="J1241" s="54" t="b">
        <v>1</v>
      </c>
      <c r="K1241" s="63" t="s">
        <v>648</v>
      </c>
      <c r="L1241" s="63" t="s">
        <v>3906</v>
      </c>
      <c r="M1241" s="63" t="s">
        <v>3907</v>
      </c>
      <c r="N1241" s="63" t="s">
        <v>1719</v>
      </c>
    </row>
    <row r="1242" spans="1:14" x14ac:dyDescent="0.2">
      <c r="A1242" s="51">
        <v>1241</v>
      </c>
      <c r="B1242" s="54" t="s">
        <v>648</v>
      </c>
      <c r="C1242" s="47" t="s">
        <v>3938</v>
      </c>
      <c r="D1242" s="47" t="s">
        <v>3939</v>
      </c>
      <c r="E1242" s="48" t="s">
        <v>1719</v>
      </c>
      <c r="F1242" s="66" t="b">
        <v>0</v>
      </c>
      <c r="G1242" s="54" t="b">
        <v>1</v>
      </c>
      <c r="H1242" s="54" t="b">
        <v>1</v>
      </c>
      <c r="I1242" s="54" t="b">
        <v>1</v>
      </c>
      <c r="J1242" s="54" t="b">
        <v>1</v>
      </c>
      <c r="K1242" s="63" t="s">
        <v>648</v>
      </c>
      <c r="L1242" s="63" t="s">
        <v>3938</v>
      </c>
      <c r="M1242" s="63" t="s">
        <v>3939</v>
      </c>
      <c r="N1242" s="63" t="s">
        <v>1719</v>
      </c>
    </row>
    <row r="1243" spans="1:14" x14ac:dyDescent="0.2">
      <c r="A1243" s="51">
        <v>1242</v>
      </c>
      <c r="B1243" s="54" t="s">
        <v>648</v>
      </c>
      <c r="C1243" s="47" t="s">
        <v>3947</v>
      </c>
      <c r="D1243" s="47" t="s">
        <v>3948</v>
      </c>
      <c r="E1243" s="48" t="s">
        <v>1719</v>
      </c>
      <c r="F1243" s="66" t="b">
        <v>0</v>
      </c>
      <c r="G1243" s="54" t="b">
        <v>1</v>
      </c>
      <c r="H1243" s="54" t="b">
        <v>1</v>
      </c>
      <c r="I1243" s="54" t="b">
        <v>1</v>
      </c>
      <c r="J1243" s="54" t="b">
        <v>1</v>
      </c>
      <c r="K1243" s="63" t="s">
        <v>648</v>
      </c>
      <c r="L1243" s="63" t="s">
        <v>3947</v>
      </c>
      <c r="M1243" s="63" t="s">
        <v>3948</v>
      </c>
      <c r="N1243" s="63" t="s">
        <v>1719</v>
      </c>
    </row>
    <row r="1244" spans="1:14" x14ac:dyDescent="0.2">
      <c r="A1244" s="51">
        <v>1243</v>
      </c>
      <c r="B1244" s="54" t="s">
        <v>648</v>
      </c>
      <c r="C1244" s="47" t="s">
        <v>12305</v>
      </c>
      <c r="D1244" s="47" t="s">
        <v>12306</v>
      </c>
      <c r="E1244" s="47" t="s">
        <v>2087</v>
      </c>
      <c r="F1244" s="55" t="b">
        <v>1</v>
      </c>
      <c r="G1244" s="65" t="b">
        <v>0</v>
      </c>
      <c r="H1244" s="65" t="b">
        <v>0</v>
      </c>
      <c r="I1244" s="65" t="b">
        <v>0</v>
      </c>
      <c r="J1244" s="65" t="b">
        <v>0</v>
      </c>
    </row>
    <row r="1245" spans="1:14" x14ac:dyDescent="0.2">
      <c r="A1245" s="51">
        <v>1244</v>
      </c>
      <c r="B1245" s="54" t="s">
        <v>648</v>
      </c>
      <c r="C1245" s="47" t="s">
        <v>12307</v>
      </c>
      <c r="D1245" s="47" t="s">
        <v>12308</v>
      </c>
      <c r="E1245" s="47" t="s">
        <v>2087</v>
      </c>
      <c r="F1245" s="55" t="b">
        <v>1</v>
      </c>
      <c r="G1245" s="65" t="b">
        <v>0</v>
      </c>
      <c r="H1245" s="65" t="b">
        <v>0</v>
      </c>
      <c r="I1245" s="65" t="b">
        <v>0</v>
      </c>
      <c r="J1245" s="65" t="b">
        <v>0</v>
      </c>
    </row>
    <row r="1246" spans="1:14" x14ac:dyDescent="0.2">
      <c r="A1246" s="51">
        <v>1245</v>
      </c>
      <c r="B1246" s="54" t="s">
        <v>648</v>
      </c>
      <c r="C1246" s="47" t="s">
        <v>12309</v>
      </c>
      <c r="D1246" s="47" t="s">
        <v>12310</v>
      </c>
      <c r="E1246" s="47" t="s">
        <v>2087</v>
      </c>
      <c r="F1246" s="55" t="b">
        <v>1</v>
      </c>
      <c r="G1246" s="65" t="b">
        <v>0</v>
      </c>
      <c r="H1246" s="65" t="b">
        <v>0</v>
      </c>
      <c r="I1246" s="65" t="b">
        <v>0</v>
      </c>
      <c r="J1246" s="65" t="b">
        <v>0</v>
      </c>
    </row>
    <row r="1247" spans="1:14" x14ac:dyDescent="0.2">
      <c r="A1247" s="51">
        <v>1246</v>
      </c>
      <c r="B1247" s="54" t="s">
        <v>648</v>
      </c>
      <c r="C1247" s="47" t="s">
        <v>12311</v>
      </c>
      <c r="D1247" s="47" t="s">
        <v>12312</v>
      </c>
      <c r="E1247" s="47" t="s">
        <v>2087</v>
      </c>
      <c r="F1247" s="55" t="b">
        <v>1</v>
      </c>
      <c r="G1247" s="65" t="b">
        <v>0</v>
      </c>
      <c r="H1247" s="65" t="b">
        <v>0</v>
      </c>
      <c r="I1247" s="65" t="b">
        <v>0</v>
      </c>
      <c r="J1247" s="65" t="b">
        <v>0</v>
      </c>
    </row>
    <row r="1248" spans="1:14" x14ac:dyDescent="0.2">
      <c r="A1248" s="51">
        <v>1247</v>
      </c>
      <c r="B1248" s="54" t="s">
        <v>648</v>
      </c>
      <c r="C1248" s="47" t="s">
        <v>12316</v>
      </c>
      <c r="D1248" s="47" t="s">
        <v>12317</v>
      </c>
      <c r="E1248" s="47" t="s">
        <v>2087</v>
      </c>
      <c r="F1248" s="55" t="b">
        <v>1</v>
      </c>
      <c r="G1248" s="65" t="b">
        <v>0</v>
      </c>
      <c r="H1248" s="65" t="b">
        <v>0</v>
      </c>
      <c r="I1248" s="65" t="b">
        <v>0</v>
      </c>
      <c r="J1248" s="65" t="b">
        <v>0</v>
      </c>
    </row>
    <row r="1249" spans="1:14" x14ac:dyDescent="0.2">
      <c r="A1249" s="51">
        <v>1248</v>
      </c>
      <c r="B1249" s="54" t="s">
        <v>648</v>
      </c>
      <c r="C1249" s="47" t="s">
        <v>12318</v>
      </c>
      <c r="D1249" s="47" t="s">
        <v>12319</v>
      </c>
      <c r="E1249" s="47" t="s">
        <v>2087</v>
      </c>
      <c r="F1249" s="55" t="b">
        <v>1</v>
      </c>
      <c r="G1249" s="65" t="b">
        <v>0</v>
      </c>
      <c r="H1249" s="65" t="b">
        <v>0</v>
      </c>
      <c r="I1249" s="65" t="b">
        <v>0</v>
      </c>
      <c r="J1249" s="65" t="b">
        <v>0</v>
      </c>
    </row>
    <row r="1250" spans="1:14" x14ac:dyDescent="0.2">
      <c r="A1250" s="51">
        <v>1249</v>
      </c>
      <c r="B1250" s="54" t="s">
        <v>648</v>
      </c>
      <c r="C1250" s="47" t="s">
        <v>12321</v>
      </c>
      <c r="D1250" s="47" t="s">
        <v>12322</v>
      </c>
      <c r="E1250" s="47" t="s">
        <v>2087</v>
      </c>
      <c r="F1250" s="55" t="b">
        <v>1</v>
      </c>
      <c r="G1250" s="65" t="b">
        <v>0</v>
      </c>
      <c r="H1250" s="65" t="b">
        <v>0</v>
      </c>
      <c r="I1250" s="65" t="b">
        <v>0</v>
      </c>
      <c r="J1250" s="65" t="b">
        <v>0</v>
      </c>
    </row>
    <row r="1251" spans="1:14" x14ac:dyDescent="0.2">
      <c r="A1251" s="51">
        <v>1250</v>
      </c>
      <c r="B1251" s="54" t="s">
        <v>648</v>
      </c>
      <c r="C1251" s="47" t="s">
        <v>12323</v>
      </c>
      <c r="D1251" s="47" t="s">
        <v>12324</v>
      </c>
      <c r="E1251" s="47" t="s">
        <v>2087</v>
      </c>
      <c r="F1251" s="55" t="b">
        <v>1</v>
      </c>
      <c r="G1251" s="65" t="b">
        <v>0</v>
      </c>
      <c r="H1251" s="65" t="b">
        <v>0</v>
      </c>
      <c r="I1251" s="65" t="b">
        <v>0</v>
      </c>
      <c r="J1251" s="65" t="b">
        <v>0</v>
      </c>
    </row>
    <row r="1252" spans="1:14" x14ac:dyDescent="0.2">
      <c r="A1252" s="51">
        <v>1251</v>
      </c>
      <c r="B1252" s="54" t="s">
        <v>648</v>
      </c>
      <c r="C1252" s="47" t="s">
        <v>12325</v>
      </c>
      <c r="D1252" s="47" t="s">
        <v>12326</v>
      </c>
      <c r="E1252" s="47" t="s">
        <v>2087</v>
      </c>
      <c r="F1252" s="55" t="b">
        <v>1</v>
      </c>
      <c r="G1252" s="65" t="b">
        <v>0</v>
      </c>
      <c r="H1252" s="65" t="b">
        <v>0</v>
      </c>
      <c r="I1252" s="65" t="b">
        <v>0</v>
      </c>
      <c r="J1252" s="65" t="b">
        <v>0</v>
      </c>
    </row>
    <row r="1253" spans="1:14" x14ac:dyDescent="0.2">
      <c r="A1253" s="51">
        <v>1252</v>
      </c>
      <c r="B1253" s="54" t="s">
        <v>648</v>
      </c>
      <c r="C1253" s="47" t="s">
        <v>12327</v>
      </c>
      <c r="D1253" s="47" t="s">
        <v>12328</v>
      </c>
      <c r="E1253" s="47" t="s">
        <v>2087</v>
      </c>
      <c r="F1253" s="55" t="b">
        <v>1</v>
      </c>
      <c r="G1253" s="65" t="b">
        <v>0</v>
      </c>
      <c r="H1253" s="65" t="b">
        <v>0</v>
      </c>
      <c r="I1253" s="65" t="b">
        <v>0</v>
      </c>
      <c r="J1253" s="65" t="b">
        <v>0</v>
      </c>
    </row>
    <row r="1254" spans="1:14" x14ac:dyDescent="0.2">
      <c r="A1254" s="51">
        <v>1253</v>
      </c>
      <c r="B1254" s="54" t="s">
        <v>650</v>
      </c>
      <c r="C1254" s="47" t="s">
        <v>3953</v>
      </c>
      <c r="D1254" s="47" t="s">
        <v>3954</v>
      </c>
      <c r="E1254" s="47" t="s">
        <v>1719</v>
      </c>
      <c r="F1254" s="55" t="b">
        <v>1</v>
      </c>
      <c r="G1254" s="54" t="b">
        <v>1</v>
      </c>
      <c r="H1254" s="54" t="b">
        <v>1</v>
      </c>
      <c r="I1254" s="54" t="b">
        <v>1</v>
      </c>
      <c r="J1254" s="54" t="b">
        <v>1</v>
      </c>
      <c r="K1254" s="63" t="s">
        <v>650</v>
      </c>
      <c r="L1254" s="63" t="s">
        <v>3953</v>
      </c>
      <c r="M1254" s="63" t="s">
        <v>3954</v>
      </c>
      <c r="N1254" s="63" t="s">
        <v>1719</v>
      </c>
    </row>
    <row r="1255" spans="1:14" x14ac:dyDescent="0.2">
      <c r="A1255" s="51">
        <v>1254</v>
      </c>
      <c r="B1255" s="54" t="s">
        <v>650</v>
      </c>
      <c r="C1255" s="47" t="s">
        <v>3955</v>
      </c>
      <c r="D1255" s="47" t="s">
        <v>3384</v>
      </c>
      <c r="E1255" s="47" t="s">
        <v>1719</v>
      </c>
      <c r="F1255" s="55" t="b">
        <v>1</v>
      </c>
      <c r="G1255" s="54" t="b">
        <v>1</v>
      </c>
      <c r="H1255" s="54" t="b">
        <v>1</v>
      </c>
      <c r="I1255" s="54" t="b">
        <v>1</v>
      </c>
      <c r="J1255" s="54" t="b">
        <v>1</v>
      </c>
      <c r="K1255" s="63" t="s">
        <v>650</v>
      </c>
      <c r="L1255" s="63" t="s">
        <v>3955</v>
      </c>
      <c r="M1255" s="63" t="s">
        <v>3384</v>
      </c>
      <c r="N1255" s="63" t="s">
        <v>1719</v>
      </c>
    </row>
    <row r="1256" spans="1:14" x14ac:dyDescent="0.2">
      <c r="A1256" s="51">
        <v>1255</v>
      </c>
      <c r="B1256" s="54" t="s">
        <v>650</v>
      </c>
      <c r="C1256" s="47" t="s">
        <v>3956</v>
      </c>
      <c r="D1256" s="47" t="s">
        <v>3957</v>
      </c>
      <c r="E1256" s="47" t="s">
        <v>1719</v>
      </c>
      <c r="F1256" s="55" t="b">
        <v>1</v>
      </c>
      <c r="G1256" s="54" t="b">
        <v>1</v>
      </c>
      <c r="H1256" s="54" t="b">
        <v>1</v>
      </c>
      <c r="I1256" s="54" t="b">
        <v>1</v>
      </c>
      <c r="J1256" s="54" t="b">
        <v>1</v>
      </c>
      <c r="K1256" s="63" t="s">
        <v>650</v>
      </c>
      <c r="L1256" s="63" t="s">
        <v>3956</v>
      </c>
      <c r="M1256" s="63" t="s">
        <v>3957</v>
      </c>
      <c r="N1256" s="63" t="s">
        <v>1719</v>
      </c>
    </row>
    <row r="1257" spans="1:14" x14ac:dyDescent="0.2">
      <c r="A1257" s="51">
        <v>1256</v>
      </c>
      <c r="B1257" s="54" t="s">
        <v>650</v>
      </c>
      <c r="C1257" s="47" t="s">
        <v>3983</v>
      </c>
      <c r="D1257" s="47" t="s">
        <v>3984</v>
      </c>
      <c r="E1257" s="47" t="s">
        <v>1719</v>
      </c>
      <c r="F1257" s="55" t="b">
        <v>1</v>
      </c>
      <c r="G1257" s="54" t="b">
        <v>1</v>
      </c>
      <c r="H1257" s="54" t="b">
        <v>1</v>
      </c>
      <c r="I1257" s="54" t="b">
        <v>1</v>
      </c>
      <c r="J1257" s="54" t="b">
        <v>1</v>
      </c>
      <c r="K1257" s="63" t="s">
        <v>650</v>
      </c>
      <c r="L1257" s="63" t="s">
        <v>3983</v>
      </c>
      <c r="M1257" s="63" t="s">
        <v>3984</v>
      </c>
      <c r="N1257" s="63" t="s">
        <v>1719</v>
      </c>
    </row>
    <row r="1258" spans="1:14" x14ac:dyDescent="0.2">
      <c r="A1258" s="51">
        <v>1257</v>
      </c>
      <c r="B1258" s="54" t="s">
        <v>650</v>
      </c>
      <c r="C1258" s="47" t="s">
        <v>3966</v>
      </c>
      <c r="D1258" s="47" t="s">
        <v>3967</v>
      </c>
      <c r="E1258" s="47" t="s">
        <v>1719</v>
      </c>
      <c r="F1258" s="55" t="b">
        <v>1</v>
      </c>
      <c r="G1258" s="54" t="b">
        <v>1</v>
      </c>
      <c r="H1258" s="54" t="b">
        <v>1</v>
      </c>
      <c r="I1258" s="54" t="b">
        <v>1</v>
      </c>
      <c r="J1258" s="54" t="b">
        <v>1</v>
      </c>
      <c r="K1258" s="63" t="s">
        <v>650</v>
      </c>
      <c r="L1258" s="63" t="s">
        <v>3966</v>
      </c>
      <c r="M1258" s="63" t="s">
        <v>3967</v>
      </c>
      <c r="N1258" s="63" t="s">
        <v>1719</v>
      </c>
    </row>
    <row r="1259" spans="1:14" x14ac:dyDescent="0.2">
      <c r="A1259" s="51">
        <v>1258</v>
      </c>
      <c r="B1259" s="54" t="s">
        <v>650</v>
      </c>
      <c r="C1259" s="47" t="s">
        <v>3958</v>
      </c>
      <c r="D1259" s="47" t="s">
        <v>3959</v>
      </c>
      <c r="E1259" s="47" t="s">
        <v>1719</v>
      </c>
      <c r="F1259" s="55" t="b">
        <v>1</v>
      </c>
      <c r="G1259" s="54" t="b">
        <v>1</v>
      </c>
      <c r="H1259" s="54" t="b">
        <v>1</v>
      </c>
      <c r="I1259" s="54" t="b">
        <v>1</v>
      </c>
      <c r="J1259" s="54" t="b">
        <v>1</v>
      </c>
      <c r="K1259" s="63" t="s">
        <v>650</v>
      </c>
      <c r="L1259" s="63" t="s">
        <v>3958</v>
      </c>
      <c r="M1259" s="63" t="s">
        <v>3959</v>
      </c>
      <c r="N1259" s="63" t="s">
        <v>1719</v>
      </c>
    </row>
    <row r="1260" spans="1:14" x14ac:dyDescent="0.2">
      <c r="A1260" s="51">
        <v>1259</v>
      </c>
      <c r="B1260" s="54" t="s">
        <v>650</v>
      </c>
      <c r="C1260" s="47" t="s">
        <v>3970</v>
      </c>
      <c r="D1260" s="47" t="s">
        <v>3971</v>
      </c>
      <c r="E1260" s="47" t="s">
        <v>1719</v>
      </c>
      <c r="F1260" s="55" t="b">
        <v>1</v>
      </c>
      <c r="G1260" s="54" t="b">
        <v>1</v>
      </c>
      <c r="H1260" s="54" t="b">
        <v>1</v>
      </c>
      <c r="I1260" s="54" t="b">
        <v>1</v>
      </c>
      <c r="J1260" s="54" t="b">
        <v>1</v>
      </c>
      <c r="K1260" s="63" t="s">
        <v>650</v>
      </c>
      <c r="L1260" s="63" t="s">
        <v>3970</v>
      </c>
      <c r="M1260" s="63" t="s">
        <v>3971</v>
      </c>
      <c r="N1260" s="63" t="s">
        <v>1719</v>
      </c>
    </row>
    <row r="1261" spans="1:14" x14ac:dyDescent="0.2">
      <c r="A1261" s="51">
        <v>1260</v>
      </c>
      <c r="B1261" s="54" t="s">
        <v>650</v>
      </c>
      <c r="C1261" s="47" t="s">
        <v>3960</v>
      </c>
      <c r="D1261" s="47" t="s">
        <v>3961</v>
      </c>
      <c r="E1261" s="47" t="s">
        <v>1719</v>
      </c>
      <c r="F1261" s="55" t="b">
        <v>1</v>
      </c>
      <c r="G1261" s="54" t="b">
        <v>1</v>
      </c>
      <c r="H1261" s="54" t="b">
        <v>1</v>
      </c>
      <c r="I1261" s="54" t="b">
        <v>1</v>
      </c>
      <c r="J1261" s="54" t="b">
        <v>1</v>
      </c>
      <c r="K1261" s="63" t="s">
        <v>650</v>
      </c>
      <c r="L1261" s="63" t="s">
        <v>3960</v>
      </c>
      <c r="M1261" s="63" t="s">
        <v>3961</v>
      </c>
      <c r="N1261" s="63" t="s">
        <v>1719</v>
      </c>
    </row>
    <row r="1262" spans="1:14" x14ac:dyDescent="0.2">
      <c r="A1262" s="51">
        <v>1261</v>
      </c>
      <c r="B1262" s="54" t="s">
        <v>650</v>
      </c>
      <c r="C1262" s="47" t="s">
        <v>3972</v>
      </c>
      <c r="D1262" s="47" t="s">
        <v>3973</v>
      </c>
      <c r="E1262" s="47" t="s">
        <v>1719</v>
      </c>
      <c r="F1262" s="55" t="b">
        <v>1</v>
      </c>
      <c r="G1262" s="54" t="b">
        <v>1</v>
      </c>
      <c r="H1262" s="54" t="b">
        <v>1</v>
      </c>
      <c r="I1262" s="54" t="b">
        <v>1</v>
      </c>
      <c r="J1262" s="54" t="b">
        <v>1</v>
      </c>
      <c r="K1262" s="63" t="s">
        <v>650</v>
      </c>
      <c r="L1262" s="63" t="s">
        <v>3972</v>
      </c>
      <c r="M1262" s="63" t="s">
        <v>3973</v>
      </c>
      <c r="N1262" s="63" t="s">
        <v>1719</v>
      </c>
    </row>
    <row r="1263" spans="1:14" x14ac:dyDescent="0.2">
      <c r="A1263" s="51">
        <v>1262</v>
      </c>
      <c r="B1263" s="54" t="s">
        <v>650</v>
      </c>
      <c r="C1263" s="47" t="s">
        <v>3974</v>
      </c>
      <c r="D1263" s="47" t="s">
        <v>3975</v>
      </c>
      <c r="E1263" s="47" t="s">
        <v>1719</v>
      </c>
      <c r="F1263" s="55" t="b">
        <v>1</v>
      </c>
      <c r="G1263" s="54" t="b">
        <v>1</v>
      </c>
      <c r="H1263" s="54" t="b">
        <v>1</v>
      </c>
      <c r="I1263" s="54" t="b">
        <v>1</v>
      </c>
      <c r="J1263" s="54" t="b">
        <v>1</v>
      </c>
      <c r="K1263" s="63" t="s">
        <v>650</v>
      </c>
      <c r="L1263" s="63" t="s">
        <v>3974</v>
      </c>
      <c r="M1263" s="63" t="s">
        <v>3975</v>
      </c>
      <c r="N1263" s="63" t="s">
        <v>1719</v>
      </c>
    </row>
    <row r="1264" spans="1:14" x14ac:dyDescent="0.2">
      <c r="A1264" s="51">
        <v>1263</v>
      </c>
      <c r="B1264" s="54" t="s">
        <v>650</v>
      </c>
      <c r="C1264" s="47" t="s">
        <v>3977</v>
      </c>
      <c r="D1264" s="47" t="s">
        <v>3978</v>
      </c>
      <c r="E1264" s="47" t="s">
        <v>1719</v>
      </c>
      <c r="F1264" s="55" t="b">
        <v>1</v>
      </c>
      <c r="G1264" s="54" t="b">
        <v>1</v>
      </c>
      <c r="H1264" s="54" t="b">
        <v>1</v>
      </c>
      <c r="I1264" s="54" t="b">
        <v>1</v>
      </c>
      <c r="J1264" s="54" t="b">
        <v>1</v>
      </c>
      <c r="K1264" s="63" t="s">
        <v>650</v>
      </c>
      <c r="L1264" s="63" t="s">
        <v>3977</v>
      </c>
      <c r="M1264" s="63" t="s">
        <v>3978</v>
      </c>
      <c r="N1264" s="63" t="s">
        <v>1719</v>
      </c>
    </row>
    <row r="1265" spans="1:14" x14ac:dyDescent="0.2">
      <c r="A1265" s="51">
        <v>1264</v>
      </c>
      <c r="B1265" s="54" t="s">
        <v>650</v>
      </c>
      <c r="C1265" s="47" t="s">
        <v>3981</v>
      </c>
      <c r="D1265" s="47" t="s">
        <v>3982</v>
      </c>
      <c r="E1265" s="47" t="s">
        <v>1719</v>
      </c>
      <c r="F1265" s="55" t="b">
        <v>1</v>
      </c>
      <c r="G1265" s="54" t="b">
        <v>1</v>
      </c>
      <c r="H1265" s="54" t="b">
        <v>1</v>
      </c>
      <c r="I1265" s="54" t="b">
        <v>1</v>
      </c>
      <c r="J1265" s="54" t="b">
        <v>1</v>
      </c>
      <c r="K1265" s="63" t="s">
        <v>650</v>
      </c>
      <c r="L1265" s="63" t="s">
        <v>3981</v>
      </c>
      <c r="M1265" s="63" t="s">
        <v>3982</v>
      </c>
      <c r="N1265" s="63" t="s">
        <v>1719</v>
      </c>
    </row>
    <row r="1266" spans="1:14" x14ac:dyDescent="0.2">
      <c r="A1266" s="51">
        <v>1265</v>
      </c>
      <c r="B1266" s="54" t="s">
        <v>650</v>
      </c>
      <c r="C1266" s="47" t="s">
        <v>3964</v>
      </c>
      <c r="D1266" s="47" t="s">
        <v>3965</v>
      </c>
      <c r="E1266" s="47" t="s">
        <v>1719</v>
      </c>
      <c r="F1266" s="55" t="b">
        <v>1</v>
      </c>
      <c r="G1266" s="54" t="b">
        <v>1</v>
      </c>
      <c r="H1266" s="54" t="b">
        <v>1</v>
      </c>
      <c r="I1266" s="54" t="b">
        <v>1</v>
      </c>
      <c r="J1266" s="54" t="b">
        <v>1</v>
      </c>
      <c r="K1266" s="63" t="s">
        <v>650</v>
      </c>
      <c r="L1266" s="63" t="s">
        <v>3964</v>
      </c>
      <c r="M1266" s="63" t="s">
        <v>3965</v>
      </c>
      <c r="N1266" s="63" t="s">
        <v>1719</v>
      </c>
    </row>
    <row r="1267" spans="1:14" x14ac:dyDescent="0.2">
      <c r="A1267" s="51">
        <v>1266</v>
      </c>
      <c r="B1267" s="54" t="s">
        <v>650</v>
      </c>
      <c r="C1267" s="47" t="s">
        <v>3987</v>
      </c>
      <c r="D1267" s="47" t="s">
        <v>3988</v>
      </c>
      <c r="E1267" s="47" t="s">
        <v>1719</v>
      </c>
      <c r="F1267" s="55" t="b">
        <v>1</v>
      </c>
      <c r="G1267" s="54" t="b">
        <v>1</v>
      </c>
      <c r="H1267" s="54" t="b">
        <v>1</v>
      </c>
      <c r="I1267" s="54" t="b">
        <v>1</v>
      </c>
      <c r="J1267" s="54" t="b">
        <v>1</v>
      </c>
      <c r="K1267" s="63" t="s">
        <v>650</v>
      </c>
      <c r="L1267" s="63" t="s">
        <v>3987</v>
      </c>
      <c r="M1267" s="63" t="s">
        <v>3988</v>
      </c>
      <c r="N1267" s="63" t="s">
        <v>1719</v>
      </c>
    </row>
    <row r="1268" spans="1:14" x14ac:dyDescent="0.2">
      <c r="A1268" s="51">
        <v>1267</v>
      </c>
      <c r="B1268" s="54" t="s">
        <v>650</v>
      </c>
      <c r="C1268" s="47" t="s">
        <v>3976</v>
      </c>
      <c r="D1268" s="47" t="s">
        <v>3294</v>
      </c>
      <c r="E1268" s="47" t="s">
        <v>1719</v>
      </c>
      <c r="F1268" s="55" t="b">
        <v>1</v>
      </c>
      <c r="G1268" s="54" t="b">
        <v>1</v>
      </c>
      <c r="H1268" s="54" t="b">
        <v>1</v>
      </c>
      <c r="I1268" s="54" t="b">
        <v>1</v>
      </c>
      <c r="J1268" s="54" t="b">
        <v>1</v>
      </c>
      <c r="K1268" s="63" t="s">
        <v>650</v>
      </c>
      <c r="L1268" s="63" t="s">
        <v>3976</v>
      </c>
      <c r="M1268" s="63" t="s">
        <v>3294</v>
      </c>
      <c r="N1268" s="63" t="s">
        <v>1719</v>
      </c>
    </row>
    <row r="1269" spans="1:14" x14ac:dyDescent="0.2">
      <c r="A1269" s="51">
        <v>1268</v>
      </c>
      <c r="B1269" s="54" t="s">
        <v>650</v>
      </c>
      <c r="C1269" s="47" t="s">
        <v>3979</v>
      </c>
      <c r="D1269" s="47" t="s">
        <v>3980</v>
      </c>
      <c r="E1269" s="47" t="s">
        <v>1719</v>
      </c>
      <c r="F1269" s="55" t="b">
        <v>1</v>
      </c>
      <c r="G1269" s="54" t="b">
        <v>1</v>
      </c>
      <c r="H1269" s="54" t="b">
        <v>1</v>
      </c>
      <c r="I1269" s="54" t="b">
        <v>1</v>
      </c>
      <c r="J1269" s="54" t="b">
        <v>1</v>
      </c>
      <c r="K1269" s="63" t="s">
        <v>650</v>
      </c>
      <c r="L1269" s="63" t="s">
        <v>3979</v>
      </c>
      <c r="M1269" s="63" t="s">
        <v>3980</v>
      </c>
      <c r="N1269" s="63" t="s">
        <v>1719</v>
      </c>
    </row>
    <row r="1270" spans="1:14" x14ac:dyDescent="0.2">
      <c r="A1270" s="51">
        <v>1269</v>
      </c>
      <c r="B1270" s="54" t="s">
        <v>650</v>
      </c>
      <c r="C1270" s="47" t="s">
        <v>3991</v>
      </c>
      <c r="D1270" s="47" t="s">
        <v>3992</v>
      </c>
      <c r="E1270" s="47" t="s">
        <v>1719</v>
      </c>
      <c r="F1270" s="55" t="b">
        <v>1</v>
      </c>
      <c r="G1270" s="54" t="b">
        <v>1</v>
      </c>
      <c r="H1270" s="54" t="b">
        <v>1</v>
      </c>
      <c r="I1270" s="54" t="b">
        <v>1</v>
      </c>
      <c r="J1270" s="54" t="b">
        <v>1</v>
      </c>
      <c r="K1270" s="63" t="s">
        <v>650</v>
      </c>
      <c r="L1270" s="63" t="s">
        <v>3991</v>
      </c>
      <c r="M1270" s="63" t="s">
        <v>3992</v>
      </c>
      <c r="N1270" s="63" t="s">
        <v>1719</v>
      </c>
    </row>
    <row r="1271" spans="1:14" x14ac:dyDescent="0.2">
      <c r="A1271" s="51">
        <v>1270</v>
      </c>
      <c r="B1271" s="54" t="s">
        <v>650</v>
      </c>
      <c r="C1271" s="47" t="s">
        <v>3989</v>
      </c>
      <c r="D1271" s="47" t="s">
        <v>3990</v>
      </c>
      <c r="E1271" s="47" t="s">
        <v>1719</v>
      </c>
      <c r="F1271" s="55" t="b">
        <v>1</v>
      </c>
      <c r="G1271" s="54" t="b">
        <v>1</v>
      </c>
      <c r="H1271" s="54" t="b">
        <v>1</v>
      </c>
      <c r="I1271" s="54" t="b">
        <v>1</v>
      </c>
      <c r="J1271" s="54" t="b">
        <v>1</v>
      </c>
      <c r="K1271" s="63" t="s">
        <v>650</v>
      </c>
      <c r="L1271" s="63" t="s">
        <v>3989</v>
      </c>
      <c r="M1271" s="63" t="s">
        <v>3990</v>
      </c>
      <c r="N1271" s="63" t="s">
        <v>1719</v>
      </c>
    </row>
    <row r="1272" spans="1:14" x14ac:dyDescent="0.2">
      <c r="A1272" s="51">
        <v>1271</v>
      </c>
      <c r="B1272" s="54" t="s">
        <v>650</v>
      </c>
      <c r="C1272" s="47" t="s">
        <v>3995</v>
      </c>
      <c r="D1272" s="47" t="s">
        <v>3996</v>
      </c>
      <c r="E1272" s="47" t="s">
        <v>1719</v>
      </c>
      <c r="F1272" s="55" t="b">
        <v>1</v>
      </c>
      <c r="G1272" s="54" t="b">
        <v>1</v>
      </c>
      <c r="H1272" s="54" t="b">
        <v>1</v>
      </c>
      <c r="I1272" s="54" t="b">
        <v>1</v>
      </c>
      <c r="J1272" s="54" t="b">
        <v>1</v>
      </c>
      <c r="K1272" s="63" t="s">
        <v>650</v>
      </c>
      <c r="L1272" s="63" t="s">
        <v>3995</v>
      </c>
      <c r="M1272" s="63" t="s">
        <v>3996</v>
      </c>
      <c r="N1272" s="63" t="s">
        <v>1719</v>
      </c>
    </row>
    <row r="1273" spans="1:14" x14ac:dyDescent="0.2">
      <c r="A1273" s="51">
        <v>1272</v>
      </c>
      <c r="B1273" s="54" t="s">
        <v>650</v>
      </c>
      <c r="C1273" s="47" t="s">
        <v>3993</v>
      </c>
      <c r="D1273" s="47" t="s">
        <v>3994</v>
      </c>
      <c r="E1273" s="47" t="s">
        <v>1719</v>
      </c>
      <c r="F1273" s="55" t="b">
        <v>1</v>
      </c>
      <c r="G1273" s="54" t="b">
        <v>1</v>
      </c>
      <c r="H1273" s="54" t="b">
        <v>1</v>
      </c>
      <c r="I1273" s="54" t="b">
        <v>1</v>
      </c>
      <c r="J1273" s="54" t="b">
        <v>1</v>
      </c>
      <c r="K1273" s="63" t="s">
        <v>650</v>
      </c>
      <c r="L1273" s="63" t="s">
        <v>3993</v>
      </c>
      <c r="M1273" s="63" t="s">
        <v>3994</v>
      </c>
      <c r="N1273" s="63" t="s">
        <v>1719</v>
      </c>
    </row>
    <row r="1274" spans="1:14" x14ac:dyDescent="0.2">
      <c r="A1274" s="51">
        <v>1273</v>
      </c>
      <c r="B1274" s="54" t="s">
        <v>650</v>
      </c>
      <c r="C1274" s="47" t="s">
        <v>3968</v>
      </c>
      <c r="D1274" s="47" t="s">
        <v>3969</v>
      </c>
      <c r="E1274" s="47" t="s">
        <v>1719</v>
      </c>
      <c r="F1274" s="55" t="b">
        <v>1</v>
      </c>
      <c r="G1274" s="54" t="b">
        <v>1</v>
      </c>
      <c r="H1274" s="54" t="b">
        <v>1</v>
      </c>
      <c r="I1274" s="54" t="b">
        <v>1</v>
      </c>
      <c r="J1274" s="54" t="b">
        <v>1</v>
      </c>
      <c r="K1274" s="63" t="s">
        <v>650</v>
      </c>
      <c r="L1274" s="63" t="s">
        <v>3968</v>
      </c>
      <c r="M1274" s="63" t="s">
        <v>3969</v>
      </c>
      <c r="N1274" s="63" t="s">
        <v>1719</v>
      </c>
    </row>
    <row r="1275" spans="1:14" x14ac:dyDescent="0.2">
      <c r="A1275" s="51">
        <v>1274</v>
      </c>
      <c r="B1275" s="54" t="s">
        <v>650</v>
      </c>
      <c r="C1275" s="47" t="s">
        <v>3962</v>
      </c>
      <c r="D1275" s="47" t="s">
        <v>3963</v>
      </c>
      <c r="E1275" s="47" t="s">
        <v>1719</v>
      </c>
      <c r="F1275" s="55" t="b">
        <v>1</v>
      </c>
      <c r="G1275" s="54" t="b">
        <v>1</v>
      </c>
      <c r="H1275" s="54" t="b">
        <v>1</v>
      </c>
      <c r="I1275" s="54" t="b">
        <v>1</v>
      </c>
      <c r="J1275" s="54" t="b">
        <v>1</v>
      </c>
      <c r="K1275" s="63" t="s">
        <v>650</v>
      </c>
      <c r="L1275" s="63" t="s">
        <v>3962</v>
      </c>
      <c r="M1275" s="63" t="s">
        <v>3963</v>
      </c>
      <c r="N1275" s="63" t="s">
        <v>1719</v>
      </c>
    </row>
    <row r="1276" spans="1:14" x14ac:dyDescent="0.2">
      <c r="A1276" s="51">
        <v>1275</v>
      </c>
      <c r="B1276" s="54" t="s">
        <v>650</v>
      </c>
      <c r="C1276" s="47" t="s">
        <v>3985</v>
      </c>
      <c r="D1276" s="47" t="s">
        <v>3986</v>
      </c>
      <c r="E1276" s="47" t="s">
        <v>1719</v>
      </c>
      <c r="F1276" s="55" t="b">
        <v>1</v>
      </c>
      <c r="G1276" s="54" t="b">
        <v>1</v>
      </c>
      <c r="H1276" s="54" t="b">
        <v>1</v>
      </c>
      <c r="I1276" s="54" t="b">
        <v>1</v>
      </c>
      <c r="J1276" s="54" t="b">
        <v>1</v>
      </c>
      <c r="K1276" s="63" t="s">
        <v>650</v>
      </c>
      <c r="L1276" s="63" t="s">
        <v>3985</v>
      </c>
      <c r="M1276" s="63" t="s">
        <v>3986</v>
      </c>
      <c r="N1276" s="63" t="s">
        <v>1719</v>
      </c>
    </row>
    <row r="1277" spans="1:14" x14ac:dyDescent="0.2">
      <c r="A1277" s="51">
        <v>1276</v>
      </c>
      <c r="B1277" s="54" t="s">
        <v>650</v>
      </c>
      <c r="C1277" s="47" t="s">
        <v>3997</v>
      </c>
      <c r="D1277" s="47" t="s">
        <v>3998</v>
      </c>
      <c r="E1277" s="47" t="s">
        <v>1719</v>
      </c>
      <c r="F1277" s="55" t="b">
        <v>1</v>
      </c>
      <c r="G1277" s="54" t="b">
        <v>1</v>
      </c>
      <c r="H1277" s="54" t="b">
        <v>1</v>
      </c>
      <c r="I1277" s="54" t="b">
        <v>1</v>
      </c>
      <c r="J1277" s="54" t="b">
        <v>1</v>
      </c>
      <c r="K1277" s="63" t="s">
        <v>650</v>
      </c>
      <c r="L1277" s="63" t="s">
        <v>3997</v>
      </c>
      <c r="M1277" s="63" t="s">
        <v>3998</v>
      </c>
      <c r="N1277" s="63" t="s">
        <v>1719</v>
      </c>
    </row>
    <row r="1278" spans="1:14" x14ac:dyDescent="0.2">
      <c r="A1278" s="51">
        <v>1277</v>
      </c>
      <c r="B1278" s="54" t="s">
        <v>652</v>
      </c>
      <c r="C1278" s="47" t="s">
        <v>4009</v>
      </c>
      <c r="D1278" s="47" t="s">
        <v>4010</v>
      </c>
      <c r="E1278" s="47" t="s">
        <v>2365</v>
      </c>
      <c r="F1278" s="55" t="b">
        <v>1</v>
      </c>
      <c r="G1278" s="54" t="b">
        <v>1</v>
      </c>
      <c r="H1278" s="54" t="b">
        <v>1</v>
      </c>
      <c r="I1278" s="54" t="b">
        <v>1</v>
      </c>
      <c r="J1278" s="54" t="b">
        <v>1</v>
      </c>
      <c r="K1278" s="63" t="s">
        <v>652</v>
      </c>
      <c r="L1278" s="63" t="s">
        <v>4009</v>
      </c>
      <c r="M1278" s="63" t="s">
        <v>4010</v>
      </c>
      <c r="N1278" s="63" t="s">
        <v>2365</v>
      </c>
    </row>
    <row r="1279" spans="1:14" x14ac:dyDescent="0.2">
      <c r="A1279" s="51">
        <v>1278</v>
      </c>
      <c r="B1279" s="54" t="s">
        <v>652</v>
      </c>
      <c r="C1279" s="47" t="s">
        <v>4033</v>
      </c>
      <c r="D1279" s="47" t="s">
        <v>4034</v>
      </c>
      <c r="E1279" s="47" t="s">
        <v>2365</v>
      </c>
      <c r="F1279" s="55" t="b">
        <v>1</v>
      </c>
      <c r="G1279" s="54" t="b">
        <v>1</v>
      </c>
      <c r="H1279" s="54" t="b">
        <v>1</v>
      </c>
      <c r="I1279" s="54" t="b">
        <v>1</v>
      </c>
      <c r="J1279" s="54" t="b">
        <v>1</v>
      </c>
      <c r="K1279" s="63" t="s">
        <v>652</v>
      </c>
      <c r="L1279" s="63" t="s">
        <v>4033</v>
      </c>
      <c r="M1279" s="63" t="s">
        <v>4034</v>
      </c>
      <c r="N1279" s="63" t="s">
        <v>2365</v>
      </c>
    </row>
    <row r="1280" spans="1:14" x14ac:dyDescent="0.2">
      <c r="A1280" s="51">
        <v>1279</v>
      </c>
      <c r="B1280" s="54" t="s">
        <v>652</v>
      </c>
      <c r="C1280" s="47" t="s">
        <v>4035</v>
      </c>
      <c r="D1280" s="47" t="s">
        <v>4036</v>
      </c>
      <c r="E1280" s="47" t="s">
        <v>2365</v>
      </c>
      <c r="F1280" s="55" t="b">
        <v>1</v>
      </c>
      <c r="G1280" s="54" t="b">
        <v>1</v>
      </c>
      <c r="H1280" s="54" t="b">
        <v>1</v>
      </c>
      <c r="I1280" s="54" t="b">
        <v>1</v>
      </c>
      <c r="J1280" s="54" t="b">
        <v>1</v>
      </c>
      <c r="K1280" s="63" t="s">
        <v>652</v>
      </c>
      <c r="L1280" s="63" t="s">
        <v>4035</v>
      </c>
      <c r="M1280" s="63" t="s">
        <v>4036</v>
      </c>
      <c r="N1280" s="63" t="s">
        <v>2365</v>
      </c>
    </row>
    <row r="1281" spans="1:14" x14ac:dyDescent="0.2">
      <c r="A1281" s="51">
        <v>1280</v>
      </c>
      <c r="B1281" s="54" t="s">
        <v>652</v>
      </c>
      <c r="C1281" s="47" t="s">
        <v>4001</v>
      </c>
      <c r="D1281" s="47" t="s">
        <v>4002</v>
      </c>
      <c r="E1281" s="47" t="s">
        <v>2365</v>
      </c>
      <c r="F1281" s="55" t="b">
        <v>1</v>
      </c>
      <c r="G1281" s="54" t="b">
        <v>1</v>
      </c>
      <c r="H1281" s="54" t="b">
        <v>1</v>
      </c>
      <c r="I1281" s="54" t="b">
        <v>1</v>
      </c>
      <c r="J1281" s="54" t="b">
        <v>1</v>
      </c>
      <c r="K1281" s="63" t="s">
        <v>652</v>
      </c>
      <c r="L1281" s="63" t="s">
        <v>4001</v>
      </c>
      <c r="M1281" s="63" t="s">
        <v>4002</v>
      </c>
      <c r="N1281" s="63" t="s">
        <v>2365</v>
      </c>
    </row>
    <row r="1282" spans="1:14" x14ac:dyDescent="0.2">
      <c r="A1282" s="51">
        <v>1281</v>
      </c>
      <c r="B1282" s="54" t="s">
        <v>652</v>
      </c>
      <c r="C1282" s="47" t="s">
        <v>4003</v>
      </c>
      <c r="D1282" s="47" t="s">
        <v>4004</v>
      </c>
      <c r="E1282" s="47" t="s">
        <v>2365</v>
      </c>
      <c r="F1282" s="55" t="b">
        <v>1</v>
      </c>
      <c r="G1282" s="54" t="b">
        <v>1</v>
      </c>
      <c r="H1282" s="54" t="b">
        <v>1</v>
      </c>
      <c r="I1282" s="54" t="b">
        <v>1</v>
      </c>
      <c r="J1282" s="54" t="b">
        <v>1</v>
      </c>
      <c r="K1282" s="63" t="s">
        <v>652</v>
      </c>
      <c r="L1282" s="63" t="s">
        <v>4003</v>
      </c>
      <c r="M1282" s="63" t="s">
        <v>4004</v>
      </c>
      <c r="N1282" s="63" t="s">
        <v>2365</v>
      </c>
    </row>
    <row r="1283" spans="1:14" x14ac:dyDescent="0.2">
      <c r="A1283" s="51">
        <v>1282</v>
      </c>
      <c r="B1283" s="54" t="s">
        <v>652</v>
      </c>
      <c r="C1283" s="47" t="s">
        <v>4037</v>
      </c>
      <c r="D1283" s="47" t="s">
        <v>4038</v>
      </c>
      <c r="E1283" s="47" t="s">
        <v>2365</v>
      </c>
      <c r="F1283" s="55" t="b">
        <v>1</v>
      </c>
      <c r="G1283" s="54" t="b">
        <v>1</v>
      </c>
      <c r="H1283" s="54" t="b">
        <v>1</v>
      </c>
      <c r="I1283" s="54" t="b">
        <v>1</v>
      </c>
      <c r="J1283" s="54" t="b">
        <v>1</v>
      </c>
      <c r="K1283" s="63" t="s">
        <v>652</v>
      </c>
      <c r="L1283" s="63" t="s">
        <v>4037</v>
      </c>
      <c r="M1283" s="63" t="s">
        <v>4038</v>
      </c>
      <c r="N1283" s="63" t="s">
        <v>2365</v>
      </c>
    </row>
    <row r="1284" spans="1:14" x14ac:dyDescent="0.2">
      <c r="A1284" s="51">
        <v>1283</v>
      </c>
      <c r="B1284" s="54" t="s">
        <v>652</v>
      </c>
      <c r="C1284" s="47" t="s">
        <v>4021</v>
      </c>
      <c r="D1284" s="47" t="s">
        <v>4022</v>
      </c>
      <c r="E1284" s="47" t="s">
        <v>2365</v>
      </c>
      <c r="F1284" s="55" t="b">
        <v>1</v>
      </c>
      <c r="G1284" s="54" t="b">
        <v>1</v>
      </c>
      <c r="H1284" s="54" t="b">
        <v>1</v>
      </c>
      <c r="I1284" s="54" t="b">
        <v>1</v>
      </c>
      <c r="J1284" s="54" t="b">
        <v>1</v>
      </c>
      <c r="K1284" s="63" t="s">
        <v>652</v>
      </c>
      <c r="L1284" s="63" t="s">
        <v>4021</v>
      </c>
      <c r="M1284" s="63" t="s">
        <v>4022</v>
      </c>
      <c r="N1284" s="63" t="s">
        <v>2365</v>
      </c>
    </row>
    <row r="1285" spans="1:14" x14ac:dyDescent="0.2">
      <c r="A1285" s="51">
        <v>1284</v>
      </c>
      <c r="B1285" s="54" t="s">
        <v>652</v>
      </c>
      <c r="C1285" s="47" t="s">
        <v>3999</v>
      </c>
      <c r="D1285" s="47" t="s">
        <v>4000</v>
      </c>
      <c r="E1285" s="47" t="s">
        <v>2365</v>
      </c>
      <c r="F1285" s="55" t="b">
        <v>1</v>
      </c>
      <c r="G1285" s="54" t="b">
        <v>1</v>
      </c>
      <c r="H1285" s="54" t="b">
        <v>1</v>
      </c>
      <c r="I1285" s="54" t="b">
        <v>1</v>
      </c>
      <c r="J1285" s="54" t="b">
        <v>1</v>
      </c>
      <c r="K1285" s="63" t="s">
        <v>652</v>
      </c>
      <c r="L1285" s="63" t="s">
        <v>3999</v>
      </c>
      <c r="M1285" s="63" t="s">
        <v>4000</v>
      </c>
      <c r="N1285" s="63" t="s">
        <v>2365</v>
      </c>
    </row>
    <row r="1286" spans="1:14" x14ac:dyDescent="0.2">
      <c r="A1286" s="51">
        <v>1285</v>
      </c>
      <c r="B1286" s="54" t="s">
        <v>652</v>
      </c>
      <c r="C1286" s="47" t="s">
        <v>4041</v>
      </c>
      <c r="D1286" s="47" t="s">
        <v>4042</v>
      </c>
      <c r="E1286" s="47" t="s">
        <v>2365</v>
      </c>
      <c r="F1286" s="55" t="b">
        <v>1</v>
      </c>
      <c r="G1286" s="54" t="b">
        <v>1</v>
      </c>
      <c r="H1286" s="54" t="b">
        <v>1</v>
      </c>
      <c r="I1286" s="54" t="b">
        <v>1</v>
      </c>
      <c r="J1286" s="54" t="b">
        <v>1</v>
      </c>
      <c r="K1286" s="63" t="s">
        <v>652</v>
      </c>
      <c r="L1286" s="63" t="s">
        <v>4041</v>
      </c>
      <c r="M1286" s="63" t="s">
        <v>4042</v>
      </c>
      <c r="N1286" s="63" t="s">
        <v>2365</v>
      </c>
    </row>
    <row r="1287" spans="1:14" x14ac:dyDescent="0.2">
      <c r="A1287" s="51">
        <v>1286</v>
      </c>
      <c r="B1287" s="54" t="s">
        <v>652</v>
      </c>
      <c r="C1287" s="47" t="s">
        <v>4005</v>
      </c>
      <c r="D1287" s="47" t="s">
        <v>4006</v>
      </c>
      <c r="E1287" s="47" t="s">
        <v>2365</v>
      </c>
      <c r="F1287" s="55" t="b">
        <v>1</v>
      </c>
      <c r="G1287" s="54" t="b">
        <v>1</v>
      </c>
      <c r="H1287" s="54" t="b">
        <v>1</v>
      </c>
      <c r="I1287" s="54" t="b">
        <v>1</v>
      </c>
      <c r="J1287" s="54" t="b">
        <v>1</v>
      </c>
      <c r="K1287" s="63" t="s">
        <v>652</v>
      </c>
      <c r="L1287" s="63" t="s">
        <v>4005</v>
      </c>
      <c r="M1287" s="63" t="s">
        <v>4006</v>
      </c>
      <c r="N1287" s="63" t="s">
        <v>2365</v>
      </c>
    </row>
    <row r="1288" spans="1:14" x14ac:dyDescent="0.2">
      <c r="A1288" s="51">
        <v>1287</v>
      </c>
      <c r="B1288" s="54" t="s">
        <v>652</v>
      </c>
      <c r="C1288" s="47" t="s">
        <v>4007</v>
      </c>
      <c r="D1288" s="47" t="s">
        <v>4008</v>
      </c>
      <c r="E1288" s="47" t="s">
        <v>2365</v>
      </c>
      <c r="F1288" s="55" t="b">
        <v>1</v>
      </c>
      <c r="G1288" s="54" t="b">
        <v>1</v>
      </c>
      <c r="H1288" s="54" t="b">
        <v>1</v>
      </c>
      <c r="I1288" s="54" t="b">
        <v>1</v>
      </c>
      <c r="J1288" s="54" t="b">
        <v>1</v>
      </c>
      <c r="K1288" s="63" t="s">
        <v>652</v>
      </c>
      <c r="L1288" s="63" t="s">
        <v>4007</v>
      </c>
      <c r="M1288" s="63" t="s">
        <v>4008</v>
      </c>
      <c r="N1288" s="63" t="s">
        <v>2365</v>
      </c>
    </row>
    <row r="1289" spans="1:14" x14ac:dyDescent="0.2">
      <c r="A1289" s="51">
        <v>1288</v>
      </c>
      <c r="B1289" s="54" t="s">
        <v>652</v>
      </c>
      <c r="C1289" s="47" t="s">
        <v>4013</v>
      </c>
      <c r="D1289" s="47" t="s">
        <v>4014</v>
      </c>
      <c r="E1289" s="47" t="s">
        <v>2365</v>
      </c>
      <c r="F1289" s="55" t="b">
        <v>1</v>
      </c>
      <c r="G1289" s="54" t="b">
        <v>1</v>
      </c>
      <c r="H1289" s="54" t="b">
        <v>1</v>
      </c>
      <c r="I1289" s="54" t="b">
        <v>1</v>
      </c>
      <c r="J1289" s="54" t="b">
        <v>1</v>
      </c>
      <c r="K1289" s="63" t="s">
        <v>652</v>
      </c>
      <c r="L1289" s="63" t="s">
        <v>4013</v>
      </c>
      <c r="M1289" s="63" t="s">
        <v>4014</v>
      </c>
      <c r="N1289" s="63" t="s">
        <v>2365</v>
      </c>
    </row>
    <row r="1290" spans="1:14" x14ac:dyDescent="0.2">
      <c r="A1290" s="51">
        <v>1289</v>
      </c>
      <c r="G1290" s="65" t="b">
        <v>0</v>
      </c>
      <c r="H1290" s="65" t="b">
        <v>0</v>
      </c>
      <c r="I1290" s="65" t="b">
        <v>0</v>
      </c>
      <c r="J1290" s="65" t="b">
        <v>0</v>
      </c>
      <c r="K1290" s="63" t="s">
        <v>652</v>
      </c>
      <c r="L1290" s="63" t="s">
        <v>4043</v>
      </c>
      <c r="M1290" s="63" t="s">
        <v>4044</v>
      </c>
      <c r="N1290" s="63" t="s">
        <v>2365</v>
      </c>
    </row>
    <row r="1291" spans="1:14" x14ac:dyDescent="0.2">
      <c r="A1291" s="51">
        <v>1290</v>
      </c>
      <c r="B1291" s="54" t="s">
        <v>652</v>
      </c>
      <c r="C1291" s="47" t="s">
        <v>4011</v>
      </c>
      <c r="D1291" s="47" t="s">
        <v>12329</v>
      </c>
      <c r="E1291" s="47" t="s">
        <v>2365</v>
      </c>
      <c r="F1291" s="55" t="b">
        <v>1</v>
      </c>
      <c r="G1291" s="54" t="b">
        <v>1</v>
      </c>
      <c r="H1291" s="54" t="b">
        <v>1</v>
      </c>
      <c r="I1291" s="65" t="b">
        <v>0</v>
      </c>
      <c r="J1291" s="54" t="b">
        <v>1</v>
      </c>
      <c r="K1291" s="63" t="s">
        <v>652</v>
      </c>
      <c r="L1291" s="63" t="s">
        <v>4011</v>
      </c>
      <c r="M1291" s="63" t="s">
        <v>4012</v>
      </c>
      <c r="N1291" s="63" t="s">
        <v>2365</v>
      </c>
    </row>
    <row r="1292" spans="1:14" x14ac:dyDescent="0.2">
      <c r="A1292" s="51">
        <v>1291</v>
      </c>
      <c r="B1292" s="54" t="s">
        <v>652</v>
      </c>
      <c r="C1292" s="47" t="s">
        <v>4045</v>
      </c>
      <c r="D1292" s="47" t="s">
        <v>12331</v>
      </c>
      <c r="E1292" s="47" t="s">
        <v>2365</v>
      </c>
      <c r="F1292" s="55" t="b">
        <v>1</v>
      </c>
      <c r="G1292" s="54" t="b">
        <v>1</v>
      </c>
      <c r="H1292" s="54" t="b">
        <v>1</v>
      </c>
      <c r="I1292" s="65" t="b">
        <v>0</v>
      </c>
      <c r="J1292" s="54" t="b">
        <v>1</v>
      </c>
      <c r="K1292" s="63" t="s">
        <v>652</v>
      </c>
      <c r="L1292" s="63" t="s">
        <v>4045</v>
      </c>
      <c r="M1292" s="63" t="s">
        <v>4046</v>
      </c>
      <c r="N1292" s="63" t="s">
        <v>2365</v>
      </c>
    </row>
    <row r="1293" spans="1:14" x14ac:dyDescent="0.2">
      <c r="A1293" s="51">
        <v>1292</v>
      </c>
      <c r="B1293" s="54" t="s">
        <v>652</v>
      </c>
      <c r="C1293" s="47" t="s">
        <v>4019</v>
      </c>
      <c r="D1293" s="47" t="s">
        <v>4020</v>
      </c>
      <c r="E1293" s="47" t="s">
        <v>2365</v>
      </c>
      <c r="F1293" s="55" t="b">
        <v>1</v>
      </c>
      <c r="G1293" s="54" t="b">
        <v>1</v>
      </c>
      <c r="H1293" s="54" t="b">
        <v>1</v>
      </c>
      <c r="I1293" s="54" t="b">
        <v>1</v>
      </c>
      <c r="J1293" s="54" t="b">
        <v>1</v>
      </c>
      <c r="K1293" s="63" t="s">
        <v>652</v>
      </c>
      <c r="L1293" s="63" t="s">
        <v>4019</v>
      </c>
      <c r="M1293" s="63" t="s">
        <v>4020</v>
      </c>
      <c r="N1293" s="63" t="s">
        <v>2365</v>
      </c>
    </row>
    <row r="1294" spans="1:14" x14ac:dyDescent="0.2">
      <c r="A1294" s="51">
        <v>1293</v>
      </c>
      <c r="B1294" s="54" t="s">
        <v>652</v>
      </c>
      <c r="C1294" s="47" t="s">
        <v>4047</v>
      </c>
      <c r="D1294" s="47" t="s">
        <v>4048</v>
      </c>
      <c r="E1294" s="47" t="s">
        <v>2365</v>
      </c>
      <c r="F1294" s="55" t="b">
        <v>1</v>
      </c>
      <c r="G1294" s="54" t="b">
        <v>1</v>
      </c>
      <c r="H1294" s="54" t="b">
        <v>1</v>
      </c>
      <c r="I1294" s="54" t="b">
        <v>1</v>
      </c>
      <c r="J1294" s="54" t="b">
        <v>1</v>
      </c>
      <c r="K1294" s="63" t="s">
        <v>652</v>
      </c>
      <c r="L1294" s="63" t="s">
        <v>4047</v>
      </c>
      <c r="M1294" s="63" t="s">
        <v>4048</v>
      </c>
      <c r="N1294" s="63" t="s">
        <v>2365</v>
      </c>
    </row>
    <row r="1295" spans="1:14" x14ac:dyDescent="0.2">
      <c r="A1295" s="51">
        <v>1294</v>
      </c>
      <c r="B1295" s="54" t="s">
        <v>652</v>
      </c>
      <c r="C1295" s="47" t="s">
        <v>4051</v>
      </c>
      <c r="D1295" s="47" t="s">
        <v>4052</v>
      </c>
      <c r="E1295" s="47" t="s">
        <v>2365</v>
      </c>
      <c r="F1295" s="55" t="b">
        <v>1</v>
      </c>
      <c r="G1295" s="54" t="b">
        <v>1</v>
      </c>
      <c r="H1295" s="54" t="b">
        <v>1</v>
      </c>
      <c r="I1295" s="54" t="b">
        <v>1</v>
      </c>
      <c r="J1295" s="54" t="b">
        <v>1</v>
      </c>
      <c r="K1295" s="63" t="s">
        <v>652</v>
      </c>
      <c r="L1295" s="63" t="s">
        <v>4051</v>
      </c>
      <c r="M1295" s="63" t="s">
        <v>4052</v>
      </c>
      <c r="N1295" s="63" t="s">
        <v>2365</v>
      </c>
    </row>
    <row r="1296" spans="1:14" x14ac:dyDescent="0.2">
      <c r="A1296" s="51">
        <v>1295</v>
      </c>
      <c r="B1296" s="54" t="s">
        <v>652</v>
      </c>
      <c r="C1296" s="47" t="s">
        <v>4023</v>
      </c>
      <c r="D1296" s="47" t="s">
        <v>4024</v>
      </c>
      <c r="E1296" s="47" t="s">
        <v>2365</v>
      </c>
      <c r="F1296" s="55" t="b">
        <v>1</v>
      </c>
      <c r="G1296" s="54" t="b">
        <v>1</v>
      </c>
      <c r="H1296" s="54" t="b">
        <v>1</v>
      </c>
      <c r="I1296" s="54" t="b">
        <v>1</v>
      </c>
      <c r="J1296" s="54" t="b">
        <v>1</v>
      </c>
      <c r="K1296" s="63" t="s">
        <v>652</v>
      </c>
      <c r="L1296" s="63" t="s">
        <v>4023</v>
      </c>
      <c r="M1296" s="63" t="s">
        <v>4024</v>
      </c>
      <c r="N1296" s="63" t="s">
        <v>2365</v>
      </c>
    </row>
    <row r="1297" spans="1:14" x14ac:dyDescent="0.2">
      <c r="A1297" s="51">
        <v>1296</v>
      </c>
      <c r="B1297" s="54" t="s">
        <v>652</v>
      </c>
      <c r="C1297" s="47" t="s">
        <v>4015</v>
      </c>
      <c r="D1297" s="47" t="s">
        <v>4016</v>
      </c>
      <c r="E1297" s="47" t="s">
        <v>2365</v>
      </c>
      <c r="F1297" s="55" t="b">
        <v>1</v>
      </c>
      <c r="G1297" s="54" t="b">
        <v>1</v>
      </c>
      <c r="H1297" s="54" t="b">
        <v>1</v>
      </c>
      <c r="I1297" s="54" t="b">
        <v>1</v>
      </c>
      <c r="J1297" s="54" t="b">
        <v>1</v>
      </c>
      <c r="K1297" s="63" t="s">
        <v>652</v>
      </c>
      <c r="L1297" s="63" t="s">
        <v>4015</v>
      </c>
      <c r="M1297" s="63" t="s">
        <v>4016</v>
      </c>
      <c r="N1297" s="63" t="s">
        <v>2365</v>
      </c>
    </row>
    <row r="1298" spans="1:14" x14ac:dyDescent="0.2">
      <c r="A1298" s="51">
        <v>1297</v>
      </c>
      <c r="B1298" s="54" t="s">
        <v>652</v>
      </c>
      <c r="C1298" s="47" t="s">
        <v>4017</v>
      </c>
      <c r="D1298" s="47" t="s">
        <v>4018</v>
      </c>
      <c r="E1298" s="47" t="s">
        <v>2365</v>
      </c>
      <c r="F1298" s="55" t="b">
        <v>1</v>
      </c>
      <c r="G1298" s="54" t="b">
        <v>1</v>
      </c>
      <c r="H1298" s="54" t="b">
        <v>1</v>
      </c>
      <c r="I1298" s="54" t="b">
        <v>1</v>
      </c>
      <c r="J1298" s="54" t="b">
        <v>1</v>
      </c>
      <c r="K1298" s="63" t="s">
        <v>652</v>
      </c>
      <c r="L1298" s="63" t="s">
        <v>4017</v>
      </c>
      <c r="M1298" s="63" t="s">
        <v>4018</v>
      </c>
      <c r="N1298" s="63" t="s">
        <v>2365</v>
      </c>
    </row>
    <row r="1299" spans="1:14" x14ac:dyDescent="0.2">
      <c r="A1299" s="51">
        <v>1298</v>
      </c>
      <c r="B1299" s="54" t="s">
        <v>652</v>
      </c>
      <c r="C1299" s="47" t="s">
        <v>4049</v>
      </c>
      <c r="D1299" s="47" t="s">
        <v>4050</v>
      </c>
      <c r="E1299" s="47" t="s">
        <v>2365</v>
      </c>
      <c r="F1299" s="55" t="b">
        <v>1</v>
      </c>
      <c r="G1299" s="54" t="b">
        <v>1</v>
      </c>
      <c r="H1299" s="54" t="b">
        <v>1</v>
      </c>
      <c r="I1299" s="54" t="b">
        <v>1</v>
      </c>
      <c r="J1299" s="54" t="b">
        <v>1</v>
      </c>
      <c r="K1299" s="63" t="s">
        <v>652</v>
      </c>
      <c r="L1299" s="63" t="s">
        <v>4049</v>
      </c>
      <c r="M1299" s="63" t="s">
        <v>4050</v>
      </c>
      <c r="N1299" s="63" t="s">
        <v>2365</v>
      </c>
    </row>
    <row r="1300" spans="1:14" x14ac:dyDescent="0.2">
      <c r="A1300" s="51">
        <v>1299</v>
      </c>
      <c r="B1300" s="54" t="s">
        <v>652</v>
      </c>
      <c r="C1300" s="47" t="s">
        <v>4039</v>
      </c>
      <c r="D1300" s="47" t="s">
        <v>12330</v>
      </c>
      <c r="E1300" s="47" t="s">
        <v>2365</v>
      </c>
      <c r="F1300" s="55" t="b">
        <v>1</v>
      </c>
      <c r="G1300" s="54" t="b">
        <v>1</v>
      </c>
      <c r="H1300" s="54" t="b">
        <v>1</v>
      </c>
      <c r="I1300" s="65" t="b">
        <v>0</v>
      </c>
      <c r="J1300" s="54" t="b">
        <v>1</v>
      </c>
      <c r="K1300" s="63" t="s">
        <v>652</v>
      </c>
      <c r="L1300" s="63" t="s">
        <v>4039</v>
      </c>
      <c r="M1300" s="63" t="s">
        <v>4040</v>
      </c>
      <c r="N1300" s="63" t="s">
        <v>2365</v>
      </c>
    </row>
    <row r="1301" spans="1:14" x14ac:dyDescent="0.2">
      <c r="A1301" s="51">
        <v>1300</v>
      </c>
      <c r="B1301" s="54" t="s">
        <v>652</v>
      </c>
      <c r="C1301" s="47" t="s">
        <v>4055</v>
      </c>
      <c r="D1301" s="47" t="s">
        <v>4056</v>
      </c>
      <c r="E1301" s="47" t="s">
        <v>2365</v>
      </c>
      <c r="F1301" s="55" t="b">
        <v>1</v>
      </c>
      <c r="G1301" s="54" t="b">
        <v>1</v>
      </c>
      <c r="H1301" s="54" t="b">
        <v>1</v>
      </c>
      <c r="I1301" s="54" t="b">
        <v>1</v>
      </c>
      <c r="J1301" s="54" t="b">
        <v>1</v>
      </c>
      <c r="K1301" s="63" t="s">
        <v>652</v>
      </c>
      <c r="L1301" s="63" t="s">
        <v>4055</v>
      </c>
      <c r="M1301" s="63" t="s">
        <v>4056</v>
      </c>
      <c r="N1301" s="63" t="s">
        <v>2365</v>
      </c>
    </row>
    <row r="1302" spans="1:14" x14ac:dyDescent="0.2">
      <c r="A1302" s="51">
        <v>1301</v>
      </c>
      <c r="B1302" s="54" t="s">
        <v>652</v>
      </c>
      <c r="C1302" s="47" t="s">
        <v>4031</v>
      </c>
      <c r="D1302" s="47" t="s">
        <v>4032</v>
      </c>
      <c r="E1302" s="47" t="s">
        <v>2365</v>
      </c>
      <c r="F1302" s="55" t="b">
        <v>1</v>
      </c>
      <c r="G1302" s="54" t="b">
        <v>1</v>
      </c>
      <c r="H1302" s="54" t="b">
        <v>1</v>
      </c>
      <c r="I1302" s="54" t="b">
        <v>1</v>
      </c>
      <c r="J1302" s="54" t="b">
        <v>1</v>
      </c>
      <c r="K1302" s="63" t="s">
        <v>652</v>
      </c>
      <c r="L1302" s="63" t="s">
        <v>4031</v>
      </c>
      <c r="M1302" s="63" t="s">
        <v>4032</v>
      </c>
      <c r="N1302" s="63" t="s">
        <v>2365</v>
      </c>
    </row>
    <row r="1303" spans="1:14" x14ac:dyDescent="0.2">
      <c r="A1303" s="51">
        <v>1302</v>
      </c>
      <c r="B1303" s="54" t="s">
        <v>652</v>
      </c>
      <c r="C1303" s="47" t="s">
        <v>4053</v>
      </c>
      <c r="D1303" s="47" t="s">
        <v>12332</v>
      </c>
      <c r="E1303" s="47" t="s">
        <v>2365</v>
      </c>
      <c r="F1303" s="55" t="b">
        <v>1</v>
      </c>
      <c r="G1303" s="54" t="b">
        <v>1</v>
      </c>
      <c r="H1303" s="54" t="b">
        <v>1</v>
      </c>
      <c r="I1303" s="65" t="b">
        <v>0</v>
      </c>
      <c r="J1303" s="54" t="b">
        <v>1</v>
      </c>
      <c r="K1303" s="63" t="s">
        <v>652</v>
      </c>
      <c r="L1303" s="63" t="s">
        <v>4053</v>
      </c>
      <c r="M1303" s="63" t="s">
        <v>4054</v>
      </c>
      <c r="N1303" s="63" t="s">
        <v>2365</v>
      </c>
    </row>
    <row r="1304" spans="1:14" x14ac:dyDescent="0.2">
      <c r="A1304" s="51">
        <v>1303</v>
      </c>
      <c r="G1304" s="65" t="b">
        <v>0</v>
      </c>
      <c r="H1304" s="65" t="b">
        <v>0</v>
      </c>
      <c r="I1304" s="65" t="b">
        <v>0</v>
      </c>
      <c r="J1304" s="65" t="b">
        <v>0</v>
      </c>
      <c r="K1304" s="63" t="s">
        <v>652</v>
      </c>
      <c r="L1304" s="63" t="s">
        <v>4029</v>
      </c>
      <c r="M1304" s="63" t="s">
        <v>4030</v>
      </c>
      <c r="N1304" s="63" t="s">
        <v>2365</v>
      </c>
    </row>
    <row r="1305" spans="1:14" x14ac:dyDescent="0.2">
      <c r="A1305" s="51">
        <v>1304</v>
      </c>
      <c r="B1305" s="54" t="s">
        <v>652</v>
      </c>
      <c r="C1305" s="47" t="s">
        <v>4027</v>
      </c>
      <c r="D1305" s="47" t="s">
        <v>4028</v>
      </c>
      <c r="E1305" s="47" t="s">
        <v>2365</v>
      </c>
      <c r="F1305" s="55" t="b">
        <v>1</v>
      </c>
      <c r="G1305" s="54" t="b">
        <v>1</v>
      </c>
      <c r="H1305" s="54" t="b">
        <v>1</v>
      </c>
      <c r="I1305" s="54" t="b">
        <v>1</v>
      </c>
      <c r="J1305" s="54" t="b">
        <v>1</v>
      </c>
      <c r="K1305" s="63" t="s">
        <v>652</v>
      </c>
      <c r="L1305" s="63" t="s">
        <v>4027</v>
      </c>
      <c r="M1305" s="63" t="s">
        <v>4028</v>
      </c>
      <c r="N1305" s="63" t="s">
        <v>2365</v>
      </c>
    </row>
    <row r="1306" spans="1:14" x14ac:dyDescent="0.2">
      <c r="A1306" s="51">
        <v>1305</v>
      </c>
      <c r="B1306" s="54" t="s">
        <v>652</v>
      </c>
      <c r="C1306" s="47" t="s">
        <v>4025</v>
      </c>
      <c r="D1306" s="47" t="s">
        <v>4026</v>
      </c>
      <c r="E1306" s="47" t="s">
        <v>2365</v>
      </c>
      <c r="F1306" s="55" t="b">
        <v>1</v>
      </c>
      <c r="G1306" s="54" t="b">
        <v>1</v>
      </c>
      <c r="H1306" s="54" t="b">
        <v>1</v>
      </c>
      <c r="I1306" s="54" t="b">
        <v>1</v>
      </c>
      <c r="J1306" s="54" t="b">
        <v>1</v>
      </c>
      <c r="K1306" s="63" t="s">
        <v>652</v>
      </c>
      <c r="L1306" s="63" t="s">
        <v>4025</v>
      </c>
      <c r="M1306" s="63" t="s">
        <v>4026</v>
      </c>
      <c r="N1306" s="63" t="s">
        <v>2365</v>
      </c>
    </row>
    <row r="1307" spans="1:14" x14ac:dyDescent="0.2">
      <c r="A1307" s="51">
        <v>1306</v>
      </c>
      <c r="B1307" s="54" t="s">
        <v>654</v>
      </c>
      <c r="C1307" s="47" t="s">
        <v>4057</v>
      </c>
      <c r="D1307" s="47" t="s">
        <v>4058</v>
      </c>
      <c r="E1307" s="47" t="s">
        <v>2590</v>
      </c>
      <c r="F1307" s="55" t="b">
        <v>1</v>
      </c>
      <c r="G1307" s="54" t="b">
        <v>1</v>
      </c>
      <c r="H1307" s="54" t="b">
        <v>1</v>
      </c>
      <c r="I1307" s="54" t="b">
        <v>1</v>
      </c>
      <c r="J1307" s="54" t="b">
        <v>1</v>
      </c>
      <c r="K1307" s="63" t="s">
        <v>654</v>
      </c>
      <c r="L1307" s="63" t="s">
        <v>4057</v>
      </c>
      <c r="M1307" s="63" t="s">
        <v>4058</v>
      </c>
      <c r="N1307" s="63" t="s">
        <v>2590</v>
      </c>
    </row>
    <row r="1308" spans="1:14" x14ac:dyDescent="0.2">
      <c r="A1308" s="51">
        <v>1307</v>
      </c>
      <c r="B1308" s="54" t="s">
        <v>654</v>
      </c>
      <c r="C1308" s="47" t="s">
        <v>4059</v>
      </c>
      <c r="D1308" s="47" t="s">
        <v>4060</v>
      </c>
      <c r="E1308" s="47" t="s">
        <v>2590</v>
      </c>
      <c r="F1308" s="55" t="b">
        <v>1</v>
      </c>
      <c r="G1308" s="54" t="b">
        <v>1</v>
      </c>
      <c r="H1308" s="54" t="b">
        <v>1</v>
      </c>
      <c r="I1308" s="54" t="b">
        <v>1</v>
      </c>
      <c r="J1308" s="54" t="b">
        <v>1</v>
      </c>
      <c r="K1308" s="63" t="s">
        <v>654</v>
      </c>
      <c r="L1308" s="63" t="s">
        <v>4059</v>
      </c>
      <c r="M1308" s="63" t="s">
        <v>4060</v>
      </c>
      <c r="N1308" s="63" t="s">
        <v>2590</v>
      </c>
    </row>
    <row r="1309" spans="1:14" x14ac:dyDescent="0.2">
      <c r="A1309" s="51">
        <v>1308</v>
      </c>
      <c r="B1309" s="54" t="s">
        <v>654</v>
      </c>
      <c r="C1309" s="47" t="s">
        <v>4061</v>
      </c>
      <c r="D1309" s="47" t="s">
        <v>4062</v>
      </c>
      <c r="E1309" s="47" t="s">
        <v>2590</v>
      </c>
      <c r="F1309" s="55" t="b">
        <v>1</v>
      </c>
      <c r="G1309" s="54" t="b">
        <v>1</v>
      </c>
      <c r="H1309" s="54" t="b">
        <v>1</v>
      </c>
      <c r="I1309" s="54" t="b">
        <v>1</v>
      </c>
      <c r="J1309" s="54" t="b">
        <v>1</v>
      </c>
      <c r="K1309" s="63" t="s">
        <v>654</v>
      </c>
      <c r="L1309" s="63" t="s">
        <v>4061</v>
      </c>
      <c r="M1309" s="63" t="s">
        <v>4062</v>
      </c>
      <c r="N1309" s="63" t="s">
        <v>2590</v>
      </c>
    </row>
    <row r="1310" spans="1:14" x14ac:dyDescent="0.2">
      <c r="A1310" s="51">
        <v>1309</v>
      </c>
      <c r="B1310" s="54" t="s">
        <v>654</v>
      </c>
      <c r="C1310" s="47" t="s">
        <v>4063</v>
      </c>
      <c r="D1310" s="47" t="s">
        <v>4064</v>
      </c>
      <c r="E1310" s="47" t="s">
        <v>2590</v>
      </c>
      <c r="F1310" s="55" t="b">
        <v>1</v>
      </c>
      <c r="G1310" s="54" t="b">
        <v>1</v>
      </c>
      <c r="H1310" s="54" t="b">
        <v>1</v>
      </c>
      <c r="I1310" s="54" t="b">
        <v>1</v>
      </c>
      <c r="J1310" s="54" t="b">
        <v>1</v>
      </c>
      <c r="K1310" s="63" t="s">
        <v>654</v>
      </c>
      <c r="L1310" s="63" t="s">
        <v>4063</v>
      </c>
      <c r="M1310" s="63" t="s">
        <v>4064</v>
      </c>
      <c r="N1310" s="63" t="s">
        <v>2590</v>
      </c>
    </row>
    <row r="1311" spans="1:14" x14ac:dyDescent="0.2">
      <c r="A1311" s="51">
        <v>1310</v>
      </c>
      <c r="B1311" s="54" t="s">
        <v>654</v>
      </c>
      <c r="C1311" s="47" t="s">
        <v>4065</v>
      </c>
      <c r="D1311" s="47" t="s">
        <v>4066</v>
      </c>
      <c r="E1311" s="47" t="s">
        <v>2590</v>
      </c>
      <c r="F1311" s="55" t="b">
        <v>1</v>
      </c>
      <c r="G1311" s="54" t="b">
        <v>1</v>
      </c>
      <c r="H1311" s="54" t="b">
        <v>1</v>
      </c>
      <c r="I1311" s="54" t="b">
        <v>1</v>
      </c>
      <c r="J1311" s="54" t="b">
        <v>1</v>
      </c>
      <c r="K1311" s="63" t="s">
        <v>654</v>
      </c>
      <c r="L1311" s="63" t="s">
        <v>4065</v>
      </c>
      <c r="M1311" s="63" t="s">
        <v>4066</v>
      </c>
      <c r="N1311" s="63" t="s">
        <v>2590</v>
      </c>
    </row>
    <row r="1312" spans="1:14" x14ac:dyDescent="0.2">
      <c r="A1312" s="51">
        <v>1311</v>
      </c>
      <c r="B1312" s="54" t="s">
        <v>654</v>
      </c>
      <c r="C1312" s="47" t="s">
        <v>4070</v>
      </c>
      <c r="D1312" s="47" t="s">
        <v>4071</v>
      </c>
      <c r="E1312" s="47" t="s">
        <v>2590</v>
      </c>
      <c r="F1312" s="55" t="b">
        <v>1</v>
      </c>
      <c r="G1312" s="54" t="b">
        <v>1</v>
      </c>
      <c r="H1312" s="54" t="b">
        <v>1</v>
      </c>
      <c r="I1312" s="54" t="b">
        <v>1</v>
      </c>
      <c r="J1312" s="54" t="b">
        <v>1</v>
      </c>
      <c r="K1312" s="63" t="s">
        <v>654</v>
      </c>
      <c r="L1312" s="63" t="s">
        <v>4070</v>
      </c>
      <c r="M1312" s="63" t="s">
        <v>4071</v>
      </c>
      <c r="N1312" s="63" t="s">
        <v>2590</v>
      </c>
    </row>
    <row r="1313" spans="1:14" x14ac:dyDescent="0.2">
      <c r="A1313" s="51">
        <v>1312</v>
      </c>
      <c r="B1313" s="54" t="s">
        <v>654</v>
      </c>
      <c r="C1313" s="47" t="s">
        <v>4067</v>
      </c>
      <c r="D1313" s="47" t="s">
        <v>2661</v>
      </c>
      <c r="E1313" s="47" t="s">
        <v>2590</v>
      </c>
      <c r="F1313" s="55" t="b">
        <v>1</v>
      </c>
      <c r="G1313" s="54" t="b">
        <v>1</v>
      </c>
      <c r="H1313" s="54" t="b">
        <v>1</v>
      </c>
      <c r="I1313" s="54" t="b">
        <v>1</v>
      </c>
      <c r="J1313" s="54" t="b">
        <v>1</v>
      </c>
      <c r="K1313" s="63" t="s">
        <v>654</v>
      </c>
      <c r="L1313" s="63" t="s">
        <v>4067</v>
      </c>
      <c r="M1313" s="63" t="s">
        <v>2661</v>
      </c>
      <c r="N1313" s="63" t="s">
        <v>2590</v>
      </c>
    </row>
    <row r="1314" spans="1:14" x14ac:dyDescent="0.2">
      <c r="A1314" s="51">
        <v>1313</v>
      </c>
      <c r="B1314" s="54" t="s">
        <v>654</v>
      </c>
      <c r="C1314" s="47" t="s">
        <v>4077</v>
      </c>
      <c r="D1314" s="47" t="s">
        <v>4078</v>
      </c>
      <c r="E1314" s="47" t="s">
        <v>2590</v>
      </c>
      <c r="F1314" s="55" t="b">
        <v>1</v>
      </c>
      <c r="G1314" s="54" t="b">
        <v>1</v>
      </c>
      <c r="H1314" s="54" t="b">
        <v>1</v>
      </c>
      <c r="I1314" s="54" t="b">
        <v>1</v>
      </c>
      <c r="J1314" s="54" t="b">
        <v>1</v>
      </c>
      <c r="K1314" s="63" t="s">
        <v>654</v>
      </c>
      <c r="L1314" s="63" t="s">
        <v>4077</v>
      </c>
      <c r="M1314" s="63" t="s">
        <v>4078</v>
      </c>
      <c r="N1314" s="63" t="s">
        <v>2590</v>
      </c>
    </row>
    <row r="1315" spans="1:14" x14ac:dyDescent="0.2">
      <c r="A1315" s="51">
        <v>1314</v>
      </c>
      <c r="B1315" s="54" t="s">
        <v>654</v>
      </c>
      <c r="C1315" s="47" t="s">
        <v>4072</v>
      </c>
      <c r="D1315" s="47" t="s">
        <v>4073</v>
      </c>
      <c r="E1315" s="47" t="s">
        <v>2590</v>
      </c>
      <c r="F1315" s="55" t="b">
        <v>1</v>
      </c>
      <c r="G1315" s="54" t="b">
        <v>1</v>
      </c>
      <c r="H1315" s="54" t="b">
        <v>1</v>
      </c>
      <c r="I1315" s="54" t="b">
        <v>1</v>
      </c>
      <c r="J1315" s="54" t="b">
        <v>1</v>
      </c>
      <c r="K1315" s="63" t="s">
        <v>654</v>
      </c>
      <c r="L1315" s="63" t="s">
        <v>4072</v>
      </c>
      <c r="M1315" s="63" t="s">
        <v>4073</v>
      </c>
      <c r="N1315" s="63" t="s">
        <v>2590</v>
      </c>
    </row>
    <row r="1316" spans="1:14" x14ac:dyDescent="0.2">
      <c r="A1316" s="51">
        <v>1315</v>
      </c>
      <c r="B1316" s="54" t="s">
        <v>654</v>
      </c>
      <c r="C1316" s="47" t="s">
        <v>4079</v>
      </c>
      <c r="D1316" s="47" t="s">
        <v>4080</v>
      </c>
      <c r="E1316" s="47" t="s">
        <v>2590</v>
      </c>
      <c r="F1316" s="55" t="b">
        <v>1</v>
      </c>
      <c r="G1316" s="54" t="b">
        <v>1</v>
      </c>
      <c r="H1316" s="54" t="b">
        <v>1</v>
      </c>
      <c r="I1316" s="54" t="b">
        <v>1</v>
      </c>
      <c r="J1316" s="54" t="b">
        <v>1</v>
      </c>
      <c r="K1316" s="63" t="s">
        <v>654</v>
      </c>
      <c r="L1316" s="63" t="s">
        <v>4079</v>
      </c>
      <c r="M1316" s="63" t="s">
        <v>4080</v>
      </c>
      <c r="N1316" s="63" t="s">
        <v>2590</v>
      </c>
    </row>
    <row r="1317" spans="1:14" x14ac:dyDescent="0.2">
      <c r="A1317" s="51">
        <v>1316</v>
      </c>
      <c r="B1317" s="54" t="s">
        <v>654</v>
      </c>
      <c r="C1317" s="47" t="s">
        <v>4074</v>
      </c>
      <c r="D1317" s="47" t="s">
        <v>2352</v>
      </c>
      <c r="E1317" s="47" t="s">
        <v>2590</v>
      </c>
      <c r="F1317" s="55" t="b">
        <v>1</v>
      </c>
      <c r="G1317" s="54" t="b">
        <v>1</v>
      </c>
      <c r="H1317" s="54" t="b">
        <v>1</v>
      </c>
      <c r="I1317" s="54" t="b">
        <v>1</v>
      </c>
      <c r="J1317" s="54" t="b">
        <v>1</v>
      </c>
      <c r="K1317" s="63" t="s">
        <v>654</v>
      </c>
      <c r="L1317" s="63" t="s">
        <v>4074</v>
      </c>
      <c r="M1317" s="63" t="s">
        <v>2352</v>
      </c>
      <c r="N1317" s="63" t="s">
        <v>2590</v>
      </c>
    </row>
    <row r="1318" spans="1:14" x14ac:dyDescent="0.2">
      <c r="A1318" s="51">
        <v>1317</v>
      </c>
      <c r="B1318" s="54" t="s">
        <v>654</v>
      </c>
      <c r="C1318" s="47" t="s">
        <v>4075</v>
      </c>
      <c r="D1318" s="47" t="s">
        <v>4076</v>
      </c>
      <c r="E1318" s="47" t="s">
        <v>2590</v>
      </c>
      <c r="F1318" s="55" t="b">
        <v>1</v>
      </c>
      <c r="G1318" s="54" t="b">
        <v>1</v>
      </c>
      <c r="H1318" s="54" t="b">
        <v>1</v>
      </c>
      <c r="I1318" s="54" t="b">
        <v>1</v>
      </c>
      <c r="J1318" s="54" t="b">
        <v>1</v>
      </c>
      <c r="K1318" s="63" t="s">
        <v>654</v>
      </c>
      <c r="L1318" s="63" t="s">
        <v>4075</v>
      </c>
      <c r="M1318" s="63" t="s">
        <v>4076</v>
      </c>
      <c r="N1318" s="63" t="s">
        <v>2590</v>
      </c>
    </row>
    <row r="1319" spans="1:14" x14ac:dyDescent="0.2">
      <c r="A1319" s="51">
        <v>1318</v>
      </c>
      <c r="B1319" s="54" t="s">
        <v>654</v>
      </c>
      <c r="C1319" s="47" t="s">
        <v>4068</v>
      </c>
      <c r="D1319" s="47" t="s">
        <v>4069</v>
      </c>
      <c r="E1319" s="47" t="s">
        <v>2590</v>
      </c>
      <c r="F1319" s="55" t="b">
        <v>1</v>
      </c>
      <c r="G1319" s="54" t="b">
        <v>1</v>
      </c>
      <c r="H1319" s="54" t="b">
        <v>1</v>
      </c>
      <c r="I1319" s="54" t="b">
        <v>1</v>
      </c>
      <c r="J1319" s="54" t="b">
        <v>1</v>
      </c>
      <c r="K1319" s="63" t="s">
        <v>654</v>
      </c>
      <c r="L1319" s="63" t="s">
        <v>4068</v>
      </c>
      <c r="M1319" s="63" t="s">
        <v>4069</v>
      </c>
      <c r="N1319" s="63" t="s">
        <v>2590</v>
      </c>
    </row>
    <row r="1320" spans="1:14" x14ac:dyDescent="0.2">
      <c r="A1320" s="51">
        <v>1319</v>
      </c>
      <c r="B1320" s="54" t="s">
        <v>654</v>
      </c>
      <c r="C1320" s="47" t="s">
        <v>4081</v>
      </c>
      <c r="D1320" s="47" t="s">
        <v>4082</v>
      </c>
      <c r="E1320" s="47" t="s">
        <v>2590</v>
      </c>
      <c r="F1320" s="55" t="b">
        <v>1</v>
      </c>
      <c r="G1320" s="54" t="b">
        <v>1</v>
      </c>
      <c r="H1320" s="54" t="b">
        <v>1</v>
      </c>
      <c r="I1320" s="54" t="b">
        <v>1</v>
      </c>
      <c r="J1320" s="54" t="b">
        <v>1</v>
      </c>
      <c r="K1320" s="63" t="s">
        <v>654</v>
      </c>
      <c r="L1320" s="63" t="s">
        <v>4081</v>
      </c>
      <c r="M1320" s="63" t="s">
        <v>4082</v>
      </c>
      <c r="N1320" s="63" t="s">
        <v>2590</v>
      </c>
    </row>
    <row r="1321" spans="1:14" x14ac:dyDescent="0.2">
      <c r="A1321" s="51">
        <v>1320</v>
      </c>
      <c r="G1321" s="65" t="b">
        <v>0</v>
      </c>
      <c r="H1321" s="65" t="b">
        <v>0</v>
      </c>
      <c r="I1321" s="65" t="b">
        <v>0</v>
      </c>
      <c r="J1321" s="65" t="b">
        <v>0</v>
      </c>
      <c r="K1321" s="63" t="s">
        <v>666</v>
      </c>
      <c r="L1321" s="63" t="s">
        <v>4083</v>
      </c>
      <c r="M1321" s="63" t="s">
        <v>4084</v>
      </c>
      <c r="N1321" s="63" t="s">
        <v>1719</v>
      </c>
    </row>
    <row r="1322" spans="1:14" x14ac:dyDescent="0.2">
      <c r="A1322" s="51">
        <v>1321</v>
      </c>
      <c r="B1322" s="54" t="s">
        <v>666</v>
      </c>
      <c r="C1322" s="47" t="s">
        <v>4083</v>
      </c>
      <c r="D1322" s="47" t="s">
        <v>4085</v>
      </c>
      <c r="E1322" s="47" t="s">
        <v>1719</v>
      </c>
      <c r="F1322" s="55" t="b">
        <v>1</v>
      </c>
      <c r="G1322" s="54" t="b">
        <v>1</v>
      </c>
      <c r="H1322" s="54" t="b">
        <v>1</v>
      </c>
      <c r="I1322" s="54" t="b">
        <v>1</v>
      </c>
      <c r="J1322" s="54" t="b">
        <v>1</v>
      </c>
      <c r="K1322" s="63" t="s">
        <v>666</v>
      </c>
      <c r="L1322" s="63" t="s">
        <v>4083</v>
      </c>
      <c r="M1322" s="63" t="s">
        <v>4085</v>
      </c>
      <c r="N1322" s="63" t="s">
        <v>1719</v>
      </c>
    </row>
    <row r="1323" spans="1:14" x14ac:dyDescent="0.2">
      <c r="A1323" s="51">
        <v>1322</v>
      </c>
      <c r="G1323" s="65" t="b">
        <v>0</v>
      </c>
      <c r="H1323" s="65" t="b">
        <v>0</v>
      </c>
      <c r="I1323" s="65" t="b">
        <v>0</v>
      </c>
      <c r="J1323" s="65" t="b">
        <v>0</v>
      </c>
      <c r="K1323" s="63" t="s">
        <v>666</v>
      </c>
      <c r="L1323" s="63" t="s">
        <v>4083</v>
      </c>
      <c r="M1323" s="63" t="s">
        <v>4086</v>
      </c>
      <c r="N1323" s="63" t="s">
        <v>1719</v>
      </c>
    </row>
    <row r="1324" spans="1:14" x14ac:dyDescent="0.2">
      <c r="A1324" s="51">
        <v>1323</v>
      </c>
      <c r="G1324" s="65" t="b">
        <v>0</v>
      </c>
      <c r="H1324" s="65" t="b">
        <v>0</v>
      </c>
      <c r="I1324" s="65" t="b">
        <v>0</v>
      </c>
      <c r="J1324" s="65" t="b">
        <v>0</v>
      </c>
      <c r="K1324" s="63" t="s">
        <v>666</v>
      </c>
      <c r="L1324" s="63" t="s">
        <v>4087</v>
      </c>
      <c r="M1324" s="63" t="s">
        <v>4088</v>
      </c>
      <c r="N1324" s="63" t="s">
        <v>1719</v>
      </c>
    </row>
    <row r="1325" spans="1:14" x14ac:dyDescent="0.2">
      <c r="A1325" s="51">
        <v>1324</v>
      </c>
      <c r="B1325" s="54" t="s">
        <v>666</v>
      </c>
      <c r="C1325" s="47" t="s">
        <v>4087</v>
      </c>
      <c r="D1325" s="47" t="s">
        <v>4089</v>
      </c>
      <c r="E1325" s="47" t="s">
        <v>1719</v>
      </c>
      <c r="F1325" s="55" t="b">
        <v>1</v>
      </c>
      <c r="G1325" s="54" t="b">
        <v>1</v>
      </c>
      <c r="H1325" s="54" t="b">
        <v>1</v>
      </c>
      <c r="I1325" s="54" t="b">
        <v>1</v>
      </c>
      <c r="J1325" s="54" t="b">
        <v>1</v>
      </c>
      <c r="K1325" s="63" t="s">
        <v>666</v>
      </c>
      <c r="L1325" s="63" t="s">
        <v>4087</v>
      </c>
      <c r="M1325" s="63" t="s">
        <v>4089</v>
      </c>
      <c r="N1325" s="63" t="s">
        <v>1719</v>
      </c>
    </row>
    <row r="1326" spans="1:14" x14ac:dyDescent="0.2">
      <c r="A1326" s="51">
        <v>1325</v>
      </c>
      <c r="G1326" s="65" t="b">
        <v>0</v>
      </c>
      <c r="H1326" s="65" t="b">
        <v>0</v>
      </c>
      <c r="I1326" s="65" t="b">
        <v>0</v>
      </c>
      <c r="J1326" s="65" t="b">
        <v>0</v>
      </c>
      <c r="K1326" s="63" t="s">
        <v>666</v>
      </c>
      <c r="L1326" s="63" t="s">
        <v>4090</v>
      </c>
      <c r="M1326" s="63" t="s">
        <v>4091</v>
      </c>
      <c r="N1326" s="63" t="s">
        <v>1719</v>
      </c>
    </row>
    <row r="1327" spans="1:14" x14ac:dyDescent="0.2">
      <c r="A1327" s="51">
        <v>1326</v>
      </c>
      <c r="G1327" s="65" t="b">
        <v>0</v>
      </c>
      <c r="H1327" s="65" t="b">
        <v>0</v>
      </c>
      <c r="I1327" s="65" t="b">
        <v>0</v>
      </c>
      <c r="J1327" s="65" t="b">
        <v>0</v>
      </c>
      <c r="K1327" s="63" t="s">
        <v>666</v>
      </c>
      <c r="L1327" s="63" t="s">
        <v>4090</v>
      </c>
      <c r="M1327" s="63" t="s">
        <v>4092</v>
      </c>
      <c r="N1327" s="63" t="s">
        <v>1719</v>
      </c>
    </row>
    <row r="1328" spans="1:14" x14ac:dyDescent="0.2">
      <c r="A1328" s="51">
        <v>1327</v>
      </c>
      <c r="B1328" s="54" t="s">
        <v>666</v>
      </c>
      <c r="C1328" s="47" t="s">
        <v>4090</v>
      </c>
      <c r="D1328" s="47" t="s">
        <v>4093</v>
      </c>
      <c r="E1328" s="47" t="s">
        <v>1719</v>
      </c>
      <c r="F1328" s="55" t="b">
        <v>1</v>
      </c>
      <c r="G1328" s="54" t="b">
        <v>1</v>
      </c>
      <c r="H1328" s="54" t="b">
        <v>1</v>
      </c>
      <c r="I1328" s="54" t="b">
        <v>1</v>
      </c>
      <c r="J1328" s="54" t="b">
        <v>1</v>
      </c>
      <c r="K1328" s="63" t="s">
        <v>666</v>
      </c>
      <c r="L1328" s="63" t="s">
        <v>4090</v>
      </c>
      <c r="M1328" s="63" t="s">
        <v>4093</v>
      </c>
      <c r="N1328" s="63" t="s">
        <v>1719</v>
      </c>
    </row>
    <row r="1329" spans="1:14" x14ac:dyDescent="0.2">
      <c r="A1329" s="51">
        <v>1328</v>
      </c>
      <c r="G1329" s="65" t="b">
        <v>0</v>
      </c>
      <c r="H1329" s="65" t="b">
        <v>0</v>
      </c>
      <c r="I1329" s="65" t="b">
        <v>0</v>
      </c>
      <c r="J1329" s="65" t="b">
        <v>0</v>
      </c>
      <c r="K1329" s="63" t="s">
        <v>666</v>
      </c>
      <c r="L1329" s="63" t="s">
        <v>4102</v>
      </c>
      <c r="M1329" s="63" t="s">
        <v>4103</v>
      </c>
      <c r="N1329" s="63" t="s">
        <v>2087</v>
      </c>
    </row>
    <row r="1330" spans="1:14" x14ac:dyDescent="0.2">
      <c r="A1330" s="51">
        <v>1329</v>
      </c>
      <c r="B1330" s="54" t="s">
        <v>666</v>
      </c>
      <c r="C1330" s="47" t="s">
        <v>4102</v>
      </c>
      <c r="D1330" s="47" t="s">
        <v>4106</v>
      </c>
      <c r="E1330" s="48" t="s">
        <v>2087</v>
      </c>
      <c r="F1330" s="66" t="b">
        <v>0</v>
      </c>
      <c r="G1330" s="54" t="b">
        <v>1</v>
      </c>
      <c r="H1330" s="54" t="b">
        <v>1</v>
      </c>
      <c r="I1330" s="54" t="b">
        <v>1</v>
      </c>
      <c r="J1330" s="54" t="b">
        <v>1</v>
      </c>
      <c r="K1330" s="63" t="s">
        <v>666</v>
      </c>
      <c r="L1330" s="63" t="s">
        <v>4102</v>
      </c>
      <c r="M1330" s="63" t="s">
        <v>4106</v>
      </c>
      <c r="N1330" s="63" t="s">
        <v>2087</v>
      </c>
    </row>
    <row r="1331" spans="1:14" x14ac:dyDescent="0.2">
      <c r="A1331" s="51">
        <v>1330</v>
      </c>
      <c r="E1331" s="48"/>
      <c r="G1331" s="65" t="b">
        <v>0</v>
      </c>
      <c r="H1331" s="65" t="b">
        <v>0</v>
      </c>
      <c r="I1331" s="65" t="b">
        <v>0</v>
      </c>
      <c r="J1331" s="65" t="b">
        <v>0</v>
      </c>
      <c r="K1331" s="63" t="s">
        <v>666</v>
      </c>
      <c r="L1331" s="63" t="s">
        <v>4102</v>
      </c>
      <c r="M1331" s="63" t="s">
        <v>4108</v>
      </c>
      <c r="N1331" s="63" t="s">
        <v>2087</v>
      </c>
    </row>
    <row r="1332" spans="1:14" x14ac:dyDescent="0.2">
      <c r="A1332" s="51">
        <v>1331</v>
      </c>
      <c r="E1332" s="48"/>
      <c r="G1332" s="65" t="b">
        <v>0</v>
      </c>
      <c r="H1332" s="65" t="b">
        <v>0</v>
      </c>
      <c r="I1332" s="65" t="b">
        <v>0</v>
      </c>
      <c r="J1332" s="65" t="b">
        <v>0</v>
      </c>
      <c r="K1332" s="63" t="s">
        <v>666</v>
      </c>
      <c r="L1332" s="63" t="s">
        <v>4094</v>
      </c>
      <c r="M1332" s="63" t="s">
        <v>4095</v>
      </c>
      <c r="N1332" s="63" t="s">
        <v>1719</v>
      </c>
    </row>
    <row r="1333" spans="1:14" x14ac:dyDescent="0.2">
      <c r="A1333" s="51">
        <v>1332</v>
      </c>
      <c r="E1333" s="48"/>
      <c r="G1333" s="65" t="b">
        <v>0</v>
      </c>
      <c r="H1333" s="65" t="b">
        <v>0</v>
      </c>
      <c r="I1333" s="65" t="b">
        <v>0</v>
      </c>
      <c r="J1333" s="65" t="b">
        <v>0</v>
      </c>
      <c r="K1333" s="63" t="s">
        <v>666</v>
      </c>
      <c r="L1333" s="63" t="s">
        <v>4094</v>
      </c>
      <c r="M1333" s="63" t="s">
        <v>4096</v>
      </c>
      <c r="N1333" s="63" t="s">
        <v>1719</v>
      </c>
    </row>
    <row r="1334" spans="1:14" x14ac:dyDescent="0.2">
      <c r="A1334" s="51">
        <v>1333</v>
      </c>
      <c r="B1334" s="54" t="s">
        <v>666</v>
      </c>
      <c r="C1334" s="47" t="s">
        <v>4094</v>
      </c>
      <c r="D1334" s="47" t="s">
        <v>4097</v>
      </c>
      <c r="E1334" s="47" t="s">
        <v>1719</v>
      </c>
      <c r="F1334" s="55" t="b">
        <v>1</v>
      </c>
      <c r="G1334" s="54" t="b">
        <v>1</v>
      </c>
      <c r="H1334" s="54" t="b">
        <v>1</v>
      </c>
      <c r="I1334" s="54" t="b">
        <v>1</v>
      </c>
      <c r="J1334" s="54" t="b">
        <v>1</v>
      </c>
      <c r="K1334" s="63" t="s">
        <v>666</v>
      </c>
      <c r="L1334" s="63" t="s">
        <v>4094</v>
      </c>
      <c r="M1334" s="63" t="s">
        <v>4097</v>
      </c>
      <c r="N1334" s="63" t="s">
        <v>1719</v>
      </c>
    </row>
    <row r="1335" spans="1:14" x14ac:dyDescent="0.2">
      <c r="A1335" s="51">
        <v>1334</v>
      </c>
      <c r="G1335" s="65" t="b">
        <v>0</v>
      </c>
      <c r="H1335" s="65" t="b">
        <v>0</v>
      </c>
      <c r="I1335" s="65" t="b">
        <v>0</v>
      </c>
      <c r="J1335" s="65" t="b">
        <v>0</v>
      </c>
      <c r="K1335" s="63" t="s">
        <v>666</v>
      </c>
      <c r="L1335" s="63" t="s">
        <v>4104</v>
      </c>
      <c r="M1335" s="63" t="s">
        <v>4105</v>
      </c>
      <c r="N1335" s="63" t="s">
        <v>2087</v>
      </c>
    </row>
    <row r="1336" spans="1:14" x14ac:dyDescent="0.2">
      <c r="A1336" s="51">
        <v>1335</v>
      </c>
      <c r="B1336" s="54" t="s">
        <v>666</v>
      </c>
      <c r="C1336" s="47" t="s">
        <v>4104</v>
      </c>
      <c r="D1336" s="47" t="s">
        <v>4107</v>
      </c>
      <c r="E1336" s="48" t="s">
        <v>2087</v>
      </c>
      <c r="F1336" s="66" t="b">
        <v>0</v>
      </c>
      <c r="G1336" s="54" t="b">
        <v>1</v>
      </c>
      <c r="H1336" s="54" t="b">
        <v>1</v>
      </c>
      <c r="I1336" s="54" t="b">
        <v>1</v>
      </c>
      <c r="J1336" s="54" t="b">
        <v>1</v>
      </c>
      <c r="K1336" s="63" t="s">
        <v>666</v>
      </c>
      <c r="L1336" s="63" t="s">
        <v>4104</v>
      </c>
      <c r="M1336" s="63" t="s">
        <v>4107</v>
      </c>
      <c r="N1336" s="63" t="s">
        <v>2087</v>
      </c>
    </row>
    <row r="1337" spans="1:14" x14ac:dyDescent="0.2">
      <c r="A1337" s="51">
        <v>1336</v>
      </c>
      <c r="E1337" s="48"/>
      <c r="G1337" s="65" t="b">
        <v>0</v>
      </c>
      <c r="H1337" s="65" t="b">
        <v>0</v>
      </c>
      <c r="I1337" s="65" t="b">
        <v>0</v>
      </c>
      <c r="J1337" s="65" t="b">
        <v>0</v>
      </c>
      <c r="K1337" s="63" t="s">
        <v>666</v>
      </c>
      <c r="L1337" s="63" t="s">
        <v>4104</v>
      </c>
      <c r="M1337" s="63" t="s">
        <v>4109</v>
      </c>
      <c r="N1337" s="63" t="s">
        <v>2087</v>
      </c>
    </row>
    <row r="1338" spans="1:14" x14ac:dyDescent="0.2">
      <c r="A1338" s="51">
        <v>1337</v>
      </c>
      <c r="B1338" s="54" t="s">
        <v>666</v>
      </c>
      <c r="C1338" s="47" t="s">
        <v>4098</v>
      </c>
      <c r="D1338" s="47" t="s">
        <v>4099</v>
      </c>
      <c r="E1338" s="47" t="s">
        <v>1719</v>
      </c>
      <c r="F1338" s="55" t="b">
        <v>1</v>
      </c>
      <c r="G1338" s="54" t="b">
        <v>1</v>
      </c>
      <c r="H1338" s="54" t="b">
        <v>1</v>
      </c>
      <c r="I1338" s="54" t="b">
        <v>1</v>
      </c>
      <c r="J1338" s="54" t="b">
        <v>1</v>
      </c>
      <c r="K1338" s="63" t="s">
        <v>666</v>
      </c>
      <c r="L1338" s="63" t="s">
        <v>4098</v>
      </c>
      <c r="M1338" s="63" t="s">
        <v>4099</v>
      </c>
      <c r="N1338" s="63" t="s">
        <v>1719</v>
      </c>
    </row>
    <row r="1339" spans="1:14" x14ac:dyDescent="0.2">
      <c r="A1339" s="51">
        <v>1338</v>
      </c>
      <c r="B1339" s="54" t="s">
        <v>666</v>
      </c>
      <c r="C1339" s="47" t="s">
        <v>4100</v>
      </c>
      <c r="D1339" s="47" t="s">
        <v>4101</v>
      </c>
      <c r="E1339" s="47" t="s">
        <v>1719</v>
      </c>
      <c r="F1339" s="55" t="b">
        <v>1</v>
      </c>
      <c r="G1339" s="54" t="b">
        <v>1</v>
      </c>
      <c r="H1339" s="54" t="b">
        <v>1</v>
      </c>
      <c r="I1339" s="54" t="b">
        <v>1</v>
      </c>
      <c r="J1339" s="54" t="b">
        <v>1</v>
      </c>
      <c r="K1339" s="63" t="s">
        <v>666</v>
      </c>
      <c r="L1339" s="63" t="s">
        <v>4100</v>
      </c>
      <c r="M1339" s="63" t="s">
        <v>4101</v>
      </c>
      <c r="N1339" s="63" t="s">
        <v>1719</v>
      </c>
    </row>
    <row r="1340" spans="1:14" x14ac:dyDescent="0.2">
      <c r="A1340" s="51">
        <v>1339</v>
      </c>
      <c r="G1340" s="65" t="b">
        <v>0</v>
      </c>
      <c r="H1340" s="65" t="b">
        <v>0</v>
      </c>
      <c r="I1340" s="65" t="b">
        <v>0</v>
      </c>
      <c r="J1340" s="65" t="b">
        <v>0</v>
      </c>
      <c r="K1340" s="63" t="s">
        <v>666</v>
      </c>
      <c r="L1340" s="63" t="s">
        <v>4100</v>
      </c>
      <c r="M1340" s="63" t="s">
        <v>2604</v>
      </c>
      <c r="N1340" s="63" t="s">
        <v>1719</v>
      </c>
    </row>
    <row r="1341" spans="1:14" x14ac:dyDescent="0.2">
      <c r="A1341" s="51">
        <v>1340</v>
      </c>
      <c r="B1341" s="54" t="s">
        <v>666</v>
      </c>
      <c r="C1341" s="47" t="s">
        <v>4110</v>
      </c>
      <c r="D1341" s="47" t="s">
        <v>4111</v>
      </c>
      <c r="E1341" s="47" t="s">
        <v>1719</v>
      </c>
      <c r="F1341" s="55" t="b">
        <v>1</v>
      </c>
      <c r="G1341" s="54" t="b">
        <v>1</v>
      </c>
      <c r="H1341" s="54" t="b">
        <v>1</v>
      </c>
      <c r="I1341" s="54" t="b">
        <v>1</v>
      </c>
      <c r="J1341" s="54" t="b">
        <v>1</v>
      </c>
      <c r="K1341" s="63" t="s">
        <v>666</v>
      </c>
      <c r="L1341" s="63" t="s">
        <v>4110</v>
      </c>
      <c r="M1341" s="63" t="s">
        <v>4111</v>
      </c>
      <c r="N1341" s="63" t="s">
        <v>1719</v>
      </c>
    </row>
    <row r="1342" spans="1:14" x14ac:dyDescent="0.2">
      <c r="A1342" s="51">
        <v>1341</v>
      </c>
      <c r="G1342" s="65" t="b">
        <v>0</v>
      </c>
      <c r="H1342" s="65" t="b">
        <v>0</v>
      </c>
      <c r="I1342" s="65" t="b">
        <v>0</v>
      </c>
      <c r="J1342" s="65" t="b">
        <v>0</v>
      </c>
      <c r="K1342" s="63" t="s">
        <v>666</v>
      </c>
      <c r="L1342" s="63" t="s">
        <v>4110</v>
      </c>
      <c r="M1342" s="63" t="s">
        <v>4112</v>
      </c>
      <c r="N1342" s="63" t="s">
        <v>1719</v>
      </c>
    </row>
    <row r="1343" spans="1:14" x14ac:dyDescent="0.2">
      <c r="A1343" s="51">
        <v>1342</v>
      </c>
      <c r="B1343" s="54" t="s">
        <v>668</v>
      </c>
      <c r="C1343" s="47" t="s">
        <v>4113</v>
      </c>
      <c r="D1343" s="47" t="s">
        <v>12333</v>
      </c>
      <c r="E1343" s="47" t="s">
        <v>2087</v>
      </c>
      <c r="F1343" s="55" t="b">
        <v>1</v>
      </c>
      <c r="G1343" s="54" t="b">
        <v>1</v>
      </c>
      <c r="H1343" s="54" t="b">
        <v>1</v>
      </c>
      <c r="I1343" s="65" t="b">
        <v>0</v>
      </c>
      <c r="J1343" s="54" t="b">
        <v>1</v>
      </c>
      <c r="K1343" s="63" t="s">
        <v>668</v>
      </c>
      <c r="L1343" s="63" t="s">
        <v>4113</v>
      </c>
      <c r="M1343" s="63" t="s">
        <v>4114</v>
      </c>
      <c r="N1343" s="63" t="s">
        <v>2087</v>
      </c>
    </row>
    <row r="1344" spans="1:14" x14ac:dyDescent="0.2">
      <c r="A1344" s="51">
        <v>1343</v>
      </c>
      <c r="B1344" s="54" t="s">
        <v>668</v>
      </c>
      <c r="C1344" s="47" t="s">
        <v>4117</v>
      </c>
      <c r="D1344" s="47" t="s">
        <v>12334</v>
      </c>
      <c r="E1344" s="47" t="s">
        <v>2087</v>
      </c>
      <c r="F1344" s="55" t="b">
        <v>1</v>
      </c>
      <c r="G1344" s="54" t="b">
        <v>1</v>
      </c>
      <c r="H1344" s="54" t="b">
        <v>1</v>
      </c>
      <c r="I1344" s="65" t="b">
        <v>0</v>
      </c>
      <c r="J1344" s="54" t="b">
        <v>1</v>
      </c>
      <c r="K1344" s="63" t="s">
        <v>668</v>
      </c>
      <c r="L1344" s="63" t="s">
        <v>4117</v>
      </c>
      <c r="M1344" s="63" t="s">
        <v>4118</v>
      </c>
      <c r="N1344" s="63" t="s">
        <v>2087</v>
      </c>
    </row>
    <row r="1345" spans="1:14" x14ac:dyDescent="0.2">
      <c r="A1345" s="51">
        <v>1344</v>
      </c>
      <c r="B1345" s="54" t="s">
        <v>668</v>
      </c>
      <c r="C1345" s="47" t="s">
        <v>4115</v>
      </c>
      <c r="D1345" s="47" t="s">
        <v>4116</v>
      </c>
      <c r="E1345" s="47" t="s">
        <v>2087</v>
      </c>
      <c r="F1345" s="55" t="b">
        <v>1</v>
      </c>
      <c r="G1345" s="54" t="b">
        <v>1</v>
      </c>
      <c r="H1345" s="54" t="b">
        <v>1</v>
      </c>
      <c r="I1345" s="54" t="b">
        <v>1</v>
      </c>
      <c r="J1345" s="54" t="b">
        <v>1</v>
      </c>
      <c r="K1345" s="63" t="s">
        <v>668</v>
      </c>
      <c r="L1345" s="63" t="s">
        <v>4115</v>
      </c>
      <c r="M1345" s="63" t="s">
        <v>4116</v>
      </c>
      <c r="N1345" s="63" t="s">
        <v>2087</v>
      </c>
    </row>
    <row r="1346" spans="1:14" x14ac:dyDescent="0.2">
      <c r="A1346" s="51">
        <v>1345</v>
      </c>
      <c r="B1346" s="54" t="s">
        <v>668</v>
      </c>
      <c r="C1346" s="47" t="s">
        <v>4119</v>
      </c>
      <c r="D1346" s="47" t="s">
        <v>12335</v>
      </c>
      <c r="E1346" s="47" t="s">
        <v>2087</v>
      </c>
      <c r="F1346" s="55" t="b">
        <v>1</v>
      </c>
      <c r="G1346" s="54" t="b">
        <v>1</v>
      </c>
      <c r="H1346" s="54" t="b">
        <v>1</v>
      </c>
      <c r="I1346" s="65" t="b">
        <v>0</v>
      </c>
      <c r="J1346" s="54" t="b">
        <v>1</v>
      </c>
      <c r="K1346" s="63" t="s">
        <v>668</v>
      </c>
      <c r="L1346" s="63" t="s">
        <v>4119</v>
      </c>
      <c r="M1346" s="63" t="s">
        <v>4120</v>
      </c>
      <c r="N1346" s="63" t="s">
        <v>2087</v>
      </c>
    </row>
    <row r="1347" spans="1:14" x14ac:dyDescent="0.2">
      <c r="A1347" s="51">
        <v>1346</v>
      </c>
      <c r="B1347" s="54" t="s">
        <v>668</v>
      </c>
      <c r="C1347" s="47" t="s">
        <v>4121</v>
      </c>
      <c r="D1347" s="47" t="s">
        <v>12336</v>
      </c>
      <c r="E1347" s="47" t="s">
        <v>2087</v>
      </c>
      <c r="F1347" s="55" t="b">
        <v>1</v>
      </c>
      <c r="G1347" s="54" t="b">
        <v>1</v>
      </c>
      <c r="H1347" s="54" t="b">
        <v>1</v>
      </c>
      <c r="I1347" s="65" t="b">
        <v>0</v>
      </c>
      <c r="J1347" s="54" t="b">
        <v>1</v>
      </c>
      <c r="K1347" s="63" t="s">
        <v>668</v>
      </c>
      <c r="L1347" s="63" t="s">
        <v>4121</v>
      </c>
      <c r="M1347" s="63" t="s">
        <v>4122</v>
      </c>
      <c r="N1347" s="63" t="s">
        <v>2087</v>
      </c>
    </row>
    <row r="1348" spans="1:14" x14ac:dyDescent="0.2">
      <c r="A1348" s="51">
        <v>1347</v>
      </c>
      <c r="B1348" s="54" t="s">
        <v>668</v>
      </c>
      <c r="C1348" s="47" t="s">
        <v>4123</v>
      </c>
      <c r="D1348" s="47" t="s">
        <v>12337</v>
      </c>
      <c r="E1348" s="47" t="s">
        <v>2087</v>
      </c>
      <c r="F1348" s="55" t="b">
        <v>1</v>
      </c>
      <c r="G1348" s="54" t="b">
        <v>1</v>
      </c>
      <c r="H1348" s="54" t="b">
        <v>1</v>
      </c>
      <c r="I1348" s="65" t="b">
        <v>0</v>
      </c>
      <c r="J1348" s="54" t="b">
        <v>1</v>
      </c>
      <c r="K1348" s="63" t="s">
        <v>668</v>
      </c>
      <c r="L1348" s="63" t="s">
        <v>4123</v>
      </c>
      <c r="M1348" s="63" t="s">
        <v>4124</v>
      </c>
      <c r="N1348" s="63" t="s">
        <v>2087</v>
      </c>
    </row>
    <row r="1349" spans="1:14" x14ac:dyDescent="0.2">
      <c r="A1349" s="51">
        <v>1348</v>
      </c>
      <c r="B1349" s="54" t="s">
        <v>670</v>
      </c>
      <c r="C1349" s="47" t="s">
        <v>4125</v>
      </c>
      <c r="D1349" s="47" t="s">
        <v>4126</v>
      </c>
      <c r="E1349" s="47" t="s">
        <v>1788</v>
      </c>
      <c r="F1349" s="55" t="b">
        <v>1</v>
      </c>
      <c r="G1349" s="54" t="b">
        <v>1</v>
      </c>
      <c r="H1349" s="54" t="b">
        <v>1</v>
      </c>
      <c r="I1349" s="54" t="b">
        <v>1</v>
      </c>
      <c r="J1349" s="54" t="b">
        <v>1</v>
      </c>
      <c r="K1349" s="63" t="s">
        <v>670</v>
      </c>
      <c r="L1349" s="63" t="s">
        <v>4125</v>
      </c>
      <c r="M1349" s="63" t="s">
        <v>4126</v>
      </c>
      <c r="N1349" s="63" t="s">
        <v>1788</v>
      </c>
    </row>
    <row r="1350" spans="1:14" x14ac:dyDescent="0.2">
      <c r="A1350" s="51">
        <v>1349</v>
      </c>
      <c r="B1350" s="54" t="s">
        <v>670</v>
      </c>
      <c r="C1350" s="47" t="s">
        <v>4127</v>
      </c>
      <c r="D1350" s="47" t="s">
        <v>4128</v>
      </c>
      <c r="E1350" s="47" t="s">
        <v>1788</v>
      </c>
      <c r="F1350" s="55" t="b">
        <v>1</v>
      </c>
      <c r="G1350" s="54" t="b">
        <v>1</v>
      </c>
      <c r="H1350" s="54" t="b">
        <v>1</v>
      </c>
      <c r="I1350" s="54" t="b">
        <v>1</v>
      </c>
      <c r="J1350" s="54" t="b">
        <v>1</v>
      </c>
      <c r="K1350" s="63" t="s">
        <v>670</v>
      </c>
      <c r="L1350" s="63" t="s">
        <v>4127</v>
      </c>
      <c r="M1350" s="63" t="s">
        <v>4128</v>
      </c>
      <c r="N1350" s="63" t="s">
        <v>1788</v>
      </c>
    </row>
    <row r="1351" spans="1:14" x14ac:dyDescent="0.2">
      <c r="A1351" s="51">
        <v>1350</v>
      </c>
      <c r="B1351" s="54" t="s">
        <v>670</v>
      </c>
      <c r="C1351" s="47" t="s">
        <v>4129</v>
      </c>
      <c r="D1351" s="47" t="s">
        <v>4130</v>
      </c>
      <c r="E1351" s="47" t="s">
        <v>1788</v>
      </c>
      <c r="F1351" s="55" t="b">
        <v>1</v>
      </c>
      <c r="G1351" s="54" t="b">
        <v>1</v>
      </c>
      <c r="H1351" s="54" t="b">
        <v>1</v>
      </c>
      <c r="I1351" s="54" t="b">
        <v>1</v>
      </c>
      <c r="J1351" s="54" t="b">
        <v>1</v>
      </c>
      <c r="K1351" s="63" t="s">
        <v>670</v>
      </c>
      <c r="L1351" s="63" t="s">
        <v>4129</v>
      </c>
      <c r="M1351" s="63" t="s">
        <v>4130</v>
      </c>
      <c r="N1351" s="63" t="s">
        <v>1788</v>
      </c>
    </row>
    <row r="1352" spans="1:14" x14ac:dyDescent="0.2">
      <c r="A1352" s="51">
        <v>1351</v>
      </c>
      <c r="B1352" s="54" t="s">
        <v>670</v>
      </c>
      <c r="C1352" s="47" t="s">
        <v>4133</v>
      </c>
      <c r="D1352" s="47" t="s">
        <v>4134</v>
      </c>
      <c r="E1352" s="47" t="s">
        <v>1788</v>
      </c>
      <c r="F1352" s="55" t="b">
        <v>1</v>
      </c>
      <c r="G1352" s="54" t="b">
        <v>1</v>
      </c>
      <c r="H1352" s="54" t="b">
        <v>1</v>
      </c>
      <c r="I1352" s="54" t="b">
        <v>1</v>
      </c>
      <c r="J1352" s="54" t="b">
        <v>1</v>
      </c>
      <c r="K1352" s="63" t="s">
        <v>670</v>
      </c>
      <c r="L1352" s="63" t="s">
        <v>4133</v>
      </c>
      <c r="M1352" s="63" t="s">
        <v>4134</v>
      </c>
      <c r="N1352" s="63" t="s">
        <v>1788</v>
      </c>
    </row>
    <row r="1353" spans="1:14" x14ac:dyDescent="0.2">
      <c r="A1353" s="51">
        <v>1352</v>
      </c>
      <c r="B1353" s="54" t="s">
        <v>670</v>
      </c>
      <c r="C1353" s="47" t="s">
        <v>4131</v>
      </c>
      <c r="D1353" s="47" t="s">
        <v>4132</v>
      </c>
      <c r="E1353" s="47" t="s">
        <v>1788</v>
      </c>
      <c r="F1353" s="55" t="b">
        <v>1</v>
      </c>
      <c r="G1353" s="54" t="b">
        <v>1</v>
      </c>
      <c r="H1353" s="54" t="b">
        <v>1</v>
      </c>
      <c r="I1353" s="54" t="b">
        <v>1</v>
      </c>
      <c r="J1353" s="54" t="b">
        <v>1</v>
      </c>
      <c r="K1353" s="63" t="s">
        <v>670</v>
      </c>
      <c r="L1353" s="63" t="s">
        <v>4131</v>
      </c>
      <c r="M1353" s="63" t="s">
        <v>4132</v>
      </c>
      <c r="N1353" s="63" t="s">
        <v>1788</v>
      </c>
    </row>
    <row r="1354" spans="1:14" x14ac:dyDescent="0.2">
      <c r="A1354" s="51">
        <v>1353</v>
      </c>
      <c r="B1354" s="54" t="s">
        <v>670</v>
      </c>
      <c r="C1354" s="47" t="s">
        <v>4137</v>
      </c>
      <c r="D1354" s="47" t="s">
        <v>4138</v>
      </c>
      <c r="E1354" s="47" t="s">
        <v>1788</v>
      </c>
      <c r="F1354" s="55" t="b">
        <v>1</v>
      </c>
      <c r="G1354" s="54" t="b">
        <v>1</v>
      </c>
      <c r="H1354" s="54" t="b">
        <v>1</v>
      </c>
      <c r="I1354" s="54" t="b">
        <v>1</v>
      </c>
      <c r="J1354" s="54" t="b">
        <v>1</v>
      </c>
      <c r="K1354" s="63" t="s">
        <v>670</v>
      </c>
      <c r="L1354" s="63" t="s">
        <v>4137</v>
      </c>
      <c r="M1354" s="63" t="s">
        <v>4138</v>
      </c>
      <c r="N1354" s="63" t="s">
        <v>1788</v>
      </c>
    </row>
    <row r="1355" spans="1:14" x14ac:dyDescent="0.2">
      <c r="A1355" s="51">
        <v>1354</v>
      </c>
      <c r="B1355" s="54" t="s">
        <v>670</v>
      </c>
      <c r="C1355" s="47" t="s">
        <v>4135</v>
      </c>
      <c r="D1355" s="47" t="s">
        <v>4136</v>
      </c>
      <c r="E1355" s="47" t="s">
        <v>1788</v>
      </c>
      <c r="F1355" s="55" t="b">
        <v>1</v>
      </c>
      <c r="G1355" s="54" t="b">
        <v>1</v>
      </c>
      <c r="H1355" s="54" t="b">
        <v>1</v>
      </c>
      <c r="I1355" s="54" t="b">
        <v>1</v>
      </c>
      <c r="J1355" s="54" t="b">
        <v>1</v>
      </c>
      <c r="K1355" s="63" t="s">
        <v>670</v>
      </c>
      <c r="L1355" s="63" t="s">
        <v>4135</v>
      </c>
      <c r="M1355" s="63" t="s">
        <v>4136</v>
      </c>
      <c r="N1355" s="63" t="s">
        <v>1788</v>
      </c>
    </row>
    <row r="1356" spans="1:14" x14ac:dyDescent="0.2">
      <c r="A1356" s="51">
        <v>1355</v>
      </c>
      <c r="B1356" s="54" t="s">
        <v>670</v>
      </c>
      <c r="C1356" s="47" t="s">
        <v>4141</v>
      </c>
      <c r="D1356" s="47" t="s">
        <v>4142</v>
      </c>
      <c r="E1356" s="47" t="s">
        <v>1788</v>
      </c>
      <c r="F1356" s="55" t="b">
        <v>1</v>
      </c>
      <c r="G1356" s="54" t="b">
        <v>1</v>
      </c>
      <c r="H1356" s="54" t="b">
        <v>1</v>
      </c>
      <c r="I1356" s="54" t="b">
        <v>1</v>
      </c>
      <c r="J1356" s="54" t="b">
        <v>1</v>
      </c>
      <c r="K1356" s="63" t="s">
        <v>670</v>
      </c>
      <c r="L1356" s="63" t="s">
        <v>4141</v>
      </c>
      <c r="M1356" s="63" t="s">
        <v>4142</v>
      </c>
      <c r="N1356" s="63" t="s">
        <v>1788</v>
      </c>
    </row>
    <row r="1357" spans="1:14" x14ac:dyDescent="0.2">
      <c r="A1357" s="51">
        <v>1356</v>
      </c>
      <c r="B1357" s="54" t="s">
        <v>670</v>
      </c>
      <c r="C1357" s="47" t="s">
        <v>4139</v>
      </c>
      <c r="D1357" s="47" t="s">
        <v>4140</v>
      </c>
      <c r="E1357" s="47" t="s">
        <v>1788</v>
      </c>
      <c r="F1357" s="55" t="b">
        <v>1</v>
      </c>
      <c r="G1357" s="54" t="b">
        <v>1</v>
      </c>
      <c r="H1357" s="54" t="b">
        <v>1</v>
      </c>
      <c r="I1357" s="54" t="b">
        <v>1</v>
      </c>
      <c r="J1357" s="54" t="b">
        <v>1</v>
      </c>
      <c r="K1357" s="63" t="s">
        <v>670</v>
      </c>
      <c r="L1357" s="63" t="s">
        <v>4139</v>
      </c>
      <c r="M1357" s="63" t="s">
        <v>4140</v>
      </c>
      <c r="N1357" s="63" t="s">
        <v>1788</v>
      </c>
    </row>
    <row r="1358" spans="1:14" x14ac:dyDescent="0.2">
      <c r="A1358" s="51">
        <v>1357</v>
      </c>
      <c r="B1358" s="54" t="s">
        <v>670</v>
      </c>
      <c r="C1358" s="47" t="s">
        <v>4143</v>
      </c>
      <c r="D1358" s="47" t="s">
        <v>4144</v>
      </c>
      <c r="E1358" s="47" t="s">
        <v>1788</v>
      </c>
      <c r="F1358" s="55" t="b">
        <v>1</v>
      </c>
      <c r="G1358" s="54" t="b">
        <v>1</v>
      </c>
      <c r="H1358" s="54" t="b">
        <v>1</v>
      </c>
      <c r="I1358" s="54" t="b">
        <v>1</v>
      </c>
      <c r="J1358" s="54" t="b">
        <v>1</v>
      </c>
      <c r="K1358" s="63" t="s">
        <v>670</v>
      </c>
      <c r="L1358" s="63" t="s">
        <v>4143</v>
      </c>
      <c r="M1358" s="63" t="s">
        <v>4144</v>
      </c>
      <c r="N1358" s="63" t="s">
        <v>1788</v>
      </c>
    </row>
    <row r="1359" spans="1:14" x14ac:dyDescent="0.2">
      <c r="A1359" s="51">
        <v>1358</v>
      </c>
      <c r="B1359" s="54" t="s">
        <v>670</v>
      </c>
      <c r="C1359" s="47" t="s">
        <v>4145</v>
      </c>
      <c r="D1359" s="47" t="s">
        <v>4146</v>
      </c>
      <c r="E1359" s="47" t="s">
        <v>1788</v>
      </c>
      <c r="F1359" s="55" t="b">
        <v>1</v>
      </c>
      <c r="G1359" s="54" t="b">
        <v>1</v>
      </c>
      <c r="H1359" s="54" t="b">
        <v>1</v>
      </c>
      <c r="I1359" s="54" t="b">
        <v>1</v>
      </c>
      <c r="J1359" s="54" t="b">
        <v>1</v>
      </c>
      <c r="K1359" s="63" t="s">
        <v>670</v>
      </c>
      <c r="L1359" s="63" t="s">
        <v>4145</v>
      </c>
      <c r="M1359" s="63" t="s">
        <v>4146</v>
      </c>
      <c r="N1359" s="63" t="s">
        <v>1788</v>
      </c>
    </row>
    <row r="1360" spans="1:14" x14ac:dyDescent="0.2">
      <c r="A1360" s="51">
        <v>1359</v>
      </c>
      <c r="B1360" s="54" t="s">
        <v>670</v>
      </c>
      <c r="C1360" s="47" t="s">
        <v>4147</v>
      </c>
      <c r="D1360" s="47" t="s">
        <v>4148</v>
      </c>
      <c r="E1360" s="47" t="s">
        <v>1788</v>
      </c>
      <c r="F1360" s="55" t="b">
        <v>1</v>
      </c>
      <c r="G1360" s="54" t="b">
        <v>1</v>
      </c>
      <c r="H1360" s="54" t="b">
        <v>1</v>
      </c>
      <c r="I1360" s="54" t="b">
        <v>1</v>
      </c>
      <c r="J1360" s="54" t="b">
        <v>1</v>
      </c>
      <c r="K1360" s="63" t="s">
        <v>670</v>
      </c>
      <c r="L1360" s="63" t="s">
        <v>4147</v>
      </c>
      <c r="M1360" s="63" t="s">
        <v>4148</v>
      </c>
      <c r="N1360" s="63" t="s">
        <v>1788</v>
      </c>
    </row>
    <row r="1361" spans="1:14" x14ac:dyDescent="0.2">
      <c r="A1361" s="51">
        <v>1360</v>
      </c>
      <c r="B1361" s="54" t="s">
        <v>670</v>
      </c>
      <c r="C1361" s="47" t="s">
        <v>4149</v>
      </c>
      <c r="D1361" s="47" t="s">
        <v>4150</v>
      </c>
      <c r="E1361" s="47" t="s">
        <v>1788</v>
      </c>
      <c r="F1361" s="55" t="b">
        <v>1</v>
      </c>
      <c r="G1361" s="54" t="b">
        <v>1</v>
      </c>
      <c r="H1361" s="54" t="b">
        <v>1</v>
      </c>
      <c r="I1361" s="54" t="b">
        <v>1</v>
      </c>
      <c r="J1361" s="54" t="b">
        <v>1</v>
      </c>
      <c r="K1361" s="63" t="s">
        <v>670</v>
      </c>
      <c r="L1361" s="63" t="s">
        <v>4149</v>
      </c>
      <c r="M1361" s="63" t="s">
        <v>4150</v>
      </c>
      <c r="N1361" s="63" t="s">
        <v>1788</v>
      </c>
    </row>
    <row r="1362" spans="1:14" x14ac:dyDescent="0.2">
      <c r="A1362" s="51">
        <v>1361</v>
      </c>
      <c r="B1362" s="54" t="s">
        <v>670</v>
      </c>
      <c r="C1362" s="47" t="s">
        <v>4151</v>
      </c>
      <c r="D1362" s="47" t="s">
        <v>4152</v>
      </c>
      <c r="E1362" s="47" t="s">
        <v>1788</v>
      </c>
      <c r="F1362" s="55" t="b">
        <v>1</v>
      </c>
      <c r="G1362" s="54" t="b">
        <v>1</v>
      </c>
      <c r="H1362" s="54" t="b">
        <v>1</v>
      </c>
      <c r="I1362" s="54" t="b">
        <v>1</v>
      </c>
      <c r="J1362" s="54" t="b">
        <v>1</v>
      </c>
      <c r="K1362" s="63" t="s">
        <v>670</v>
      </c>
      <c r="L1362" s="63" t="s">
        <v>4151</v>
      </c>
      <c r="M1362" s="63" t="s">
        <v>4152</v>
      </c>
      <c r="N1362" s="63" t="s">
        <v>1788</v>
      </c>
    </row>
    <row r="1363" spans="1:14" x14ac:dyDescent="0.2">
      <c r="A1363" s="51">
        <v>1362</v>
      </c>
      <c r="B1363" s="54" t="s">
        <v>670</v>
      </c>
      <c r="C1363" s="47" t="s">
        <v>4153</v>
      </c>
      <c r="D1363" s="47" t="s">
        <v>4154</v>
      </c>
      <c r="E1363" s="47" t="s">
        <v>1788</v>
      </c>
      <c r="F1363" s="55" t="b">
        <v>1</v>
      </c>
      <c r="G1363" s="54" t="b">
        <v>1</v>
      </c>
      <c r="H1363" s="54" t="b">
        <v>1</v>
      </c>
      <c r="I1363" s="54" t="b">
        <v>1</v>
      </c>
      <c r="J1363" s="54" t="b">
        <v>1</v>
      </c>
      <c r="K1363" s="63" t="s">
        <v>670</v>
      </c>
      <c r="L1363" s="63" t="s">
        <v>4153</v>
      </c>
      <c r="M1363" s="63" t="s">
        <v>4154</v>
      </c>
      <c r="N1363" s="63" t="s">
        <v>1788</v>
      </c>
    </row>
    <row r="1364" spans="1:14" x14ac:dyDescent="0.2">
      <c r="A1364" s="51">
        <v>1363</v>
      </c>
      <c r="G1364" s="65" t="b">
        <v>0</v>
      </c>
      <c r="H1364" s="65" t="b">
        <v>0</v>
      </c>
      <c r="I1364" s="65" t="b">
        <v>0</v>
      </c>
      <c r="J1364" s="65" t="b">
        <v>0</v>
      </c>
      <c r="K1364" s="63" t="s">
        <v>672</v>
      </c>
      <c r="L1364" s="63" t="s">
        <v>4155</v>
      </c>
      <c r="M1364" s="63" t="s">
        <v>4156</v>
      </c>
      <c r="N1364" s="63" t="s">
        <v>4157</v>
      </c>
    </row>
    <row r="1365" spans="1:14" x14ac:dyDescent="0.2">
      <c r="A1365" s="51">
        <v>1364</v>
      </c>
      <c r="B1365" s="54" t="s">
        <v>672</v>
      </c>
      <c r="C1365" s="47" t="s">
        <v>4155</v>
      </c>
      <c r="D1365" s="47" t="s">
        <v>4186</v>
      </c>
      <c r="E1365" s="47" t="s">
        <v>4157</v>
      </c>
      <c r="F1365" s="55" t="b">
        <v>1</v>
      </c>
      <c r="G1365" s="54" t="b">
        <v>1</v>
      </c>
      <c r="H1365" s="54" t="b">
        <v>1</v>
      </c>
      <c r="I1365" s="54" t="b">
        <v>1</v>
      </c>
      <c r="J1365" s="54" t="b">
        <v>1</v>
      </c>
      <c r="K1365" s="63" t="s">
        <v>672</v>
      </c>
      <c r="L1365" s="63" t="s">
        <v>4155</v>
      </c>
      <c r="M1365" s="63" t="s">
        <v>4186</v>
      </c>
      <c r="N1365" s="63" t="s">
        <v>4157</v>
      </c>
    </row>
    <row r="1366" spans="1:14" x14ac:dyDescent="0.2">
      <c r="A1366" s="51">
        <v>1365</v>
      </c>
      <c r="C1366" s="54"/>
      <c r="D1366" s="54"/>
      <c r="E1366" s="54"/>
      <c r="F1366" s="56"/>
      <c r="G1366" s="65" t="b">
        <v>0</v>
      </c>
      <c r="H1366" s="65" t="b">
        <v>0</v>
      </c>
      <c r="I1366" s="65" t="b">
        <v>0</v>
      </c>
      <c r="J1366" s="65" t="b">
        <v>0</v>
      </c>
      <c r="K1366" s="63" t="s">
        <v>672</v>
      </c>
      <c r="L1366" s="63" t="s">
        <v>4158</v>
      </c>
      <c r="M1366" s="63" t="s">
        <v>4159</v>
      </c>
      <c r="N1366" s="63" t="s">
        <v>2113</v>
      </c>
    </row>
    <row r="1367" spans="1:14" x14ac:dyDescent="0.2">
      <c r="A1367" s="51">
        <v>1366</v>
      </c>
      <c r="B1367" s="54" t="s">
        <v>672</v>
      </c>
      <c r="C1367" s="47" t="s">
        <v>4158</v>
      </c>
      <c r="D1367" s="47" t="s">
        <v>4187</v>
      </c>
      <c r="E1367" s="47" t="s">
        <v>2113</v>
      </c>
      <c r="F1367" s="55" t="b">
        <v>1</v>
      </c>
      <c r="G1367" s="54" t="b">
        <v>1</v>
      </c>
      <c r="H1367" s="54" t="b">
        <v>1</v>
      </c>
      <c r="I1367" s="54" t="b">
        <v>1</v>
      </c>
      <c r="J1367" s="54" t="b">
        <v>1</v>
      </c>
      <c r="K1367" s="63" t="s">
        <v>672</v>
      </c>
      <c r="L1367" s="63" t="s">
        <v>4158</v>
      </c>
      <c r="M1367" s="63" t="s">
        <v>4187</v>
      </c>
      <c r="N1367" s="63" t="s">
        <v>2113</v>
      </c>
    </row>
    <row r="1368" spans="1:14" x14ac:dyDescent="0.2">
      <c r="A1368" s="51">
        <v>1367</v>
      </c>
      <c r="G1368" s="65" t="b">
        <v>0</v>
      </c>
      <c r="H1368" s="65" t="b">
        <v>0</v>
      </c>
      <c r="I1368" s="65" t="b">
        <v>0</v>
      </c>
      <c r="J1368" s="65" t="b">
        <v>0</v>
      </c>
      <c r="K1368" s="63" t="s">
        <v>672</v>
      </c>
      <c r="L1368" s="63" t="s">
        <v>4160</v>
      </c>
      <c r="M1368" s="63" t="s">
        <v>4161</v>
      </c>
      <c r="N1368" s="63" t="s">
        <v>2113</v>
      </c>
    </row>
    <row r="1369" spans="1:14" x14ac:dyDescent="0.2">
      <c r="A1369" s="51">
        <v>1368</v>
      </c>
      <c r="B1369" s="54" t="s">
        <v>672</v>
      </c>
      <c r="C1369" s="47" t="s">
        <v>4160</v>
      </c>
      <c r="D1369" s="47" t="s">
        <v>4188</v>
      </c>
      <c r="E1369" s="47" t="s">
        <v>2113</v>
      </c>
      <c r="F1369" s="55" t="b">
        <v>1</v>
      </c>
      <c r="G1369" s="54" t="b">
        <v>1</v>
      </c>
      <c r="H1369" s="54" t="b">
        <v>1</v>
      </c>
      <c r="I1369" s="54" t="b">
        <v>1</v>
      </c>
      <c r="J1369" s="54" t="b">
        <v>1</v>
      </c>
      <c r="K1369" s="63" t="s">
        <v>672</v>
      </c>
      <c r="L1369" s="63" t="s">
        <v>4160</v>
      </c>
      <c r="M1369" s="63" t="s">
        <v>4188</v>
      </c>
      <c r="N1369" s="63" t="s">
        <v>2113</v>
      </c>
    </row>
    <row r="1370" spans="1:14" x14ac:dyDescent="0.2">
      <c r="A1370" s="51">
        <v>1369</v>
      </c>
      <c r="G1370" s="65" t="b">
        <v>0</v>
      </c>
      <c r="H1370" s="65" t="b">
        <v>0</v>
      </c>
      <c r="I1370" s="65" t="b">
        <v>0</v>
      </c>
      <c r="J1370" s="65" t="b">
        <v>0</v>
      </c>
      <c r="K1370" s="63" t="s">
        <v>672</v>
      </c>
      <c r="L1370" s="63" t="s">
        <v>4162</v>
      </c>
      <c r="M1370" s="63" t="s">
        <v>4163</v>
      </c>
      <c r="N1370" s="63" t="s">
        <v>2113</v>
      </c>
    </row>
    <row r="1371" spans="1:14" x14ac:dyDescent="0.2">
      <c r="A1371" s="51">
        <v>1370</v>
      </c>
      <c r="B1371" s="54" t="s">
        <v>672</v>
      </c>
      <c r="C1371" s="47" t="s">
        <v>4162</v>
      </c>
      <c r="D1371" s="47" t="s">
        <v>4164</v>
      </c>
      <c r="E1371" s="47" t="s">
        <v>2113</v>
      </c>
      <c r="F1371" s="55" t="b">
        <v>1</v>
      </c>
      <c r="G1371" s="54" t="b">
        <v>1</v>
      </c>
      <c r="H1371" s="54" t="b">
        <v>1</v>
      </c>
      <c r="I1371" s="54" t="b">
        <v>1</v>
      </c>
      <c r="J1371" s="54" t="b">
        <v>1</v>
      </c>
      <c r="K1371" s="63" t="s">
        <v>672</v>
      </c>
      <c r="L1371" s="63" t="s">
        <v>4162</v>
      </c>
      <c r="M1371" s="63" t="s">
        <v>4164</v>
      </c>
      <c r="N1371" s="63" t="s">
        <v>2113</v>
      </c>
    </row>
    <row r="1372" spans="1:14" x14ac:dyDescent="0.2">
      <c r="A1372" s="51">
        <v>1371</v>
      </c>
      <c r="G1372" s="65" t="b">
        <v>0</v>
      </c>
      <c r="H1372" s="65" t="b">
        <v>0</v>
      </c>
      <c r="I1372" s="65" t="b">
        <v>0</v>
      </c>
      <c r="J1372" s="65" t="b">
        <v>0</v>
      </c>
      <c r="K1372" s="63" t="s">
        <v>672</v>
      </c>
      <c r="L1372" s="63" t="s">
        <v>4165</v>
      </c>
      <c r="M1372" s="63" t="s">
        <v>4166</v>
      </c>
      <c r="N1372" s="63" t="s">
        <v>4157</v>
      </c>
    </row>
    <row r="1373" spans="1:14" x14ac:dyDescent="0.2">
      <c r="A1373" s="51">
        <v>1372</v>
      </c>
      <c r="B1373" s="54" t="s">
        <v>672</v>
      </c>
      <c r="C1373" s="47" t="s">
        <v>4165</v>
      </c>
      <c r="D1373" s="47" t="s">
        <v>4167</v>
      </c>
      <c r="E1373" s="47" t="s">
        <v>4157</v>
      </c>
      <c r="F1373" s="55" t="b">
        <v>1</v>
      </c>
      <c r="G1373" s="54" t="b">
        <v>1</v>
      </c>
      <c r="H1373" s="54" t="b">
        <v>1</v>
      </c>
      <c r="I1373" s="54" t="b">
        <v>1</v>
      </c>
      <c r="J1373" s="54" t="b">
        <v>1</v>
      </c>
      <c r="K1373" s="63" t="s">
        <v>672</v>
      </c>
      <c r="L1373" s="63" t="s">
        <v>4165</v>
      </c>
      <c r="M1373" s="63" t="s">
        <v>4167</v>
      </c>
      <c r="N1373" s="63" t="s">
        <v>4157</v>
      </c>
    </row>
    <row r="1374" spans="1:14" x14ac:dyDescent="0.2">
      <c r="A1374" s="51">
        <v>1373</v>
      </c>
      <c r="G1374" s="65" t="b">
        <v>0</v>
      </c>
      <c r="H1374" s="65" t="b">
        <v>0</v>
      </c>
      <c r="I1374" s="65" t="b">
        <v>0</v>
      </c>
      <c r="J1374" s="65" t="b">
        <v>0</v>
      </c>
      <c r="K1374" s="63" t="s">
        <v>672</v>
      </c>
      <c r="L1374" s="63" t="s">
        <v>4168</v>
      </c>
      <c r="M1374" s="63" t="s">
        <v>4169</v>
      </c>
      <c r="N1374" s="63" t="s">
        <v>2113</v>
      </c>
    </row>
    <row r="1375" spans="1:14" x14ac:dyDescent="0.2">
      <c r="A1375" s="51">
        <v>1374</v>
      </c>
      <c r="B1375" s="54" t="s">
        <v>672</v>
      </c>
      <c r="C1375" s="47" t="s">
        <v>4168</v>
      </c>
      <c r="D1375" s="47" t="s">
        <v>4170</v>
      </c>
      <c r="E1375" s="47" t="s">
        <v>4157</v>
      </c>
      <c r="F1375" s="55" t="b">
        <v>1</v>
      </c>
      <c r="G1375" s="54" t="b">
        <v>1</v>
      </c>
      <c r="H1375" s="54" t="b">
        <v>1</v>
      </c>
      <c r="I1375" s="54" t="b">
        <v>1</v>
      </c>
      <c r="J1375" s="65" t="b">
        <v>0</v>
      </c>
      <c r="K1375" s="63" t="s">
        <v>672</v>
      </c>
      <c r="L1375" s="63" t="s">
        <v>4168</v>
      </c>
      <c r="M1375" s="63" t="s">
        <v>4170</v>
      </c>
      <c r="N1375" s="63" t="s">
        <v>2113</v>
      </c>
    </row>
    <row r="1376" spans="1:14" x14ac:dyDescent="0.2">
      <c r="A1376" s="51">
        <v>1375</v>
      </c>
      <c r="C1376" s="54"/>
      <c r="D1376" s="54"/>
      <c r="E1376" s="54"/>
      <c r="F1376" s="56"/>
      <c r="G1376" s="65" t="b">
        <v>0</v>
      </c>
      <c r="H1376" s="65" t="b">
        <v>0</v>
      </c>
      <c r="I1376" s="65" t="b">
        <v>0</v>
      </c>
      <c r="J1376" s="65" t="b">
        <v>0</v>
      </c>
      <c r="K1376" s="63" t="s">
        <v>672</v>
      </c>
      <c r="L1376" s="63" t="s">
        <v>4171</v>
      </c>
      <c r="M1376" s="63" t="s">
        <v>4172</v>
      </c>
      <c r="N1376" s="63" t="s">
        <v>2113</v>
      </c>
    </row>
    <row r="1377" spans="1:14" x14ac:dyDescent="0.2">
      <c r="A1377" s="51">
        <v>1376</v>
      </c>
      <c r="B1377" s="54" t="s">
        <v>672</v>
      </c>
      <c r="C1377" s="47" t="s">
        <v>4171</v>
      </c>
      <c r="D1377" s="47" t="s">
        <v>4173</v>
      </c>
      <c r="E1377" s="47" t="s">
        <v>4157</v>
      </c>
      <c r="F1377" s="55" t="b">
        <v>1</v>
      </c>
      <c r="G1377" s="54" t="b">
        <v>1</v>
      </c>
      <c r="H1377" s="54" t="b">
        <v>1</v>
      </c>
      <c r="I1377" s="54" t="b">
        <v>1</v>
      </c>
      <c r="J1377" s="65" t="b">
        <v>0</v>
      </c>
      <c r="K1377" s="63" t="s">
        <v>672</v>
      </c>
      <c r="L1377" s="63" t="s">
        <v>4171</v>
      </c>
      <c r="M1377" s="63" t="s">
        <v>4173</v>
      </c>
      <c r="N1377" s="63" t="s">
        <v>2113</v>
      </c>
    </row>
    <row r="1378" spans="1:14" x14ac:dyDescent="0.2">
      <c r="A1378" s="51">
        <v>1377</v>
      </c>
      <c r="B1378" s="58"/>
      <c r="C1378" s="49"/>
      <c r="D1378" s="49"/>
      <c r="E1378" s="49"/>
      <c r="F1378" s="59"/>
      <c r="G1378" s="65" t="b">
        <v>0</v>
      </c>
      <c r="H1378" s="65" t="b">
        <v>0</v>
      </c>
      <c r="I1378" s="65" t="b">
        <v>0</v>
      </c>
      <c r="J1378" s="65" t="b">
        <v>0</v>
      </c>
      <c r="K1378" s="63" t="s">
        <v>672</v>
      </c>
      <c r="L1378" s="63" t="s">
        <v>4174</v>
      </c>
      <c r="M1378" s="63" t="s">
        <v>4175</v>
      </c>
      <c r="N1378" s="63" t="s">
        <v>2113</v>
      </c>
    </row>
    <row r="1379" spans="1:14" x14ac:dyDescent="0.2">
      <c r="A1379" s="51">
        <v>1378</v>
      </c>
      <c r="B1379" s="54" t="s">
        <v>672</v>
      </c>
      <c r="C1379" s="47" t="s">
        <v>4174</v>
      </c>
      <c r="D1379" s="47" t="s">
        <v>4176</v>
      </c>
      <c r="E1379" s="47" t="s">
        <v>2113</v>
      </c>
      <c r="F1379" s="55" t="b">
        <v>1</v>
      </c>
      <c r="G1379" s="54" t="b">
        <v>1</v>
      </c>
      <c r="H1379" s="54" t="b">
        <v>1</v>
      </c>
      <c r="I1379" s="54" t="b">
        <v>1</v>
      </c>
      <c r="J1379" s="54" t="b">
        <v>1</v>
      </c>
      <c r="K1379" s="63" t="s">
        <v>672</v>
      </c>
      <c r="L1379" s="63" t="s">
        <v>4174</v>
      </c>
      <c r="M1379" s="63" t="s">
        <v>4176</v>
      </c>
      <c r="N1379" s="63" t="s">
        <v>2113</v>
      </c>
    </row>
    <row r="1380" spans="1:14" x14ac:dyDescent="0.2">
      <c r="A1380" s="51">
        <v>1379</v>
      </c>
      <c r="G1380" s="65" t="b">
        <v>0</v>
      </c>
      <c r="H1380" s="65" t="b">
        <v>0</v>
      </c>
      <c r="I1380" s="65" t="b">
        <v>0</v>
      </c>
      <c r="J1380" s="65" t="b">
        <v>0</v>
      </c>
      <c r="K1380" s="63" t="s">
        <v>672</v>
      </c>
      <c r="L1380" s="63" t="s">
        <v>4179</v>
      </c>
      <c r="M1380" s="63" t="s">
        <v>4180</v>
      </c>
      <c r="N1380" s="63" t="s">
        <v>2113</v>
      </c>
    </row>
    <row r="1381" spans="1:14" x14ac:dyDescent="0.2">
      <c r="A1381" s="51">
        <v>1380</v>
      </c>
      <c r="B1381" s="54" t="s">
        <v>672</v>
      </c>
      <c r="C1381" s="47" t="s">
        <v>4179</v>
      </c>
      <c r="D1381" s="47" t="s">
        <v>4185</v>
      </c>
      <c r="E1381" s="47" t="s">
        <v>2113</v>
      </c>
      <c r="F1381" s="55" t="b">
        <v>1</v>
      </c>
      <c r="G1381" s="54" t="b">
        <v>1</v>
      </c>
      <c r="H1381" s="54" t="b">
        <v>1</v>
      </c>
      <c r="I1381" s="54" t="b">
        <v>1</v>
      </c>
      <c r="J1381" s="54" t="b">
        <v>1</v>
      </c>
      <c r="K1381" s="63" t="s">
        <v>672</v>
      </c>
      <c r="L1381" s="63" t="s">
        <v>4179</v>
      </c>
      <c r="M1381" s="63" t="s">
        <v>4185</v>
      </c>
      <c r="N1381" s="63" t="s">
        <v>2113</v>
      </c>
    </row>
    <row r="1382" spans="1:14" x14ac:dyDescent="0.2">
      <c r="A1382" s="51">
        <v>1381</v>
      </c>
      <c r="G1382" s="65" t="b">
        <v>0</v>
      </c>
      <c r="H1382" s="65" t="b">
        <v>0</v>
      </c>
      <c r="I1382" s="65" t="b">
        <v>0</v>
      </c>
      <c r="J1382" s="65" t="b">
        <v>0</v>
      </c>
      <c r="K1382" s="63" t="s">
        <v>672</v>
      </c>
      <c r="L1382" s="63" t="s">
        <v>4177</v>
      </c>
      <c r="M1382" s="63" t="s">
        <v>4178</v>
      </c>
      <c r="N1382" s="63" t="s">
        <v>2113</v>
      </c>
    </row>
    <row r="1383" spans="1:14" x14ac:dyDescent="0.2">
      <c r="A1383" s="51">
        <v>1382</v>
      </c>
      <c r="B1383" s="54" t="s">
        <v>672</v>
      </c>
      <c r="C1383" s="47" t="s">
        <v>4177</v>
      </c>
      <c r="D1383" s="47" t="s">
        <v>4181</v>
      </c>
      <c r="E1383" s="47" t="s">
        <v>2113</v>
      </c>
      <c r="F1383" s="55" t="b">
        <v>1</v>
      </c>
      <c r="G1383" s="54" t="b">
        <v>1</v>
      </c>
      <c r="H1383" s="54" t="b">
        <v>1</v>
      </c>
      <c r="I1383" s="54" t="b">
        <v>1</v>
      </c>
      <c r="J1383" s="54" t="b">
        <v>1</v>
      </c>
      <c r="K1383" s="63" t="s">
        <v>672</v>
      </c>
      <c r="L1383" s="63" t="s">
        <v>4177</v>
      </c>
      <c r="M1383" s="63" t="s">
        <v>4181</v>
      </c>
      <c r="N1383" s="63" t="s">
        <v>2113</v>
      </c>
    </row>
    <row r="1384" spans="1:14" x14ac:dyDescent="0.2">
      <c r="A1384" s="51">
        <v>1383</v>
      </c>
      <c r="G1384" s="65" t="b">
        <v>0</v>
      </c>
      <c r="H1384" s="65" t="b">
        <v>0</v>
      </c>
      <c r="I1384" s="65" t="b">
        <v>0</v>
      </c>
      <c r="J1384" s="65" t="b">
        <v>0</v>
      </c>
      <c r="K1384" s="63" t="s">
        <v>672</v>
      </c>
      <c r="L1384" s="63" t="s">
        <v>4182</v>
      </c>
      <c r="M1384" s="63" t="s">
        <v>4183</v>
      </c>
      <c r="N1384" s="63" t="s">
        <v>2113</v>
      </c>
    </row>
    <row r="1385" spans="1:14" x14ac:dyDescent="0.2">
      <c r="A1385" s="51">
        <v>1384</v>
      </c>
      <c r="B1385" s="54" t="s">
        <v>672</v>
      </c>
      <c r="C1385" s="47" t="s">
        <v>4182</v>
      </c>
      <c r="D1385" s="47" t="s">
        <v>4184</v>
      </c>
      <c r="E1385" s="47" t="s">
        <v>4157</v>
      </c>
      <c r="F1385" s="55" t="b">
        <v>1</v>
      </c>
      <c r="G1385" s="54" t="b">
        <v>1</v>
      </c>
      <c r="H1385" s="54" t="b">
        <v>1</v>
      </c>
      <c r="I1385" s="54" t="b">
        <v>1</v>
      </c>
      <c r="J1385" s="65" t="b">
        <v>0</v>
      </c>
      <c r="K1385" s="63" t="s">
        <v>672</v>
      </c>
      <c r="L1385" s="63" t="s">
        <v>4182</v>
      </c>
      <c r="M1385" s="63" t="s">
        <v>4184</v>
      </c>
      <c r="N1385" s="63" t="s">
        <v>2113</v>
      </c>
    </row>
    <row r="1386" spans="1:14" x14ac:dyDescent="0.2">
      <c r="A1386" s="51">
        <v>1385</v>
      </c>
      <c r="B1386" s="54" t="s">
        <v>681</v>
      </c>
      <c r="C1386" s="47" t="s">
        <v>12338</v>
      </c>
      <c r="D1386" s="47" t="s">
        <v>12339</v>
      </c>
      <c r="E1386" s="47" t="s">
        <v>1719</v>
      </c>
      <c r="F1386" s="55" t="b">
        <v>1</v>
      </c>
      <c r="G1386" s="65" t="b">
        <v>0</v>
      </c>
      <c r="H1386" s="65" t="b">
        <v>0</v>
      </c>
      <c r="I1386" s="65" t="b">
        <v>0</v>
      </c>
      <c r="J1386" s="65" t="b">
        <v>0</v>
      </c>
    </row>
    <row r="1387" spans="1:14" x14ac:dyDescent="0.2">
      <c r="A1387" s="51">
        <v>1386</v>
      </c>
      <c r="B1387" s="54" t="s">
        <v>681</v>
      </c>
      <c r="C1387" s="47" t="s">
        <v>12340</v>
      </c>
      <c r="D1387" s="47" t="s">
        <v>12341</v>
      </c>
      <c r="E1387" s="47" t="s">
        <v>1719</v>
      </c>
      <c r="F1387" s="55" t="b">
        <v>1</v>
      </c>
      <c r="G1387" s="65" t="b">
        <v>0</v>
      </c>
      <c r="H1387" s="65" t="b">
        <v>0</v>
      </c>
      <c r="I1387" s="65" t="b">
        <v>0</v>
      </c>
      <c r="J1387" s="65" t="b">
        <v>0</v>
      </c>
    </row>
    <row r="1388" spans="1:14" x14ac:dyDescent="0.2">
      <c r="A1388" s="51">
        <v>1387</v>
      </c>
      <c r="B1388" s="54" t="s">
        <v>681</v>
      </c>
      <c r="C1388" s="47" t="s">
        <v>12342</v>
      </c>
      <c r="D1388" s="47" t="s">
        <v>12343</v>
      </c>
      <c r="E1388" s="47" t="s">
        <v>1719</v>
      </c>
      <c r="F1388" s="55" t="b">
        <v>1</v>
      </c>
      <c r="G1388" s="65" t="b">
        <v>0</v>
      </c>
      <c r="H1388" s="65" t="b">
        <v>0</v>
      </c>
      <c r="I1388" s="65" t="b">
        <v>0</v>
      </c>
      <c r="J1388" s="65" t="b">
        <v>0</v>
      </c>
    </row>
    <row r="1389" spans="1:14" x14ac:dyDescent="0.2">
      <c r="A1389" s="51">
        <v>1388</v>
      </c>
      <c r="B1389" s="54" t="s">
        <v>681</v>
      </c>
      <c r="C1389" s="47" t="s">
        <v>12344</v>
      </c>
      <c r="D1389" s="47" t="s">
        <v>12345</v>
      </c>
      <c r="E1389" s="47" t="s">
        <v>1719</v>
      </c>
      <c r="F1389" s="55" t="b">
        <v>1</v>
      </c>
      <c r="G1389" s="65" t="b">
        <v>0</v>
      </c>
      <c r="H1389" s="65" t="b">
        <v>0</v>
      </c>
      <c r="I1389" s="65" t="b">
        <v>0</v>
      </c>
      <c r="J1389" s="65" t="b">
        <v>0</v>
      </c>
    </row>
    <row r="1390" spans="1:14" x14ac:dyDescent="0.2">
      <c r="A1390" s="51">
        <v>1389</v>
      </c>
      <c r="B1390" s="54" t="s">
        <v>681</v>
      </c>
      <c r="C1390" s="47" t="s">
        <v>12346</v>
      </c>
      <c r="D1390" s="47" t="s">
        <v>12347</v>
      </c>
      <c r="E1390" s="47" t="s">
        <v>1719</v>
      </c>
      <c r="F1390" s="55" t="b">
        <v>1</v>
      </c>
      <c r="G1390" s="65" t="b">
        <v>0</v>
      </c>
      <c r="H1390" s="65" t="b">
        <v>0</v>
      </c>
      <c r="I1390" s="65" t="b">
        <v>0</v>
      </c>
      <c r="J1390" s="65" t="b">
        <v>0</v>
      </c>
    </row>
    <row r="1391" spans="1:14" x14ac:dyDescent="0.2">
      <c r="A1391" s="51">
        <v>1390</v>
      </c>
      <c r="B1391" s="54" t="s">
        <v>681</v>
      </c>
      <c r="C1391" s="47" t="s">
        <v>12348</v>
      </c>
      <c r="D1391" s="47" t="s">
        <v>12349</v>
      </c>
      <c r="E1391" s="47" t="s">
        <v>1719</v>
      </c>
      <c r="F1391" s="55" t="b">
        <v>1</v>
      </c>
      <c r="G1391" s="65" t="b">
        <v>0</v>
      </c>
      <c r="H1391" s="65" t="b">
        <v>0</v>
      </c>
      <c r="I1391" s="65" t="b">
        <v>0</v>
      </c>
      <c r="J1391" s="65" t="b">
        <v>0</v>
      </c>
    </row>
    <row r="1392" spans="1:14" x14ac:dyDescent="0.2">
      <c r="A1392" s="51">
        <v>1391</v>
      </c>
      <c r="B1392" s="54" t="s">
        <v>681</v>
      </c>
      <c r="C1392" s="47" t="s">
        <v>12350</v>
      </c>
      <c r="D1392" s="47" t="s">
        <v>12351</v>
      </c>
      <c r="E1392" s="47" t="s">
        <v>1719</v>
      </c>
      <c r="F1392" s="55" t="b">
        <v>1</v>
      </c>
      <c r="G1392" s="65" t="b">
        <v>0</v>
      </c>
      <c r="H1392" s="65" t="b">
        <v>0</v>
      </c>
      <c r="I1392" s="65" t="b">
        <v>0</v>
      </c>
      <c r="J1392" s="65" t="b">
        <v>0</v>
      </c>
    </row>
    <row r="1393" spans="1:14" x14ac:dyDescent="0.2">
      <c r="A1393" s="51">
        <v>1392</v>
      </c>
      <c r="B1393" s="54" t="s">
        <v>681</v>
      </c>
      <c r="C1393" s="47" t="s">
        <v>12352</v>
      </c>
      <c r="D1393" s="47" t="s">
        <v>12353</v>
      </c>
      <c r="E1393" s="47" t="s">
        <v>1719</v>
      </c>
      <c r="F1393" s="55" t="b">
        <v>1</v>
      </c>
      <c r="G1393" s="65" t="b">
        <v>0</v>
      </c>
      <c r="H1393" s="65" t="b">
        <v>0</v>
      </c>
      <c r="I1393" s="65" t="b">
        <v>0</v>
      </c>
      <c r="J1393" s="65" t="b">
        <v>0</v>
      </c>
    </row>
    <row r="1394" spans="1:14" x14ac:dyDescent="0.2">
      <c r="A1394" s="51">
        <v>1393</v>
      </c>
      <c r="B1394" s="54" t="s">
        <v>681</v>
      </c>
      <c r="C1394" s="47" t="s">
        <v>12354</v>
      </c>
      <c r="D1394" s="47" t="s">
        <v>12355</v>
      </c>
      <c r="E1394" s="47" t="s">
        <v>1719</v>
      </c>
      <c r="F1394" s="55" t="b">
        <v>1</v>
      </c>
      <c r="G1394" s="65" t="b">
        <v>0</v>
      </c>
      <c r="H1394" s="65" t="b">
        <v>0</v>
      </c>
      <c r="I1394" s="65" t="b">
        <v>0</v>
      </c>
      <c r="J1394" s="65" t="b">
        <v>0</v>
      </c>
    </row>
    <row r="1395" spans="1:14" x14ac:dyDescent="0.2">
      <c r="A1395" s="51">
        <v>1394</v>
      </c>
      <c r="B1395" s="54" t="s">
        <v>681</v>
      </c>
      <c r="C1395" s="47" t="s">
        <v>12356</v>
      </c>
      <c r="D1395" s="47" t="s">
        <v>12357</v>
      </c>
      <c r="E1395" s="47" t="s">
        <v>1719</v>
      </c>
      <c r="F1395" s="55" t="b">
        <v>1</v>
      </c>
      <c r="G1395" s="65" t="b">
        <v>0</v>
      </c>
      <c r="H1395" s="65" t="b">
        <v>0</v>
      </c>
      <c r="I1395" s="65" t="b">
        <v>0</v>
      </c>
      <c r="J1395" s="65" t="b">
        <v>0</v>
      </c>
    </row>
    <row r="1396" spans="1:14" x14ac:dyDescent="0.2">
      <c r="A1396" s="51">
        <v>1395</v>
      </c>
      <c r="B1396" s="54" t="s">
        <v>681</v>
      </c>
      <c r="C1396" s="47" t="s">
        <v>12358</v>
      </c>
      <c r="D1396" s="47" t="s">
        <v>12359</v>
      </c>
      <c r="E1396" s="47" t="s">
        <v>1719</v>
      </c>
      <c r="F1396" s="55" t="b">
        <v>1</v>
      </c>
      <c r="G1396" s="65" t="b">
        <v>0</v>
      </c>
      <c r="H1396" s="65" t="b">
        <v>0</v>
      </c>
      <c r="I1396" s="65" t="b">
        <v>0</v>
      </c>
      <c r="J1396" s="65" t="b">
        <v>0</v>
      </c>
    </row>
    <row r="1397" spans="1:14" x14ac:dyDescent="0.2">
      <c r="A1397" s="51">
        <v>1396</v>
      </c>
      <c r="B1397" s="54" t="s">
        <v>681</v>
      </c>
      <c r="C1397" s="47" t="s">
        <v>12360</v>
      </c>
      <c r="D1397" s="47" t="s">
        <v>12361</v>
      </c>
      <c r="E1397" s="47" t="s">
        <v>1719</v>
      </c>
      <c r="F1397" s="55" t="b">
        <v>1</v>
      </c>
      <c r="G1397" s="65" t="b">
        <v>0</v>
      </c>
      <c r="H1397" s="65" t="b">
        <v>0</v>
      </c>
      <c r="I1397" s="65" t="b">
        <v>0</v>
      </c>
      <c r="J1397" s="65" t="b">
        <v>0</v>
      </c>
    </row>
    <row r="1398" spans="1:14" x14ac:dyDescent="0.2">
      <c r="A1398" s="51">
        <v>1397</v>
      </c>
      <c r="B1398" s="54" t="s">
        <v>681</v>
      </c>
      <c r="C1398" s="47" t="s">
        <v>12362</v>
      </c>
      <c r="D1398" s="47" t="s">
        <v>12363</v>
      </c>
      <c r="E1398" s="47" t="s">
        <v>1719</v>
      </c>
      <c r="F1398" s="55" t="b">
        <v>1</v>
      </c>
      <c r="G1398" s="65" t="b">
        <v>0</v>
      </c>
      <c r="H1398" s="65" t="b">
        <v>0</v>
      </c>
      <c r="I1398" s="65" t="b">
        <v>0</v>
      </c>
      <c r="J1398" s="65" t="b">
        <v>0</v>
      </c>
    </row>
    <row r="1399" spans="1:14" x14ac:dyDescent="0.2">
      <c r="A1399" s="51">
        <v>1398</v>
      </c>
      <c r="B1399" s="54" t="s">
        <v>681</v>
      </c>
      <c r="C1399" s="47" t="s">
        <v>12364</v>
      </c>
      <c r="D1399" s="47" t="s">
        <v>12365</v>
      </c>
      <c r="E1399" s="47" t="s">
        <v>1719</v>
      </c>
      <c r="F1399" s="55" t="b">
        <v>1</v>
      </c>
      <c r="G1399" s="65" t="b">
        <v>0</v>
      </c>
      <c r="H1399" s="65" t="b">
        <v>0</v>
      </c>
      <c r="I1399" s="65" t="b">
        <v>0</v>
      </c>
      <c r="J1399" s="65" t="b">
        <v>0</v>
      </c>
    </row>
    <row r="1400" spans="1:14" x14ac:dyDescent="0.2">
      <c r="A1400" s="51">
        <v>1399</v>
      </c>
      <c r="B1400" s="54" t="s">
        <v>681</v>
      </c>
      <c r="C1400" s="47" t="s">
        <v>4189</v>
      </c>
      <c r="D1400" s="47" t="s">
        <v>2720</v>
      </c>
      <c r="E1400" s="48" t="s">
        <v>2383</v>
      </c>
      <c r="F1400" s="66" t="b">
        <v>0</v>
      </c>
      <c r="G1400" s="54" t="b">
        <v>1</v>
      </c>
      <c r="H1400" s="54" t="b">
        <v>1</v>
      </c>
      <c r="I1400" s="54" t="b">
        <v>1</v>
      </c>
      <c r="J1400" s="54" t="b">
        <v>1</v>
      </c>
      <c r="K1400" s="63" t="s">
        <v>681</v>
      </c>
      <c r="L1400" s="63" t="s">
        <v>4189</v>
      </c>
      <c r="M1400" s="63" t="s">
        <v>2720</v>
      </c>
      <c r="N1400" s="63" t="s">
        <v>2383</v>
      </c>
    </row>
    <row r="1401" spans="1:14" x14ac:dyDescent="0.2">
      <c r="A1401" s="51">
        <v>1400</v>
      </c>
      <c r="B1401" s="54" t="s">
        <v>681</v>
      </c>
      <c r="C1401" s="47" t="s">
        <v>4190</v>
      </c>
      <c r="D1401" s="47" t="s">
        <v>4191</v>
      </c>
      <c r="E1401" s="48" t="s">
        <v>2383</v>
      </c>
      <c r="F1401" s="66" t="b">
        <v>0</v>
      </c>
      <c r="G1401" s="54" t="b">
        <v>1</v>
      </c>
      <c r="H1401" s="54" t="b">
        <v>1</v>
      </c>
      <c r="I1401" s="54" t="b">
        <v>1</v>
      </c>
      <c r="J1401" s="54" t="b">
        <v>1</v>
      </c>
      <c r="K1401" s="63" t="s">
        <v>681</v>
      </c>
      <c r="L1401" s="63" t="s">
        <v>4190</v>
      </c>
      <c r="M1401" s="63" t="s">
        <v>4191</v>
      </c>
      <c r="N1401" s="63" t="s">
        <v>2383</v>
      </c>
    </row>
    <row r="1402" spans="1:14" x14ac:dyDescent="0.2">
      <c r="A1402" s="51">
        <v>1401</v>
      </c>
      <c r="B1402" s="54" t="s">
        <v>681</v>
      </c>
      <c r="C1402" s="47" t="s">
        <v>4192</v>
      </c>
      <c r="D1402" s="47" t="s">
        <v>4193</v>
      </c>
      <c r="E1402" s="48" t="s">
        <v>2383</v>
      </c>
      <c r="F1402" s="66" t="b">
        <v>0</v>
      </c>
      <c r="G1402" s="54" t="b">
        <v>1</v>
      </c>
      <c r="H1402" s="54" t="b">
        <v>1</v>
      </c>
      <c r="I1402" s="54" t="b">
        <v>1</v>
      </c>
      <c r="J1402" s="54" t="b">
        <v>1</v>
      </c>
      <c r="K1402" s="63" t="s">
        <v>681</v>
      </c>
      <c r="L1402" s="63" t="s">
        <v>4192</v>
      </c>
      <c r="M1402" s="63" t="s">
        <v>4193</v>
      </c>
      <c r="N1402" s="63" t="s">
        <v>2383</v>
      </c>
    </row>
    <row r="1403" spans="1:14" x14ac:dyDescent="0.2">
      <c r="A1403" s="51">
        <v>1402</v>
      </c>
      <c r="B1403" s="54" t="s">
        <v>681</v>
      </c>
      <c r="C1403" s="47" t="s">
        <v>4194</v>
      </c>
      <c r="D1403" s="47" t="s">
        <v>4195</v>
      </c>
      <c r="E1403" s="47" t="s">
        <v>2021</v>
      </c>
      <c r="F1403" s="55" t="b">
        <v>1</v>
      </c>
      <c r="G1403" s="54" t="b">
        <v>1</v>
      </c>
      <c r="H1403" s="54" t="b">
        <v>1</v>
      </c>
      <c r="I1403" s="54" t="b">
        <v>1</v>
      </c>
      <c r="J1403" s="54" t="b">
        <v>1</v>
      </c>
      <c r="K1403" s="63" t="s">
        <v>681</v>
      </c>
      <c r="L1403" s="63" t="s">
        <v>4194</v>
      </c>
      <c r="M1403" s="63" t="s">
        <v>4195</v>
      </c>
      <c r="N1403" s="63" t="s">
        <v>2021</v>
      </c>
    </row>
    <row r="1404" spans="1:14" x14ac:dyDescent="0.2">
      <c r="A1404" s="51">
        <v>1403</v>
      </c>
      <c r="B1404" s="54" t="s">
        <v>681</v>
      </c>
      <c r="C1404" s="47" t="s">
        <v>4196</v>
      </c>
      <c r="D1404" s="47" t="s">
        <v>4197</v>
      </c>
      <c r="E1404" s="48" t="s">
        <v>2383</v>
      </c>
      <c r="F1404" s="66" t="b">
        <v>0</v>
      </c>
      <c r="G1404" s="54" t="b">
        <v>1</v>
      </c>
      <c r="H1404" s="54" t="b">
        <v>1</v>
      </c>
      <c r="I1404" s="54" t="b">
        <v>1</v>
      </c>
      <c r="J1404" s="54" t="b">
        <v>1</v>
      </c>
      <c r="K1404" s="63" t="s">
        <v>681</v>
      </c>
      <c r="L1404" s="63" t="s">
        <v>4196</v>
      </c>
      <c r="M1404" s="63" t="s">
        <v>4197</v>
      </c>
      <c r="N1404" s="63" t="s">
        <v>2383</v>
      </c>
    </row>
    <row r="1405" spans="1:14" x14ac:dyDescent="0.2">
      <c r="A1405" s="51">
        <v>1404</v>
      </c>
      <c r="B1405" s="54" t="s">
        <v>683</v>
      </c>
      <c r="C1405" s="47" t="s">
        <v>4198</v>
      </c>
      <c r="D1405" s="47" t="s">
        <v>12366</v>
      </c>
      <c r="E1405" s="47" t="s">
        <v>2087</v>
      </c>
      <c r="F1405" s="55" t="b">
        <v>1</v>
      </c>
      <c r="G1405" s="54" t="b">
        <v>1</v>
      </c>
      <c r="H1405" s="54" t="b">
        <v>1</v>
      </c>
      <c r="I1405" s="65" t="b">
        <v>0</v>
      </c>
      <c r="J1405" s="54" t="b">
        <v>1</v>
      </c>
      <c r="K1405" s="63" t="s">
        <v>683</v>
      </c>
      <c r="L1405" s="63" t="s">
        <v>4198</v>
      </c>
      <c r="M1405" s="63" t="s">
        <v>4199</v>
      </c>
      <c r="N1405" s="63" t="s">
        <v>2087</v>
      </c>
    </row>
    <row r="1406" spans="1:14" x14ac:dyDescent="0.2">
      <c r="A1406" s="51">
        <v>1405</v>
      </c>
      <c r="G1406" s="65" t="b">
        <v>0</v>
      </c>
      <c r="H1406" s="65" t="b">
        <v>0</v>
      </c>
      <c r="I1406" s="65" t="b">
        <v>0</v>
      </c>
      <c r="J1406" s="65" t="b">
        <v>0</v>
      </c>
      <c r="K1406" s="63" t="s">
        <v>683</v>
      </c>
      <c r="L1406" s="63" t="s">
        <v>4198</v>
      </c>
      <c r="M1406" s="63" t="s">
        <v>4223</v>
      </c>
      <c r="N1406" s="63" t="s">
        <v>2087</v>
      </c>
    </row>
    <row r="1407" spans="1:14" x14ac:dyDescent="0.2">
      <c r="A1407" s="51">
        <v>1406</v>
      </c>
      <c r="B1407" s="54" t="s">
        <v>683</v>
      </c>
      <c r="C1407" s="47" t="s">
        <v>4206</v>
      </c>
      <c r="D1407" s="47" t="s">
        <v>4207</v>
      </c>
      <c r="E1407" s="47" t="s">
        <v>2087</v>
      </c>
      <c r="F1407" s="55" t="b">
        <v>1</v>
      </c>
      <c r="G1407" s="54" t="b">
        <v>1</v>
      </c>
      <c r="H1407" s="54" t="b">
        <v>1</v>
      </c>
      <c r="I1407" s="54" t="b">
        <v>1</v>
      </c>
      <c r="J1407" s="54" t="b">
        <v>1</v>
      </c>
      <c r="K1407" s="63" t="s">
        <v>683</v>
      </c>
      <c r="L1407" s="63" t="s">
        <v>4206</v>
      </c>
      <c r="M1407" s="63" t="s">
        <v>4207</v>
      </c>
      <c r="N1407" s="63" t="s">
        <v>2087</v>
      </c>
    </row>
    <row r="1408" spans="1:14" x14ac:dyDescent="0.2">
      <c r="A1408" s="51">
        <v>1407</v>
      </c>
      <c r="G1408" s="65" t="b">
        <v>0</v>
      </c>
      <c r="H1408" s="65" t="b">
        <v>0</v>
      </c>
      <c r="I1408" s="65" t="b">
        <v>0</v>
      </c>
      <c r="J1408" s="65" t="b">
        <v>0</v>
      </c>
      <c r="K1408" s="63" t="s">
        <v>683</v>
      </c>
      <c r="L1408" s="63" t="s">
        <v>4206</v>
      </c>
      <c r="M1408" s="63" t="s">
        <v>4249</v>
      </c>
      <c r="N1408" s="63" t="s">
        <v>2087</v>
      </c>
    </row>
    <row r="1409" spans="1:14" x14ac:dyDescent="0.2">
      <c r="A1409" s="51">
        <v>1408</v>
      </c>
      <c r="B1409" s="54" t="s">
        <v>683</v>
      </c>
      <c r="C1409" s="47" t="s">
        <v>4208</v>
      </c>
      <c r="D1409" s="47" t="s">
        <v>4209</v>
      </c>
      <c r="E1409" s="47" t="s">
        <v>2087</v>
      </c>
      <c r="F1409" s="55" t="b">
        <v>1</v>
      </c>
      <c r="G1409" s="54" t="b">
        <v>1</v>
      </c>
      <c r="H1409" s="54" t="b">
        <v>1</v>
      </c>
      <c r="I1409" s="54" t="b">
        <v>1</v>
      </c>
      <c r="J1409" s="54" t="b">
        <v>1</v>
      </c>
      <c r="K1409" s="63" t="s">
        <v>683</v>
      </c>
      <c r="L1409" s="63" t="s">
        <v>4208</v>
      </c>
      <c r="M1409" s="63" t="s">
        <v>4209</v>
      </c>
      <c r="N1409" s="63" t="s">
        <v>2087</v>
      </c>
    </row>
    <row r="1410" spans="1:14" x14ac:dyDescent="0.2">
      <c r="A1410" s="51">
        <v>1409</v>
      </c>
      <c r="G1410" s="65" t="b">
        <v>0</v>
      </c>
      <c r="H1410" s="65" t="b">
        <v>0</v>
      </c>
      <c r="I1410" s="65" t="b">
        <v>0</v>
      </c>
      <c r="J1410" s="65" t="b">
        <v>0</v>
      </c>
      <c r="K1410" s="63" t="s">
        <v>683</v>
      </c>
      <c r="L1410" s="63" t="s">
        <v>4208</v>
      </c>
      <c r="M1410" s="63" t="s">
        <v>4251</v>
      </c>
      <c r="N1410" s="63" t="s">
        <v>2087</v>
      </c>
    </row>
    <row r="1411" spans="1:14" x14ac:dyDescent="0.2">
      <c r="A1411" s="51">
        <v>1410</v>
      </c>
      <c r="B1411" s="54" t="s">
        <v>683</v>
      </c>
      <c r="C1411" s="47" t="s">
        <v>4210</v>
      </c>
      <c r="D1411" s="47" t="s">
        <v>4211</v>
      </c>
      <c r="E1411" s="47" t="s">
        <v>2087</v>
      </c>
      <c r="F1411" s="55" t="b">
        <v>1</v>
      </c>
      <c r="G1411" s="54" t="b">
        <v>1</v>
      </c>
      <c r="H1411" s="54" t="b">
        <v>1</v>
      </c>
      <c r="I1411" s="54" t="b">
        <v>1</v>
      </c>
      <c r="J1411" s="54" t="b">
        <v>1</v>
      </c>
      <c r="K1411" s="63" t="s">
        <v>683</v>
      </c>
      <c r="L1411" s="63" t="s">
        <v>4210</v>
      </c>
      <c r="M1411" s="63" t="s">
        <v>4211</v>
      </c>
      <c r="N1411" s="63" t="s">
        <v>2087</v>
      </c>
    </row>
    <row r="1412" spans="1:14" x14ac:dyDescent="0.2">
      <c r="A1412" s="51">
        <v>1411</v>
      </c>
      <c r="G1412" s="65" t="b">
        <v>0</v>
      </c>
      <c r="H1412" s="65" t="b">
        <v>0</v>
      </c>
      <c r="I1412" s="65" t="b">
        <v>0</v>
      </c>
      <c r="J1412" s="65" t="b">
        <v>0</v>
      </c>
      <c r="K1412" s="63" t="s">
        <v>683</v>
      </c>
      <c r="L1412" s="63" t="s">
        <v>4210</v>
      </c>
      <c r="M1412" s="63" t="s">
        <v>4250</v>
      </c>
      <c r="N1412" s="63" t="s">
        <v>2087</v>
      </c>
    </row>
    <row r="1413" spans="1:14" x14ac:dyDescent="0.2">
      <c r="A1413" s="51">
        <v>1412</v>
      </c>
      <c r="B1413" s="54" t="s">
        <v>683</v>
      </c>
      <c r="C1413" s="47" t="s">
        <v>4212</v>
      </c>
      <c r="D1413" s="47" t="s">
        <v>4213</v>
      </c>
      <c r="E1413" s="47" t="s">
        <v>2087</v>
      </c>
      <c r="F1413" s="55" t="b">
        <v>1</v>
      </c>
      <c r="G1413" s="54" t="b">
        <v>1</v>
      </c>
      <c r="H1413" s="54" t="b">
        <v>1</v>
      </c>
      <c r="I1413" s="54" t="b">
        <v>1</v>
      </c>
      <c r="J1413" s="54" t="b">
        <v>1</v>
      </c>
      <c r="K1413" s="63" t="s">
        <v>683</v>
      </c>
      <c r="L1413" s="63" t="s">
        <v>4212</v>
      </c>
      <c r="M1413" s="63" t="s">
        <v>4213</v>
      </c>
      <c r="N1413" s="63" t="s">
        <v>2087</v>
      </c>
    </row>
    <row r="1414" spans="1:14" x14ac:dyDescent="0.2">
      <c r="A1414" s="51">
        <v>1413</v>
      </c>
      <c r="G1414" s="65" t="b">
        <v>0</v>
      </c>
      <c r="H1414" s="65" t="b">
        <v>0</v>
      </c>
      <c r="I1414" s="65" t="b">
        <v>0</v>
      </c>
      <c r="J1414" s="65" t="b">
        <v>0</v>
      </c>
      <c r="K1414" s="63" t="s">
        <v>683</v>
      </c>
      <c r="L1414" s="63" t="s">
        <v>4212</v>
      </c>
      <c r="M1414" s="63" t="s">
        <v>4214</v>
      </c>
      <c r="N1414" s="63" t="s">
        <v>2087</v>
      </c>
    </row>
    <row r="1415" spans="1:14" x14ac:dyDescent="0.2">
      <c r="A1415" s="51">
        <v>1414</v>
      </c>
      <c r="B1415" s="54" t="s">
        <v>683</v>
      </c>
      <c r="C1415" s="47" t="s">
        <v>4204</v>
      </c>
      <c r="D1415" s="47" t="s">
        <v>4215</v>
      </c>
      <c r="E1415" s="47" t="s">
        <v>2087</v>
      </c>
      <c r="F1415" s="55" t="b">
        <v>1</v>
      </c>
      <c r="G1415" s="54" t="b">
        <v>1</v>
      </c>
      <c r="H1415" s="54" t="b">
        <v>1</v>
      </c>
      <c r="I1415" s="65" t="b">
        <v>0</v>
      </c>
      <c r="J1415" s="54" t="b">
        <v>1</v>
      </c>
      <c r="K1415" s="63" t="s">
        <v>683</v>
      </c>
      <c r="L1415" s="63" t="s">
        <v>4204</v>
      </c>
      <c r="M1415" s="63" t="s">
        <v>4205</v>
      </c>
      <c r="N1415" s="63" t="s">
        <v>2087</v>
      </c>
    </row>
    <row r="1416" spans="1:14" x14ac:dyDescent="0.2">
      <c r="A1416" s="51">
        <v>1415</v>
      </c>
      <c r="G1416" s="65" t="b">
        <v>0</v>
      </c>
      <c r="H1416" s="65" t="b">
        <v>0</v>
      </c>
      <c r="I1416" s="65" t="b">
        <v>0</v>
      </c>
      <c r="J1416" s="65" t="b">
        <v>0</v>
      </c>
      <c r="K1416" s="63" t="s">
        <v>683</v>
      </c>
      <c r="L1416" s="63" t="s">
        <v>4204</v>
      </c>
      <c r="M1416" s="63" t="s">
        <v>4215</v>
      </c>
      <c r="N1416" s="63" t="s">
        <v>2087</v>
      </c>
    </row>
    <row r="1417" spans="1:14" x14ac:dyDescent="0.2">
      <c r="A1417" s="51">
        <v>1416</v>
      </c>
      <c r="B1417" s="54" t="s">
        <v>683</v>
      </c>
      <c r="C1417" s="47" t="s">
        <v>4216</v>
      </c>
      <c r="D1417" s="47" t="s">
        <v>4217</v>
      </c>
      <c r="E1417" s="47" t="s">
        <v>2087</v>
      </c>
      <c r="F1417" s="55" t="b">
        <v>1</v>
      </c>
      <c r="G1417" s="54" t="b">
        <v>1</v>
      </c>
      <c r="H1417" s="54" t="b">
        <v>1</v>
      </c>
      <c r="I1417" s="54" t="b">
        <v>1</v>
      </c>
      <c r="J1417" s="54" t="b">
        <v>1</v>
      </c>
      <c r="K1417" s="63" t="s">
        <v>683</v>
      </c>
      <c r="L1417" s="63" t="s">
        <v>4216</v>
      </c>
      <c r="M1417" s="63" t="s">
        <v>4217</v>
      </c>
      <c r="N1417" s="63" t="s">
        <v>2087</v>
      </c>
    </row>
    <row r="1418" spans="1:14" x14ac:dyDescent="0.2">
      <c r="A1418" s="51">
        <v>1417</v>
      </c>
      <c r="G1418" s="65" t="b">
        <v>0</v>
      </c>
      <c r="H1418" s="65" t="b">
        <v>0</v>
      </c>
      <c r="I1418" s="65" t="b">
        <v>0</v>
      </c>
      <c r="J1418" s="65" t="b">
        <v>0</v>
      </c>
      <c r="K1418" s="63" t="s">
        <v>683</v>
      </c>
      <c r="L1418" s="63" t="s">
        <v>4216</v>
      </c>
      <c r="M1418" s="63" t="s">
        <v>4228</v>
      </c>
      <c r="N1418" s="63" t="s">
        <v>2087</v>
      </c>
    </row>
    <row r="1419" spans="1:14" x14ac:dyDescent="0.2">
      <c r="A1419" s="51">
        <v>1418</v>
      </c>
      <c r="B1419" s="54" t="s">
        <v>683</v>
      </c>
      <c r="C1419" s="47" t="s">
        <v>4218</v>
      </c>
      <c r="D1419" s="47" t="s">
        <v>4219</v>
      </c>
      <c r="E1419" s="47" t="s">
        <v>2087</v>
      </c>
      <c r="F1419" s="55" t="b">
        <v>1</v>
      </c>
      <c r="G1419" s="54" t="b">
        <v>1</v>
      </c>
      <c r="H1419" s="54" t="b">
        <v>1</v>
      </c>
      <c r="I1419" s="54" t="b">
        <v>1</v>
      </c>
      <c r="J1419" s="54" t="b">
        <v>1</v>
      </c>
      <c r="K1419" s="63" t="s">
        <v>683</v>
      </c>
      <c r="L1419" s="63" t="s">
        <v>4218</v>
      </c>
      <c r="M1419" s="63" t="s">
        <v>4219</v>
      </c>
      <c r="N1419" s="63" t="s">
        <v>2087</v>
      </c>
    </row>
    <row r="1420" spans="1:14" x14ac:dyDescent="0.2">
      <c r="A1420" s="51">
        <v>1419</v>
      </c>
      <c r="G1420" s="65" t="b">
        <v>0</v>
      </c>
      <c r="H1420" s="65" t="b">
        <v>0</v>
      </c>
      <c r="I1420" s="65" t="b">
        <v>0</v>
      </c>
      <c r="J1420" s="65" t="b">
        <v>0</v>
      </c>
      <c r="K1420" s="63" t="s">
        <v>683</v>
      </c>
      <c r="L1420" s="63" t="s">
        <v>4218</v>
      </c>
      <c r="M1420" s="63" t="s">
        <v>4227</v>
      </c>
      <c r="N1420" s="63" t="s">
        <v>2087</v>
      </c>
    </row>
    <row r="1421" spans="1:14" x14ac:dyDescent="0.2">
      <c r="A1421" s="51">
        <v>1420</v>
      </c>
      <c r="B1421" s="54" t="s">
        <v>683</v>
      </c>
      <c r="C1421" s="47" t="s">
        <v>4220</v>
      </c>
      <c r="D1421" s="47" t="s">
        <v>4221</v>
      </c>
      <c r="E1421" s="47" t="s">
        <v>2087</v>
      </c>
      <c r="F1421" s="55" t="b">
        <v>1</v>
      </c>
      <c r="G1421" s="54" t="b">
        <v>1</v>
      </c>
      <c r="H1421" s="54" t="b">
        <v>1</v>
      </c>
      <c r="I1421" s="54" t="b">
        <v>1</v>
      </c>
      <c r="J1421" s="54" t="b">
        <v>1</v>
      </c>
      <c r="K1421" s="63" t="s">
        <v>683</v>
      </c>
      <c r="L1421" s="63" t="s">
        <v>4220</v>
      </c>
      <c r="M1421" s="63" t="s">
        <v>4221</v>
      </c>
      <c r="N1421" s="63" t="s">
        <v>2087</v>
      </c>
    </row>
    <row r="1422" spans="1:14" x14ac:dyDescent="0.2">
      <c r="A1422" s="51">
        <v>1421</v>
      </c>
      <c r="G1422" s="65" t="b">
        <v>0</v>
      </c>
      <c r="H1422" s="65" t="b">
        <v>0</v>
      </c>
      <c r="I1422" s="65" t="b">
        <v>0</v>
      </c>
      <c r="J1422" s="65" t="b">
        <v>0</v>
      </c>
      <c r="K1422" s="63" t="s">
        <v>683</v>
      </c>
      <c r="L1422" s="63" t="s">
        <v>4220</v>
      </c>
      <c r="M1422" s="63" t="s">
        <v>4222</v>
      </c>
      <c r="N1422" s="63" t="s">
        <v>2087</v>
      </c>
    </row>
    <row r="1423" spans="1:14" x14ac:dyDescent="0.2">
      <c r="A1423" s="51">
        <v>1422</v>
      </c>
      <c r="B1423" s="54" t="s">
        <v>683</v>
      </c>
      <c r="C1423" s="47" t="s">
        <v>4224</v>
      </c>
      <c r="D1423" s="47" t="s">
        <v>4225</v>
      </c>
      <c r="E1423" s="47" t="s">
        <v>2087</v>
      </c>
      <c r="F1423" s="55" t="b">
        <v>1</v>
      </c>
      <c r="G1423" s="54" t="b">
        <v>1</v>
      </c>
      <c r="H1423" s="54" t="b">
        <v>1</v>
      </c>
      <c r="I1423" s="54" t="b">
        <v>1</v>
      </c>
      <c r="J1423" s="54" t="b">
        <v>1</v>
      </c>
      <c r="K1423" s="63" t="s">
        <v>683</v>
      </c>
      <c r="L1423" s="63" t="s">
        <v>4224</v>
      </c>
      <c r="M1423" s="63" t="s">
        <v>4225</v>
      </c>
      <c r="N1423" s="63" t="s">
        <v>2087</v>
      </c>
    </row>
    <row r="1424" spans="1:14" x14ac:dyDescent="0.2">
      <c r="A1424" s="51">
        <v>1423</v>
      </c>
      <c r="G1424" s="65" t="b">
        <v>0</v>
      </c>
      <c r="H1424" s="65" t="b">
        <v>0</v>
      </c>
      <c r="I1424" s="65" t="b">
        <v>0</v>
      </c>
      <c r="J1424" s="65" t="b">
        <v>0</v>
      </c>
      <c r="K1424" s="63" t="s">
        <v>683</v>
      </c>
      <c r="L1424" s="63" t="s">
        <v>4224</v>
      </c>
      <c r="M1424" s="63" t="s">
        <v>4226</v>
      </c>
      <c r="N1424" s="63" t="s">
        <v>2087</v>
      </c>
    </row>
    <row r="1425" spans="1:14" x14ac:dyDescent="0.2">
      <c r="A1425" s="51">
        <v>1424</v>
      </c>
      <c r="B1425" s="54" t="s">
        <v>683</v>
      </c>
      <c r="C1425" s="47" t="s">
        <v>4200</v>
      </c>
      <c r="D1425" s="47" t="s">
        <v>4237</v>
      </c>
      <c r="E1425" s="47" t="s">
        <v>2087</v>
      </c>
      <c r="F1425" s="55" t="b">
        <v>1</v>
      </c>
      <c r="G1425" s="54" t="b">
        <v>1</v>
      </c>
      <c r="H1425" s="54" t="b">
        <v>1</v>
      </c>
      <c r="I1425" s="65" t="b">
        <v>0</v>
      </c>
      <c r="J1425" s="54" t="b">
        <v>1</v>
      </c>
      <c r="K1425" s="63" t="s">
        <v>683</v>
      </c>
      <c r="L1425" s="63" t="s">
        <v>4200</v>
      </c>
      <c r="M1425" s="63" t="s">
        <v>4201</v>
      </c>
      <c r="N1425" s="63" t="s">
        <v>2087</v>
      </c>
    </row>
    <row r="1426" spans="1:14" x14ac:dyDescent="0.2">
      <c r="A1426" s="51">
        <v>1425</v>
      </c>
      <c r="G1426" s="65" t="b">
        <v>0</v>
      </c>
      <c r="H1426" s="65" t="b">
        <v>0</v>
      </c>
      <c r="I1426" s="65" t="b">
        <v>0</v>
      </c>
      <c r="J1426" s="65" t="b">
        <v>0</v>
      </c>
      <c r="K1426" s="63" t="s">
        <v>683</v>
      </c>
      <c r="L1426" s="63" t="s">
        <v>4200</v>
      </c>
      <c r="M1426" s="63" t="s">
        <v>4237</v>
      </c>
      <c r="N1426" s="63" t="s">
        <v>2087</v>
      </c>
    </row>
    <row r="1427" spans="1:14" x14ac:dyDescent="0.2">
      <c r="A1427" s="51">
        <v>1426</v>
      </c>
      <c r="B1427" s="54" t="s">
        <v>683</v>
      </c>
      <c r="C1427" s="47" t="s">
        <v>4238</v>
      </c>
      <c r="D1427" s="47" t="s">
        <v>4239</v>
      </c>
      <c r="E1427" s="47" t="s">
        <v>2087</v>
      </c>
      <c r="F1427" s="55" t="b">
        <v>1</v>
      </c>
      <c r="G1427" s="54" t="b">
        <v>1</v>
      </c>
      <c r="H1427" s="54" t="b">
        <v>1</v>
      </c>
      <c r="I1427" s="54" t="b">
        <v>1</v>
      </c>
      <c r="J1427" s="54" t="b">
        <v>1</v>
      </c>
      <c r="K1427" s="63" t="s">
        <v>683</v>
      </c>
      <c r="L1427" s="63" t="s">
        <v>4238</v>
      </c>
      <c r="M1427" s="63" t="s">
        <v>4239</v>
      </c>
      <c r="N1427" s="63" t="s">
        <v>2087</v>
      </c>
    </row>
    <row r="1428" spans="1:14" x14ac:dyDescent="0.2">
      <c r="A1428" s="51">
        <v>1427</v>
      </c>
      <c r="G1428" s="65" t="b">
        <v>0</v>
      </c>
      <c r="H1428" s="65" t="b">
        <v>0</v>
      </c>
      <c r="I1428" s="65" t="b">
        <v>0</v>
      </c>
      <c r="J1428" s="65" t="b">
        <v>0</v>
      </c>
      <c r="K1428" s="63" t="s">
        <v>683</v>
      </c>
      <c r="L1428" s="63" t="s">
        <v>4238</v>
      </c>
      <c r="M1428" s="63" t="s">
        <v>4254</v>
      </c>
      <c r="N1428" s="63" t="s">
        <v>2087</v>
      </c>
    </row>
    <row r="1429" spans="1:14" x14ac:dyDescent="0.2">
      <c r="A1429" s="51">
        <v>1428</v>
      </c>
      <c r="B1429" s="54" t="s">
        <v>683</v>
      </c>
      <c r="C1429" s="47" t="s">
        <v>4229</v>
      </c>
      <c r="D1429" s="47" t="s">
        <v>4240</v>
      </c>
      <c r="E1429" s="47" t="s">
        <v>2087</v>
      </c>
      <c r="F1429" s="55" t="b">
        <v>1</v>
      </c>
      <c r="G1429" s="54" t="b">
        <v>1</v>
      </c>
      <c r="H1429" s="54" t="b">
        <v>1</v>
      </c>
      <c r="I1429" s="65" t="b">
        <v>0</v>
      </c>
      <c r="J1429" s="54" t="b">
        <v>1</v>
      </c>
      <c r="K1429" s="63" t="s">
        <v>683</v>
      </c>
      <c r="L1429" s="63" t="s">
        <v>4229</v>
      </c>
      <c r="M1429" s="63" t="s">
        <v>4230</v>
      </c>
      <c r="N1429" s="63" t="s">
        <v>2087</v>
      </c>
    </row>
    <row r="1430" spans="1:14" x14ac:dyDescent="0.2">
      <c r="A1430" s="51">
        <v>1429</v>
      </c>
      <c r="G1430" s="65" t="b">
        <v>0</v>
      </c>
      <c r="H1430" s="65" t="b">
        <v>0</v>
      </c>
      <c r="I1430" s="65" t="b">
        <v>0</v>
      </c>
      <c r="J1430" s="65" t="b">
        <v>0</v>
      </c>
      <c r="K1430" s="63" t="s">
        <v>683</v>
      </c>
      <c r="L1430" s="63" t="s">
        <v>4229</v>
      </c>
      <c r="M1430" s="63" t="s">
        <v>4240</v>
      </c>
      <c r="N1430" s="63" t="s">
        <v>2087</v>
      </c>
    </row>
    <row r="1431" spans="1:14" x14ac:dyDescent="0.2">
      <c r="A1431" s="51">
        <v>1430</v>
      </c>
      <c r="B1431" s="54" t="s">
        <v>683</v>
      </c>
      <c r="C1431" s="47" t="s">
        <v>4233</v>
      </c>
      <c r="D1431" s="47" t="s">
        <v>4241</v>
      </c>
      <c r="E1431" s="47" t="s">
        <v>2087</v>
      </c>
      <c r="F1431" s="55" t="b">
        <v>1</v>
      </c>
      <c r="G1431" s="54" t="b">
        <v>1</v>
      </c>
      <c r="H1431" s="54" t="b">
        <v>1</v>
      </c>
      <c r="I1431" s="65" t="b">
        <v>0</v>
      </c>
      <c r="J1431" s="54" t="b">
        <v>1</v>
      </c>
      <c r="K1431" s="63" t="s">
        <v>683</v>
      </c>
      <c r="L1431" s="63" t="s">
        <v>4233</v>
      </c>
      <c r="M1431" s="63" t="s">
        <v>4234</v>
      </c>
      <c r="N1431" s="63" t="s">
        <v>2087</v>
      </c>
    </row>
    <row r="1432" spans="1:14" x14ac:dyDescent="0.2">
      <c r="A1432" s="51">
        <v>1431</v>
      </c>
      <c r="G1432" s="65" t="b">
        <v>0</v>
      </c>
      <c r="H1432" s="65" t="b">
        <v>0</v>
      </c>
      <c r="I1432" s="65" t="b">
        <v>0</v>
      </c>
      <c r="J1432" s="65" t="b">
        <v>0</v>
      </c>
      <c r="K1432" s="63" t="s">
        <v>683</v>
      </c>
      <c r="L1432" s="63" t="s">
        <v>4233</v>
      </c>
      <c r="M1432" s="63" t="s">
        <v>4241</v>
      </c>
      <c r="N1432" s="63" t="s">
        <v>2087</v>
      </c>
    </row>
    <row r="1433" spans="1:14" x14ac:dyDescent="0.2">
      <c r="A1433" s="51">
        <v>1432</v>
      </c>
      <c r="B1433" s="54" t="s">
        <v>683</v>
      </c>
      <c r="C1433" s="47" t="s">
        <v>4231</v>
      </c>
      <c r="D1433" s="47" t="s">
        <v>4242</v>
      </c>
      <c r="E1433" s="47" t="s">
        <v>2087</v>
      </c>
      <c r="F1433" s="55" t="b">
        <v>1</v>
      </c>
      <c r="G1433" s="54" t="b">
        <v>1</v>
      </c>
      <c r="H1433" s="54" t="b">
        <v>1</v>
      </c>
      <c r="I1433" s="65" t="b">
        <v>0</v>
      </c>
      <c r="J1433" s="54" t="b">
        <v>1</v>
      </c>
      <c r="K1433" s="63" t="s">
        <v>683</v>
      </c>
      <c r="L1433" s="63" t="s">
        <v>4231</v>
      </c>
      <c r="M1433" s="63" t="s">
        <v>4232</v>
      </c>
      <c r="N1433" s="63" t="s">
        <v>2087</v>
      </c>
    </row>
    <row r="1434" spans="1:14" x14ac:dyDescent="0.2">
      <c r="A1434" s="51">
        <v>1433</v>
      </c>
      <c r="G1434" s="65" t="b">
        <v>0</v>
      </c>
      <c r="H1434" s="65" t="b">
        <v>0</v>
      </c>
      <c r="I1434" s="65" t="b">
        <v>0</v>
      </c>
      <c r="J1434" s="65" t="b">
        <v>0</v>
      </c>
      <c r="K1434" s="63" t="s">
        <v>683</v>
      </c>
      <c r="L1434" s="63" t="s">
        <v>4231</v>
      </c>
      <c r="M1434" s="63" t="s">
        <v>4242</v>
      </c>
      <c r="N1434" s="63" t="s">
        <v>2087</v>
      </c>
    </row>
    <row r="1435" spans="1:14" x14ac:dyDescent="0.2">
      <c r="A1435" s="51">
        <v>1434</v>
      </c>
      <c r="B1435" s="54" t="s">
        <v>683</v>
      </c>
      <c r="C1435" s="47" t="s">
        <v>4243</v>
      </c>
      <c r="D1435" s="47" t="s">
        <v>4245</v>
      </c>
      <c r="E1435" s="47" t="s">
        <v>2087</v>
      </c>
      <c r="F1435" s="55" t="b">
        <v>1</v>
      </c>
      <c r="G1435" s="54" t="b">
        <v>1</v>
      </c>
      <c r="H1435" s="54" t="b">
        <v>1</v>
      </c>
      <c r="I1435" s="65" t="b">
        <v>0</v>
      </c>
      <c r="J1435" s="54" t="b">
        <v>1</v>
      </c>
      <c r="K1435" s="63" t="s">
        <v>683</v>
      </c>
      <c r="L1435" s="63" t="s">
        <v>4243</v>
      </c>
      <c r="M1435" s="63" t="s">
        <v>4244</v>
      </c>
      <c r="N1435" s="63" t="s">
        <v>2087</v>
      </c>
    </row>
    <row r="1436" spans="1:14" x14ac:dyDescent="0.2">
      <c r="A1436" s="51">
        <v>1435</v>
      </c>
      <c r="G1436" s="65" t="b">
        <v>0</v>
      </c>
      <c r="H1436" s="65" t="b">
        <v>0</v>
      </c>
      <c r="I1436" s="65" t="b">
        <v>0</v>
      </c>
      <c r="J1436" s="65" t="b">
        <v>0</v>
      </c>
      <c r="K1436" s="63" t="s">
        <v>683</v>
      </c>
      <c r="L1436" s="63" t="s">
        <v>4243</v>
      </c>
      <c r="M1436" s="63" t="s">
        <v>4245</v>
      </c>
      <c r="N1436" s="63" t="s">
        <v>2087</v>
      </c>
    </row>
    <row r="1437" spans="1:14" x14ac:dyDescent="0.2">
      <c r="A1437" s="51">
        <v>1436</v>
      </c>
      <c r="B1437" s="54" t="s">
        <v>683</v>
      </c>
      <c r="C1437" s="47" t="s">
        <v>4246</v>
      </c>
      <c r="D1437" s="47" t="s">
        <v>4248</v>
      </c>
      <c r="E1437" s="47" t="s">
        <v>2087</v>
      </c>
      <c r="F1437" s="55" t="b">
        <v>1</v>
      </c>
      <c r="G1437" s="54" t="b">
        <v>1</v>
      </c>
      <c r="H1437" s="54" t="b">
        <v>1</v>
      </c>
      <c r="I1437" s="65" t="b">
        <v>0</v>
      </c>
      <c r="J1437" s="54" t="b">
        <v>1</v>
      </c>
      <c r="K1437" s="63" t="s">
        <v>683</v>
      </c>
      <c r="L1437" s="63" t="s">
        <v>4246</v>
      </c>
      <c r="M1437" s="63" t="s">
        <v>4247</v>
      </c>
      <c r="N1437" s="63" t="s">
        <v>2087</v>
      </c>
    </row>
    <row r="1438" spans="1:14" x14ac:dyDescent="0.2">
      <c r="A1438" s="51">
        <v>1437</v>
      </c>
      <c r="G1438" s="65" t="b">
        <v>0</v>
      </c>
      <c r="H1438" s="65" t="b">
        <v>0</v>
      </c>
      <c r="I1438" s="65" t="b">
        <v>0</v>
      </c>
      <c r="J1438" s="65" t="b">
        <v>0</v>
      </c>
      <c r="K1438" s="63" t="s">
        <v>683</v>
      </c>
      <c r="L1438" s="63" t="s">
        <v>4246</v>
      </c>
      <c r="M1438" s="63" t="s">
        <v>4248</v>
      </c>
      <c r="N1438" s="63" t="s">
        <v>2087</v>
      </c>
    </row>
    <row r="1439" spans="1:14" x14ac:dyDescent="0.2">
      <c r="A1439" s="51">
        <v>1438</v>
      </c>
      <c r="B1439" s="54" t="s">
        <v>683</v>
      </c>
      <c r="C1439" s="47" t="s">
        <v>4235</v>
      </c>
      <c r="D1439" s="47" t="s">
        <v>4252</v>
      </c>
      <c r="E1439" s="47" t="s">
        <v>2087</v>
      </c>
      <c r="F1439" s="55" t="b">
        <v>1</v>
      </c>
      <c r="G1439" s="54" t="b">
        <v>1</v>
      </c>
      <c r="H1439" s="54" t="b">
        <v>1</v>
      </c>
      <c r="I1439" s="65" t="b">
        <v>0</v>
      </c>
      <c r="J1439" s="54" t="b">
        <v>1</v>
      </c>
      <c r="K1439" s="63" t="s">
        <v>683</v>
      </c>
      <c r="L1439" s="63" t="s">
        <v>4235</v>
      </c>
      <c r="M1439" s="63" t="s">
        <v>4236</v>
      </c>
      <c r="N1439" s="63" t="s">
        <v>2087</v>
      </c>
    </row>
    <row r="1440" spans="1:14" x14ac:dyDescent="0.2">
      <c r="A1440" s="51">
        <v>1439</v>
      </c>
      <c r="G1440" s="65" t="b">
        <v>0</v>
      </c>
      <c r="H1440" s="65" t="b">
        <v>0</v>
      </c>
      <c r="I1440" s="65" t="b">
        <v>0</v>
      </c>
      <c r="J1440" s="65" t="b">
        <v>0</v>
      </c>
      <c r="K1440" s="63" t="s">
        <v>683</v>
      </c>
      <c r="L1440" s="63" t="s">
        <v>4235</v>
      </c>
      <c r="M1440" s="63" t="s">
        <v>4252</v>
      </c>
      <c r="N1440" s="63" t="s">
        <v>2087</v>
      </c>
    </row>
    <row r="1441" spans="1:14" x14ac:dyDescent="0.2">
      <c r="A1441" s="51">
        <v>1440</v>
      </c>
      <c r="B1441" s="54" t="s">
        <v>683</v>
      </c>
      <c r="C1441" s="47" t="s">
        <v>4202</v>
      </c>
      <c r="D1441" s="47" t="s">
        <v>4253</v>
      </c>
      <c r="E1441" s="47" t="s">
        <v>2087</v>
      </c>
      <c r="F1441" s="55" t="b">
        <v>1</v>
      </c>
      <c r="G1441" s="54" t="b">
        <v>1</v>
      </c>
      <c r="H1441" s="54" t="b">
        <v>1</v>
      </c>
      <c r="I1441" s="65" t="b">
        <v>0</v>
      </c>
      <c r="J1441" s="54" t="b">
        <v>1</v>
      </c>
      <c r="K1441" s="63" t="s">
        <v>683</v>
      </c>
      <c r="L1441" s="63" t="s">
        <v>4202</v>
      </c>
      <c r="M1441" s="63" t="s">
        <v>4203</v>
      </c>
      <c r="N1441" s="63" t="s">
        <v>2087</v>
      </c>
    </row>
    <row r="1442" spans="1:14" x14ac:dyDescent="0.2">
      <c r="A1442" s="51">
        <v>1441</v>
      </c>
      <c r="G1442" s="65" t="b">
        <v>0</v>
      </c>
      <c r="H1442" s="65" t="b">
        <v>0</v>
      </c>
      <c r="I1442" s="65" t="b">
        <v>0</v>
      </c>
      <c r="J1442" s="65" t="b">
        <v>0</v>
      </c>
      <c r="K1442" s="63" t="s">
        <v>683</v>
      </c>
      <c r="L1442" s="63" t="s">
        <v>4202</v>
      </c>
      <c r="M1442" s="63" t="s">
        <v>4253</v>
      </c>
      <c r="N1442" s="63" t="s">
        <v>2087</v>
      </c>
    </row>
    <row r="1443" spans="1:14" x14ac:dyDescent="0.2">
      <c r="A1443" s="51">
        <v>1442</v>
      </c>
      <c r="B1443" s="54" t="s">
        <v>685</v>
      </c>
      <c r="C1443" s="47" t="s">
        <v>4255</v>
      </c>
      <c r="D1443" s="47" t="s">
        <v>4256</v>
      </c>
      <c r="E1443" s="48" t="s">
        <v>4257</v>
      </c>
      <c r="F1443" s="66" t="b">
        <v>0</v>
      </c>
      <c r="G1443" s="54" t="b">
        <v>1</v>
      </c>
      <c r="H1443" s="54" t="b">
        <v>1</v>
      </c>
      <c r="I1443" s="54" t="b">
        <v>1</v>
      </c>
      <c r="J1443" s="54" t="b">
        <v>1</v>
      </c>
      <c r="K1443" s="63" t="s">
        <v>685</v>
      </c>
      <c r="L1443" s="63" t="s">
        <v>4255</v>
      </c>
      <c r="M1443" s="63" t="s">
        <v>4256</v>
      </c>
      <c r="N1443" s="63" t="s">
        <v>4257</v>
      </c>
    </row>
    <row r="1444" spans="1:14" x14ac:dyDescent="0.2">
      <c r="A1444" s="51">
        <v>1443</v>
      </c>
      <c r="B1444" s="54" t="s">
        <v>685</v>
      </c>
      <c r="C1444" s="47" t="s">
        <v>4258</v>
      </c>
      <c r="D1444" s="47" t="s">
        <v>4259</v>
      </c>
      <c r="E1444" s="48" t="s">
        <v>4257</v>
      </c>
      <c r="F1444" s="66" t="b">
        <v>0</v>
      </c>
      <c r="G1444" s="54" t="b">
        <v>1</v>
      </c>
      <c r="H1444" s="54" t="b">
        <v>1</v>
      </c>
      <c r="I1444" s="54" t="b">
        <v>1</v>
      </c>
      <c r="J1444" s="54" t="b">
        <v>1</v>
      </c>
      <c r="K1444" s="63" t="s">
        <v>685</v>
      </c>
      <c r="L1444" s="63" t="s">
        <v>4258</v>
      </c>
      <c r="M1444" s="63" t="s">
        <v>4259</v>
      </c>
      <c r="N1444" s="63" t="s">
        <v>4257</v>
      </c>
    </row>
    <row r="1445" spans="1:14" x14ac:dyDescent="0.2">
      <c r="A1445" s="51">
        <v>1444</v>
      </c>
      <c r="B1445" s="54" t="s">
        <v>685</v>
      </c>
      <c r="C1445" s="47" t="s">
        <v>4260</v>
      </c>
      <c r="D1445" s="47" t="s">
        <v>4261</v>
      </c>
      <c r="E1445" s="48" t="s">
        <v>4257</v>
      </c>
      <c r="F1445" s="66" t="b">
        <v>0</v>
      </c>
      <c r="G1445" s="54" t="b">
        <v>1</v>
      </c>
      <c r="H1445" s="54" t="b">
        <v>1</v>
      </c>
      <c r="I1445" s="54" t="b">
        <v>1</v>
      </c>
      <c r="J1445" s="54" t="b">
        <v>1</v>
      </c>
      <c r="K1445" s="63" t="s">
        <v>685</v>
      </c>
      <c r="L1445" s="63" t="s">
        <v>4260</v>
      </c>
      <c r="M1445" s="63" t="s">
        <v>4261</v>
      </c>
      <c r="N1445" s="63" t="s">
        <v>4257</v>
      </c>
    </row>
    <row r="1446" spans="1:14" x14ac:dyDescent="0.2">
      <c r="A1446" s="51">
        <v>1445</v>
      </c>
      <c r="B1446" s="54" t="s">
        <v>685</v>
      </c>
      <c r="C1446" s="47" t="s">
        <v>4264</v>
      </c>
      <c r="D1446" s="47" t="s">
        <v>4265</v>
      </c>
      <c r="E1446" s="48" t="s">
        <v>4257</v>
      </c>
      <c r="F1446" s="66" t="b">
        <v>0</v>
      </c>
      <c r="G1446" s="54" t="b">
        <v>1</v>
      </c>
      <c r="H1446" s="54" t="b">
        <v>1</v>
      </c>
      <c r="I1446" s="54" t="b">
        <v>1</v>
      </c>
      <c r="J1446" s="54" t="b">
        <v>1</v>
      </c>
      <c r="K1446" s="63" t="s">
        <v>685</v>
      </c>
      <c r="L1446" s="63" t="s">
        <v>4264</v>
      </c>
      <c r="M1446" s="63" t="s">
        <v>4265</v>
      </c>
      <c r="N1446" s="63" t="s">
        <v>4257</v>
      </c>
    </row>
    <row r="1447" spans="1:14" x14ac:dyDescent="0.2">
      <c r="A1447" s="51">
        <v>1446</v>
      </c>
      <c r="B1447" s="54" t="s">
        <v>685</v>
      </c>
      <c r="C1447" s="47" t="s">
        <v>4369</v>
      </c>
      <c r="D1447" s="47" t="s">
        <v>4370</v>
      </c>
      <c r="E1447" s="48" t="s">
        <v>4257</v>
      </c>
      <c r="F1447" s="66" t="b">
        <v>0</v>
      </c>
      <c r="G1447" s="54" t="b">
        <v>1</v>
      </c>
      <c r="H1447" s="54" t="b">
        <v>1</v>
      </c>
      <c r="I1447" s="54" t="b">
        <v>1</v>
      </c>
      <c r="J1447" s="54" t="b">
        <v>1</v>
      </c>
      <c r="K1447" s="63" t="s">
        <v>685</v>
      </c>
      <c r="L1447" s="63" t="s">
        <v>4369</v>
      </c>
      <c r="M1447" s="63" t="s">
        <v>4370</v>
      </c>
      <c r="N1447" s="63" t="s">
        <v>4257</v>
      </c>
    </row>
    <row r="1448" spans="1:14" x14ac:dyDescent="0.2">
      <c r="A1448" s="51">
        <v>1447</v>
      </c>
      <c r="B1448" s="54" t="s">
        <v>685</v>
      </c>
      <c r="C1448" s="47" t="s">
        <v>4262</v>
      </c>
      <c r="D1448" s="47" t="s">
        <v>4263</v>
      </c>
      <c r="E1448" s="48" t="s">
        <v>4257</v>
      </c>
      <c r="F1448" s="66" t="b">
        <v>0</v>
      </c>
      <c r="G1448" s="54" t="b">
        <v>1</v>
      </c>
      <c r="H1448" s="54" t="b">
        <v>1</v>
      </c>
      <c r="I1448" s="54" t="b">
        <v>1</v>
      </c>
      <c r="J1448" s="54" t="b">
        <v>1</v>
      </c>
      <c r="K1448" s="63" t="s">
        <v>685</v>
      </c>
      <c r="L1448" s="63" t="s">
        <v>4262</v>
      </c>
      <c r="M1448" s="63" t="s">
        <v>4263</v>
      </c>
      <c r="N1448" s="63" t="s">
        <v>4257</v>
      </c>
    </row>
    <row r="1449" spans="1:14" x14ac:dyDescent="0.2">
      <c r="A1449" s="51">
        <v>1448</v>
      </c>
      <c r="B1449" s="54" t="s">
        <v>685</v>
      </c>
      <c r="C1449" s="47" t="s">
        <v>4273</v>
      </c>
      <c r="D1449" s="47" t="s">
        <v>4274</v>
      </c>
      <c r="E1449" s="48" t="s">
        <v>4257</v>
      </c>
      <c r="F1449" s="66" t="b">
        <v>0</v>
      </c>
      <c r="G1449" s="54" t="b">
        <v>1</v>
      </c>
      <c r="H1449" s="54" t="b">
        <v>1</v>
      </c>
      <c r="I1449" s="54" t="b">
        <v>1</v>
      </c>
      <c r="J1449" s="54" t="b">
        <v>1</v>
      </c>
      <c r="K1449" s="63" t="s">
        <v>685</v>
      </c>
      <c r="L1449" s="63" t="s">
        <v>4273</v>
      </c>
      <c r="M1449" s="63" t="s">
        <v>4274</v>
      </c>
      <c r="N1449" s="63" t="s">
        <v>4257</v>
      </c>
    </row>
    <row r="1450" spans="1:14" x14ac:dyDescent="0.2">
      <c r="A1450" s="51">
        <v>1449</v>
      </c>
      <c r="B1450" s="54" t="s">
        <v>685</v>
      </c>
      <c r="C1450" s="47" t="s">
        <v>4271</v>
      </c>
      <c r="D1450" s="47" t="s">
        <v>4272</v>
      </c>
      <c r="E1450" s="48" t="s">
        <v>4257</v>
      </c>
      <c r="F1450" s="66" t="b">
        <v>0</v>
      </c>
      <c r="G1450" s="54" t="b">
        <v>1</v>
      </c>
      <c r="H1450" s="54" t="b">
        <v>1</v>
      </c>
      <c r="I1450" s="54" t="b">
        <v>1</v>
      </c>
      <c r="J1450" s="54" t="b">
        <v>1</v>
      </c>
      <c r="K1450" s="63" t="s">
        <v>685</v>
      </c>
      <c r="L1450" s="63" t="s">
        <v>4271</v>
      </c>
      <c r="M1450" s="63" t="s">
        <v>4272</v>
      </c>
      <c r="N1450" s="63" t="s">
        <v>4257</v>
      </c>
    </row>
    <row r="1451" spans="1:14" x14ac:dyDescent="0.2">
      <c r="A1451" s="51">
        <v>1450</v>
      </c>
      <c r="B1451" s="54" t="s">
        <v>685</v>
      </c>
      <c r="C1451" s="47" t="s">
        <v>4275</v>
      </c>
      <c r="D1451" s="47" t="s">
        <v>4276</v>
      </c>
      <c r="E1451" s="48" t="s">
        <v>4257</v>
      </c>
      <c r="F1451" s="66" t="b">
        <v>0</v>
      </c>
      <c r="G1451" s="54" t="b">
        <v>1</v>
      </c>
      <c r="H1451" s="54" t="b">
        <v>1</v>
      </c>
      <c r="I1451" s="54" t="b">
        <v>1</v>
      </c>
      <c r="J1451" s="54" t="b">
        <v>1</v>
      </c>
      <c r="K1451" s="63" t="s">
        <v>685</v>
      </c>
      <c r="L1451" s="63" t="s">
        <v>4275</v>
      </c>
      <c r="M1451" s="63" t="s">
        <v>4276</v>
      </c>
      <c r="N1451" s="63" t="s">
        <v>4257</v>
      </c>
    </row>
    <row r="1452" spans="1:14" x14ac:dyDescent="0.2">
      <c r="A1452" s="51">
        <v>1451</v>
      </c>
      <c r="B1452" s="54" t="s">
        <v>685</v>
      </c>
      <c r="C1452" s="47" t="s">
        <v>4277</v>
      </c>
      <c r="D1452" s="47" t="s">
        <v>4278</v>
      </c>
      <c r="E1452" s="48" t="s">
        <v>4257</v>
      </c>
      <c r="F1452" s="66" t="b">
        <v>0</v>
      </c>
      <c r="G1452" s="54" t="b">
        <v>1</v>
      </c>
      <c r="H1452" s="54" t="b">
        <v>1</v>
      </c>
      <c r="I1452" s="54" t="b">
        <v>1</v>
      </c>
      <c r="J1452" s="54" t="b">
        <v>1</v>
      </c>
      <c r="K1452" s="63" t="s">
        <v>685</v>
      </c>
      <c r="L1452" s="63" t="s">
        <v>4277</v>
      </c>
      <c r="M1452" s="63" t="s">
        <v>4278</v>
      </c>
      <c r="N1452" s="63" t="s">
        <v>4257</v>
      </c>
    </row>
    <row r="1453" spans="1:14" x14ac:dyDescent="0.2">
      <c r="A1453" s="51">
        <v>1452</v>
      </c>
      <c r="B1453" s="54" t="s">
        <v>685</v>
      </c>
      <c r="C1453" s="47" t="s">
        <v>4279</v>
      </c>
      <c r="D1453" s="47" t="s">
        <v>4280</v>
      </c>
      <c r="E1453" s="48" t="s">
        <v>4257</v>
      </c>
      <c r="F1453" s="66" t="b">
        <v>0</v>
      </c>
      <c r="G1453" s="54" t="b">
        <v>1</v>
      </c>
      <c r="H1453" s="54" t="b">
        <v>1</v>
      </c>
      <c r="I1453" s="54" t="b">
        <v>1</v>
      </c>
      <c r="J1453" s="54" t="b">
        <v>1</v>
      </c>
      <c r="K1453" s="63" t="s">
        <v>685</v>
      </c>
      <c r="L1453" s="63" t="s">
        <v>4279</v>
      </c>
      <c r="M1453" s="63" t="s">
        <v>4280</v>
      </c>
      <c r="N1453" s="63" t="s">
        <v>4257</v>
      </c>
    </row>
    <row r="1454" spans="1:14" x14ac:dyDescent="0.2">
      <c r="A1454" s="51">
        <v>1453</v>
      </c>
      <c r="B1454" s="54" t="s">
        <v>685</v>
      </c>
      <c r="C1454" s="47" t="s">
        <v>4283</v>
      </c>
      <c r="D1454" s="47" t="s">
        <v>4284</v>
      </c>
      <c r="E1454" s="48" t="s">
        <v>4257</v>
      </c>
      <c r="F1454" s="66" t="b">
        <v>0</v>
      </c>
      <c r="G1454" s="54" t="b">
        <v>1</v>
      </c>
      <c r="H1454" s="54" t="b">
        <v>1</v>
      </c>
      <c r="I1454" s="54" t="b">
        <v>1</v>
      </c>
      <c r="J1454" s="54" t="b">
        <v>1</v>
      </c>
      <c r="K1454" s="63" t="s">
        <v>685</v>
      </c>
      <c r="L1454" s="63" t="s">
        <v>4283</v>
      </c>
      <c r="M1454" s="63" t="s">
        <v>4284</v>
      </c>
      <c r="N1454" s="63" t="s">
        <v>4257</v>
      </c>
    </row>
    <row r="1455" spans="1:14" x14ac:dyDescent="0.2">
      <c r="A1455" s="51">
        <v>1454</v>
      </c>
      <c r="B1455" s="54" t="s">
        <v>685</v>
      </c>
      <c r="C1455" s="47" t="s">
        <v>4289</v>
      </c>
      <c r="D1455" s="47" t="s">
        <v>4290</v>
      </c>
      <c r="E1455" s="48" t="s">
        <v>4257</v>
      </c>
      <c r="F1455" s="66" t="b">
        <v>0</v>
      </c>
      <c r="G1455" s="54" t="b">
        <v>1</v>
      </c>
      <c r="H1455" s="54" t="b">
        <v>1</v>
      </c>
      <c r="I1455" s="54" t="b">
        <v>1</v>
      </c>
      <c r="J1455" s="54" t="b">
        <v>1</v>
      </c>
      <c r="K1455" s="63" t="s">
        <v>685</v>
      </c>
      <c r="L1455" s="63" t="s">
        <v>4289</v>
      </c>
      <c r="M1455" s="63" t="s">
        <v>4290</v>
      </c>
      <c r="N1455" s="63" t="s">
        <v>4257</v>
      </c>
    </row>
    <row r="1456" spans="1:14" x14ac:dyDescent="0.2">
      <c r="A1456" s="51">
        <v>1455</v>
      </c>
      <c r="B1456" s="54" t="s">
        <v>685</v>
      </c>
      <c r="C1456" s="47" t="s">
        <v>4295</v>
      </c>
      <c r="D1456" s="47" t="s">
        <v>4296</v>
      </c>
      <c r="E1456" s="48" t="s">
        <v>4257</v>
      </c>
      <c r="F1456" s="66" t="b">
        <v>0</v>
      </c>
      <c r="G1456" s="54" t="b">
        <v>1</v>
      </c>
      <c r="H1456" s="54" t="b">
        <v>1</v>
      </c>
      <c r="I1456" s="54" t="b">
        <v>1</v>
      </c>
      <c r="J1456" s="54" t="b">
        <v>1</v>
      </c>
      <c r="K1456" s="63" t="s">
        <v>685</v>
      </c>
      <c r="L1456" s="63" t="s">
        <v>4295</v>
      </c>
      <c r="M1456" s="63" t="s">
        <v>4296</v>
      </c>
      <c r="N1456" s="63" t="s">
        <v>4257</v>
      </c>
    </row>
    <row r="1457" spans="1:14" x14ac:dyDescent="0.2">
      <c r="A1457" s="51">
        <v>1456</v>
      </c>
      <c r="B1457" s="54" t="s">
        <v>685</v>
      </c>
      <c r="C1457" s="47" t="s">
        <v>4297</v>
      </c>
      <c r="D1457" s="47" t="s">
        <v>4298</v>
      </c>
      <c r="E1457" s="48" t="s">
        <v>4257</v>
      </c>
      <c r="F1457" s="66" t="b">
        <v>0</v>
      </c>
      <c r="G1457" s="54" t="b">
        <v>1</v>
      </c>
      <c r="H1457" s="54" t="b">
        <v>1</v>
      </c>
      <c r="I1457" s="54" t="b">
        <v>1</v>
      </c>
      <c r="J1457" s="54" t="b">
        <v>1</v>
      </c>
      <c r="K1457" s="63" t="s">
        <v>685</v>
      </c>
      <c r="L1457" s="63" t="s">
        <v>4297</v>
      </c>
      <c r="M1457" s="63" t="s">
        <v>4298</v>
      </c>
      <c r="N1457" s="63" t="s">
        <v>4257</v>
      </c>
    </row>
    <row r="1458" spans="1:14" x14ac:dyDescent="0.2">
      <c r="A1458" s="51">
        <v>1457</v>
      </c>
      <c r="B1458" s="54" t="s">
        <v>685</v>
      </c>
      <c r="C1458" s="47" t="s">
        <v>4302</v>
      </c>
      <c r="D1458" s="47" t="s">
        <v>4303</v>
      </c>
      <c r="E1458" s="48" t="s">
        <v>4257</v>
      </c>
      <c r="F1458" s="66" t="b">
        <v>0</v>
      </c>
      <c r="G1458" s="54" t="b">
        <v>1</v>
      </c>
      <c r="H1458" s="54" t="b">
        <v>1</v>
      </c>
      <c r="I1458" s="54" t="b">
        <v>1</v>
      </c>
      <c r="J1458" s="54" t="b">
        <v>1</v>
      </c>
      <c r="K1458" s="63" t="s">
        <v>685</v>
      </c>
      <c r="L1458" s="63" t="s">
        <v>4302</v>
      </c>
      <c r="M1458" s="63" t="s">
        <v>4303</v>
      </c>
      <c r="N1458" s="63" t="s">
        <v>4257</v>
      </c>
    </row>
    <row r="1459" spans="1:14" x14ac:dyDescent="0.2">
      <c r="A1459" s="51">
        <v>1458</v>
      </c>
      <c r="B1459" s="54" t="s">
        <v>685</v>
      </c>
      <c r="C1459" s="47" t="s">
        <v>4304</v>
      </c>
      <c r="D1459" s="47" t="s">
        <v>4305</v>
      </c>
      <c r="E1459" s="48" t="s">
        <v>4257</v>
      </c>
      <c r="F1459" s="66" t="b">
        <v>0</v>
      </c>
      <c r="G1459" s="54" t="b">
        <v>1</v>
      </c>
      <c r="H1459" s="54" t="b">
        <v>1</v>
      </c>
      <c r="I1459" s="54" t="b">
        <v>1</v>
      </c>
      <c r="J1459" s="54" t="b">
        <v>1</v>
      </c>
      <c r="K1459" s="63" t="s">
        <v>685</v>
      </c>
      <c r="L1459" s="63" t="s">
        <v>4304</v>
      </c>
      <c r="M1459" s="63" t="s">
        <v>4305</v>
      </c>
      <c r="N1459" s="63" t="s">
        <v>4257</v>
      </c>
    </row>
    <row r="1460" spans="1:14" x14ac:dyDescent="0.2">
      <c r="A1460" s="51">
        <v>1459</v>
      </c>
      <c r="B1460" s="54" t="s">
        <v>685</v>
      </c>
      <c r="C1460" s="47" t="s">
        <v>4306</v>
      </c>
      <c r="D1460" s="47" t="s">
        <v>4307</v>
      </c>
      <c r="E1460" s="48" t="s">
        <v>4257</v>
      </c>
      <c r="F1460" s="66" t="b">
        <v>0</v>
      </c>
      <c r="G1460" s="54" t="b">
        <v>1</v>
      </c>
      <c r="H1460" s="54" t="b">
        <v>1</v>
      </c>
      <c r="I1460" s="54" t="b">
        <v>1</v>
      </c>
      <c r="J1460" s="54" t="b">
        <v>1</v>
      </c>
      <c r="K1460" s="63" t="s">
        <v>685</v>
      </c>
      <c r="L1460" s="63" t="s">
        <v>4306</v>
      </c>
      <c r="M1460" s="63" t="s">
        <v>4307</v>
      </c>
      <c r="N1460" s="63" t="s">
        <v>4257</v>
      </c>
    </row>
    <row r="1461" spans="1:14" x14ac:dyDescent="0.2">
      <c r="A1461" s="51">
        <v>1460</v>
      </c>
      <c r="B1461" s="54" t="s">
        <v>685</v>
      </c>
      <c r="C1461" s="47" t="s">
        <v>4310</v>
      </c>
      <c r="D1461" s="47" t="s">
        <v>4311</v>
      </c>
      <c r="E1461" s="48" t="s">
        <v>4257</v>
      </c>
      <c r="F1461" s="66" t="b">
        <v>0</v>
      </c>
      <c r="G1461" s="54" t="b">
        <v>1</v>
      </c>
      <c r="H1461" s="54" t="b">
        <v>1</v>
      </c>
      <c r="I1461" s="54" t="b">
        <v>1</v>
      </c>
      <c r="J1461" s="54" t="b">
        <v>1</v>
      </c>
      <c r="K1461" s="63" t="s">
        <v>685</v>
      </c>
      <c r="L1461" s="63" t="s">
        <v>4310</v>
      </c>
      <c r="M1461" s="63" t="s">
        <v>4311</v>
      </c>
      <c r="N1461" s="63" t="s">
        <v>4257</v>
      </c>
    </row>
    <row r="1462" spans="1:14" x14ac:dyDescent="0.2">
      <c r="A1462" s="51">
        <v>1461</v>
      </c>
      <c r="B1462" s="54" t="s">
        <v>685</v>
      </c>
      <c r="C1462" s="47" t="s">
        <v>4318</v>
      </c>
      <c r="D1462" s="47" t="s">
        <v>12369</v>
      </c>
      <c r="E1462" s="48" t="s">
        <v>4257</v>
      </c>
      <c r="F1462" s="66" t="b">
        <v>0</v>
      </c>
      <c r="G1462" s="54" t="b">
        <v>1</v>
      </c>
      <c r="H1462" s="54" t="b">
        <v>1</v>
      </c>
      <c r="I1462" s="65" t="b">
        <v>0</v>
      </c>
      <c r="J1462" s="54" t="b">
        <v>1</v>
      </c>
      <c r="K1462" s="63" t="s">
        <v>685</v>
      </c>
      <c r="L1462" s="63" t="s">
        <v>4318</v>
      </c>
      <c r="M1462" s="63" t="s">
        <v>4319</v>
      </c>
      <c r="N1462" s="63" t="s">
        <v>4257</v>
      </c>
    </row>
    <row r="1463" spans="1:14" x14ac:dyDescent="0.2">
      <c r="A1463" s="51">
        <v>1462</v>
      </c>
      <c r="B1463" s="54" t="s">
        <v>685</v>
      </c>
      <c r="C1463" s="47" t="s">
        <v>4320</v>
      </c>
      <c r="D1463" s="47" t="s">
        <v>12370</v>
      </c>
      <c r="E1463" s="48" t="s">
        <v>4257</v>
      </c>
      <c r="F1463" s="66" t="b">
        <v>0</v>
      </c>
      <c r="G1463" s="54" t="b">
        <v>1</v>
      </c>
      <c r="H1463" s="54" t="b">
        <v>1</v>
      </c>
      <c r="I1463" s="65" t="b">
        <v>0</v>
      </c>
      <c r="J1463" s="54" t="b">
        <v>1</v>
      </c>
      <c r="K1463" s="63" t="s">
        <v>685</v>
      </c>
      <c r="L1463" s="63" t="s">
        <v>4320</v>
      </c>
      <c r="M1463" s="63" t="s">
        <v>4321</v>
      </c>
      <c r="N1463" s="63" t="s">
        <v>4257</v>
      </c>
    </row>
    <row r="1464" spans="1:14" x14ac:dyDescent="0.2">
      <c r="A1464" s="51">
        <v>1463</v>
      </c>
      <c r="B1464" s="54" t="s">
        <v>685</v>
      </c>
      <c r="C1464" s="47" t="s">
        <v>4316</v>
      </c>
      <c r="D1464" s="47" t="s">
        <v>4317</v>
      </c>
      <c r="E1464" s="48" t="s">
        <v>4257</v>
      </c>
      <c r="F1464" s="66" t="b">
        <v>0</v>
      </c>
      <c r="G1464" s="54" t="b">
        <v>1</v>
      </c>
      <c r="H1464" s="54" t="b">
        <v>1</v>
      </c>
      <c r="I1464" s="54" t="b">
        <v>1</v>
      </c>
      <c r="J1464" s="54" t="b">
        <v>1</v>
      </c>
      <c r="K1464" s="63" t="s">
        <v>685</v>
      </c>
      <c r="L1464" s="63" t="s">
        <v>4316</v>
      </c>
      <c r="M1464" s="63" t="s">
        <v>4317</v>
      </c>
      <c r="N1464" s="63" t="s">
        <v>4257</v>
      </c>
    </row>
    <row r="1465" spans="1:14" x14ac:dyDescent="0.2">
      <c r="A1465" s="51">
        <v>1464</v>
      </c>
      <c r="B1465" s="54" t="s">
        <v>685</v>
      </c>
      <c r="C1465" s="47" t="s">
        <v>4324</v>
      </c>
      <c r="D1465" s="47" t="s">
        <v>4325</v>
      </c>
      <c r="E1465" s="48" t="s">
        <v>4257</v>
      </c>
      <c r="F1465" s="66" t="b">
        <v>0</v>
      </c>
      <c r="G1465" s="54" t="b">
        <v>1</v>
      </c>
      <c r="H1465" s="54" t="b">
        <v>1</v>
      </c>
      <c r="I1465" s="54" t="b">
        <v>1</v>
      </c>
      <c r="J1465" s="54" t="b">
        <v>1</v>
      </c>
      <c r="K1465" s="63" t="s">
        <v>685</v>
      </c>
      <c r="L1465" s="63" t="s">
        <v>4324</v>
      </c>
      <c r="M1465" s="63" t="s">
        <v>4325</v>
      </c>
      <c r="N1465" s="63" t="s">
        <v>4257</v>
      </c>
    </row>
    <row r="1466" spans="1:14" x14ac:dyDescent="0.2">
      <c r="A1466" s="51">
        <v>1465</v>
      </c>
      <c r="B1466" s="54" t="s">
        <v>685</v>
      </c>
      <c r="C1466" s="47" t="s">
        <v>4326</v>
      </c>
      <c r="D1466" s="47" t="s">
        <v>4327</v>
      </c>
      <c r="E1466" s="48" t="s">
        <v>4257</v>
      </c>
      <c r="F1466" s="66" t="b">
        <v>0</v>
      </c>
      <c r="G1466" s="54" t="b">
        <v>1</v>
      </c>
      <c r="H1466" s="54" t="b">
        <v>1</v>
      </c>
      <c r="I1466" s="54" t="b">
        <v>1</v>
      </c>
      <c r="J1466" s="54" t="b">
        <v>1</v>
      </c>
      <c r="K1466" s="63" t="s">
        <v>685</v>
      </c>
      <c r="L1466" s="63" t="s">
        <v>4326</v>
      </c>
      <c r="M1466" s="63" t="s">
        <v>4327</v>
      </c>
      <c r="N1466" s="63" t="s">
        <v>4257</v>
      </c>
    </row>
    <row r="1467" spans="1:14" x14ac:dyDescent="0.2">
      <c r="A1467" s="51">
        <v>1466</v>
      </c>
      <c r="B1467" s="54" t="s">
        <v>685</v>
      </c>
      <c r="C1467" s="47" t="s">
        <v>4328</v>
      </c>
      <c r="D1467" s="47" t="s">
        <v>4329</v>
      </c>
      <c r="E1467" s="48" t="s">
        <v>4257</v>
      </c>
      <c r="F1467" s="66" t="b">
        <v>0</v>
      </c>
      <c r="G1467" s="54" t="b">
        <v>1</v>
      </c>
      <c r="H1467" s="54" t="b">
        <v>1</v>
      </c>
      <c r="I1467" s="54" t="b">
        <v>1</v>
      </c>
      <c r="J1467" s="54" t="b">
        <v>1</v>
      </c>
      <c r="K1467" s="63" t="s">
        <v>685</v>
      </c>
      <c r="L1467" s="63" t="s">
        <v>4328</v>
      </c>
      <c r="M1467" s="63" t="s">
        <v>4329</v>
      </c>
      <c r="N1467" s="63" t="s">
        <v>4257</v>
      </c>
    </row>
    <row r="1468" spans="1:14" x14ac:dyDescent="0.2">
      <c r="A1468" s="51">
        <v>1467</v>
      </c>
      <c r="B1468" s="54" t="s">
        <v>685</v>
      </c>
      <c r="C1468" s="47" t="s">
        <v>4332</v>
      </c>
      <c r="D1468" s="47" t="s">
        <v>4333</v>
      </c>
      <c r="E1468" s="48" t="s">
        <v>4257</v>
      </c>
      <c r="F1468" s="66" t="b">
        <v>0</v>
      </c>
      <c r="G1468" s="54" t="b">
        <v>1</v>
      </c>
      <c r="H1468" s="54" t="b">
        <v>1</v>
      </c>
      <c r="I1468" s="54" t="b">
        <v>1</v>
      </c>
      <c r="J1468" s="54" t="b">
        <v>1</v>
      </c>
      <c r="K1468" s="63" t="s">
        <v>685</v>
      </c>
      <c r="L1468" s="63" t="s">
        <v>4332</v>
      </c>
      <c r="M1468" s="63" t="s">
        <v>4333</v>
      </c>
      <c r="N1468" s="63" t="s">
        <v>4257</v>
      </c>
    </row>
    <row r="1469" spans="1:14" x14ac:dyDescent="0.2">
      <c r="A1469" s="51">
        <v>1468</v>
      </c>
      <c r="B1469" s="54" t="s">
        <v>685</v>
      </c>
      <c r="C1469" s="47" t="s">
        <v>4334</v>
      </c>
      <c r="D1469" s="47" t="s">
        <v>4335</v>
      </c>
      <c r="E1469" s="48" t="s">
        <v>4257</v>
      </c>
      <c r="F1469" s="66" t="b">
        <v>0</v>
      </c>
      <c r="G1469" s="54" t="b">
        <v>1</v>
      </c>
      <c r="H1469" s="54" t="b">
        <v>1</v>
      </c>
      <c r="I1469" s="54" t="b">
        <v>1</v>
      </c>
      <c r="J1469" s="54" t="b">
        <v>1</v>
      </c>
      <c r="K1469" s="63" t="s">
        <v>685</v>
      </c>
      <c r="L1469" s="63" t="s">
        <v>4334</v>
      </c>
      <c r="M1469" s="63" t="s">
        <v>4335</v>
      </c>
      <c r="N1469" s="63" t="s">
        <v>4257</v>
      </c>
    </row>
    <row r="1470" spans="1:14" x14ac:dyDescent="0.2">
      <c r="A1470" s="51">
        <v>1469</v>
      </c>
      <c r="B1470" s="54" t="s">
        <v>685</v>
      </c>
      <c r="C1470" s="47" t="s">
        <v>4336</v>
      </c>
      <c r="D1470" s="47" t="s">
        <v>4337</v>
      </c>
      <c r="E1470" s="48" t="s">
        <v>4257</v>
      </c>
      <c r="F1470" s="66" t="b">
        <v>0</v>
      </c>
      <c r="G1470" s="54" t="b">
        <v>1</v>
      </c>
      <c r="H1470" s="54" t="b">
        <v>1</v>
      </c>
      <c r="I1470" s="54" t="b">
        <v>1</v>
      </c>
      <c r="J1470" s="54" t="b">
        <v>1</v>
      </c>
      <c r="K1470" s="63" t="s">
        <v>685</v>
      </c>
      <c r="L1470" s="63" t="s">
        <v>4336</v>
      </c>
      <c r="M1470" s="63" t="s">
        <v>4337</v>
      </c>
      <c r="N1470" s="63" t="s">
        <v>4257</v>
      </c>
    </row>
    <row r="1471" spans="1:14" x14ac:dyDescent="0.2">
      <c r="A1471" s="51">
        <v>1470</v>
      </c>
      <c r="B1471" s="54" t="s">
        <v>685</v>
      </c>
      <c r="C1471" s="47" t="s">
        <v>4314</v>
      </c>
      <c r="D1471" s="47" t="s">
        <v>4315</v>
      </c>
      <c r="E1471" s="48" t="s">
        <v>4257</v>
      </c>
      <c r="F1471" s="66" t="b">
        <v>0</v>
      </c>
      <c r="G1471" s="54" t="b">
        <v>1</v>
      </c>
      <c r="H1471" s="54" t="b">
        <v>1</v>
      </c>
      <c r="I1471" s="54" t="b">
        <v>1</v>
      </c>
      <c r="J1471" s="54" t="b">
        <v>1</v>
      </c>
      <c r="K1471" s="63" t="s">
        <v>685</v>
      </c>
      <c r="L1471" s="63" t="s">
        <v>4314</v>
      </c>
      <c r="M1471" s="63" t="s">
        <v>4315</v>
      </c>
      <c r="N1471" s="63" t="s">
        <v>4257</v>
      </c>
    </row>
    <row r="1472" spans="1:14" x14ac:dyDescent="0.2">
      <c r="A1472" s="51">
        <v>1471</v>
      </c>
      <c r="B1472" s="54" t="s">
        <v>685</v>
      </c>
      <c r="C1472" s="47" t="s">
        <v>4353</v>
      </c>
      <c r="D1472" s="47" t="s">
        <v>4354</v>
      </c>
      <c r="E1472" s="48" t="s">
        <v>4257</v>
      </c>
      <c r="F1472" s="66" t="b">
        <v>0</v>
      </c>
      <c r="G1472" s="54" t="b">
        <v>1</v>
      </c>
      <c r="H1472" s="54" t="b">
        <v>1</v>
      </c>
      <c r="I1472" s="54" t="b">
        <v>1</v>
      </c>
      <c r="J1472" s="54" t="b">
        <v>1</v>
      </c>
      <c r="K1472" s="63" t="s">
        <v>685</v>
      </c>
      <c r="L1472" s="63" t="s">
        <v>4353</v>
      </c>
      <c r="M1472" s="63" t="s">
        <v>4354</v>
      </c>
      <c r="N1472" s="63" t="s">
        <v>4257</v>
      </c>
    </row>
    <row r="1473" spans="1:14" x14ac:dyDescent="0.2">
      <c r="A1473" s="51">
        <v>1472</v>
      </c>
      <c r="B1473" s="54" t="s">
        <v>685</v>
      </c>
      <c r="C1473" s="47" t="s">
        <v>4340</v>
      </c>
      <c r="D1473" s="47" t="s">
        <v>4341</v>
      </c>
      <c r="E1473" s="48" t="s">
        <v>4257</v>
      </c>
      <c r="F1473" s="66" t="b">
        <v>0</v>
      </c>
      <c r="G1473" s="54" t="b">
        <v>1</v>
      </c>
      <c r="H1473" s="54" t="b">
        <v>1</v>
      </c>
      <c r="I1473" s="54" t="b">
        <v>1</v>
      </c>
      <c r="J1473" s="54" t="b">
        <v>1</v>
      </c>
      <c r="K1473" s="63" t="s">
        <v>685</v>
      </c>
      <c r="L1473" s="63" t="s">
        <v>4340</v>
      </c>
      <c r="M1473" s="63" t="s">
        <v>4341</v>
      </c>
      <c r="N1473" s="63" t="s">
        <v>4257</v>
      </c>
    </row>
    <row r="1474" spans="1:14" x14ac:dyDescent="0.2">
      <c r="A1474" s="51">
        <v>1473</v>
      </c>
      <c r="B1474" s="54" t="s">
        <v>685</v>
      </c>
      <c r="C1474" s="47" t="s">
        <v>4355</v>
      </c>
      <c r="D1474" s="47" t="s">
        <v>4356</v>
      </c>
      <c r="E1474" s="48" t="s">
        <v>4257</v>
      </c>
      <c r="F1474" s="66" t="b">
        <v>0</v>
      </c>
      <c r="G1474" s="54" t="b">
        <v>1</v>
      </c>
      <c r="H1474" s="54" t="b">
        <v>1</v>
      </c>
      <c r="I1474" s="54" t="b">
        <v>1</v>
      </c>
      <c r="J1474" s="54" t="b">
        <v>1</v>
      </c>
      <c r="K1474" s="63" t="s">
        <v>685</v>
      </c>
      <c r="L1474" s="63" t="s">
        <v>4355</v>
      </c>
      <c r="M1474" s="63" t="s">
        <v>4356</v>
      </c>
      <c r="N1474" s="63" t="s">
        <v>4257</v>
      </c>
    </row>
    <row r="1475" spans="1:14" x14ac:dyDescent="0.2">
      <c r="A1475" s="51">
        <v>1474</v>
      </c>
      <c r="B1475" s="54" t="s">
        <v>685</v>
      </c>
      <c r="C1475" s="47" t="s">
        <v>4342</v>
      </c>
      <c r="D1475" s="47" t="s">
        <v>4343</v>
      </c>
      <c r="E1475" s="48" t="s">
        <v>4257</v>
      </c>
      <c r="F1475" s="66" t="b">
        <v>0</v>
      </c>
      <c r="G1475" s="54" t="b">
        <v>1</v>
      </c>
      <c r="H1475" s="54" t="b">
        <v>1</v>
      </c>
      <c r="I1475" s="54" t="b">
        <v>1</v>
      </c>
      <c r="J1475" s="54" t="b">
        <v>1</v>
      </c>
      <c r="K1475" s="63" t="s">
        <v>685</v>
      </c>
      <c r="L1475" s="63" t="s">
        <v>4342</v>
      </c>
      <c r="M1475" s="63" t="s">
        <v>4343</v>
      </c>
      <c r="N1475" s="63" t="s">
        <v>4257</v>
      </c>
    </row>
    <row r="1476" spans="1:14" x14ac:dyDescent="0.2">
      <c r="A1476" s="51">
        <v>1475</v>
      </c>
      <c r="B1476" s="54" t="s">
        <v>685</v>
      </c>
      <c r="C1476" s="47" t="s">
        <v>4344</v>
      </c>
      <c r="D1476" s="47" t="s">
        <v>4345</v>
      </c>
      <c r="E1476" s="48" t="s">
        <v>4257</v>
      </c>
      <c r="F1476" s="66" t="b">
        <v>0</v>
      </c>
      <c r="G1476" s="54" t="b">
        <v>1</v>
      </c>
      <c r="H1476" s="54" t="b">
        <v>1</v>
      </c>
      <c r="I1476" s="54" t="b">
        <v>1</v>
      </c>
      <c r="J1476" s="54" t="b">
        <v>1</v>
      </c>
      <c r="K1476" s="63" t="s">
        <v>685</v>
      </c>
      <c r="L1476" s="63" t="s">
        <v>4344</v>
      </c>
      <c r="M1476" s="63" t="s">
        <v>4345</v>
      </c>
      <c r="N1476" s="63" t="s">
        <v>4257</v>
      </c>
    </row>
    <row r="1477" spans="1:14" x14ac:dyDescent="0.2">
      <c r="A1477" s="51">
        <v>1476</v>
      </c>
      <c r="B1477" s="54" t="s">
        <v>685</v>
      </c>
      <c r="C1477" s="47" t="s">
        <v>4375</v>
      </c>
      <c r="D1477" s="47" t="s">
        <v>4376</v>
      </c>
      <c r="E1477" s="48" t="s">
        <v>4257</v>
      </c>
      <c r="F1477" s="66" t="b">
        <v>0</v>
      </c>
      <c r="G1477" s="54" t="b">
        <v>1</v>
      </c>
      <c r="H1477" s="54" t="b">
        <v>1</v>
      </c>
      <c r="I1477" s="54" t="b">
        <v>1</v>
      </c>
      <c r="J1477" s="54" t="b">
        <v>1</v>
      </c>
      <c r="K1477" s="63" t="s">
        <v>685</v>
      </c>
      <c r="L1477" s="63" t="s">
        <v>4375</v>
      </c>
      <c r="M1477" s="63" t="s">
        <v>4376</v>
      </c>
      <c r="N1477" s="63" t="s">
        <v>4257</v>
      </c>
    </row>
    <row r="1478" spans="1:14" x14ac:dyDescent="0.2">
      <c r="A1478" s="51">
        <v>1477</v>
      </c>
      <c r="B1478" s="54" t="s">
        <v>685</v>
      </c>
      <c r="C1478" s="47" t="s">
        <v>4377</v>
      </c>
      <c r="D1478" s="47" t="s">
        <v>4378</v>
      </c>
      <c r="E1478" s="48" t="s">
        <v>4257</v>
      </c>
      <c r="F1478" s="66" t="b">
        <v>0</v>
      </c>
      <c r="G1478" s="54" t="b">
        <v>1</v>
      </c>
      <c r="H1478" s="54" t="b">
        <v>1</v>
      </c>
      <c r="I1478" s="54" t="b">
        <v>1</v>
      </c>
      <c r="J1478" s="54" t="b">
        <v>1</v>
      </c>
      <c r="K1478" s="63" t="s">
        <v>685</v>
      </c>
      <c r="L1478" s="63" t="s">
        <v>4377</v>
      </c>
      <c r="M1478" s="63" t="s">
        <v>4378</v>
      </c>
      <c r="N1478" s="63" t="s">
        <v>4257</v>
      </c>
    </row>
    <row r="1479" spans="1:14" x14ac:dyDescent="0.2">
      <c r="A1479" s="51">
        <v>1478</v>
      </c>
      <c r="B1479" s="54" t="s">
        <v>685</v>
      </c>
      <c r="C1479" s="47" t="s">
        <v>4379</v>
      </c>
      <c r="D1479" s="47" t="s">
        <v>4380</v>
      </c>
      <c r="E1479" s="48" t="s">
        <v>4257</v>
      </c>
      <c r="F1479" s="66" t="b">
        <v>0</v>
      </c>
      <c r="G1479" s="54" t="b">
        <v>1</v>
      </c>
      <c r="H1479" s="54" t="b">
        <v>1</v>
      </c>
      <c r="I1479" s="54" t="b">
        <v>1</v>
      </c>
      <c r="J1479" s="54" t="b">
        <v>1</v>
      </c>
      <c r="K1479" s="63" t="s">
        <v>685</v>
      </c>
      <c r="L1479" s="63" t="s">
        <v>4379</v>
      </c>
      <c r="M1479" s="63" t="s">
        <v>4380</v>
      </c>
      <c r="N1479" s="63" t="s">
        <v>4257</v>
      </c>
    </row>
    <row r="1480" spans="1:14" x14ac:dyDescent="0.2">
      <c r="A1480" s="51">
        <v>1479</v>
      </c>
      <c r="B1480" s="54" t="s">
        <v>685</v>
      </c>
      <c r="C1480" s="47" t="s">
        <v>4381</v>
      </c>
      <c r="D1480" s="47" t="s">
        <v>4382</v>
      </c>
      <c r="E1480" s="48" t="s">
        <v>4257</v>
      </c>
      <c r="F1480" s="66" t="b">
        <v>0</v>
      </c>
      <c r="G1480" s="54" t="b">
        <v>1</v>
      </c>
      <c r="H1480" s="54" t="b">
        <v>1</v>
      </c>
      <c r="I1480" s="54" t="b">
        <v>1</v>
      </c>
      <c r="J1480" s="54" t="b">
        <v>1</v>
      </c>
      <c r="K1480" s="63" t="s">
        <v>685</v>
      </c>
      <c r="L1480" s="63" t="s">
        <v>4381</v>
      </c>
      <c r="M1480" s="63" t="s">
        <v>4382</v>
      </c>
      <c r="N1480" s="63" t="s">
        <v>4257</v>
      </c>
    </row>
    <row r="1481" spans="1:14" x14ac:dyDescent="0.2">
      <c r="A1481" s="51">
        <v>1480</v>
      </c>
      <c r="B1481" s="54" t="s">
        <v>685</v>
      </c>
      <c r="C1481" s="47" t="s">
        <v>4383</v>
      </c>
      <c r="D1481" s="47" t="s">
        <v>4384</v>
      </c>
      <c r="E1481" s="48" t="s">
        <v>4257</v>
      </c>
      <c r="F1481" s="66" t="b">
        <v>0</v>
      </c>
      <c r="G1481" s="54" t="b">
        <v>1</v>
      </c>
      <c r="H1481" s="54" t="b">
        <v>1</v>
      </c>
      <c r="I1481" s="54" t="b">
        <v>1</v>
      </c>
      <c r="J1481" s="54" t="b">
        <v>1</v>
      </c>
      <c r="K1481" s="63" t="s">
        <v>685</v>
      </c>
      <c r="L1481" s="63" t="s">
        <v>4383</v>
      </c>
      <c r="M1481" s="63" t="s">
        <v>4384</v>
      </c>
      <c r="N1481" s="63" t="s">
        <v>4257</v>
      </c>
    </row>
    <row r="1482" spans="1:14" x14ac:dyDescent="0.2">
      <c r="A1482" s="51">
        <v>1481</v>
      </c>
      <c r="B1482" s="54" t="s">
        <v>685</v>
      </c>
      <c r="C1482" s="47" t="s">
        <v>4385</v>
      </c>
      <c r="D1482" s="47" t="s">
        <v>4386</v>
      </c>
      <c r="E1482" s="48" t="s">
        <v>4257</v>
      </c>
      <c r="F1482" s="66" t="b">
        <v>0</v>
      </c>
      <c r="G1482" s="54" t="b">
        <v>1</v>
      </c>
      <c r="H1482" s="54" t="b">
        <v>1</v>
      </c>
      <c r="I1482" s="54" t="b">
        <v>1</v>
      </c>
      <c r="J1482" s="54" t="b">
        <v>1</v>
      </c>
      <c r="K1482" s="63" t="s">
        <v>685</v>
      </c>
      <c r="L1482" s="63" t="s">
        <v>4385</v>
      </c>
      <c r="M1482" s="63" t="s">
        <v>4386</v>
      </c>
      <c r="N1482" s="63" t="s">
        <v>4257</v>
      </c>
    </row>
    <row r="1483" spans="1:14" x14ac:dyDescent="0.2">
      <c r="A1483" s="51">
        <v>1482</v>
      </c>
      <c r="B1483" s="54" t="s">
        <v>685</v>
      </c>
      <c r="C1483" s="47" t="s">
        <v>4389</v>
      </c>
      <c r="D1483" s="47" t="s">
        <v>4390</v>
      </c>
      <c r="E1483" s="48" t="s">
        <v>4257</v>
      </c>
      <c r="F1483" s="66" t="b">
        <v>0</v>
      </c>
      <c r="G1483" s="54" t="b">
        <v>1</v>
      </c>
      <c r="H1483" s="54" t="b">
        <v>1</v>
      </c>
      <c r="I1483" s="54" t="b">
        <v>1</v>
      </c>
      <c r="J1483" s="54" t="b">
        <v>1</v>
      </c>
      <c r="K1483" s="63" t="s">
        <v>685</v>
      </c>
      <c r="L1483" s="63" t="s">
        <v>4389</v>
      </c>
      <c r="M1483" s="63" t="s">
        <v>4390</v>
      </c>
      <c r="N1483" s="63" t="s">
        <v>4257</v>
      </c>
    </row>
    <row r="1484" spans="1:14" x14ac:dyDescent="0.2">
      <c r="A1484" s="51">
        <v>1483</v>
      </c>
      <c r="B1484" s="54" t="s">
        <v>685</v>
      </c>
      <c r="C1484" s="47" t="s">
        <v>4395</v>
      </c>
      <c r="D1484" s="47" t="s">
        <v>4396</v>
      </c>
      <c r="E1484" s="48" t="s">
        <v>4257</v>
      </c>
      <c r="F1484" s="66" t="b">
        <v>0</v>
      </c>
      <c r="G1484" s="54" t="b">
        <v>1</v>
      </c>
      <c r="H1484" s="54" t="b">
        <v>1</v>
      </c>
      <c r="I1484" s="54" t="b">
        <v>1</v>
      </c>
      <c r="J1484" s="54" t="b">
        <v>1</v>
      </c>
      <c r="K1484" s="63" t="s">
        <v>685</v>
      </c>
      <c r="L1484" s="63" t="s">
        <v>4395</v>
      </c>
      <c r="M1484" s="63" t="s">
        <v>4396</v>
      </c>
      <c r="N1484" s="63" t="s">
        <v>4257</v>
      </c>
    </row>
    <row r="1485" spans="1:14" x14ac:dyDescent="0.2">
      <c r="A1485" s="51">
        <v>1484</v>
      </c>
      <c r="B1485" s="54" t="s">
        <v>685</v>
      </c>
      <c r="C1485" s="47" t="s">
        <v>4397</v>
      </c>
      <c r="D1485" s="47" t="s">
        <v>4398</v>
      </c>
      <c r="E1485" s="48" t="s">
        <v>4257</v>
      </c>
      <c r="F1485" s="66" t="b">
        <v>0</v>
      </c>
      <c r="G1485" s="54" t="b">
        <v>1</v>
      </c>
      <c r="H1485" s="54" t="b">
        <v>1</v>
      </c>
      <c r="I1485" s="54" t="b">
        <v>1</v>
      </c>
      <c r="J1485" s="54" t="b">
        <v>1</v>
      </c>
      <c r="K1485" s="63" t="s">
        <v>685</v>
      </c>
      <c r="L1485" s="63" t="s">
        <v>4397</v>
      </c>
      <c r="M1485" s="63" t="s">
        <v>4398</v>
      </c>
      <c r="N1485" s="63" t="s">
        <v>4257</v>
      </c>
    </row>
    <row r="1486" spans="1:14" x14ac:dyDescent="0.2">
      <c r="A1486" s="51">
        <v>1485</v>
      </c>
      <c r="B1486" s="54" t="s">
        <v>685</v>
      </c>
      <c r="C1486" s="47" t="s">
        <v>4357</v>
      </c>
      <c r="D1486" s="47" t="s">
        <v>4358</v>
      </c>
      <c r="E1486" s="48" t="s">
        <v>4257</v>
      </c>
      <c r="F1486" s="66" t="b">
        <v>0</v>
      </c>
      <c r="G1486" s="54" t="b">
        <v>1</v>
      </c>
      <c r="H1486" s="54" t="b">
        <v>1</v>
      </c>
      <c r="I1486" s="54" t="b">
        <v>1</v>
      </c>
      <c r="J1486" s="54" t="b">
        <v>1</v>
      </c>
      <c r="K1486" s="63" t="s">
        <v>685</v>
      </c>
      <c r="L1486" s="63" t="s">
        <v>4357</v>
      </c>
      <c r="M1486" s="63" t="s">
        <v>4358</v>
      </c>
      <c r="N1486" s="63" t="s">
        <v>4257</v>
      </c>
    </row>
    <row r="1487" spans="1:14" x14ac:dyDescent="0.2">
      <c r="A1487" s="51">
        <v>1486</v>
      </c>
      <c r="B1487" s="54" t="s">
        <v>685</v>
      </c>
      <c r="C1487" s="47" t="s">
        <v>4399</v>
      </c>
      <c r="D1487" s="47" t="s">
        <v>4400</v>
      </c>
      <c r="E1487" s="48" t="s">
        <v>4257</v>
      </c>
      <c r="F1487" s="66" t="b">
        <v>0</v>
      </c>
      <c r="G1487" s="54" t="b">
        <v>1</v>
      </c>
      <c r="H1487" s="54" t="b">
        <v>1</v>
      </c>
      <c r="I1487" s="54" t="b">
        <v>1</v>
      </c>
      <c r="J1487" s="54" t="b">
        <v>1</v>
      </c>
      <c r="K1487" s="63" t="s">
        <v>685</v>
      </c>
      <c r="L1487" s="63" t="s">
        <v>4399</v>
      </c>
      <c r="M1487" s="63" t="s">
        <v>4400</v>
      </c>
      <c r="N1487" s="63" t="s">
        <v>4257</v>
      </c>
    </row>
    <row r="1488" spans="1:14" x14ac:dyDescent="0.2">
      <c r="A1488" s="51">
        <v>1487</v>
      </c>
      <c r="B1488" s="54" t="s">
        <v>685</v>
      </c>
      <c r="C1488" s="47" t="s">
        <v>4401</v>
      </c>
      <c r="D1488" s="47" t="s">
        <v>4402</v>
      </c>
      <c r="E1488" s="48" t="s">
        <v>4257</v>
      </c>
      <c r="F1488" s="66" t="b">
        <v>0</v>
      </c>
      <c r="G1488" s="54" t="b">
        <v>1</v>
      </c>
      <c r="H1488" s="54" t="b">
        <v>1</v>
      </c>
      <c r="I1488" s="54" t="b">
        <v>1</v>
      </c>
      <c r="J1488" s="54" t="b">
        <v>1</v>
      </c>
      <c r="K1488" s="63" t="s">
        <v>685</v>
      </c>
      <c r="L1488" s="63" t="s">
        <v>4401</v>
      </c>
      <c r="M1488" s="63" t="s">
        <v>4402</v>
      </c>
      <c r="N1488" s="63" t="s">
        <v>4257</v>
      </c>
    </row>
    <row r="1489" spans="1:14" x14ac:dyDescent="0.2">
      <c r="A1489" s="51">
        <v>1488</v>
      </c>
      <c r="B1489" s="54" t="s">
        <v>685</v>
      </c>
      <c r="C1489" s="47" t="s">
        <v>4405</v>
      </c>
      <c r="D1489" s="47" t="s">
        <v>4406</v>
      </c>
      <c r="E1489" s="48" t="s">
        <v>4257</v>
      </c>
      <c r="F1489" s="66" t="b">
        <v>0</v>
      </c>
      <c r="G1489" s="54" t="b">
        <v>1</v>
      </c>
      <c r="H1489" s="54" t="b">
        <v>1</v>
      </c>
      <c r="I1489" s="54" t="b">
        <v>1</v>
      </c>
      <c r="J1489" s="54" t="b">
        <v>1</v>
      </c>
      <c r="K1489" s="63" t="s">
        <v>685</v>
      </c>
      <c r="L1489" s="63" t="s">
        <v>4405</v>
      </c>
      <c r="M1489" s="63" t="s">
        <v>4406</v>
      </c>
      <c r="N1489" s="63" t="s">
        <v>4257</v>
      </c>
    </row>
    <row r="1490" spans="1:14" x14ac:dyDescent="0.2">
      <c r="A1490" s="51">
        <v>1489</v>
      </c>
      <c r="B1490" s="54" t="s">
        <v>685</v>
      </c>
      <c r="C1490" s="47" t="s">
        <v>4407</v>
      </c>
      <c r="D1490" s="47" t="s">
        <v>4408</v>
      </c>
      <c r="E1490" s="48" t="s">
        <v>4257</v>
      </c>
      <c r="F1490" s="66" t="b">
        <v>0</v>
      </c>
      <c r="G1490" s="54" t="b">
        <v>1</v>
      </c>
      <c r="H1490" s="54" t="b">
        <v>1</v>
      </c>
      <c r="I1490" s="54" t="b">
        <v>1</v>
      </c>
      <c r="J1490" s="54" t="b">
        <v>1</v>
      </c>
      <c r="K1490" s="63" t="s">
        <v>685</v>
      </c>
      <c r="L1490" s="63" t="s">
        <v>4407</v>
      </c>
      <c r="M1490" s="63" t="s">
        <v>4408</v>
      </c>
      <c r="N1490" s="63" t="s">
        <v>4257</v>
      </c>
    </row>
    <row r="1491" spans="1:14" x14ac:dyDescent="0.2">
      <c r="A1491" s="51">
        <v>1490</v>
      </c>
      <c r="B1491" s="54" t="s">
        <v>685</v>
      </c>
      <c r="C1491" s="47" t="s">
        <v>4409</v>
      </c>
      <c r="D1491" s="47" t="s">
        <v>4410</v>
      </c>
      <c r="E1491" s="48" t="s">
        <v>4257</v>
      </c>
      <c r="F1491" s="66" t="b">
        <v>0</v>
      </c>
      <c r="G1491" s="54" t="b">
        <v>1</v>
      </c>
      <c r="H1491" s="54" t="b">
        <v>1</v>
      </c>
      <c r="I1491" s="54" t="b">
        <v>1</v>
      </c>
      <c r="J1491" s="54" t="b">
        <v>1</v>
      </c>
      <c r="K1491" s="63" t="s">
        <v>685</v>
      </c>
      <c r="L1491" s="63" t="s">
        <v>4409</v>
      </c>
      <c r="M1491" s="63" t="s">
        <v>4410</v>
      </c>
      <c r="N1491" s="63" t="s">
        <v>4257</v>
      </c>
    </row>
    <row r="1492" spans="1:14" x14ac:dyDescent="0.2">
      <c r="A1492" s="51">
        <v>1491</v>
      </c>
      <c r="B1492" s="54" t="s">
        <v>685</v>
      </c>
      <c r="C1492" s="47" t="s">
        <v>4411</v>
      </c>
      <c r="D1492" s="47" t="s">
        <v>4412</v>
      </c>
      <c r="E1492" s="48" t="s">
        <v>4257</v>
      </c>
      <c r="F1492" s="66" t="b">
        <v>0</v>
      </c>
      <c r="G1492" s="54" t="b">
        <v>1</v>
      </c>
      <c r="H1492" s="54" t="b">
        <v>1</v>
      </c>
      <c r="I1492" s="54" t="b">
        <v>1</v>
      </c>
      <c r="J1492" s="54" t="b">
        <v>1</v>
      </c>
      <c r="K1492" s="63" t="s">
        <v>685</v>
      </c>
      <c r="L1492" s="63" t="s">
        <v>4411</v>
      </c>
      <c r="M1492" s="63" t="s">
        <v>4412</v>
      </c>
      <c r="N1492" s="63" t="s">
        <v>4257</v>
      </c>
    </row>
    <row r="1493" spans="1:14" x14ac:dyDescent="0.2">
      <c r="A1493" s="51">
        <v>1492</v>
      </c>
      <c r="B1493" s="54" t="s">
        <v>685</v>
      </c>
      <c r="C1493" s="47" t="s">
        <v>4413</v>
      </c>
      <c r="D1493" s="47" t="s">
        <v>4414</v>
      </c>
      <c r="E1493" s="48" t="s">
        <v>4257</v>
      </c>
      <c r="F1493" s="66" t="b">
        <v>0</v>
      </c>
      <c r="G1493" s="54" t="b">
        <v>1</v>
      </c>
      <c r="H1493" s="54" t="b">
        <v>1</v>
      </c>
      <c r="I1493" s="54" t="b">
        <v>1</v>
      </c>
      <c r="J1493" s="54" t="b">
        <v>1</v>
      </c>
      <c r="K1493" s="63" t="s">
        <v>685</v>
      </c>
      <c r="L1493" s="63" t="s">
        <v>4413</v>
      </c>
      <c r="M1493" s="63" t="s">
        <v>4414</v>
      </c>
      <c r="N1493" s="63" t="s">
        <v>4257</v>
      </c>
    </row>
    <row r="1494" spans="1:14" x14ac:dyDescent="0.2">
      <c r="A1494" s="51">
        <v>1493</v>
      </c>
      <c r="B1494" s="54" t="s">
        <v>685</v>
      </c>
      <c r="C1494" s="47" t="s">
        <v>4415</v>
      </c>
      <c r="D1494" s="47" t="s">
        <v>4416</v>
      </c>
      <c r="E1494" s="48" t="s">
        <v>4257</v>
      </c>
      <c r="F1494" s="66" t="b">
        <v>0</v>
      </c>
      <c r="G1494" s="54" t="b">
        <v>1</v>
      </c>
      <c r="H1494" s="54" t="b">
        <v>1</v>
      </c>
      <c r="I1494" s="54" t="b">
        <v>1</v>
      </c>
      <c r="J1494" s="54" t="b">
        <v>1</v>
      </c>
      <c r="K1494" s="63" t="s">
        <v>685</v>
      </c>
      <c r="L1494" s="63" t="s">
        <v>4415</v>
      </c>
      <c r="M1494" s="63" t="s">
        <v>4416</v>
      </c>
      <c r="N1494" s="63" t="s">
        <v>4257</v>
      </c>
    </row>
    <row r="1495" spans="1:14" x14ac:dyDescent="0.2">
      <c r="A1495" s="51">
        <v>1494</v>
      </c>
      <c r="B1495" s="54" t="s">
        <v>685</v>
      </c>
      <c r="C1495" s="47" t="s">
        <v>4359</v>
      </c>
      <c r="D1495" s="47" t="s">
        <v>4360</v>
      </c>
      <c r="E1495" s="48" t="s">
        <v>4257</v>
      </c>
      <c r="F1495" s="66" t="b">
        <v>0</v>
      </c>
      <c r="G1495" s="54" t="b">
        <v>1</v>
      </c>
      <c r="H1495" s="54" t="b">
        <v>1</v>
      </c>
      <c r="I1495" s="54" t="b">
        <v>1</v>
      </c>
      <c r="J1495" s="54" t="b">
        <v>1</v>
      </c>
      <c r="K1495" s="63" t="s">
        <v>685</v>
      </c>
      <c r="L1495" s="63" t="s">
        <v>4359</v>
      </c>
      <c r="M1495" s="63" t="s">
        <v>4360</v>
      </c>
      <c r="N1495" s="63" t="s">
        <v>4257</v>
      </c>
    </row>
    <row r="1496" spans="1:14" x14ac:dyDescent="0.2">
      <c r="A1496" s="51">
        <v>1495</v>
      </c>
      <c r="B1496" s="54" t="s">
        <v>685</v>
      </c>
      <c r="C1496" s="47" t="s">
        <v>4419</v>
      </c>
      <c r="D1496" s="47" t="s">
        <v>4420</v>
      </c>
      <c r="E1496" s="48" t="s">
        <v>4257</v>
      </c>
      <c r="F1496" s="66" t="b">
        <v>0</v>
      </c>
      <c r="G1496" s="54" t="b">
        <v>1</v>
      </c>
      <c r="H1496" s="54" t="b">
        <v>1</v>
      </c>
      <c r="I1496" s="54" t="b">
        <v>1</v>
      </c>
      <c r="J1496" s="54" t="b">
        <v>1</v>
      </c>
      <c r="K1496" s="63" t="s">
        <v>685</v>
      </c>
      <c r="L1496" s="63" t="s">
        <v>4419</v>
      </c>
      <c r="M1496" s="63" t="s">
        <v>4420</v>
      </c>
      <c r="N1496" s="63" t="s">
        <v>4257</v>
      </c>
    </row>
    <row r="1497" spans="1:14" x14ac:dyDescent="0.2">
      <c r="A1497" s="51">
        <v>1496</v>
      </c>
      <c r="B1497" s="54" t="s">
        <v>685</v>
      </c>
      <c r="C1497" s="47" t="s">
        <v>4423</v>
      </c>
      <c r="D1497" s="47" t="s">
        <v>4424</v>
      </c>
      <c r="E1497" s="48" t="s">
        <v>4257</v>
      </c>
      <c r="F1497" s="66" t="b">
        <v>0</v>
      </c>
      <c r="G1497" s="54" t="b">
        <v>1</v>
      </c>
      <c r="H1497" s="54" t="b">
        <v>1</v>
      </c>
      <c r="I1497" s="54" t="b">
        <v>1</v>
      </c>
      <c r="J1497" s="54" t="b">
        <v>1</v>
      </c>
      <c r="K1497" s="63" t="s">
        <v>685</v>
      </c>
      <c r="L1497" s="63" t="s">
        <v>4423</v>
      </c>
      <c r="M1497" s="63" t="s">
        <v>4424</v>
      </c>
      <c r="N1497" s="63" t="s">
        <v>4257</v>
      </c>
    </row>
    <row r="1498" spans="1:14" x14ac:dyDescent="0.2">
      <c r="A1498" s="51">
        <v>1497</v>
      </c>
      <c r="B1498" s="54" t="s">
        <v>685</v>
      </c>
      <c r="C1498" s="47" t="s">
        <v>4425</v>
      </c>
      <c r="D1498" s="47" t="s">
        <v>4426</v>
      </c>
      <c r="E1498" s="48" t="s">
        <v>4257</v>
      </c>
      <c r="F1498" s="66" t="b">
        <v>0</v>
      </c>
      <c r="G1498" s="54" t="b">
        <v>1</v>
      </c>
      <c r="H1498" s="54" t="b">
        <v>1</v>
      </c>
      <c r="I1498" s="54" t="b">
        <v>1</v>
      </c>
      <c r="J1498" s="54" t="b">
        <v>1</v>
      </c>
      <c r="K1498" s="63" t="s">
        <v>685</v>
      </c>
      <c r="L1498" s="63" t="s">
        <v>4425</v>
      </c>
      <c r="M1498" s="63" t="s">
        <v>4426</v>
      </c>
      <c r="N1498" s="63" t="s">
        <v>4257</v>
      </c>
    </row>
    <row r="1499" spans="1:14" x14ac:dyDescent="0.2">
      <c r="A1499" s="51">
        <v>1498</v>
      </c>
      <c r="B1499" s="54" t="s">
        <v>685</v>
      </c>
      <c r="C1499" s="47" t="s">
        <v>4429</v>
      </c>
      <c r="D1499" s="47" t="s">
        <v>4430</v>
      </c>
      <c r="E1499" s="48" t="s">
        <v>4257</v>
      </c>
      <c r="F1499" s="66" t="b">
        <v>0</v>
      </c>
      <c r="G1499" s="54" t="b">
        <v>1</v>
      </c>
      <c r="H1499" s="54" t="b">
        <v>1</v>
      </c>
      <c r="I1499" s="54" t="b">
        <v>1</v>
      </c>
      <c r="J1499" s="54" t="b">
        <v>1</v>
      </c>
      <c r="K1499" s="63" t="s">
        <v>685</v>
      </c>
      <c r="L1499" s="63" t="s">
        <v>4429</v>
      </c>
      <c r="M1499" s="63" t="s">
        <v>4430</v>
      </c>
      <c r="N1499" s="63" t="s">
        <v>4257</v>
      </c>
    </row>
    <row r="1500" spans="1:14" x14ac:dyDescent="0.2">
      <c r="A1500" s="51">
        <v>1499</v>
      </c>
      <c r="B1500" s="54" t="s">
        <v>685</v>
      </c>
      <c r="C1500" s="47" t="s">
        <v>4431</v>
      </c>
      <c r="D1500" s="47" t="s">
        <v>4432</v>
      </c>
      <c r="E1500" s="48" t="s">
        <v>4257</v>
      </c>
      <c r="F1500" s="66" t="b">
        <v>0</v>
      </c>
      <c r="G1500" s="54" t="b">
        <v>1</v>
      </c>
      <c r="H1500" s="54" t="b">
        <v>1</v>
      </c>
      <c r="I1500" s="54" t="b">
        <v>1</v>
      </c>
      <c r="J1500" s="54" t="b">
        <v>1</v>
      </c>
      <c r="K1500" s="63" t="s">
        <v>685</v>
      </c>
      <c r="L1500" s="63" t="s">
        <v>4431</v>
      </c>
      <c r="M1500" s="63" t="s">
        <v>4432</v>
      </c>
      <c r="N1500" s="63" t="s">
        <v>4257</v>
      </c>
    </row>
    <row r="1501" spans="1:14" x14ac:dyDescent="0.2">
      <c r="A1501" s="51">
        <v>1500</v>
      </c>
      <c r="B1501" s="54" t="s">
        <v>685</v>
      </c>
      <c r="C1501" s="47" t="s">
        <v>4433</v>
      </c>
      <c r="D1501" s="47" t="s">
        <v>4434</v>
      </c>
      <c r="E1501" s="48" t="s">
        <v>4257</v>
      </c>
      <c r="F1501" s="66" t="b">
        <v>0</v>
      </c>
      <c r="G1501" s="54" t="b">
        <v>1</v>
      </c>
      <c r="H1501" s="54" t="b">
        <v>1</v>
      </c>
      <c r="I1501" s="54" t="b">
        <v>1</v>
      </c>
      <c r="J1501" s="54" t="b">
        <v>1</v>
      </c>
      <c r="K1501" s="63" t="s">
        <v>685</v>
      </c>
      <c r="L1501" s="63" t="s">
        <v>4433</v>
      </c>
      <c r="M1501" s="63" t="s">
        <v>4434</v>
      </c>
      <c r="N1501" s="63" t="s">
        <v>4257</v>
      </c>
    </row>
    <row r="1502" spans="1:14" x14ac:dyDescent="0.2">
      <c r="A1502" s="51">
        <v>1501</v>
      </c>
      <c r="B1502" s="54" t="s">
        <v>685</v>
      </c>
      <c r="C1502" s="47" t="s">
        <v>4435</v>
      </c>
      <c r="D1502" s="47" t="s">
        <v>2929</v>
      </c>
      <c r="E1502" s="48" t="s">
        <v>4257</v>
      </c>
      <c r="F1502" s="66" t="b">
        <v>0</v>
      </c>
      <c r="G1502" s="54" t="b">
        <v>1</v>
      </c>
      <c r="H1502" s="54" t="b">
        <v>1</v>
      </c>
      <c r="I1502" s="54" t="b">
        <v>1</v>
      </c>
      <c r="J1502" s="54" t="b">
        <v>1</v>
      </c>
      <c r="K1502" s="63" t="s">
        <v>685</v>
      </c>
      <c r="L1502" s="63" t="s">
        <v>4435</v>
      </c>
      <c r="M1502" s="63" t="s">
        <v>2929</v>
      </c>
      <c r="N1502" s="63" t="s">
        <v>4257</v>
      </c>
    </row>
    <row r="1503" spans="1:14" x14ac:dyDescent="0.2">
      <c r="A1503" s="51">
        <v>1502</v>
      </c>
      <c r="B1503" s="54" t="s">
        <v>685</v>
      </c>
      <c r="C1503" s="47" t="s">
        <v>4441</v>
      </c>
      <c r="D1503" s="47" t="s">
        <v>4442</v>
      </c>
      <c r="E1503" s="48" t="s">
        <v>4257</v>
      </c>
      <c r="F1503" s="66" t="b">
        <v>0</v>
      </c>
      <c r="G1503" s="54" t="b">
        <v>1</v>
      </c>
      <c r="H1503" s="54" t="b">
        <v>1</v>
      </c>
      <c r="I1503" s="54" t="b">
        <v>1</v>
      </c>
      <c r="J1503" s="54" t="b">
        <v>1</v>
      </c>
      <c r="K1503" s="63" t="s">
        <v>685</v>
      </c>
      <c r="L1503" s="63" t="s">
        <v>4441</v>
      </c>
      <c r="M1503" s="63" t="s">
        <v>4442</v>
      </c>
      <c r="N1503" s="63" t="s">
        <v>4257</v>
      </c>
    </row>
    <row r="1504" spans="1:14" x14ac:dyDescent="0.2">
      <c r="A1504" s="51">
        <v>1503</v>
      </c>
      <c r="B1504" s="54" t="s">
        <v>685</v>
      </c>
      <c r="C1504" s="47" t="s">
        <v>4443</v>
      </c>
      <c r="D1504" s="47" t="s">
        <v>4444</v>
      </c>
      <c r="E1504" s="48" t="s">
        <v>4257</v>
      </c>
      <c r="F1504" s="66" t="b">
        <v>0</v>
      </c>
      <c r="G1504" s="54" t="b">
        <v>1</v>
      </c>
      <c r="H1504" s="54" t="b">
        <v>1</v>
      </c>
      <c r="I1504" s="54" t="b">
        <v>1</v>
      </c>
      <c r="J1504" s="54" t="b">
        <v>1</v>
      </c>
      <c r="K1504" s="63" t="s">
        <v>685</v>
      </c>
      <c r="L1504" s="63" t="s">
        <v>4443</v>
      </c>
      <c r="M1504" s="63" t="s">
        <v>4444</v>
      </c>
      <c r="N1504" s="63" t="s">
        <v>4257</v>
      </c>
    </row>
    <row r="1505" spans="1:14" x14ac:dyDescent="0.2">
      <c r="A1505" s="51">
        <v>1504</v>
      </c>
      <c r="B1505" s="54" t="s">
        <v>685</v>
      </c>
      <c r="C1505" s="47" t="s">
        <v>4447</v>
      </c>
      <c r="D1505" s="47" t="s">
        <v>4448</v>
      </c>
      <c r="E1505" s="48" t="s">
        <v>4257</v>
      </c>
      <c r="F1505" s="66" t="b">
        <v>0</v>
      </c>
      <c r="G1505" s="54" t="b">
        <v>1</v>
      </c>
      <c r="H1505" s="54" t="b">
        <v>1</v>
      </c>
      <c r="I1505" s="54" t="b">
        <v>1</v>
      </c>
      <c r="J1505" s="54" t="b">
        <v>1</v>
      </c>
      <c r="K1505" s="63" t="s">
        <v>685</v>
      </c>
      <c r="L1505" s="63" t="s">
        <v>4447</v>
      </c>
      <c r="M1505" s="63" t="s">
        <v>4448</v>
      </c>
      <c r="N1505" s="63" t="s">
        <v>4257</v>
      </c>
    </row>
    <row r="1506" spans="1:14" x14ac:dyDescent="0.2">
      <c r="A1506" s="51">
        <v>1505</v>
      </c>
      <c r="B1506" s="54" t="s">
        <v>685</v>
      </c>
      <c r="C1506" s="47" t="s">
        <v>4459</v>
      </c>
      <c r="D1506" s="47" t="s">
        <v>4460</v>
      </c>
      <c r="E1506" s="48" t="s">
        <v>4257</v>
      </c>
      <c r="F1506" s="66" t="b">
        <v>0</v>
      </c>
      <c r="G1506" s="54" t="b">
        <v>1</v>
      </c>
      <c r="H1506" s="54" t="b">
        <v>1</v>
      </c>
      <c r="I1506" s="54" t="b">
        <v>1</v>
      </c>
      <c r="J1506" s="54" t="b">
        <v>1</v>
      </c>
      <c r="K1506" s="63" t="s">
        <v>685</v>
      </c>
      <c r="L1506" s="63" t="s">
        <v>4459</v>
      </c>
      <c r="M1506" s="63" t="s">
        <v>4460</v>
      </c>
      <c r="N1506" s="63" t="s">
        <v>4257</v>
      </c>
    </row>
    <row r="1507" spans="1:14" x14ac:dyDescent="0.2">
      <c r="A1507" s="51">
        <v>1506</v>
      </c>
      <c r="B1507" s="54" t="s">
        <v>685</v>
      </c>
      <c r="C1507" s="47" t="s">
        <v>4461</v>
      </c>
      <c r="D1507" s="47" t="s">
        <v>4462</v>
      </c>
      <c r="E1507" s="48" t="s">
        <v>4257</v>
      </c>
      <c r="F1507" s="66" t="b">
        <v>0</v>
      </c>
      <c r="G1507" s="54" t="b">
        <v>1</v>
      </c>
      <c r="H1507" s="54" t="b">
        <v>1</v>
      </c>
      <c r="I1507" s="54" t="b">
        <v>1</v>
      </c>
      <c r="J1507" s="54" t="b">
        <v>1</v>
      </c>
      <c r="K1507" s="63" t="s">
        <v>685</v>
      </c>
      <c r="L1507" s="63" t="s">
        <v>4461</v>
      </c>
      <c r="M1507" s="63" t="s">
        <v>4462</v>
      </c>
      <c r="N1507" s="63" t="s">
        <v>4257</v>
      </c>
    </row>
    <row r="1508" spans="1:14" x14ac:dyDescent="0.2">
      <c r="A1508" s="51">
        <v>1507</v>
      </c>
      <c r="B1508" s="54" t="s">
        <v>685</v>
      </c>
      <c r="C1508" s="47" t="s">
        <v>4371</v>
      </c>
      <c r="D1508" s="47" t="s">
        <v>4372</v>
      </c>
      <c r="E1508" s="48" t="s">
        <v>4257</v>
      </c>
      <c r="F1508" s="66" t="b">
        <v>0</v>
      </c>
      <c r="G1508" s="54" t="b">
        <v>1</v>
      </c>
      <c r="H1508" s="54" t="b">
        <v>1</v>
      </c>
      <c r="I1508" s="54" t="b">
        <v>1</v>
      </c>
      <c r="J1508" s="54" t="b">
        <v>1</v>
      </c>
      <c r="K1508" s="63" t="s">
        <v>685</v>
      </c>
      <c r="L1508" s="63" t="s">
        <v>4371</v>
      </c>
      <c r="M1508" s="63" t="s">
        <v>4372</v>
      </c>
      <c r="N1508" s="63" t="s">
        <v>4257</v>
      </c>
    </row>
    <row r="1509" spans="1:14" x14ac:dyDescent="0.2">
      <c r="A1509" s="51">
        <v>1508</v>
      </c>
      <c r="B1509" s="54" t="s">
        <v>685</v>
      </c>
      <c r="C1509" s="47" t="s">
        <v>4463</v>
      </c>
      <c r="D1509" s="47" t="s">
        <v>4464</v>
      </c>
      <c r="E1509" s="48" t="s">
        <v>4257</v>
      </c>
      <c r="F1509" s="66" t="b">
        <v>0</v>
      </c>
      <c r="G1509" s="54" t="b">
        <v>1</v>
      </c>
      <c r="H1509" s="54" t="b">
        <v>1</v>
      </c>
      <c r="I1509" s="54" t="b">
        <v>1</v>
      </c>
      <c r="J1509" s="54" t="b">
        <v>1</v>
      </c>
      <c r="K1509" s="63" t="s">
        <v>685</v>
      </c>
      <c r="L1509" s="63" t="s">
        <v>4463</v>
      </c>
      <c r="M1509" s="63" t="s">
        <v>4464</v>
      </c>
      <c r="N1509" s="63" t="s">
        <v>4257</v>
      </c>
    </row>
    <row r="1510" spans="1:14" x14ac:dyDescent="0.2">
      <c r="A1510" s="51">
        <v>1509</v>
      </c>
      <c r="B1510" s="54" t="s">
        <v>685</v>
      </c>
      <c r="C1510" s="47" t="s">
        <v>4285</v>
      </c>
      <c r="D1510" s="47" t="s">
        <v>4286</v>
      </c>
      <c r="E1510" s="48" t="s">
        <v>4257</v>
      </c>
      <c r="F1510" s="66" t="b">
        <v>0</v>
      </c>
      <c r="G1510" s="54" t="b">
        <v>1</v>
      </c>
      <c r="H1510" s="54" t="b">
        <v>1</v>
      </c>
      <c r="I1510" s="54" t="b">
        <v>1</v>
      </c>
      <c r="J1510" s="54" t="b">
        <v>1</v>
      </c>
      <c r="K1510" s="63" t="s">
        <v>685</v>
      </c>
      <c r="L1510" s="63" t="s">
        <v>4285</v>
      </c>
      <c r="M1510" s="63" t="s">
        <v>4286</v>
      </c>
      <c r="N1510" s="63" t="s">
        <v>4257</v>
      </c>
    </row>
    <row r="1511" spans="1:14" x14ac:dyDescent="0.2">
      <c r="A1511" s="51">
        <v>1510</v>
      </c>
      <c r="B1511" s="54" t="s">
        <v>685</v>
      </c>
      <c r="C1511" s="47" t="s">
        <v>4351</v>
      </c>
      <c r="D1511" s="47" t="s">
        <v>4352</v>
      </c>
      <c r="E1511" s="48" t="s">
        <v>4257</v>
      </c>
      <c r="F1511" s="66" t="b">
        <v>0</v>
      </c>
      <c r="G1511" s="54" t="b">
        <v>1</v>
      </c>
      <c r="H1511" s="54" t="b">
        <v>1</v>
      </c>
      <c r="I1511" s="54" t="b">
        <v>1</v>
      </c>
      <c r="J1511" s="54" t="b">
        <v>1</v>
      </c>
      <c r="K1511" s="63" t="s">
        <v>685</v>
      </c>
      <c r="L1511" s="63" t="s">
        <v>4351</v>
      </c>
      <c r="M1511" s="63" t="s">
        <v>4352</v>
      </c>
      <c r="N1511" s="63" t="s">
        <v>4257</v>
      </c>
    </row>
    <row r="1512" spans="1:14" x14ac:dyDescent="0.2">
      <c r="A1512" s="51">
        <v>1511</v>
      </c>
      <c r="B1512" s="54" t="s">
        <v>685</v>
      </c>
      <c r="C1512" s="47" t="s">
        <v>4465</v>
      </c>
      <c r="D1512" s="47" t="s">
        <v>4466</v>
      </c>
      <c r="E1512" s="48" t="s">
        <v>4257</v>
      </c>
      <c r="F1512" s="66" t="b">
        <v>0</v>
      </c>
      <c r="G1512" s="54" t="b">
        <v>1</v>
      </c>
      <c r="H1512" s="54" t="b">
        <v>1</v>
      </c>
      <c r="I1512" s="54" t="b">
        <v>1</v>
      </c>
      <c r="J1512" s="54" t="b">
        <v>1</v>
      </c>
      <c r="K1512" s="63" t="s">
        <v>685</v>
      </c>
      <c r="L1512" s="63" t="s">
        <v>4465</v>
      </c>
      <c r="M1512" s="63" t="s">
        <v>4466</v>
      </c>
      <c r="N1512" s="63" t="s">
        <v>4257</v>
      </c>
    </row>
    <row r="1513" spans="1:14" x14ac:dyDescent="0.2">
      <c r="A1513" s="51">
        <v>1512</v>
      </c>
      <c r="B1513" s="54" t="s">
        <v>685</v>
      </c>
      <c r="C1513" s="47" t="s">
        <v>4365</v>
      </c>
      <c r="D1513" s="47" t="s">
        <v>4366</v>
      </c>
      <c r="E1513" s="48" t="s">
        <v>4257</v>
      </c>
      <c r="F1513" s="66" t="b">
        <v>0</v>
      </c>
      <c r="G1513" s="54" t="b">
        <v>1</v>
      </c>
      <c r="H1513" s="54" t="b">
        <v>1</v>
      </c>
      <c r="I1513" s="54" t="b">
        <v>1</v>
      </c>
      <c r="J1513" s="54" t="b">
        <v>1</v>
      </c>
      <c r="K1513" s="63" t="s">
        <v>685</v>
      </c>
      <c r="L1513" s="63" t="s">
        <v>4365</v>
      </c>
      <c r="M1513" s="63" t="s">
        <v>4366</v>
      </c>
      <c r="N1513" s="63" t="s">
        <v>4257</v>
      </c>
    </row>
    <row r="1514" spans="1:14" x14ac:dyDescent="0.2">
      <c r="A1514" s="51">
        <v>1513</v>
      </c>
      <c r="B1514" s="54" t="s">
        <v>685</v>
      </c>
      <c r="C1514" s="47" t="s">
        <v>4479</v>
      </c>
      <c r="D1514" s="47" t="s">
        <v>4480</v>
      </c>
      <c r="E1514" s="48" t="s">
        <v>4257</v>
      </c>
      <c r="F1514" s="66" t="b">
        <v>0</v>
      </c>
      <c r="G1514" s="54" t="b">
        <v>1</v>
      </c>
      <c r="H1514" s="54" t="b">
        <v>1</v>
      </c>
      <c r="I1514" s="54" t="b">
        <v>1</v>
      </c>
      <c r="J1514" s="54" t="b">
        <v>1</v>
      </c>
      <c r="K1514" s="63" t="s">
        <v>685</v>
      </c>
      <c r="L1514" s="63" t="s">
        <v>4479</v>
      </c>
      <c r="M1514" s="63" t="s">
        <v>4480</v>
      </c>
      <c r="N1514" s="63" t="s">
        <v>4257</v>
      </c>
    </row>
    <row r="1515" spans="1:14" x14ac:dyDescent="0.2">
      <c r="A1515" s="51">
        <v>1514</v>
      </c>
      <c r="B1515" s="54" t="s">
        <v>685</v>
      </c>
      <c r="C1515" s="47" t="s">
        <v>4475</v>
      </c>
      <c r="D1515" s="47" t="s">
        <v>4476</v>
      </c>
      <c r="E1515" s="48" t="s">
        <v>4257</v>
      </c>
      <c r="F1515" s="66" t="b">
        <v>0</v>
      </c>
      <c r="G1515" s="54" t="b">
        <v>1</v>
      </c>
      <c r="H1515" s="54" t="b">
        <v>1</v>
      </c>
      <c r="I1515" s="54" t="b">
        <v>1</v>
      </c>
      <c r="J1515" s="54" t="b">
        <v>1</v>
      </c>
      <c r="K1515" s="63" t="s">
        <v>685</v>
      </c>
      <c r="L1515" s="63" t="s">
        <v>4475</v>
      </c>
      <c r="M1515" s="63" t="s">
        <v>4476</v>
      </c>
      <c r="N1515" s="63" t="s">
        <v>4257</v>
      </c>
    </row>
    <row r="1516" spans="1:14" x14ac:dyDescent="0.2">
      <c r="A1516" s="51">
        <v>1515</v>
      </c>
      <c r="B1516" s="54" t="s">
        <v>685</v>
      </c>
      <c r="C1516" s="47" t="s">
        <v>4477</v>
      </c>
      <c r="D1516" s="47" t="s">
        <v>4478</v>
      </c>
      <c r="E1516" s="48" t="s">
        <v>4257</v>
      </c>
      <c r="F1516" s="66" t="b">
        <v>0</v>
      </c>
      <c r="G1516" s="54" t="b">
        <v>1</v>
      </c>
      <c r="H1516" s="54" t="b">
        <v>1</v>
      </c>
      <c r="I1516" s="54" t="b">
        <v>1</v>
      </c>
      <c r="J1516" s="54" t="b">
        <v>1</v>
      </c>
      <c r="K1516" s="63" t="s">
        <v>685</v>
      </c>
      <c r="L1516" s="63" t="s">
        <v>4477</v>
      </c>
      <c r="M1516" s="63" t="s">
        <v>4478</v>
      </c>
      <c r="N1516" s="63" t="s">
        <v>4257</v>
      </c>
    </row>
    <row r="1517" spans="1:14" x14ac:dyDescent="0.2">
      <c r="A1517" s="51">
        <v>1516</v>
      </c>
      <c r="B1517" s="54" t="s">
        <v>685</v>
      </c>
      <c r="C1517" s="47" t="s">
        <v>4363</v>
      </c>
      <c r="D1517" s="47" t="s">
        <v>4364</v>
      </c>
      <c r="E1517" s="48" t="s">
        <v>4257</v>
      </c>
      <c r="F1517" s="66" t="b">
        <v>0</v>
      </c>
      <c r="G1517" s="54" t="b">
        <v>1</v>
      </c>
      <c r="H1517" s="54" t="b">
        <v>1</v>
      </c>
      <c r="I1517" s="54" t="b">
        <v>1</v>
      </c>
      <c r="J1517" s="54" t="b">
        <v>1</v>
      </c>
      <c r="K1517" s="63" t="s">
        <v>685</v>
      </c>
      <c r="L1517" s="63" t="s">
        <v>4363</v>
      </c>
      <c r="M1517" s="63" t="s">
        <v>4364</v>
      </c>
      <c r="N1517" s="63" t="s">
        <v>4257</v>
      </c>
    </row>
    <row r="1518" spans="1:14" x14ac:dyDescent="0.2">
      <c r="A1518" s="51">
        <v>1517</v>
      </c>
      <c r="B1518" s="54" t="s">
        <v>685</v>
      </c>
      <c r="C1518" s="47" t="s">
        <v>4445</v>
      </c>
      <c r="D1518" s="47" t="s">
        <v>4446</v>
      </c>
      <c r="E1518" s="48" t="s">
        <v>4257</v>
      </c>
      <c r="F1518" s="66" t="b">
        <v>0</v>
      </c>
      <c r="G1518" s="54" t="b">
        <v>1</v>
      </c>
      <c r="H1518" s="54" t="b">
        <v>1</v>
      </c>
      <c r="I1518" s="54" t="b">
        <v>1</v>
      </c>
      <c r="J1518" s="54" t="b">
        <v>1</v>
      </c>
      <c r="K1518" s="63" t="s">
        <v>685</v>
      </c>
      <c r="L1518" s="63" t="s">
        <v>4445</v>
      </c>
      <c r="M1518" s="63" t="s">
        <v>4446</v>
      </c>
      <c r="N1518" s="63" t="s">
        <v>4257</v>
      </c>
    </row>
    <row r="1519" spans="1:14" x14ac:dyDescent="0.2">
      <c r="A1519" s="51">
        <v>1518</v>
      </c>
      <c r="B1519" s="54" t="s">
        <v>685</v>
      </c>
      <c r="C1519" s="47" t="s">
        <v>4481</v>
      </c>
      <c r="D1519" s="47" t="s">
        <v>4482</v>
      </c>
      <c r="E1519" s="48" t="s">
        <v>4257</v>
      </c>
      <c r="F1519" s="66" t="b">
        <v>0</v>
      </c>
      <c r="G1519" s="54" t="b">
        <v>1</v>
      </c>
      <c r="H1519" s="54" t="b">
        <v>1</v>
      </c>
      <c r="I1519" s="54" t="b">
        <v>1</v>
      </c>
      <c r="J1519" s="54" t="b">
        <v>1</v>
      </c>
      <c r="K1519" s="63" t="s">
        <v>685</v>
      </c>
      <c r="L1519" s="63" t="s">
        <v>4481</v>
      </c>
      <c r="M1519" s="63" t="s">
        <v>4482</v>
      </c>
      <c r="N1519" s="63" t="s">
        <v>4257</v>
      </c>
    </row>
    <row r="1520" spans="1:14" x14ac:dyDescent="0.2">
      <c r="A1520" s="51">
        <v>1519</v>
      </c>
      <c r="B1520" s="54" t="s">
        <v>685</v>
      </c>
      <c r="C1520" s="47" t="s">
        <v>4485</v>
      </c>
      <c r="D1520" s="47" t="s">
        <v>4486</v>
      </c>
      <c r="E1520" s="48" t="s">
        <v>4257</v>
      </c>
      <c r="F1520" s="66" t="b">
        <v>0</v>
      </c>
      <c r="G1520" s="54" t="b">
        <v>1</v>
      </c>
      <c r="H1520" s="54" t="b">
        <v>1</v>
      </c>
      <c r="I1520" s="54" t="b">
        <v>1</v>
      </c>
      <c r="J1520" s="54" t="b">
        <v>1</v>
      </c>
      <c r="K1520" s="63" t="s">
        <v>685</v>
      </c>
      <c r="L1520" s="63" t="s">
        <v>4485</v>
      </c>
      <c r="M1520" s="63" t="s">
        <v>4486</v>
      </c>
      <c r="N1520" s="63" t="s">
        <v>4257</v>
      </c>
    </row>
    <row r="1521" spans="1:14" x14ac:dyDescent="0.2">
      <c r="A1521" s="51">
        <v>1520</v>
      </c>
      <c r="B1521" s="54" t="s">
        <v>685</v>
      </c>
      <c r="C1521" s="47" t="s">
        <v>4515</v>
      </c>
      <c r="D1521" s="47" t="s">
        <v>4516</v>
      </c>
      <c r="E1521" s="48" t="s">
        <v>4257</v>
      </c>
      <c r="F1521" s="66" t="b">
        <v>0</v>
      </c>
      <c r="G1521" s="54" t="b">
        <v>1</v>
      </c>
      <c r="H1521" s="54" t="b">
        <v>1</v>
      </c>
      <c r="I1521" s="54" t="b">
        <v>1</v>
      </c>
      <c r="J1521" s="54" t="b">
        <v>1</v>
      </c>
      <c r="K1521" s="63" t="s">
        <v>685</v>
      </c>
      <c r="L1521" s="63" t="s">
        <v>4515</v>
      </c>
      <c r="M1521" s="63" t="s">
        <v>4516</v>
      </c>
      <c r="N1521" s="63" t="s">
        <v>4257</v>
      </c>
    </row>
    <row r="1522" spans="1:14" x14ac:dyDescent="0.2">
      <c r="A1522" s="51">
        <v>1521</v>
      </c>
      <c r="B1522" s="54" t="s">
        <v>685</v>
      </c>
      <c r="C1522" s="47" t="s">
        <v>4322</v>
      </c>
      <c r="D1522" s="47" t="s">
        <v>4323</v>
      </c>
      <c r="E1522" s="48" t="s">
        <v>4257</v>
      </c>
      <c r="F1522" s="66" t="b">
        <v>0</v>
      </c>
      <c r="G1522" s="54" t="b">
        <v>1</v>
      </c>
      <c r="H1522" s="54" t="b">
        <v>1</v>
      </c>
      <c r="I1522" s="54" t="b">
        <v>1</v>
      </c>
      <c r="J1522" s="54" t="b">
        <v>1</v>
      </c>
      <c r="K1522" s="63" t="s">
        <v>685</v>
      </c>
      <c r="L1522" s="63" t="s">
        <v>4322</v>
      </c>
      <c r="M1522" s="63" t="s">
        <v>4323</v>
      </c>
      <c r="N1522" s="63" t="s">
        <v>4257</v>
      </c>
    </row>
    <row r="1523" spans="1:14" x14ac:dyDescent="0.2">
      <c r="A1523" s="51">
        <v>1522</v>
      </c>
      <c r="B1523" s="54" t="s">
        <v>685</v>
      </c>
      <c r="C1523" s="47" t="s">
        <v>4487</v>
      </c>
      <c r="D1523" s="47" t="s">
        <v>4488</v>
      </c>
      <c r="E1523" s="48" t="s">
        <v>4257</v>
      </c>
      <c r="F1523" s="66" t="b">
        <v>0</v>
      </c>
      <c r="G1523" s="54" t="b">
        <v>1</v>
      </c>
      <c r="H1523" s="54" t="b">
        <v>1</v>
      </c>
      <c r="I1523" s="54" t="b">
        <v>1</v>
      </c>
      <c r="J1523" s="54" t="b">
        <v>1</v>
      </c>
      <c r="K1523" s="63" t="s">
        <v>685</v>
      </c>
      <c r="L1523" s="63" t="s">
        <v>4487</v>
      </c>
      <c r="M1523" s="63" t="s">
        <v>4488</v>
      </c>
      <c r="N1523" s="63" t="s">
        <v>4257</v>
      </c>
    </row>
    <row r="1524" spans="1:14" x14ac:dyDescent="0.2">
      <c r="A1524" s="51">
        <v>1523</v>
      </c>
      <c r="B1524" s="54" t="s">
        <v>685</v>
      </c>
      <c r="C1524" s="47" t="s">
        <v>4489</v>
      </c>
      <c r="D1524" s="47" t="s">
        <v>4490</v>
      </c>
      <c r="E1524" s="48" t="s">
        <v>4257</v>
      </c>
      <c r="F1524" s="66" t="b">
        <v>0</v>
      </c>
      <c r="G1524" s="54" t="b">
        <v>1</v>
      </c>
      <c r="H1524" s="54" t="b">
        <v>1</v>
      </c>
      <c r="I1524" s="54" t="b">
        <v>1</v>
      </c>
      <c r="J1524" s="54" t="b">
        <v>1</v>
      </c>
      <c r="K1524" s="63" t="s">
        <v>685</v>
      </c>
      <c r="L1524" s="63" t="s">
        <v>4489</v>
      </c>
      <c r="M1524" s="63" t="s">
        <v>4490</v>
      </c>
      <c r="N1524" s="63" t="s">
        <v>4257</v>
      </c>
    </row>
    <row r="1525" spans="1:14" x14ac:dyDescent="0.2">
      <c r="A1525" s="51">
        <v>1524</v>
      </c>
      <c r="B1525" s="54" t="s">
        <v>685</v>
      </c>
      <c r="C1525" s="47" t="s">
        <v>4491</v>
      </c>
      <c r="D1525" s="47" t="s">
        <v>4492</v>
      </c>
      <c r="E1525" s="48" t="s">
        <v>4257</v>
      </c>
      <c r="F1525" s="66" t="b">
        <v>0</v>
      </c>
      <c r="G1525" s="54" t="b">
        <v>1</v>
      </c>
      <c r="H1525" s="54" t="b">
        <v>1</v>
      </c>
      <c r="I1525" s="54" t="b">
        <v>1</v>
      </c>
      <c r="J1525" s="54" t="b">
        <v>1</v>
      </c>
      <c r="K1525" s="63" t="s">
        <v>685</v>
      </c>
      <c r="L1525" s="63" t="s">
        <v>4491</v>
      </c>
      <c r="M1525" s="63" t="s">
        <v>4492</v>
      </c>
      <c r="N1525" s="63" t="s">
        <v>4257</v>
      </c>
    </row>
    <row r="1526" spans="1:14" x14ac:dyDescent="0.2">
      <c r="A1526" s="51">
        <v>1525</v>
      </c>
      <c r="B1526" s="54" t="s">
        <v>685</v>
      </c>
      <c r="C1526" s="47" t="s">
        <v>4501</v>
      </c>
      <c r="D1526" s="47" t="s">
        <v>4502</v>
      </c>
      <c r="E1526" s="48" t="s">
        <v>4257</v>
      </c>
      <c r="F1526" s="66" t="b">
        <v>0</v>
      </c>
      <c r="G1526" s="54" t="b">
        <v>1</v>
      </c>
      <c r="H1526" s="54" t="b">
        <v>1</v>
      </c>
      <c r="I1526" s="54" t="b">
        <v>1</v>
      </c>
      <c r="J1526" s="54" t="b">
        <v>1</v>
      </c>
      <c r="K1526" s="63" t="s">
        <v>685</v>
      </c>
      <c r="L1526" s="63" t="s">
        <v>4501</v>
      </c>
      <c r="M1526" s="63" t="s">
        <v>4502</v>
      </c>
      <c r="N1526" s="63" t="s">
        <v>4257</v>
      </c>
    </row>
    <row r="1527" spans="1:14" x14ac:dyDescent="0.2">
      <c r="A1527" s="51">
        <v>1526</v>
      </c>
      <c r="B1527" s="54" t="s">
        <v>685</v>
      </c>
      <c r="C1527" s="47" t="s">
        <v>4503</v>
      </c>
      <c r="D1527" s="47" t="s">
        <v>4504</v>
      </c>
      <c r="E1527" s="48" t="s">
        <v>4257</v>
      </c>
      <c r="F1527" s="66" t="b">
        <v>0</v>
      </c>
      <c r="G1527" s="54" t="b">
        <v>1</v>
      </c>
      <c r="H1527" s="54" t="b">
        <v>1</v>
      </c>
      <c r="I1527" s="54" t="b">
        <v>1</v>
      </c>
      <c r="J1527" s="54" t="b">
        <v>1</v>
      </c>
      <c r="K1527" s="63" t="s">
        <v>685</v>
      </c>
      <c r="L1527" s="63" t="s">
        <v>4503</v>
      </c>
      <c r="M1527" s="63" t="s">
        <v>4504</v>
      </c>
      <c r="N1527" s="63" t="s">
        <v>4257</v>
      </c>
    </row>
    <row r="1528" spans="1:14" x14ac:dyDescent="0.2">
      <c r="A1528" s="51">
        <v>1527</v>
      </c>
      <c r="B1528" s="54" t="s">
        <v>685</v>
      </c>
      <c r="C1528" s="47" t="s">
        <v>4505</v>
      </c>
      <c r="D1528" s="47" t="s">
        <v>4506</v>
      </c>
      <c r="E1528" s="48" t="s">
        <v>4257</v>
      </c>
      <c r="F1528" s="66" t="b">
        <v>0</v>
      </c>
      <c r="G1528" s="54" t="b">
        <v>1</v>
      </c>
      <c r="H1528" s="54" t="b">
        <v>1</v>
      </c>
      <c r="I1528" s="54" t="b">
        <v>1</v>
      </c>
      <c r="J1528" s="54" t="b">
        <v>1</v>
      </c>
      <c r="K1528" s="63" t="s">
        <v>685</v>
      </c>
      <c r="L1528" s="63" t="s">
        <v>4505</v>
      </c>
      <c r="M1528" s="63" t="s">
        <v>4506</v>
      </c>
      <c r="N1528" s="63" t="s">
        <v>4257</v>
      </c>
    </row>
    <row r="1529" spans="1:14" x14ac:dyDescent="0.2">
      <c r="A1529" s="51">
        <v>1528</v>
      </c>
      <c r="B1529" s="54" t="s">
        <v>685</v>
      </c>
      <c r="C1529" s="47" t="s">
        <v>4507</v>
      </c>
      <c r="D1529" s="47" t="s">
        <v>4508</v>
      </c>
      <c r="E1529" s="48" t="s">
        <v>4257</v>
      </c>
      <c r="F1529" s="66" t="b">
        <v>0</v>
      </c>
      <c r="G1529" s="54" t="b">
        <v>1</v>
      </c>
      <c r="H1529" s="54" t="b">
        <v>1</v>
      </c>
      <c r="I1529" s="54" t="b">
        <v>1</v>
      </c>
      <c r="J1529" s="54" t="b">
        <v>1</v>
      </c>
      <c r="K1529" s="63" t="s">
        <v>685</v>
      </c>
      <c r="L1529" s="63" t="s">
        <v>4507</v>
      </c>
      <c r="M1529" s="63" t="s">
        <v>4508</v>
      </c>
      <c r="N1529" s="63" t="s">
        <v>4257</v>
      </c>
    </row>
    <row r="1530" spans="1:14" x14ac:dyDescent="0.2">
      <c r="A1530" s="51">
        <v>1529</v>
      </c>
      <c r="B1530" s="54" t="s">
        <v>685</v>
      </c>
      <c r="C1530" s="47" t="s">
        <v>4367</v>
      </c>
      <c r="D1530" s="47" t="s">
        <v>4368</v>
      </c>
      <c r="E1530" s="48" t="s">
        <v>4257</v>
      </c>
      <c r="F1530" s="66" t="b">
        <v>0</v>
      </c>
      <c r="G1530" s="54" t="b">
        <v>1</v>
      </c>
      <c r="H1530" s="54" t="b">
        <v>1</v>
      </c>
      <c r="I1530" s="54" t="b">
        <v>1</v>
      </c>
      <c r="J1530" s="54" t="b">
        <v>1</v>
      </c>
      <c r="K1530" s="63" t="s">
        <v>685</v>
      </c>
      <c r="L1530" s="63" t="s">
        <v>4367</v>
      </c>
      <c r="M1530" s="63" t="s">
        <v>4368</v>
      </c>
      <c r="N1530" s="63" t="s">
        <v>4257</v>
      </c>
    </row>
    <row r="1531" spans="1:14" x14ac:dyDescent="0.2">
      <c r="A1531" s="51">
        <v>1530</v>
      </c>
      <c r="B1531" s="54" t="s">
        <v>685</v>
      </c>
      <c r="C1531" s="47" t="s">
        <v>4509</v>
      </c>
      <c r="D1531" s="47" t="s">
        <v>4510</v>
      </c>
      <c r="E1531" s="48" t="s">
        <v>4257</v>
      </c>
      <c r="F1531" s="66" t="b">
        <v>0</v>
      </c>
      <c r="G1531" s="54" t="b">
        <v>1</v>
      </c>
      <c r="H1531" s="54" t="b">
        <v>1</v>
      </c>
      <c r="I1531" s="54" t="b">
        <v>1</v>
      </c>
      <c r="J1531" s="54" t="b">
        <v>1</v>
      </c>
      <c r="K1531" s="63" t="s">
        <v>685</v>
      </c>
      <c r="L1531" s="63" t="s">
        <v>4509</v>
      </c>
      <c r="M1531" s="63" t="s">
        <v>4510</v>
      </c>
      <c r="N1531" s="63" t="s">
        <v>4257</v>
      </c>
    </row>
    <row r="1532" spans="1:14" x14ac:dyDescent="0.2">
      <c r="A1532" s="51">
        <v>1531</v>
      </c>
      <c r="B1532" s="54" t="s">
        <v>685</v>
      </c>
      <c r="C1532" s="47" t="s">
        <v>4513</v>
      </c>
      <c r="D1532" s="47" t="s">
        <v>4514</v>
      </c>
      <c r="E1532" s="48" t="s">
        <v>4257</v>
      </c>
      <c r="F1532" s="66" t="b">
        <v>0</v>
      </c>
      <c r="G1532" s="54" t="b">
        <v>1</v>
      </c>
      <c r="H1532" s="54" t="b">
        <v>1</v>
      </c>
      <c r="I1532" s="54" t="b">
        <v>1</v>
      </c>
      <c r="J1532" s="54" t="b">
        <v>1</v>
      </c>
      <c r="K1532" s="63" t="s">
        <v>685</v>
      </c>
      <c r="L1532" s="63" t="s">
        <v>4513</v>
      </c>
      <c r="M1532" s="63" t="s">
        <v>4514</v>
      </c>
      <c r="N1532" s="63" t="s">
        <v>4257</v>
      </c>
    </row>
    <row r="1533" spans="1:14" x14ac:dyDescent="0.2">
      <c r="A1533" s="51">
        <v>1532</v>
      </c>
      <c r="B1533" s="54" t="s">
        <v>685</v>
      </c>
      <c r="C1533" s="47" t="s">
        <v>4495</v>
      </c>
      <c r="D1533" s="47" t="s">
        <v>12367</v>
      </c>
      <c r="E1533" s="48" t="s">
        <v>4257</v>
      </c>
      <c r="F1533" s="66" t="b">
        <v>0</v>
      </c>
      <c r="G1533" s="54" t="b">
        <v>1</v>
      </c>
      <c r="H1533" s="54" t="b">
        <v>1</v>
      </c>
      <c r="I1533" s="65" t="b">
        <v>0</v>
      </c>
      <c r="J1533" s="54" t="b">
        <v>1</v>
      </c>
      <c r="K1533" s="63" t="s">
        <v>685</v>
      </c>
      <c r="L1533" s="63" t="s">
        <v>4495</v>
      </c>
      <c r="M1533" s="63" t="s">
        <v>4496</v>
      </c>
      <c r="N1533" s="63" t="s">
        <v>4257</v>
      </c>
    </row>
    <row r="1534" spans="1:14" x14ac:dyDescent="0.2">
      <c r="A1534" s="51">
        <v>1533</v>
      </c>
      <c r="B1534" s="54" t="s">
        <v>685</v>
      </c>
      <c r="C1534" s="47" t="s">
        <v>4330</v>
      </c>
      <c r="D1534" s="47" t="s">
        <v>4331</v>
      </c>
      <c r="E1534" s="48" t="s">
        <v>4257</v>
      </c>
      <c r="F1534" s="66" t="b">
        <v>0</v>
      </c>
      <c r="G1534" s="54" t="b">
        <v>1</v>
      </c>
      <c r="H1534" s="54" t="b">
        <v>1</v>
      </c>
      <c r="I1534" s="54" t="b">
        <v>1</v>
      </c>
      <c r="J1534" s="54" t="b">
        <v>1</v>
      </c>
      <c r="K1534" s="63" t="s">
        <v>685</v>
      </c>
      <c r="L1534" s="63" t="s">
        <v>4330</v>
      </c>
      <c r="M1534" s="63" t="s">
        <v>4331</v>
      </c>
      <c r="N1534" s="63" t="s">
        <v>4257</v>
      </c>
    </row>
    <row r="1535" spans="1:14" x14ac:dyDescent="0.2">
      <c r="A1535" s="51">
        <v>1534</v>
      </c>
      <c r="B1535" s="54" t="s">
        <v>685</v>
      </c>
      <c r="C1535" s="47" t="s">
        <v>4373</v>
      </c>
      <c r="D1535" s="47" t="s">
        <v>4374</v>
      </c>
      <c r="E1535" s="48" t="s">
        <v>4257</v>
      </c>
      <c r="F1535" s="66" t="b">
        <v>0</v>
      </c>
      <c r="G1535" s="54" t="b">
        <v>1</v>
      </c>
      <c r="H1535" s="54" t="b">
        <v>1</v>
      </c>
      <c r="I1535" s="54" t="b">
        <v>1</v>
      </c>
      <c r="J1535" s="54" t="b">
        <v>1</v>
      </c>
      <c r="K1535" s="63" t="s">
        <v>685</v>
      </c>
      <c r="L1535" s="63" t="s">
        <v>4373</v>
      </c>
      <c r="M1535" s="63" t="s">
        <v>4374</v>
      </c>
      <c r="N1535" s="63" t="s">
        <v>4257</v>
      </c>
    </row>
    <row r="1536" spans="1:14" x14ac:dyDescent="0.2">
      <c r="A1536" s="51">
        <v>1535</v>
      </c>
      <c r="B1536" s="54" t="s">
        <v>685</v>
      </c>
      <c r="C1536" s="47" t="s">
        <v>4483</v>
      </c>
      <c r="D1536" s="47" t="s">
        <v>4484</v>
      </c>
      <c r="E1536" s="48" t="s">
        <v>4257</v>
      </c>
      <c r="F1536" s="66" t="b">
        <v>0</v>
      </c>
      <c r="G1536" s="54" t="b">
        <v>1</v>
      </c>
      <c r="H1536" s="54" t="b">
        <v>1</v>
      </c>
      <c r="I1536" s="54" t="b">
        <v>1</v>
      </c>
      <c r="J1536" s="54" t="b">
        <v>1</v>
      </c>
      <c r="K1536" s="63" t="s">
        <v>685</v>
      </c>
      <c r="L1536" s="63" t="s">
        <v>4483</v>
      </c>
      <c r="M1536" s="63" t="s">
        <v>4484</v>
      </c>
      <c r="N1536" s="63" t="s">
        <v>4257</v>
      </c>
    </row>
    <row r="1537" spans="1:14" x14ac:dyDescent="0.2">
      <c r="A1537" s="51">
        <v>1536</v>
      </c>
      <c r="B1537" s="54" t="s">
        <v>685</v>
      </c>
      <c r="C1537" s="47" t="s">
        <v>4499</v>
      </c>
      <c r="D1537" s="47" t="s">
        <v>4500</v>
      </c>
      <c r="E1537" s="48" t="s">
        <v>4257</v>
      </c>
      <c r="F1537" s="66" t="b">
        <v>0</v>
      </c>
      <c r="G1537" s="54" t="b">
        <v>1</v>
      </c>
      <c r="H1537" s="54" t="b">
        <v>1</v>
      </c>
      <c r="I1537" s="54" t="b">
        <v>1</v>
      </c>
      <c r="J1537" s="54" t="b">
        <v>1</v>
      </c>
      <c r="K1537" s="63" t="s">
        <v>685</v>
      </c>
      <c r="L1537" s="63" t="s">
        <v>4499</v>
      </c>
      <c r="M1537" s="63" t="s">
        <v>4500</v>
      </c>
      <c r="N1537" s="63" t="s">
        <v>4257</v>
      </c>
    </row>
    <row r="1538" spans="1:14" x14ac:dyDescent="0.2">
      <c r="A1538" s="51">
        <v>1537</v>
      </c>
      <c r="B1538" s="54" t="s">
        <v>685</v>
      </c>
      <c r="C1538" s="47" t="s">
        <v>4497</v>
      </c>
      <c r="D1538" s="47" t="s">
        <v>12373</v>
      </c>
      <c r="E1538" s="48" t="s">
        <v>4257</v>
      </c>
      <c r="F1538" s="66" t="b">
        <v>0</v>
      </c>
      <c r="G1538" s="54" t="b">
        <v>1</v>
      </c>
      <c r="H1538" s="54" t="b">
        <v>1</v>
      </c>
      <c r="I1538" s="65" t="b">
        <v>0</v>
      </c>
      <c r="J1538" s="54" t="b">
        <v>1</v>
      </c>
      <c r="K1538" s="63" t="s">
        <v>685</v>
      </c>
      <c r="L1538" s="63" t="s">
        <v>4497</v>
      </c>
      <c r="M1538" s="63" t="s">
        <v>4498</v>
      </c>
      <c r="N1538" s="63" t="s">
        <v>4257</v>
      </c>
    </row>
    <row r="1539" spans="1:14" x14ac:dyDescent="0.2">
      <c r="A1539" s="51">
        <v>1538</v>
      </c>
      <c r="B1539" s="54" t="s">
        <v>685</v>
      </c>
      <c r="C1539" s="47" t="s">
        <v>4266</v>
      </c>
      <c r="D1539" s="47" t="s">
        <v>4267</v>
      </c>
      <c r="E1539" s="47" t="s">
        <v>2087</v>
      </c>
      <c r="F1539" s="55" t="b">
        <v>1</v>
      </c>
      <c r="G1539" s="54" t="b">
        <v>1</v>
      </c>
      <c r="H1539" s="54" t="b">
        <v>1</v>
      </c>
      <c r="I1539" s="54" t="b">
        <v>1</v>
      </c>
      <c r="J1539" s="65" t="b">
        <v>0</v>
      </c>
      <c r="K1539" s="63" t="s">
        <v>685</v>
      </c>
      <c r="L1539" s="63" t="s">
        <v>4266</v>
      </c>
      <c r="M1539" s="63" t="s">
        <v>4267</v>
      </c>
      <c r="N1539" s="63" t="s">
        <v>4268</v>
      </c>
    </row>
    <row r="1540" spans="1:14" x14ac:dyDescent="0.2">
      <c r="A1540" s="51">
        <v>1539</v>
      </c>
      <c r="B1540" s="54" t="s">
        <v>685</v>
      </c>
      <c r="C1540" s="47" t="s">
        <v>4269</v>
      </c>
      <c r="D1540" s="47" t="s">
        <v>4270</v>
      </c>
      <c r="E1540" s="47" t="s">
        <v>2087</v>
      </c>
      <c r="F1540" s="55" t="b">
        <v>1</v>
      </c>
      <c r="G1540" s="54" t="b">
        <v>1</v>
      </c>
      <c r="H1540" s="54" t="b">
        <v>1</v>
      </c>
      <c r="I1540" s="54" t="b">
        <v>1</v>
      </c>
      <c r="J1540" s="65" t="b">
        <v>0</v>
      </c>
      <c r="K1540" s="63" t="s">
        <v>685</v>
      </c>
      <c r="L1540" s="63" t="s">
        <v>4269</v>
      </c>
      <c r="M1540" s="63" t="s">
        <v>4270</v>
      </c>
      <c r="N1540" s="63" t="s">
        <v>4268</v>
      </c>
    </row>
    <row r="1541" spans="1:14" x14ac:dyDescent="0.2">
      <c r="A1541" s="51">
        <v>1540</v>
      </c>
      <c r="G1541" s="65" t="b">
        <v>0</v>
      </c>
      <c r="H1541" s="65" t="b">
        <v>0</v>
      </c>
      <c r="I1541" s="65" t="b">
        <v>0</v>
      </c>
      <c r="J1541" s="65" t="b">
        <v>0</v>
      </c>
      <c r="K1541" s="63" t="s">
        <v>685</v>
      </c>
      <c r="L1541" s="63" t="s">
        <v>4469</v>
      </c>
      <c r="M1541" s="63" t="s">
        <v>4470</v>
      </c>
      <c r="N1541" s="63" t="s">
        <v>4440</v>
      </c>
    </row>
    <row r="1542" spans="1:14" x14ac:dyDescent="0.2">
      <c r="A1542" s="51">
        <v>1541</v>
      </c>
      <c r="B1542" s="54" t="s">
        <v>685</v>
      </c>
      <c r="C1542" s="47" t="s">
        <v>4281</v>
      </c>
      <c r="D1542" s="47" t="s">
        <v>4282</v>
      </c>
      <c r="E1542" s="47" t="s">
        <v>2087</v>
      </c>
      <c r="F1542" s="55" t="b">
        <v>1</v>
      </c>
      <c r="G1542" s="54" t="b">
        <v>1</v>
      </c>
      <c r="H1542" s="54" t="b">
        <v>1</v>
      </c>
      <c r="I1542" s="54" t="b">
        <v>1</v>
      </c>
      <c r="J1542" s="65" t="b">
        <v>0</v>
      </c>
      <c r="K1542" s="63" t="s">
        <v>685</v>
      </c>
      <c r="L1542" s="63" t="s">
        <v>4281</v>
      </c>
      <c r="M1542" s="63" t="s">
        <v>4282</v>
      </c>
      <c r="N1542" s="63" t="s">
        <v>4268</v>
      </c>
    </row>
    <row r="1543" spans="1:14" x14ac:dyDescent="0.2">
      <c r="A1543" s="51">
        <v>1542</v>
      </c>
      <c r="G1543" s="65" t="b">
        <v>0</v>
      </c>
      <c r="H1543" s="65" t="b">
        <v>0</v>
      </c>
      <c r="I1543" s="65" t="b">
        <v>0</v>
      </c>
      <c r="J1543" s="65" t="b">
        <v>0</v>
      </c>
      <c r="K1543" s="63" t="s">
        <v>685</v>
      </c>
      <c r="L1543" s="63" t="s">
        <v>4308</v>
      </c>
      <c r="M1543" s="63" t="s">
        <v>4309</v>
      </c>
      <c r="N1543" s="63" t="s">
        <v>2021</v>
      </c>
    </row>
    <row r="1544" spans="1:14" x14ac:dyDescent="0.2">
      <c r="A1544" s="51">
        <v>1543</v>
      </c>
      <c r="B1544" s="54" t="s">
        <v>685</v>
      </c>
      <c r="C1544" s="47" t="s">
        <v>4291</v>
      </c>
      <c r="D1544" s="47" t="s">
        <v>4292</v>
      </c>
      <c r="E1544" s="47" t="s">
        <v>2087</v>
      </c>
      <c r="F1544" s="55" t="b">
        <v>1</v>
      </c>
      <c r="G1544" s="54" t="b">
        <v>1</v>
      </c>
      <c r="H1544" s="54" t="b">
        <v>1</v>
      </c>
      <c r="I1544" s="54" t="b">
        <v>1</v>
      </c>
      <c r="J1544" s="65" t="b">
        <v>0</v>
      </c>
      <c r="K1544" s="63" t="s">
        <v>685</v>
      </c>
      <c r="L1544" s="63" t="s">
        <v>4291</v>
      </c>
      <c r="M1544" s="63" t="s">
        <v>4292</v>
      </c>
      <c r="N1544" s="63" t="s">
        <v>4268</v>
      </c>
    </row>
    <row r="1545" spans="1:14" x14ac:dyDescent="0.2">
      <c r="A1545" s="51">
        <v>1544</v>
      </c>
      <c r="B1545" s="54" t="s">
        <v>685</v>
      </c>
      <c r="C1545" s="47" t="s">
        <v>4293</v>
      </c>
      <c r="D1545" s="47" t="s">
        <v>4294</v>
      </c>
      <c r="E1545" s="47" t="s">
        <v>2087</v>
      </c>
      <c r="F1545" s="55" t="b">
        <v>1</v>
      </c>
      <c r="G1545" s="54" t="b">
        <v>1</v>
      </c>
      <c r="H1545" s="54" t="b">
        <v>1</v>
      </c>
      <c r="I1545" s="54" t="b">
        <v>1</v>
      </c>
      <c r="J1545" s="65" t="b">
        <v>0</v>
      </c>
      <c r="K1545" s="63" t="s">
        <v>685</v>
      </c>
      <c r="L1545" s="63" t="s">
        <v>4293</v>
      </c>
      <c r="M1545" s="63" t="s">
        <v>4294</v>
      </c>
      <c r="N1545" s="63" t="s">
        <v>4268</v>
      </c>
    </row>
    <row r="1546" spans="1:14" x14ac:dyDescent="0.2">
      <c r="A1546" s="51">
        <v>1545</v>
      </c>
      <c r="B1546" s="54" t="s">
        <v>685</v>
      </c>
      <c r="C1546" s="47" t="s">
        <v>4299</v>
      </c>
      <c r="D1546" s="47" t="s">
        <v>2875</v>
      </c>
      <c r="E1546" s="47" t="s">
        <v>2087</v>
      </c>
      <c r="F1546" s="55" t="b">
        <v>1</v>
      </c>
      <c r="G1546" s="54" t="b">
        <v>1</v>
      </c>
      <c r="H1546" s="54" t="b">
        <v>1</v>
      </c>
      <c r="I1546" s="54" t="b">
        <v>1</v>
      </c>
      <c r="J1546" s="65" t="b">
        <v>0</v>
      </c>
      <c r="K1546" s="63" t="s">
        <v>685</v>
      </c>
      <c r="L1546" s="63" t="s">
        <v>4299</v>
      </c>
      <c r="M1546" s="63" t="s">
        <v>2875</v>
      </c>
      <c r="N1546" s="63" t="s">
        <v>4268</v>
      </c>
    </row>
    <row r="1547" spans="1:14" x14ac:dyDescent="0.2">
      <c r="A1547" s="51">
        <v>1546</v>
      </c>
      <c r="B1547" s="54" t="s">
        <v>685</v>
      </c>
      <c r="C1547" s="47" t="s">
        <v>4300</v>
      </c>
      <c r="D1547" s="47" t="s">
        <v>4301</v>
      </c>
      <c r="E1547" s="47" t="s">
        <v>2087</v>
      </c>
      <c r="F1547" s="55" t="b">
        <v>1</v>
      </c>
      <c r="G1547" s="54" t="b">
        <v>1</v>
      </c>
      <c r="H1547" s="54" t="b">
        <v>1</v>
      </c>
      <c r="I1547" s="54" t="b">
        <v>1</v>
      </c>
      <c r="J1547" s="65" t="b">
        <v>0</v>
      </c>
      <c r="K1547" s="63" t="s">
        <v>685</v>
      </c>
      <c r="L1547" s="63" t="s">
        <v>4300</v>
      </c>
      <c r="M1547" s="63" t="s">
        <v>4301</v>
      </c>
      <c r="N1547" s="63" t="s">
        <v>4268</v>
      </c>
    </row>
    <row r="1548" spans="1:14" x14ac:dyDescent="0.2">
      <c r="A1548" s="51">
        <v>1547</v>
      </c>
      <c r="G1548" s="65" t="b">
        <v>0</v>
      </c>
      <c r="H1548" s="65" t="b">
        <v>0</v>
      </c>
      <c r="I1548" s="65" t="b">
        <v>0</v>
      </c>
      <c r="J1548" s="65" t="b">
        <v>0</v>
      </c>
      <c r="K1548" s="63" t="s">
        <v>685</v>
      </c>
      <c r="L1548" s="63" t="s">
        <v>4349</v>
      </c>
      <c r="M1548" s="63" t="s">
        <v>4350</v>
      </c>
      <c r="N1548" s="63" t="s">
        <v>4348</v>
      </c>
    </row>
    <row r="1549" spans="1:14" x14ac:dyDescent="0.2">
      <c r="A1549" s="51">
        <v>1548</v>
      </c>
      <c r="G1549" s="65" t="b">
        <v>0</v>
      </c>
      <c r="H1549" s="65" t="b">
        <v>0</v>
      </c>
      <c r="I1549" s="65" t="b">
        <v>0</v>
      </c>
      <c r="J1549" s="65" t="b">
        <v>0</v>
      </c>
      <c r="K1549" s="63" t="s">
        <v>685</v>
      </c>
      <c r="L1549" s="63" t="s">
        <v>4346</v>
      </c>
      <c r="M1549" s="63" t="s">
        <v>4347</v>
      </c>
      <c r="N1549" s="63" t="s">
        <v>4348</v>
      </c>
    </row>
    <row r="1550" spans="1:14" x14ac:dyDescent="0.2">
      <c r="A1550" s="51">
        <v>1549</v>
      </c>
      <c r="B1550" s="54" t="s">
        <v>685</v>
      </c>
      <c r="C1550" s="47" t="s">
        <v>4312</v>
      </c>
      <c r="D1550" s="47" t="s">
        <v>12368</v>
      </c>
      <c r="E1550" s="47" t="s">
        <v>2087</v>
      </c>
      <c r="F1550" s="55" t="b">
        <v>1</v>
      </c>
      <c r="G1550" s="54" t="b">
        <v>1</v>
      </c>
      <c r="H1550" s="54" t="b">
        <v>1</v>
      </c>
      <c r="I1550" s="65" t="b">
        <v>0</v>
      </c>
      <c r="J1550" s="65" t="b">
        <v>0</v>
      </c>
      <c r="K1550" s="63" t="s">
        <v>685</v>
      </c>
      <c r="L1550" s="63" t="s">
        <v>4312</v>
      </c>
      <c r="M1550" s="63" t="s">
        <v>4313</v>
      </c>
      <c r="N1550" s="63" t="s">
        <v>4268</v>
      </c>
    </row>
    <row r="1551" spans="1:14" x14ac:dyDescent="0.2">
      <c r="A1551" s="51">
        <v>1550</v>
      </c>
      <c r="B1551" s="54" t="s">
        <v>685</v>
      </c>
      <c r="C1551" s="47" t="s">
        <v>4338</v>
      </c>
      <c r="D1551" s="47" t="s">
        <v>4339</v>
      </c>
      <c r="E1551" s="47" t="s">
        <v>2087</v>
      </c>
      <c r="F1551" s="55" t="b">
        <v>1</v>
      </c>
      <c r="G1551" s="54" t="b">
        <v>1</v>
      </c>
      <c r="H1551" s="54" t="b">
        <v>1</v>
      </c>
      <c r="I1551" s="54" t="b">
        <v>1</v>
      </c>
      <c r="J1551" s="65" t="b">
        <v>0</v>
      </c>
      <c r="K1551" s="63" t="s">
        <v>685</v>
      </c>
      <c r="L1551" s="63" t="s">
        <v>4338</v>
      </c>
      <c r="M1551" s="63" t="s">
        <v>4339</v>
      </c>
      <c r="N1551" s="63" t="s">
        <v>4268</v>
      </c>
    </row>
    <row r="1552" spans="1:14" x14ac:dyDescent="0.2">
      <c r="A1552" s="51">
        <v>1551</v>
      </c>
      <c r="B1552" s="54" t="s">
        <v>685</v>
      </c>
      <c r="C1552" s="47" t="s">
        <v>4517</v>
      </c>
      <c r="D1552" s="47" t="s">
        <v>4518</v>
      </c>
      <c r="E1552" s="47" t="s">
        <v>2087</v>
      </c>
      <c r="F1552" s="55" t="b">
        <v>1</v>
      </c>
      <c r="G1552" s="54" t="b">
        <v>1</v>
      </c>
      <c r="H1552" s="54" t="b">
        <v>1</v>
      </c>
      <c r="I1552" s="54" t="b">
        <v>1</v>
      </c>
      <c r="J1552" s="65" t="b">
        <v>0</v>
      </c>
      <c r="K1552" s="63" t="s">
        <v>685</v>
      </c>
      <c r="L1552" s="63" t="s">
        <v>4517</v>
      </c>
      <c r="M1552" s="63" t="s">
        <v>4518</v>
      </c>
      <c r="N1552" s="63" t="s">
        <v>4268</v>
      </c>
    </row>
    <row r="1553" spans="1:14" x14ac:dyDescent="0.2">
      <c r="A1553" s="51">
        <v>1552</v>
      </c>
      <c r="B1553" s="54" t="s">
        <v>685</v>
      </c>
      <c r="C1553" s="47" t="s">
        <v>4391</v>
      </c>
      <c r="D1553" s="47" t="s">
        <v>4392</v>
      </c>
      <c r="E1553" s="47" t="s">
        <v>2087</v>
      </c>
      <c r="F1553" s="55" t="b">
        <v>1</v>
      </c>
      <c r="G1553" s="54" t="b">
        <v>1</v>
      </c>
      <c r="H1553" s="54" t="b">
        <v>1</v>
      </c>
      <c r="I1553" s="54" t="b">
        <v>1</v>
      </c>
      <c r="J1553" s="65" t="b">
        <v>0</v>
      </c>
      <c r="K1553" s="63" t="s">
        <v>685</v>
      </c>
      <c r="L1553" s="63" t="s">
        <v>4391</v>
      </c>
      <c r="M1553" s="63" t="s">
        <v>4392</v>
      </c>
      <c r="N1553" s="63" t="s">
        <v>4268</v>
      </c>
    </row>
    <row r="1554" spans="1:14" x14ac:dyDescent="0.2">
      <c r="A1554" s="51">
        <v>1553</v>
      </c>
      <c r="B1554" s="54" t="s">
        <v>685</v>
      </c>
      <c r="C1554" s="47" t="s">
        <v>4393</v>
      </c>
      <c r="D1554" s="47" t="s">
        <v>4394</v>
      </c>
      <c r="E1554" s="47" t="s">
        <v>2087</v>
      </c>
      <c r="F1554" s="55" t="b">
        <v>1</v>
      </c>
      <c r="G1554" s="54" t="b">
        <v>1</v>
      </c>
      <c r="H1554" s="54" t="b">
        <v>1</v>
      </c>
      <c r="I1554" s="54" t="b">
        <v>1</v>
      </c>
      <c r="J1554" s="65" t="b">
        <v>0</v>
      </c>
      <c r="K1554" s="63" t="s">
        <v>685</v>
      </c>
      <c r="L1554" s="63" t="s">
        <v>4393</v>
      </c>
      <c r="M1554" s="63" t="s">
        <v>4394</v>
      </c>
      <c r="N1554" s="63" t="s">
        <v>4268</v>
      </c>
    </row>
    <row r="1555" spans="1:14" x14ac:dyDescent="0.2">
      <c r="A1555" s="51">
        <v>1554</v>
      </c>
      <c r="B1555" s="54" t="s">
        <v>685</v>
      </c>
      <c r="C1555" s="47" t="s">
        <v>4403</v>
      </c>
      <c r="D1555" s="47" t="s">
        <v>4404</v>
      </c>
      <c r="E1555" s="47" t="s">
        <v>2087</v>
      </c>
      <c r="F1555" s="55" t="b">
        <v>1</v>
      </c>
      <c r="G1555" s="54" t="b">
        <v>1</v>
      </c>
      <c r="H1555" s="54" t="b">
        <v>1</v>
      </c>
      <c r="I1555" s="54" t="b">
        <v>1</v>
      </c>
      <c r="J1555" s="65" t="b">
        <v>0</v>
      </c>
      <c r="K1555" s="63" t="s">
        <v>685</v>
      </c>
      <c r="L1555" s="63" t="s">
        <v>4403</v>
      </c>
      <c r="M1555" s="63" t="s">
        <v>4404</v>
      </c>
      <c r="N1555" s="63" t="s">
        <v>4268</v>
      </c>
    </row>
    <row r="1556" spans="1:14" x14ac:dyDescent="0.2">
      <c r="A1556" s="51">
        <v>1555</v>
      </c>
      <c r="G1556" s="65" t="b">
        <v>0</v>
      </c>
      <c r="H1556" s="65" t="b">
        <v>0</v>
      </c>
      <c r="I1556" s="65" t="b">
        <v>0</v>
      </c>
      <c r="J1556" s="65" t="b">
        <v>0</v>
      </c>
      <c r="K1556" s="63" t="s">
        <v>685</v>
      </c>
      <c r="L1556" s="63" t="s">
        <v>4471</v>
      </c>
      <c r="M1556" s="63" t="s">
        <v>4472</v>
      </c>
      <c r="N1556" s="63" t="s">
        <v>4440</v>
      </c>
    </row>
    <row r="1557" spans="1:14" x14ac:dyDescent="0.2">
      <c r="A1557" s="51">
        <v>1556</v>
      </c>
      <c r="G1557" s="65" t="b">
        <v>0</v>
      </c>
      <c r="H1557" s="65" t="b">
        <v>0</v>
      </c>
      <c r="I1557" s="65" t="b">
        <v>0</v>
      </c>
      <c r="J1557" s="65" t="b">
        <v>0</v>
      </c>
      <c r="K1557" s="63" t="s">
        <v>685</v>
      </c>
      <c r="L1557" s="63" t="s">
        <v>4417</v>
      </c>
      <c r="M1557" s="63" t="s">
        <v>4418</v>
      </c>
      <c r="N1557" s="63" t="s">
        <v>4348</v>
      </c>
    </row>
    <row r="1558" spans="1:14" x14ac:dyDescent="0.2">
      <c r="A1558" s="51">
        <v>1557</v>
      </c>
      <c r="B1558" s="54" t="s">
        <v>685</v>
      </c>
      <c r="C1558" s="47" t="s">
        <v>4427</v>
      </c>
      <c r="D1558" s="47" t="s">
        <v>4428</v>
      </c>
      <c r="E1558" s="47" t="s">
        <v>2087</v>
      </c>
      <c r="F1558" s="55" t="b">
        <v>1</v>
      </c>
      <c r="G1558" s="54" t="b">
        <v>1</v>
      </c>
      <c r="H1558" s="54" t="b">
        <v>1</v>
      </c>
      <c r="I1558" s="54" t="b">
        <v>1</v>
      </c>
      <c r="J1558" s="65" t="b">
        <v>0</v>
      </c>
      <c r="K1558" s="63" t="s">
        <v>685</v>
      </c>
      <c r="L1558" s="63" t="s">
        <v>4427</v>
      </c>
      <c r="M1558" s="63" t="s">
        <v>4428</v>
      </c>
      <c r="N1558" s="63" t="s">
        <v>4268</v>
      </c>
    </row>
    <row r="1559" spans="1:14" x14ac:dyDescent="0.2">
      <c r="A1559" s="51">
        <v>1558</v>
      </c>
      <c r="G1559" s="65" t="b">
        <v>0</v>
      </c>
      <c r="H1559" s="65" t="b">
        <v>0</v>
      </c>
      <c r="I1559" s="65" t="b">
        <v>0</v>
      </c>
      <c r="J1559" s="65" t="b">
        <v>0</v>
      </c>
      <c r="K1559" s="63" t="s">
        <v>685</v>
      </c>
      <c r="L1559" s="63" t="s">
        <v>4438</v>
      </c>
      <c r="M1559" s="63" t="s">
        <v>4439</v>
      </c>
      <c r="N1559" s="63" t="s">
        <v>4440</v>
      </c>
    </row>
    <row r="1560" spans="1:14" x14ac:dyDescent="0.2">
      <c r="A1560" s="51">
        <v>1559</v>
      </c>
      <c r="B1560" s="54" t="s">
        <v>685</v>
      </c>
      <c r="C1560" s="47" t="s">
        <v>4436</v>
      </c>
      <c r="D1560" s="47" t="s">
        <v>4437</v>
      </c>
      <c r="E1560" s="47" t="s">
        <v>2087</v>
      </c>
      <c r="F1560" s="55" t="b">
        <v>1</v>
      </c>
      <c r="G1560" s="54" t="b">
        <v>1</v>
      </c>
      <c r="H1560" s="54" t="b">
        <v>1</v>
      </c>
      <c r="I1560" s="54" t="b">
        <v>1</v>
      </c>
      <c r="J1560" s="65" t="b">
        <v>0</v>
      </c>
      <c r="K1560" s="63" t="s">
        <v>685</v>
      </c>
      <c r="L1560" s="63" t="s">
        <v>4436</v>
      </c>
      <c r="M1560" s="63" t="s">
        <v>4437</v>
      </c>
      <c r="N1560" s="63" t="s">
        <v>4268</v>
      </c>
    </row>
    <row r="1561" spans="1:14" x14ac:dyDescent="0.2">
      <c r="A1561" s="51">
        <v>1560</v>
      </c>
      <c r="B1561" s="54" t="s">
        <v>685</v>
      </c>
      <c r="C1561" s="47" t="s">
        <v>4287</v>
      </c>
      <c r="D1561" s="47" t="s">
        <v>4288</v>
      </c>
      <c r="E1561" s="47" t="s">
        <v>2087</v>
      </c>
      <c r="F1561" s="55" t="b">
        <v>1</v>
      </c>
      <c r="G1561" s="54" t="b">
        <v>1</v>
      </c>
      <c r="H1561" s="54" t="b">
        <v>1</v>
      </c>
      <c r="I1561" s="54" t="b">
        <v>1</v>
      </c>
      <c r="J1561" s="65" t="b">
        <v>0</v>
      </c>
      <c r="K1561" s="63" t="s">
        <v>685</v>
      </c>
      <c r="L1561" s="63" t="s">
        <v>4287</v>
      </c>
      <c r="M1561" s="63" t="s">
        <v>4288</v>
      </c>
      <c r="N1561" s="63" t="s">
        <v>4268</v>
      </c>
    </row>
    <row r="1562" spans="1:14" x14ac:dyDescent="0.2">
      <c r="A1562" s="51">
        <v>1561</v>
      </c>
      <c r="G1562" s="65" t="b">
        <v>0</v>
      </c>
      <c r="H1562" s="65" t="b">
        <v>0</v>
      </c>
      <c r="I1562" s="65" t="b">
        <v>0</v>
      </c>
      <c r="J1562" s="65" t="b">
        <v>0</v>
      </c>
      <c r="K1562" s="63" t="s">
        <v>685</v>
      </c>
      <c r="L1562" s="63" t="s">
        <v>4455</v>
      </c>
      <c r="M1562" s="63" t="s">
        <v>4456</v>
      </c>
      <c r="N1562" s="63" t="s">
        <v>4440</v>
      </c>
    </row>
    <row r="1563" spans="1:14" x14ac:dyDescent="0.2">
      <c r="A1563" s="51">
        <v>1562</v>
      </c>
      <c r="G1563" s="65" t="b">
        <v>0</v>
      </c>
      <c r="H1563" s="65" t="b">
        <v>0</v>
      </c>
      <c r="I1563" s="65" t="b">
        <v>0</v>
      </c>
      <c r="J1563" s="65" t="b">
        <v>0</v>
      </c>
      <c r="K1563" s="63" t="s">
        <v>685</v>
      </c>
      <c r="L1563" s="63" t="s">
        <v>4473</v>
      </c>
      <c r="M1563" s="63" t="s">
        <v>4474</v>
      </c>
      <c r="N1563" s="63" t="s">
        <v>4440</v>
      </c>
    </row>
    <row r="1564" spans="1:14" x14ac:dyDescent="0.2">
      <c r="A1564" s="51">
        <v>1563</v>
      </c>
      <c r="B1564" s="54" t="s">
        <v>685</v>
      </c>
      <c r="C1564" s="47" t="s">
        <v>4361</v>
      </c>
      <c r="D1564" s="47" t="s">
        <v>4362</v>
      </c>
      <c r="E1564" s="47" t="s">
        <v>2087</v>
      </c>
      <c r="F1564" s="55" t="b">
        <v>1</v>
      </c>
      <c r="G1564" s="54" t="b">
        <v>1</v>
      </c>
      <c r="H1564" s="54" t="b">
        <v>1</v>
      </c>
      <c r="I1564" s="54" t="b">
        <v>1</v>
      </c>
      <c r="J1564" s="65" t="b">
        <v>0</v>
      </c>
      <c r="K1564" s="63" t="s">
        <v>685</v>
      </c>
      <c r="L1564" s="63" t="s">
        <v>4361</v>
      </c>
      <c r="M1564" s="63" t="s">
        <v>4362</v>
      </c>
      <c r="N1564" s="63" t="s">
        <v>4268</v>
      </c>
    </row>
    <row r="1565" spans="1:14" x14ac:dyDescent="0.2">
      <c r="A1565" s="51">
        <v>1564</v>
      </c>
      <c r="B1565" s="54" t="s">
        <v>685</v>
      </c>
      <c r="C1565" s="47" t="s">
        <v>4449</v>
      </c>
      <c r="D1565" s="47" t="s">
        <v>12371</v>
      </c>
      <c r="E1565" s="47" t="s">
        <v>2087</v>
      </c>
      <c r="F1565" s="55" t="b">
        <v>1</v>
      </c>
      <c r="G1565" s="54" t="b">
        <v>1</v>
      </c>
      <c r="H1565" s="54" t="b">
        <v>1</v>
      </c>
      <c r="I1565" s="65" t="b">
        <v>0</v>
      </c>
      <c r="J1565" s="65" t="b">
        <v>0</v>
      </c>
      <c r="K1565" s="63" t="s">
        <v>685</v>
      </c>
      <c r="L1565" s="63" t="s">
        <v>4449</v>
      </c>
      <c r="M1565" s="63" t="s">
        <v>4450</v>
      </c>
      <c r="N1565" s="63" t="s">
        <v>4268</v>
      </c>
    </row>
    <row r="1566" spans="1:14" x14ac:dyDescent="0.2">
      <c r="A1566" s="51">
        <v>1565</v>
      </c>
      <c r="G1566" s="65" t="b">
        <v>0</v>
      </c>
      <c r="H1566" s="65" t="b">
        <v>0</v>
      </c>
      <c r="I1566" s="65" t="b">
        <v>0</v>
      </c>
      <c r="J1566" s="65" t="b">
        <v>0</v>
      </c>
      <c r="K1566" s="63" t="s">
        <v>685</v>
      </c>
      <c r="L1566" s="63" t="s">
        <v>4387</v>
      </c>
      <c r="M1566" s="63" t="s">
        <v>4388</v>
      </c>
      <c r="N1566" s="63" t="s">
        <v>4348</v>
      </c>
    </row>
    <row r="1567" spans="1:14" x14ac:dyDescent="0.2">
      <c r="A1567" s="51">
        <v>1566</v>
      </c>
      <c r="B1567" s="54" t="s">
        <v>685</v>
      </c>
      <c r="C1567" s="47" t="s">
        <v>4451</v>
      </c>
      <c r="D1567" s="47" t="s">
        <v>4452</v>
      </c>
      <c r="E1567" s="47" t="s">
        <v>2087</v>
      </c>
      <c r="F1567" s="55" t="b">
        <v>1</v>
      </c>
      <c r="G1567" s="54" t="b">
        <v>1</v>
      </c>
      <c r="H1567" s="54" t="b">
        <v>1</v>
      </c>
      <c r="I1567" s="54" t="b">
        <v>1</v>
      </c>
      <c r="J1567" s="65" t="b">
        <v>0</v>
      </c>
      <c r="K1567" s="63" t="s">
        <v>685</v>
      </c>
      <c r="L1567" s="63" t="s">
        <v>4451</v>
      </c>
      <c r="M1567" s="63" t="s">
        <v>4452</v>
      </c>
      <c r="N1567" s="63" t="s">
        <v>4268</v>
      </c>
    </row>
    <row r="1568" spans="1:14" x14ac:dyDescent="0.2">
      <c r="A1568" s="51">
        <v>1567</v>
      </c>
      <c r="B1568" s="54" t="s">
        <v>685</v>
      </c>
      <c r="C1568" s="47" t="s">
        <v>4453</v>
      </c>
      <c r="D1568" s="47" t="s">
        <v>4454</v>
      </c>
      <c r="E1568" s="47" t="s">
        <v>2087</v>
      </c>
      <c r="F1568" s="55" t="b">
        <v>1</v>
      </c>
      <c r="G1568" s="54" t="b">
        <v>1</v>
      </c>
      <c r="H1568" s="54" t="b">
        <v>1</v>
      </c>
      <c r="I1568" s="54" t="b">
        <v>1</v>
      </c>
      <c r="J1568" s="65" t="b">
        <v>0</v>
      </c>
      <c r="K1568" s="63" t="s">
        <v>685</v>
      </c>
      <c r="L1568" s="63" t="s">
        <v>4453</v>
      </c>
      <c r="M1568" s="63" t="s">
        <v>4454</v>
      </c>
      <c r="N1568" s="63" t="s">
        <v>4268</v>
      </c>
    </row>
    <row r="1569" spans="1:14" x14ac:dyDescent="0.2">
      <c r="A1569" s="51">
        <v>1568</v>
      </c>
      <c r="G1569" s="65" t="b">
        <v>0</v>
      </c>
      <c r="H1569" s="65" t="b">
        <v>0</v>
      </c>
      <c r="I1569" s="65" t="b">
        <v>0</v>
      </c>
      <c r="J1569" s="65" t="b">
        <v>0</v>
      </c>
      <c r="K1569" s="63" t="s">
        <v>685</v>
      </c>
      <c r="L1569" s="63" t="s">
        <v>4493</v>
      </c>
      <c r="M1569" s="63" t="s">
        <v>4494</v>
      </c>
      <c r="N1569" s="63" t="s">
        <v>4440</v>
      </c>
    </row>
    <row r="1570" spans="1:14" x14ac:dyDescent="0.2">
      <c r="A1570" s="51">
        <v>1569</v>
      </c>
      <c r="B1570" s="54" t="s">
        <v>685</v>
      </c>
      <c r="C1570" s="47" t="s">
        <v>4457</v>
      </c>
      <c r="D1570" s="47" t="s">
        <v>12372</v>
      </c>
      <c r="E1570" s="47" t="s">
        <v>2087</v>
      </c>
      <c r="F1570" s="55" t="b">
        <v>1</v>
      </c>
      <c r="G1570" s="54" t="b">
        <v>1</v>
      </c>
      <c r="H1570" s="54" t="b">
        <v>1</v>
      </c>
      <c r="I1570" s="65" t="b">
        <v>0</v>
      </c>
      <c r="J1570" s="65" t="b">
        <v>0</v>
      </c>
      <c r="K1570" s="63" t="s">
        <v>685</v>
      </c>
      <c r="L1570" s="63" t="s">
        <v>4457</v>
      </c>
      <c r="M1570" s="63" t="s">
        <v>4458</v>
      </c>
      <c r="N1570" s="63" t="s">
        <v>4268</v>
      </c>
    </row>
    <row r="1571" spans="1:14" x14ac:dyDescent="0.2">
      <c r="A1571" s="51">
        <v>1570</v>
      </c>
      <c r="B1571" s="54" t="s">
        <v>685</v>
      </c>
      <c r="C1571" s="47" t="s">
        <v>4467</v>
      </c>
      <c r="D1571" s="47" t="s">
        <v>4468</v>
      </c>
      <c r="E1571" s="47" t="s">
        <v>2087</v>
      </c>
      <c r="F1571" s="55" t="b">
        <v>1</v>
      </c>
      <c r="G1571" s="54" t="b">
        <v>1</v>
      </c>
      <c r="H1571" s="54" t="b">
        <v>1</v>
      </c>
      <c r="I1571" s="54" t="b">
        <v>1</v>
      </c>
      <c r="J1571" s="65" t="b">
        <v>0</v>
      </c>
      <c r="K1571" s="63" t="s">
        <v>685</v>
      </c>
      <c r="L1571" s="63" t="s">
        <v>4467</v>
      </c>
      <c r="M1571" s="63" t="s">
        <v>4468</v>
      </c>
      <c r="N1571" s="63" t="s">
        <v>4268</v>
      </c>
    </row>
    <row r="1572" spans="1:14" x14ac:dyDescent="0.2">
      <c r="A1572" s="51">
        <v>1571</v>
      </c>
      <c r="G1572" s="65" t="b">
        <v>0</v>
      </c>
      <c r="H1572" s="65" t="b">
        <v>0</v>
      </c>
      <c r="I1572" s="65" t="b">
        <v>0</v>
      </c>
      <c r="J1572" s="65" t="b">
        <v>0</v>
      </c>
      <c r="K1572" s="63" t="s">
        <v>685</v>
      </c>
      <c r="L1572" s="63" t="s">
        <v>4511</v>
      </c>
      <c r="M1572" s="63" t="s">
        <v>4512</v>
      </c>
      <c r="N1572" s="63" t="s">
        <v>4440</v>
      </c>
    </row>
    <row r="1573" spans="1:14" x14ac:dyDescent="0.2">
      <c r="A1573" s="51">
        <v>1572</v>
      </c>
      <c r="G1573" s="65" t="b">
        <v>0</v>
      </c>
      <c r="H1573" s="65" t="b">
        <v>0</v>
      </c>
      <c r="I1573" s="65" t="b">
        <v>0</v>
      </c>
      <c r="J1573" s="65" t="b">
        <v>0</v>
      </c>
      <c r="K1573" s="63" t="s">
        <v>685</v>
      </c>
      <c r="L1573" s="63" t="s">
        <v>4421</v>
      </c>
      <c r="M1573" s="63" t="s">
        <v>4422</v>
      </c>
      <c r="N1573" s="63" t="s">
        <v>4348</v>
      </c>
    </row>
    <row r="1574" spans="1:14" x14ac:dyDescent="0.2">
      <c r="A1574" s="51">
        <v>1573</v>
      </c>
      <c r="B1574" s="54" t="s">
        <v>693</v>
      </c>
      <c r="C1574" s="47" t="s">
        <v>4519</v>
      </c>
      <c r="D1574" s="47" t="s">
        <v>4520</v>
      </c>
      <c r="E1574" s="47" t="s">
        <v>1719</v>
      </c>
      <c r="F1574" s="55" t="b">
        <v>1</v>
      </c>
      <c r="G1574" s="54" t="b">
        <v>1</v>
      </c>
      <c r="H1574" s="54" t="b">
        <v>1</v>
      </c>
      <c r="I1574" s="54" t="b">
        <v>1</v>
      </c>
      <c r="J1574" s="54" t="b">
        <v>1</v>
      </c>
      <c r="K1574" s="63" t="s">
        <v>693</v>
      </c>
      <c r="L1574" s="63" t="s">
        <v>4519</v>
      </c>
      <c r="M1574" s="63" t="s">
        <v>4520</v>
      </c>
      <c r="N1574" s="63" t="s">
        <v>1719</v>
      </c>
    </row>
    <row r="1575" spans="1:14" x14ac:dyDescent="0.2">
      <c r="A1575" s="51">
        <v>1574</v>
      </c>
      <c r="B1575" s="54" t="s">
        <v>693</v>
      </c>
      <c r="C1575" s="47" t="s">
        <v>4521</v>
      </c>
      <c r="D1575" s="47" t="s">
        <v>4522</v>
      </c>
      <c r="E1575" s="47" t="s">
        <v>1719</v>
      </c>
      <c r="F1575" s="55" t="b">
        <v>1</v>
      </c>
      <c r="G1575" s="54" t="b">
        <v>1</v>
      </c>
      <c r="H1575" s="54" t="b">
        <v>1</v>
      </c>
      <c r="I1575" s="54" t="b">
        <v>1</v>
      </c>
      <c r="J1575" s="54" t="b">
        <v>1</v>
      </c>
      <c r="K1575" s="63" t="s">
        <v>693</v>
      </c>
      <c r="L1575" s="63" t="s">
        <v>4521</v>
      </c>
      <c r="M1575" s="63" t="s">
        <v>4522</v>
      </c>
      <c r="N1575" s="63" t="s">
        <v>1719</v>
      </c>
    </row>
    <row r="1576" spans="1:14" x14ac:dyDescent="0.2">
      <c r="A1576" s="51">
        <v>1575</v>
      </c>
      <c r="B1576" s="54" t="s">
        <v>693</v>
      </c>
      <c r="C1576" s="47" t="s">
        <v>4523</v>
      </c>
      <c r="D1576" s="47" t="s">
        <v>4524</v>
      </c>
      <c r="E1576" s="47" t="s">
        <v>1719</v>
      </c>
      <c r="F1576" s="55" t="b">
        <v>1</v>
      </c>
      <c r="G1576" s="54" t="b">
        <v>1</v>
      </c>
      <c r="H1576" s="54" t="b">
        <v>1</v>
      </c>
      <c r="I1576" s="54" t="b">
        <v>1</v>
      </c>
      <c r="J1576" s="54" t="b">
        <v>1</v>
      </c>
      <c r="K1576" s="63" t="s">
        <v>693</v>
      </c>
      <c r="L1576" s="63" t="s">
        <v>4523</v>
      </c>
      <c r="M1576" s="63" t="s">
        <v>4524</v>
      </c>
      <c r="N1576" s="63" t="s">
        <v>1719</v>
      </c>
    </row>
    <row r="1577" spans="1:14" x14ac:dyDescent="0.2">
      <c r="A1577" s="51">
        <v>1576</v>
      </c>
      <c r="B1577" s="54" t="s">
        <v>693</v>
      </c>
      <c r="C1577" s="47" t="s">
        <v>4525</v>
      </c>
      <c r="D1577" s="47" t="s">
        <v>4526</v>
      </c>
      <c r="E1577" s="47" t="s">
        <v>1719</v>
      </c>
      <c r="F1577" s="55" t="b">
        <v>1</v>
      </c>
      <c r="G1577" s="54" t="b">
        <v>1</v>
      </c>
      <c r="H1577" s="54" t="b">
        <v>1</v>
      </c>
      <c r="I1577" s="54" t="b">
        <v>1</v>
      </c>
      <c r="J1577" s="54" t="b">
        <v>1</v>
      </c>
      <c r="K1577" s="63" t="s">
        <v>693</v>
      </c>
      <c r="L1577" s="63" t="s">
        <v>4525</v>
      </c>
      <c r="M1577" s="63" t="s">
        <v>4526</v>
      </c>
      <c r="N1577" s="63" t="s">
        <v>1719</v>
      </c>
    </row>
    <row r="1578" spans="1:14" x14ac:dyDescent="0.2">
      <c r="A1578" s="51">
        <v>1577</v>
      </c>
      <c r="B1578" s="54" t="s">
        <v>693</v>
      </c>
      <c r="C1578" s="47" t="s">
        <v>4527</v>
      </c>
      <c r="D1578" s="47" t="s">
        <v>4528</v>
      </c>
      <c r="E1578" s="47" t="s">
        <v>1719</v>
      </c>
      <c r="F1578" s="55" t="b">
        <v>1</v>
      </c>
      <c r="G1578" s="54" t="b">
        <v>1</v>
      </c>
      <c r="H1578" s="54" t="b">
        <v>1</v>
      </c>
      <c r="I1578" s="54" t="b">
        <v>1</v>
      </c>
      <c r="J1578" s="54" t="b">
        <v>1</v>
      </c>
      <c r="K1578" s="63" t="s">
        <v>693</v>
      </c>
      <c r="L1578" s="63" t="s">
        <v>4527</v>
      </c>
      <c r="M1578" s="63" t="s">
        <v>4528</v>
      </c>
      <c r="N1578" s="63" t="s">
        <v>1719</v>
      </c>
    </row>
    <row r="1579" spans="1:14" x14ac:dyDescent="0.2">
      <c r="A1579" s="51">
        <v>1578</v>
      </c>
      <c r="B1579" s="54" t="s">
        <v>693</v>
      </c>
      <c r="C1579" s="47" t="s">
        <v>4529</v>
      </c>
      <c r="D1579" s="47" t="s">
        <v>4530</v>
      </c>
      <c r="E1579" s="47" t="s">
        <v>1719</v>
      </c>
      <c r="F1579" s="55" t="b">
        <v>1</v>
      </c>
      <c r="G1579" s="54" t="b">
        <v>1</v>
      </c>
      <c r="H1579" s="54" t="b">
        <v>1</v>
      </c>
      <c r="I1579" s="54" t="b">
        <v>1</v>
      </c>
      <c r="J1579" s="54" t="b">
        <v>1</v>
      </c>
      <c r="K1579" s="63" t="s">
        <v>693</v>
      </c>
      <c r="L1579" s="63" t="s">
        <v>4529</v>
      </c>
      <c r="M1579" s="63" t="s">
        <v>4530</v>
      </c>
      <c r="N1579" s="63" t="s">
        <v>1719</v>
      </c>
    </row>
    <row r="1580" spans="1:14" x14ac:dyDescent="0.2">
      <c r="A1580" s="51">
        <v>1579</v>
      </c>
      <c r="B1580" s="54" t="s">
        <v>693</v>
      </c>
      <c r="C1580" s="47" t="s">
        <v>4531</v>
      </c>
      <c r="D1580" s="47" t="s">
        <v>4532</v>
      </c>
      <c r="E1580" s="47" t="s">
        <v>1719</v>
      </c>
      <c r="F1580" s="55" t="b">
        <v>1</v>
      </c>
      <c r="G1580" s="54" t="b">
        <v>1</v>
      </c>
      <c r="H1580" s="54" t="b">
        <v>1</v>
      </c>
      <c r="I1580" s="54" t="b">
        <v>1</v>
      </c>
      <c r="J1580" s="54" t="b">
        <v>1</v>
      </c>
      <c r="K1580" s="63" t="s">
        <v>693</v>
      </c>
      <c r="L1580" s="63" t="s">
        <v>4531</v>
      </c>
      <c r="M1580" s="63" t="s">
        <v>4532</v>
      </c>
      <c r="N1580" s="63" t="s">
        <v>1719</v>
      </c>
    </row>
    <row r="1581" spans="1:14" x14ac:dyDescent="0.2">
      <c r="A1581" s="51">
        <v>1580</v>
      </c>
      <c r="B1581" s="54" t="s">
        <v>693</v>
      </c>
      <c r="C1581" s="47" t="s">
        <v>4533</v>
      </c>
      <c r="D1581" s="47" t="s">
        <v>4534</v>
      </c>
      <c r="E1581" s="47" t="s">
        <v>1719</v>
      </c>
      <c r="F1581" s="55" t="b">
        <v>1</v>
      </c>
      <c r="G1581" s="54" t="b">
        <v>1</v>
      </c>
      <c r="H1581" s="54" t="b">
        <v>1</v>
      </c>
      <c r="I1581" s="54" t="b">
        <v>1</v>
      </c>
      <c r="J1581" s="54" t="b">
        <v>1</v>
      </c>
      <c r="K1581" s="63" t="s">
        <v>693</v>
      </c>
      <c r="L1581" s="63" t="s">
        <v>4533</v>
      </c>
      <c r="M1581" s="63" t="s">
        <v>4534</v>
      </c>
      <c r="N1581" s="63" t="s">
        <v>1719</v>
      </c>
    </row>
    <row r="1582" spans="1:14" x14ac:dyDescent="0.2">
      <c r="A1582" s="51">
        <v>1581</v>
      </c>
      <c r="B1582" s="54" t="s">
        <v>693</v>
      </c>
      <c r="C1582" s="47" t="s">
        <v>4535</v>
      </c>
      <c r="D1582" s="47" t="s">
        <v>4536</v>
      </c>
      <c r="E1582" s="47" t="s">
        <v>1719</v>
      </c>
      <c r="F1582" s="55" t="b">
        <v>1</v>
      </c>
      <c r="G1582" s="54" t="b">
        <v>1</v>
      </c>
      <c r="H1582" s="54" t="b">
        <v>1</v>
      </c>
      <c r="I1582" s="54" t="b">
        <v>1</v>
      </c>
      <c r="J1582" s="54" t="b">
        <v>1</v>
      </c>
      <c r="K1582" s="63" t="s">
        <v>693</v>
      </c>
      <c r="L1582" s="63" t="s">
        <v>4535</v>
      </c>
      <c r="M1582" s="63" t="s">
        <v>4536</v>
      </c>
      <c r="N1582" s="63" t="s">
        <v>1719</v>
      </c>
    </row>
    <row r="1583" spans="1:14" x14ac:dyDescent="0.2">
      <c r="A1583" s="51">
        <v>1582</v>
      </c>
      <c r="B1583" s="56" t="s">
        <v>695</v>
      </c>
      <c r="C1583" s="47" t="s">
        <v>4537</v>
      </c>
      <c r="D1583" s="47" t="s">
        <v>4538</v>
      </c>
      <c r="E1583" s="47" t="s">
        <v>2046</v>
      </c>
      <c r="F1583" s="55" t="b">
        <v>1</v>
      </c>
      <c r="G1583" s="65" t="b">
        <v>0</v>
      </c>
      <c r="H1583" s="54" t="b">
        <v>1</v>
      </c>
      <c r="I1583" s="54" t="b">
        <v>1</v>
      </c>
      <c r="J1583" s="54" t="b">
        <v>1</v>
      </c>
      <c r="K1583" s="63" t="s">
        <v>1105</v>
      </c>
      <c r="L1583" s="63" t="s">
        <v>4537</v>
      </c>
      <c r="M1583" s="63" t="s">
        <v>4538</v>
      </c>
      <c r="N1583" s="63" t="s">
        <v>2046</v>
      </c>
    </row>
    <row r="1584" spans="1:14" x14ac:dyDescent="0.2">
      <c r="A1584" s="51">
        <v>1583</v>
      </c>
      <c r="B1584" s="56" t="s">
        <v>695</v>
      </c>
      <c r="C1584" s="47" t="s">
        <v>4541</v>
      </c>
      <c r="D1584" s="47" t="s">
        <v>4542</v>
      </c>
      <c r="E1584" s="47" t="s">
        <v>2383</v>
      </c>
      <c r="F1584" s="55" t="b">
        <v>1</v>
      </c>
      <c r="G1584" s="65" t="b">
        <v>0</v>
      </c>
      <c r="H1584" s="54" t="b">
        <v>1</v>
      </c>
      <c r="I1584" s="54" t="b">
        <v>1</v>
      </c>
      <c r="J1584" s="54" t="b">
        <v>1</v>
      </c>
      <c r="K1584" s="63" t="s">
        <v>1105</v>
      </c>
      <c r="L1584" s="63" t="s">
        <v>4541</v>
      </c>
      <c r="M1584" s="63" t="s">
        <v>4542</v>
      </c>
      <c r="N1584" s="63" t="s">
        <v>2383</v>
      </c>
    </row>
    <row r="1585" spans="1:14" x14ac:dyDescent="0.2">
      <c r="A1585" s="51">
        <v>1584</v>
      </c>
      <c r="B1585" s="56" t="s">
        <v>695</v>
      </c>
      <c r="C1585" s="47" t="s">
        <v>4539</v>
      </c>
      <c r="D1585" s="47" t="s">
        <v>4540</v>
      </c>
      <c r="E1585" s="47" t="s">
        <v>2383</v>
      </c>
      <c r="F1585" s="55" t="b">
        <v>1</v>
      </c>
      <c r="G1585" s="65" t="b">
        <v>0</v>
      </c>
      <c r="H1585" s="54" t="b">
        <v>1</v>
      </c>
      <c r="I1585" s="54" t="b">
        <v>1</v>
      </c>
      <c r="J1585" s="54" t="b">
        <v>1</v>
      </c>
      <c r="K1585" s="63" t="s">
        <v>1105</v>
      </c>
      <c r="L1585" s="63" t="s">
        <v>4539</v>
      </c>
      <c r="M1585" s="63" t="s">
        <v>4540</v>
      </c>
      <c r="N1585" s="63" t="s">
        <v>2383</v>
      </c>
    </row>
    <row r="1586" spans="1:14" x14ac:dyDescent="0.2">
      <c r="A1586" s="51">
        <v>1585</v>
      </c>
      <c r="B1586" s="56" t="s">
        <v>695</v>
      </c>
      <c r="C1586" s="47" t="s">
        <v>4543</v>
      </c>
      <c r="D1586" s="47" t="s">
        <v>4544</v>
      </c>
      <c r="E1586" s="47" t="s">
        <v>2383</v>
      </c>
      <c r="F1586" s="55" t="b">
        <v>1</v>
      </c>
      <c r="G1586" s="65" t="b">
        <v>0</v>
      </c>
      <c r="H1586" s="54" t="b">
        <v>1</v>
      </c>
      <c r="I1586" s="54" t="b">
        <v>1</v>
      </c>
      <c r="J1586" s="54" t="b">
        <v>1</v>
      </c>
      <c r="K1586" s="63" t="s">
        <v>1105</v>
      </c>
      <c r="L1586" s="63" t="s">
        <v>4543</v>
      </c>
      <c r="M1586" s="63" t="s">
        <v>4544</v>
      </c>
      <c r="N1586" s="63" t="s">
        <v>2383</v>
      </c>
    </row>
    <row r="1587" spans="1:14" x14ac:dyDescent="0.2">
      <c r="A1587" s="51">
        <v>1586</v>
      </c>
      <c r="B1587" s="56" t="s">
        <v>695</v>
      </c>
      <c r="C1587" s="47" t="s">
        <v>4545</v>
      </c>
      <c r="D1587" s="47" t="s">
        <v>4546</v>
      </c>
      <c r="E1587" s="47" t="s">
        <v>2383</v>
      </c>
      <c r="F1587" s="55" t="b">
        <v>1</v>
      </c>
      <c r="G1587" s="65" t="b">
        <v>0</v>
      </c>
      <c r="H1587" s="54" t="b">
        <v>1</v>
      </c>
      <c r="I1587" s="54" t="b">
        <v>1</v>
      </c>
      <c r="J1587" s="54" t="b">
        <v>1</v>
      </c>
      <c r="K1587" s="63" t="s">
        <v>1105</v>
      </c>
      <c r="L1587" s="63" t="s">
        <v>4545</v>
      </c>
      <c r="M1587" s="63" t="s">
        <v>4546</v>
      </c>
      <c r="N1587" s="63" t="s">
        <v>2383</v>
      </c>
    </row>
    <row r="1588" spans="1:14" x14ac:dyDescent="0.2">
      <c r="A1588" s="51">
        <v>1587</v>
      </c>
      <c r="B1588" s="56" t="s">
        <v>695</v>
      </c>
      <c r="C1588" s="47" t="s">
        <v>4547</v>
      </c>
      <c r="D1588" s="47" t="s">
        <v>4197</v>
      </c>
      <c r="E1588" s="47" t="s">
        <v>2383</v>
      </c>
      <c r="F1588" s="55" t="b">
        <v>1</v>
      </c>
      <c r="G1588" s="65" t="b">
        <v>0</v>
      </c>
      <c r="H1588" s="54" t="b">
        <v>1</v>
      </c>
      <c r="I1588" s="54" t="b">
        <v>1</v>
      </c>
      <c r="J1588" s="54" t="b">
        <v>1</v>
      </c>
      <c r="K1588" s="63" t="s">
        <v>1105</v>
      </c>
      <c r="L1588" s="63" t="s">
        <v>4547</v>
      </c>
      <c r="M1588" s="63" t="s">
        <v>4197</v>
      </c>
      <c r="N1588" s="63" t="s">
        <v>2383</v>
      </c>
    </row>
    <row r="1589" spans="1:14" x14ac:dyDescent="0.2">
      <c r="A1589" s="51">
        <v>1588</v>
      </c>
      <c r="B1589" s="54" t="s">
        <v>700</v>
      </c>
      <c r="C1589" s="47" t="s">
        <v>4548</v>
      </c>
      <c r="D1589" s="47" t="s">
        <v>4549</v>
      </c>
      <c r="E1589" s="47" t="s">
        <v>2218</v>
      </c>
      <c r="F1589" s="55" t="b">
        <v>1</v>
      </c>
      <c r="G1589" s="54" t="b">
        <v>1</v>
      </c>
      <c r="H1589" s="54" t="b">
        <v>1</v>
      </c>
      <c r="I1589" s="54" t="b">
        <v>1</v>
      </c>
      <c r="J1589" s="54" t="b">
        <v>1</v>
      </c>
      <c r="K1589" s="63" t="s">
        <v>700</v>
      </c>
      <c r="L1589" s="63" t="s">
        <v>4548</v>
      </c>
      <c r="M1589" s="63" t="s">
        <v>4549</v>
      </c>
      <c r="N1589" s="63" t="s">
        <v>2218</v>
      </c>
    </row>
    <row r="1590" spans="1:14" x14ac:dyDescent="0.2">
      <c r="A1590" s="51">
        <v>1589</v>
      </c>
      <c r="B1590" s="54" t="s">
        <v>700</v>
      </c>
      <c r="C1590" s="47" t="s">
        <v>4550</v>
      </c>
      <c r="D1590" s="47" t="s">
        <v>4551</v>
      </c>
      <c r="E1590" s="47" t="s">
        <v>2218</v>
      </c>
      <c r="F1590" s="55" t="b">
        <v>1</v>
      </c>
      <c r="G1590" s="54" t="b">
        <v>1</v>
      </c>
      <c r="H1590" s="54" t="b">
        <v>1</v>
      </c>
      <c r="I1590" s="54" t="b">
        <v>1</v>
      </c>
      <c r="J1590" s="54" t="b">
        <v>1</v>
      </c>
      <c r="K1590" s="63" t="s">
        <v>700</v>
      </c>
      <c r="L1590" s="63" t="s">
        <v>4550</v>
      </c>
      <c r="M1590" s="63" t="s">
        <v>4551</v>
      </c>
      <c r="N1590" s="63" t="s">
        <v>2218</v>
      </c>
    </row>
    <row r="1591" spans="1:14" x14ac:dyDescent="0.2">
      <c r="A1591" s="51">
        <v>1590</v>
      </c>
      <c r="B1591" s="54" t="s">
        <v>700</v>
      </c>
      <c r="C1591" s="47" t="s">
        <v>4552</v>
      </c>
      <c r="D1591" s="47" t="s">
        <v>4553</v>
      </c>
      <c r="E1591" s="47" t="s">
        <v>2087</v>
      </c>
      <c r="F1591" s="55" t="b">
        <v>1</v>
      </c>
      <c r="G1591" s="54" t="b">
        <v>1</v>
      </c>
      <c r="H1591" s="54" t="b">
        <v>1</v>
      </c>
      <c r="I1591" s="54" t="b">
        <v>1</v>
      </c>
      <c r="J1591" s="54" t="b">
        <v>1</v>
      </c>
      <c r="K1591" s="63" t="s">
        <v>700</v>
      </c>
      <c r="L1591" s="63" t="s">
        <v>4552</v>
      </c>
      <c r="M1591" s="63" t="s">
        <v>4553</v>
      </c>
      <c r="N1591" s="63" t="s">
        <v>2087</v>
      </c>
    </row>
    <row r="1592" spans="1:14" x14ac:dyDescent="0.2">
      <c r="A1592" s="51">
        <v>1591</v>
      </c>
      <c r="B1592" s="54" t="s">
        <v>700</v>
      </c>
      <c r="C1592" s="47" t="s">
        <v>4554</v>
      </c>
      <c r="D1592" s="47" t="s">
        <v>12374</v>
      </c>
      <c r="E1592" s="47" t="s">
        <v>2087</v>
      </c>
      <c r="F1592" s="55" t="b">
        <v>1</v>
      </c>
      <c r="G1592" s="54" t="b">
        <v>1</v>
      </c>
      <c r="H1592" s="54" t="b">
        <v>1</v>
      </c>
      <c r="I1592" s="65" t="b">
        <v>0</v>
      </c>
      <c r="J1592" s="54" t="b">
        <v>1</v>
      </c>
      <c r="K1592" s="63" t="s">
        <v>700</v>
      </c>
      <c r="L1592" s="63" t="s">
        <v>4554</v>
      </c>
      <c r="M1592" s="63" t="s">
        <v>4555</v>
      </c>
      <c r="N1592" s="63" t="s">
        <v>2087</v>
      </c>
    </row>
    <row r="1593" spans="1:14" x14ac:dyDescent="0.2">
      <c r="A1593" s="51">
        <v>1592</v>
      </c>
      <c r="B1593" s="54" t="s">
        <v>700</v>
      </c>
      <c r="C1593" s="47" t="s">
        <v>4558</v>
      </c>
      <c r="D1593" s="47" t="s">
        <v>12375</v>
      </c>
      <c r="E1593" s="47" t="s">
        <v>2087</v>
      </c>
      <c r="F1593" s="55" t="b">
        <v>1</v>
      </c>
      <c r="G1593" s="54" t="b">
        <v>1</v>
      </c>
      <c r="H1593" s="54" t="b">
        <v>1</v>
      </c>
      <c r="I1593" s="65" t="b">
        <v>0</v>
      </c>
      <c r="J1593" s="54" t="b">
        <v>1</v>
      </c>
      <c r="K1593" s="63" t="s">
        <v>700</v>
      </c>
      <c r="L1593" s="63" t="s">
        <v>4558</v>
      </c>
      <c r="M1593" s="63" t="s">
        <v>4559</v>
      </c>
      <c r="N1593" s="63" t="s">
        <v>2087</v>
      </c>
    </row>
    <row r="1594" spans="1:14" x14ac:dyDescent="0.2">
      <c r="A1594" s="51">
        <v>1593</v>
      </c>
      <c r="B1594" s="54" t="s">
        <v>700</v>
      </c>
      <c r="C1594" s="47" t="s">
        <v>4556</v>
      </c>
      <c r="D1594" s="47" t="s">
        <v>12376</v>
      </c>
      <c r="E1594" s="47" t="s">
        <v>2087</v>
      </c>
      <c r="F1594" s="55" t="b">
        <v>1</v>
      </c>
      <c r="G1594" s="54" t="b">
        <v>1</v>
      </c>
      <c r="H1594" s="54" t="b">
        <v>1</v>
      </c>
      <c r="I1594" s="65" t="b">
        <v>0</v>
      </c>
      <c r="J1594" s="54" t="b">
        <v>1</v>
      </c>
      <c r="K1594" s="63" t="s">
        <v>700</v>
      </c>
      <c r="L1594" s="63" t="s">
        <v>4556</v>
      </c>
      <c r="M1594" s="63" t="s">
        <v>4557</v>
      </c>
      <c r="N1594" s="63" t="s">
        <v>2087</v>
      </c>
    </row>
    <row r="1595" spans="1:14" x14ac:dyDescent="0.2">
      <c r="A1595" s="51">
        <v>1594</v>
      </c>
      <c r="B1595" s="54" t="s">
        <v>700</v>
      </c>
      <c r="C1595" s="47" t="s">
        <v>4560</v>
      </c>
      <c r="D1595" s="47" t="s">
        <v>12377</v>
      </c>
      <c r="E1595" s="47" t="s">
        <v>2087</v>
      </c>
      <c r="F1595" s="55" t="b">
        <v>1</v>
      </c>
      <c r="G1595" s="54" t="b">
        <v>1</v>
      </c>
      <c r="H1595" s="54" t="b">
        <v>1</v>
      </c>
      <c r="I1595" s="65" t="b">
        <v>0</v>
      </c>
      <c r="J1595" s="54" t="b">
        <v>1</v>
      </c>
      <c r="K1595" s="63" t="s">
        <v>700</v>
      </c>
      <c r="L1595" s="63" t="s">
        <v>4560</v>
      </c>
      <c r="M1595" s="63" t="s">
        <v>4561</v>
      </c>
      <c r="N1595" s="63" t="s">
        <v>2087</v>
      </c>
    </row>
    <row r="1596" spans="1:14" x14ac:dyDescent="0.2">
      <c r="A1596" s="51">
        <v>1595</v>
      </c>
      <c r="B1596" s="54" t="s">
        <v>700</v>
      </c>
      <c r="C1596" s="47" t="s">
        <v>4562</v>
      </c>
      <c r="D1596" s="47" t="s">
        <v>12378</v>
      </c>
      <c r="E1596" s="47" t="s">
        <v>2087</v>
      </c>
      <c r="F1596" s="55" t="b">
        <v>1</v>
      </c>
      <c r="G1596" s="54" t="b">
        <v>1</v>
      </c>
      <c r="H1596" s="54" t="b">
        <v>1</v>
      </c>
      <c r="I1596" s="65" t="b">
        <v>0</v>
      </c>
      <c r="J1596" s="54" t="b">
        <v>1</v>
      </c>
      <c r="K1596" s="63" t="s">
        <v>700</v>
      </c>
      <c r="L1596" s="63" t="s">
        <v>4562</v>
      </c>
      <c r="M1596" s="63" t="s">
        <v>4563</v>
      </c>
      <c r="N1596" s="63" t="s">
        <v>2087</v>
      </c>
    </row>
    <row r="1597" spans="1:14" x14ac:dyDescent="0.2">
      <c r="A1597" s="51">
        <v>1596</v>
      </c>
      <c r="B1597" s="54" t="s">
        <v>700</v>
      </c>
      <c r="C1597" s="47" t="s">
        <v>4566</v>
      </c>
      <c r="D1597" s="47" t="s">
        <v>12380</v>
      </c>
      <c r="E1597" s="47" t="s">
        <v>2087</v>
      </c>
      <c r="F1597" s="55" t="b">
        <v>1</v>
      </c>
      <c r="G1597" s="54" t="b">
        <v>1</v>
      </c>
      <c r="H1597" s="54" t="b">
        <v>1</v>
      </c>
      <c r="I1597" s="65" t="b">
        <v>0</v>
      </c>
      <c r="J1597" s="54" t="b">
        <v>1</v>
      </c>
      <c r="K1597" s="63" t="s">
        <v>700</v>
      </c>
      <c r="L1597" s="63" t="s">
        <v>4566</v>
      </c>
      <c r="M1597" s="63" t="s">
        <v>4567</v>
      </c>
      <c r="N1597" s="63" t="s">
        <v>2087</v>
      </c>
    </row>
    <row r="1598" spans="1:14" x14ac:dyDescent="0.2">
      <c r="A1598" s="51">
        <v>1597</v>
      </c>
      <c r="B1598" s="54" t="s">
        <v>700</v>
      </c>
      <c r="C1598" s="47" t="s">
        <v>4568</v>
      </c>
      <c r="D1598" s="47" t="s">
        <v>12381</v>
      </c>
      <c r="E1598" s="47" t="s">
        <v>2087</v>
      </c>
      <c r="F1598" s="55" t="b">
        <v>1</v>
      </c>
      <c r="G1598" s="54" t="b">
        <v>1</v>
      </c>
      <c r="H1598" s="54" t="b">
        <v>1</v>
      </c>
      <c r="I1598" s="65" t="b">
        <v>0</v>
      </c>
      <c r="J1598" s="54" t="b">
        <v>1</v>
      </c>
      <c r="K1598" s="63" t="s">
        <v>700</v>
      </c>
      <c r="L1598" s="63" t="s">
        <v>4568</v>
      </c>
      <c r="M1598" s="63" t="s">
        <v>4569</v>
      </c>
      <c r="N1598" s="63" t="s">
        <v>2087</v>
      </c>
    </row>
    <row r="1599" spans="1:14" x14ac:dyDescent="0.2">
      <c r="A1599" s="51">
        <v>1598</v>
      </c>
      <c r="B1599" s="54" t="s">
        <v>700</v>
      </c>
      <c r="C1599" s="47" t="s">
        <v>4564</v>
      </c>
      <c r="D1599" s="47" t="s">
        <v>12379</v>
      </c>
      <c r="E1599" s="47" t="s">
        <v>2087</v>
      </c>
      <c r="F1599" s="55" t="b">
        <v>1</v>
      </c>
      <c r="G1599" s="54" t="b">
        <v>1</v>
      </c>
      <c r="H1599" s="54" t="b">
        <v>1</v>
      </c>
      <c r="I1599" s="65" t="b">
        <v>0</v>
      </c>
      <c r="J1599" s="54" t="b">
        <v>1</v>
      </c>
      <c r="K1599" s="63" t="s">
        <v>700</v>
      </c>
      <c r="L1599" s="63" t="s">
        <v>4564</v>
      </c>
      <c r="M1599" s="63" t="s">
        <v>4565</v>
      </c>
      <c r="N1599" s="63" t="s">
        <v>2087</v>
      </c>
    </row>
    <row r="1600" spans="1:14" x14ac:dyDescent="0.2">
      <c r="A1600" s="51">
        <v>1599</v>
      </c>
      <c r="B1600" s="54" t="s">
        <v>700</v>
      </c>
      <c r="C1600" s="47" t="s">
        <v>4570</v>
      </c>
      <c r="D1600" s="47" t="s">
        <v>12382</v>
      </c>
      <c r="E1600" s="47" t="s">
        <v>2046</v>
      </c>
      <c r="F1600" s="55" t="b">
        <v>1</v>
      </c>
      <c r="G1600" s="54" t="b">
        <v>1</v>
      </c>
      <c r="H1600" s="54" t="b">
        <v>1</v>
      </c>
      <c r="I1600" s="65" t="b">
        <v>0</v>
      </c>
      <c r="J1600" s="54" t="b">
        <v>1</v>
      </c>
      <c r="K1600" s="63" t="s">
        <v>700</v>
      </c>
      <c r="L1600" s="63" t="s">
        <v>4570</v>
      </c>
      <c r="M1600" s="63" t="s">
        <v>4571</v>
      </c>
      <c r="N1600" s="63" t="s">
        <v>2046</v>
      </c>
    </row>
    <row r="1601" spans="1:14" x14ac:dyDescent="0.2">
      <c r="A1601" s="51">
        <v>1600</v>
      </c>
      <c r="B1601" s="54" t="s">
        <v>702</v>
      </c>
      <c r="C1601" s="47" t="s">
        <v>4579</v>
      </c>
      <c r="D1601" s="47" t="s">
        <v>4580</v>
      </c>
      <c r="E1601" s="47" t="s">
        <v>2113</v>
      </c>
      <c r="F1601" s="55" t="b">
        <v>1</v>
      </c>
      <c r="G1601" s="54" t="b">
        <v>1</v>
      </c>
      <c r="H1601" s="54" t="b">
        <v>1</v>
      </c>
      <c r="I1601" s="54" t="b">
        <v>1</v>
      </c>
      <c r="J1601" s="65" t="b">
        <v>0</v>
      </c>
      <c r="K1601" s="63" t="s">
        <v>702</v>
      </c>
      <c r="L1601" s="63" t="s">
        <v>4579</v>
      </c>
      <c r="M1601" s="63" t="s">
        <v>4580</v>
      </c>
      <c r="N1601" s="63" t="s">
        <v>4574</v>
      </c>
    </row>
    <row r="1602" spans="1:14" x14ac:dyDescent="0.2">
      <c r="A1602" s="51">
        <v>1601</v>
      </c>
      <c r="B1602" s="54" t="s">
        <v>702</v>
      </c>
      <c r="C1602" s="47" t="s">
        <v>4577</v>
      </c>
      <c r="D1602" s="47" t="s">
        <v>4578</v>
      </c>
      <c r="E1602" s="47" t="s">
        <v>2113</v>
      </c>
      <c r="F1602" s="55" t="b">
        <v>1</v>
      </c>
      <c r="G1602" s="54" t="b">
        <v>1</v>
      </c>
      <c r="H1602" s="54" t="b">
        <v>1</v>
      </c>
      <c r="I1602" s="54" t="b">
        <v>1</v>
      </c>
      <c r="J1602" s="65" t="b">
        <v>0</v>
      </c>
      <c r="K1602" s="63" t="s">
        <v>702</v>
      </c>
      <c r="L1602" s="63" t="s">
        <v>4577</v>
      </c>
      <c r="M1602" s="63" t="s">
        <v>4578</v>
      </c>
      <c r="N1602" s="63" t="s">
        <v>4574</v>
      </c>
    </row>
    <row r="1603" spans="1:14" x14ac:dyDescent="0.2">
      <c r="A1603" s="51">
        <v>1602</v>
      </c>
      <c r="B1603" s="54" t="s">
        <v>702</v>
      </c>
      <c r="C1603" s="47" t="s">
        <v>4572</v>
      </c>
      <c r="D1603" s="47" t="s">
        <v>4573</v>
      </c>
      <c r="E1603" s="47" t="s">
        <v>2113</v>
      </c>
      <c r="F1603" s="55" t="b">
        <v>1</v>
      </c>
      <c r="G1603" s="54" t="b">
        <v>1</v>
      </c>
      <c r="H1603" s="54" t="b">
        <v>1</v>
      </c>
      <c r="I1603" s="54" t="b">
        <v>1</v>
      </c>
      <c r="J1603" s="65" t="b">
        <v>0</v>
      </c>
      <c r="K1603" s="63" t="s">
        <v>702</v>
      </c>
      <c r="L1603" s="63" t="s">
        <v>4572</v>
      </c>
      <c r="M1603" s="63" t="s">
        <v>4573</v>
      </c>
      <c r="N1603" s="63" t="s">
        <v>4574</v>
      </c>
    </row>
    <row r="1604" spans="1:14" x14ac:dyDescent="0.2">
      <c r="A1604" s="51">
        <v>1603</v>
      </c>
      <c r="B1604" s="54" t="s">
        <v>702</v>
      </c>
      <c r="C1604" s="47" t="s">
        <v>4575</v>
      </c>
      <c r="D1604" s="47" t="s">
        <v>12383</v>
      </c>
      <c r="E1604" s="47" t="s">
        <v>2113</v>
      </c>
      <c r="F1604" s="55" t="b">
        <v>1</v>
      </c>
      <c r="G1604" s="54" t="b">
        <v>1</v>
      </c>
      <c r="H1604" s="54" t="b">
        <v>1</v>
      </c>
      <c r="I1604" s="65" t="b">
        <v>0</v>
      </c>
      <c r="J1604" s="65" t="b">
        <v>0</v>
      </c>
      <c r="K1604" s="63" t="s">
        <v>702</v>
      </c>
      <c r="L1604" s="63" t="s">
        <v>4575</v>
      </c>
      <c r="M1604" s="63" t="s">
        <v>4576</v>
      </c>
      <c r="N1604" s="63" t="s">
        <v>4574</v>
      </c>
    </row>
    <row r="1605" spans="1:14" x14ac:dyDescent="0.2">
      <c r="A1605" s="51">
        <v>1604</v>
      </c>
      <c r="B1605" s="54" t="s">
        <v>702</v>
      </c>
      <c r="C1605" s="47" t="s">
        <v>4581</v>
      </c>
      <c r="D1605" s="47" t="s">
        <v>4582</v>
      </c>
      <c r="E1605" s="47" t="s">
        <v>2113</v>
      </c>
      <c r="F1605" s="55" t="b">
        <v>1</v>
      </c>
      <c r="G1605" s="54" t="b">
        <v>1</v>
      </c>
      <c r="H1605" s="54" t="b">
        <v>1</v>
      </c>
      <c r="I1605" s="54" t="b">
        <v>1</v>
      </c>
      <c r="J1605" s="65" t="b">
        <v>0</v>
      </c>
      <c r="K1605" s="63" t="s">
        <v>702</v>
      </c>
      <c r="L1605" s="63" t="s">
        <v>4581</v>
      </c>
      <c r="M1605" s="63" t="s">
        <v>4582</v>
      </c>
      <c r="N1605" s="63" t="s">
        <v>4574</v>
      </c>
    </row>
    <row r="1606" spans="1:14" x14ac:dyDescent="0.2">
      <c r="A1606" s="51">
        <v>1605</v>
      </c>
      <c r="B1606" s="54" t="s">
        <v>702</v>
      </c>
      <c r="C1606" s="47" t="s">
        <v>4585</v>
      </c>
      <c r="D1606" s="47" t="s">
        <v>12384</v>
      </c>
      <c r="E1606" s="47" t="s">
        <v>2113</v>
      </c>
      <c r="F1606" s="55" t="b">
        <v>1</v>
      </c>
      <c r="G1606" s="54" t="b">
        <v>1</v>
      </c>
      <c r="H1606" s="54" t="b">
        <v>1</v>
      </c>
      <c r="I1606" s="65" t="b">
        <v>0</v>
      </c>
      <c r="J1606" s="65" t="b">
        <v>0</v>
      </c>
      <c r="K1606" s="63" t="s">
        <v>702</v>
      </c>
      <c r="L1606" s="63" t="s">
        <v>4585</v>
      </c>
      <c r="M1606" s="63" t="s">
        <v>4586</v>
      </c>
      <c r="N1606" s="63" t="s">
        <v>4574</v>
      </c>
    </row>
    <row r="1607" spans="1:14" x14ac:dyDescent="0.2">
      <c r="A1607" s="51">
        <v>1606</v>
      </c>
      <c r="B1607" s="54" t="s">
        <v>702</v>
      </c>
      <c r="C1607" s="47" t="s">
        <v>4583</v>
      </c>
      <c r="D1607" s="47" t="s">
        <v>4584</v>
      </c>
      <c r="E1607" s="47" t="s">
        <v>2113</v>
      </c>
      <c r="F1607" s="55" t="b">
        <v>1</v>
      </c>
      <c r="G1607" s="54" t="b">
        <v>1</v>
      </c>
      <c r="H1607" s="54" t="b">
        <v>1</v>
      </c>
      <c r="I1607" s="54" t="b">
        <v>1</v>
      </c>
      <c r="J1607" s="65" t="b">
        <v>0</v>
      </c>
      <c r="K1607" s="63" t="s">
        <v>702</v>
      </c>
      <c r="L1607" s="63" t="s">
        <v>4583</v>
      </c>
      <c r="M1607" s="63" t="s">
        <v>4584</v>
      </c>
      <c r="N1607" s="63" t="s">
        <v>4574</v>
      </c>
    </row>
    <row r="1608" spans="1:14" x14ac:dyDescent="0.2">
      <c r="A1608" s="51">
        <v>1607</v>
      </c>
      <c r="B1608" s="54" t="s">
        <v>702</v>
      </c>
      <c r="C1608" s="47" t="s">
        <v>4587</v>
      </c>
      <c r="D1608" s="47" t="s">
        <v>12386</v>
      </c>
      <c r="E1608" s="47" t="s">
        <v>2113</v>
      </c>
      <c r="F1608" s="55" t="b">
        <v>1</v>
      </c>
      <c r="G1608" s="54" t="b">
        <v>1</v>
      </c>
      <c r="H1608" s="54" t="b">
        <v>1</v>
      </c>
      <c r="I1608" s="65" t="b">
        <v>0</v>
      </c>
      <c r="J1608" s="65" t="b">
        <v>0</v>
      </c>
      <c r="K1608" s="63" t="s">
        <v>702</v>
      </c>
      <c r="L1608" s="63" t="s">
        <v>4587</v>
      </c>
      <c r="M1608" s="63" t="s">
        <v>4588</v>
      </c>
      <c r="N1608" s="63" t="s">
        <v>4574</v>
      </c>
    </row>
    <row r="1609" spans="1:14" x14ac:dyDescent="0.2">
      <c r="A1609" s="51">
        <v>1608</v>
      </c>
      <c r="B1609" s="54" t="s">
        <v>702</v>
      </c>
      <c r="C1609" s="47" t="s">
        <v>4589</v>
      </c>
      <c r="D1609" s="47" t="s">
        <v>12385</v>
      </c>
      <c r="E1609" s="47" t="s">
        <v>2113</v>
      </c>
      <c r="F1609" s="55" t="b">
        <v>1</v>
      </c>
      <c r="G1609" s="54" t="b">
        <v>1</v>
      </c>
      <c r="H1609" s="54" t="b">
        <v>1</v>
      </c>
      <c r="I1609" s="65" t="b">
        <v>0</v>
      </c>
      <c r="J1609" s="65" t="b">
        <v>0</v>
      </c>
      <c r="K1609" s="63" t="s">
        <v>702</v>
      </c>
      <c r="L1609" s="63" t="s">
        <v>4589</v>
      </c>
      <c r="M1609" s="63" t="s">
        <v>4590</v>
      </c>
      <c r="N1609" s="63" t="s">
        <v>4574</v>
      </c>
    </row>
    <row r="1610" spans="1:14" x14ac:dyDescent="0.2">
      <c r="A1610" s="51">
        <v>1609</v>
      </c>
      <c r="B1610" s="54" t="s">
        <v>702</v>
      </c>
      <c r="C1610" s="47" t="s">
        <v>4591</v>
      </c>
      <c r="D1610" s="47" t="s">
        <v>12387</v>
      </c>
      <c r="E1610" s="47" t="s">
        <v>2113</v>
      </c>
      <c r="F1610" s="55" t="b">
        <v>1</v>
      </c>
      <c r="G1610" s="54" t="b">
        <v>1</v>
      </c>
      <c r="H1610" s="54" t="b">
        <v>1</v>
      </c>
      <c r="I1610" s="65" t="b">
        <v>0</v>
      </c>
      <c r="J1610" s="65" t="b">
        <v>0</v>
      </c>
      <c r="K1610" s="63" t="s">
        <v>702</v>
      </c>
      <c r="L1610" s="63" t="s">
        <v>4591</v>
      </c>
      <c r="M1610" s="63" t="s">
        <v>4592</v>
      </c>
      <c r="N1610" s="63" t="s">
        <v>4574</v>
      </c>
    </row>
    <row r="1611" spans="1:14" x14ac:dyDescent="0.2">
      <c r="A1611" s="51">
        <v>1610</v>
      </c>
      <c r="B1611" s="54" t="s">
        <v>702</v>
      </c>
      <c r="C1611" s="47" t="s">
        <v>4593</v>
      </c>
      <c r="D1611" s="47" t="s">
        <v>12388</v>
      </c>
      <c r="E1611" s="47" t="s">
        <v>2113</v>
      </c>
      <c r="F1611" s="55" t="b">
        <v>1</v>
      </c>
      <c r="G1611" s="54" t="b">
        <v>1</v>
      </c>
      <c r="H1611" s="54" t="b">
        <v>1</v>
      </c>
      <c r="I1611" s="65" t="b">
        <v>0</v>
      </c>
      <c r="J1611" s="65" t="b">
        <v>0</v>
      </c>
      <c r="K1611" s="63" t="s">
        <v>702</v>
      </c>
      <c r="L1611" s="63" t="s">
        <v>4593</v>
      </c>
      <c r="M1611" s="63" t="s">
        <v>4594</v>
      </c>
      <c r="N1611" s="63" t="s">
        <v>4574</v>
      </c>
    </row>
    <row r="1612" spans="1:14" x14ac:dyDescent="0.2">
      <c r="A1612" s="51">
        <v>1611</v>
      </c>
      <c r="B1612" s="54" t="s">
        <v>702</v>
      </c>
      <c r="C1612" s="47" t="s">
        <v>4601</v>
      </c>
      <c r="D1612" s="47" t="s">
        <v>4602</v>
      </c>
      <c r="E1612" s="47" t="s">
        <v>2113</v>
      </c>
      <c r="F1612" s="55" t="b">
        <v>1</v>
      </c>
      <c r="G1612" s="54" t="b">
        <v>1</v>
      </c>
      <c r="H1612" s="54" t="b">
        <v>1</v>
      </c>
      <c r="I1612" s="54" t="b">
        <v>1</v>
      </c>
      <c r="J1612" s="65" t="b">
        <v>0</v>
      </c>
      <c r="K1612" s="63" t="s">
        <v>702</v>
      </c>
      <c r="L1612" s="63" t="s">
        <v>4601</v>
      </c>
      <c r="M1612" s="63" t="s">
        <v>4602</v>
      </c>
      <c r="N1612" s="63" t="s">
        <v>4574</v>
      </c>
    </row>
    <row r="1613" spans="1:14" x14ac:dyDescent="0.2">
      <c r="A1613" s="51">
        <v>1612</v>
      </c>
      <c r="B1613" s="54" t="s">
        <v>702</v>
      </c>
      <c r="C1613" s="47" t="s">
        <v>4595</v>
      </c>
      <c r="D1613" s="47" t="s">
        <v>4596</v>
      </c>
      <c r="E1613" s="47" t="s">
        <v>2113</v>
      </c>
      <c r="F1613" s="55" t="b">
        <v>1</v>
      </c>
      <c r="G1613" s="54" t="b">
        <v>1</v>
      </c>
      <c r="H1613" s="54" t="b">
        <v>1</v>
      </c>
      <c r="I1613" s="54" t="b">
        <v>1</v>
      </c>
      <c r="J1613" s="65" t="b">
        <v>0</v>
      </c>
      <c r="K1613" s="63" t="s">
        <v>702</v>
      </c>
      <c r="L1613" s="63" t="s">
        <v>4595</v>
      </c>
      <c r="M1613" s="63" t="s">
        <v>4596</v>
      </c>
      <c r="N1613" s="63" t="s">
        <v>4574</v>
      </c>
    </row>
    <row r="1614" spans="1:14" x14ac:dyDescent="0.2">
      <c r="A1614" s="51">
        <v>1613</v>
      </c>
      <c r="B1614" s="54" t="s">
        <v>702</v>
      </c>
      <c r="C1614" s="47" t="s">
        <v>4597</v>
      </c>
      <c r="D1614" s="47" t="s">
        <v>12389</v>
      </c>
      <c r="E1614" s="47" t="s">
        <v>2113</v>
      </c>
      <c r="F1614" s="55" t="b">
        <v>1</v>
      </c>
      <c r="G1614" s="54" t="b">
        <v>1</v>
      </c>
      <c r="H1614" s="54" t="b">
        <v>1</v>
      </c>
      <c r="I1614" s="65" t="b">
        <v>0</v>
      </c>
      <c r="J1614" s="65" t="b">
        <v>0</v>
      </c>
      <c r="K1614" s="63" t="s">
        <v>702</v>
      </c>
      <c r="L1614" s="63" t="s">
        <v>4597</v>
      </c>
      <c r="M1614" s="63" t="s">
        <v>4598</v>
      </c>
      <c r="N1614" s="63" t="s">
        <v>4574</v>
      </c>
    </row>
    <row r="1615" spans="1:14" x14ac:dyDescent="0.2">
      <c r="A1615" s="51">
        <v>1614</v>
      </c>
      <c r="B1615" s="54" t="s">
        <v>702</v>
      </c>
      <c r="C1615" s="47" t="s">
        <v>4599</v>
      </c>
      <c r="D1615" s="47" t="s">
        <v>12390</v>
      </c>
      <c r="E1615" s="47" t="s">
        <v>2113</v>
      </c>
      <c r="F1615" s="55" t="b">
        <v>1</v>
      </c>
      <c r="G1615" s="54" t="b">
        <v>1</v>
      </c>
      <c r="H1615" s="54" t="b">
        <v>1</v>
      </c>
      <c r="I1615" s="65" t="b">
        <v>0</v>
      </c>
      <c r="J1615" s="65" t="b">
        <v>0</v>
      </c>
      <c r="K1615" s="63" t="s">
        <v>702</v>
      </c>
      <c r="L1615" s="63" t="s">
        <v>4599</v>
      </c>
      <c r="M1615" s="63" t="s">
        <v>4600</v>
      </c>
      <c r="N1615" s="63" t="s">
        <v>4574</v>
      </c>
    </row>
    <row r="1616" spans="1:14" x14ac:dyDescent="0.2">
      <c r="A1616" s="51">
        <v>1615</v>
      </c>
      <c r="B1616" s="54" t="s">
        <v>702</v>
      </c>
      <c r="C1616" s="47" t="s">
        <v>4603</v>
      </c>
      <c r="D1616" s="47" t="s">
        <v>12391</v>
      </c>
      <c r="E1616" s="47" t="s">
        <v>2113</v>
      </c>
      <c r="F1616" s="55" t="b">
        <v>1</v>
      </c>
      <c r="G1616" s="54" t="b">
        <v>1</v>
      </c>
      <c r="H1616" s="54" t="b">
        <v>1</v>
      </c>
      <c r="I1616" s="65" t="b">
        <v>0</v>
      </c>
      <c r="J1616" s="65" t="b">
        <v>0</v>
      </c>
      <c r="K1616" s="63" t="s">
        <v>702</v>
      </c>
      <c r="L1616" s="63" t="s">
        <v>4603</v>
      </c>
      <c r="M1616" s="63" t="s">
        <v>4604</v>
      </c>
      <c r="N1616" s="63" t="s">
        <v>4574</v>
      </c>
    </row>
    <row r="1617" spans="1:14" x14ac:dyDescent="0.2">
      <c r="A1617" s="51">
        <v>1616</v>
      </c>
      <c r="B1617" s="54" t="s">
        <v>704</v>
      </c>
      <c r="C1617" s="47" t="s">
        <v>4611</v>
      </c>
      <c r="D1617" s="47" t="s">
        <v>4612</v>
      </c>
      <c r="E1617" s="47" t="s">
        <v>2087</v>
      </c>
      <c r="F1617" s="55" t="b">
        <v>1</v>
      </c>
      <c r="G1617" s="54" t="b">
        <v>1</v>
      </c>
      <c r="H1617" s="54" t="b">
        <v>1</v>
      </c>
      <c r="I1617" s="54" t="b">
        <v>1</v>
      </c>
      <c r="J1617" s="54" t="b">
        <v>1</v>
      </c>
      <c r="K1617" s="63" t="s">
        <v>704</v>
      </c>
      <c r="L1617" s="63" t="s">
        <v>4611</v>
      </c>
      <c r="M1617" s="63" t="s">
        <v>4612</v>
      </c>
      <c r="N1617" s="63" t="s">
        <v>2087</v>
      </c>
    </row>
    <row r="1618" spans="1:14" x14ac:dyDescent="0.2">
      <c r="A1618" s="51">
        <v>1617</v>
      </c>
      <c r="B1618" s="54" t="s">
        <v>704</v>
      </c>
      <c r="C1618" s="47" t="s">
        <v>4605</v>
      </c>
      <c r="D1618" s="47" t="s">
        <v>4606</v>
      </c>
      <c r="E1618" s="47" t="s">
        <v>2087</v>
      </c>
      <c r="F1618" s="55" t="b">
        <v>1</v>
      </c>
      <c r="G1618" s="54" t="b">
        <v>1</v>
      </c>
      <c r="H1618" s="54" t="b">
        <v>1</v>
      </c>
      <c r="I1618" s="54" t="b">
        <v>1</v>
      </c>
      <c r="J1618" s="54" t="b">
        <v>1</v>
      </c>
      <c r="K1618" s="63" t="s">
        <v>704</v>
      </c>
      <c r="L1618" s="63" t="s">
        <v>4605</v>
      </c>
      <c r="M1618" s="63" t="s">
        <v>4606</v>
      </c>
      <c r="N1618" s="63" t="s">
        <v>2087</v>
      </c>
    </row>
    <row r="1619" spans="1:14" x14ac:dyDescent="0.2">
      <c r="A1619" s="51">
        <v>1618</v>
      </c>
      <c r="B1619" s="54" t="s">
        <v>704</v>
      </c>
      <c r="C1619" s="47" t="s">
        <v>4607</v>
      </c>
      <c r="D1619" s="47" t="s">
        <v>4608</v>
      </c>
      <c r="E1619" s="47" t="s">
        <v>2087</v>
      </c>
      <c r="F1619" s="55" t="b">
        <v>1</v>
      </c>
      <c r="G1619" s="54" t="b">
        <v>1</v>
      </c>
      <c r="H1619" s="54" t="b">
        <v>1</v>
      </c>
      <c r="I1619" s="54" t="b">
        <v>1</v>
      </c>
      <c r="J1619" s="54" t="b">
        <v>1</v>
      </c>
      <c r="K1619" s="63" t="s">
        <v>704</v>
      </c>
      <c r="L1619" s="63" t="s">
        <v>4607</v>
      </c>
      <c r="M1619" s="63" t="s">
        <v>4608</v>
      </c>
      <c r="N1619" s="63" t="s">
        <v>2087</v>
      </c>
    </row>
    <row r="1620" spans="1:14" x14ac:dyDescent="0.2">
      <c r="A1620" s="51">
        <v>1619</v>
      </c>
      <c r="B1620" s="54" t="s">
        <v>704</v>
      </c>
      <c r="C1620" s="47" t="s">
        <v>4609</v>
      </c>
      <c r="D1620" s="47" t="s">
        <v>2720</v>
      </c>
      <c r="E1620" s="47" t="s">
        <v>2087</v>
      </c>
      <c r="F1620" s="55" t="b">
        <v>1</v>
      </c>
      <c r="G1620" s="54" t="b">
        <v>1</v>
      </c>
      <c r="H1620" s="54" t="b">
        <v>1</v>
      </c>
      <c r="I1620" s="54" t="b">
        <v>1</v>
      </c>
      <c r="J1620" s="54" t="b">
        <v>1</v>
      </c>
      <c r="K1620" s="63" t="s">
        <v>704</v>
      </c>
      <c r="L1620" s="63" t="s">
        <v>4609</v>
      </c>
      <c r="M1620" s="63" t="s">
        <v>2720</v>
      </c>
      <c r="N1620" s="63" t="s">
        <v>2087</v>
      </c>
    </row>
    <row r="1621" spans="1:14" x14ac:dyDescent="0.2">
      <c r="A1621" s="51">
        <v>1620</v>
      </c>
      <c r="B1621" s="54" t="s">
        <v>704</v>
      </c>
      <c r="C1621" s="47" t="s">
        <v>4610</v>
      </c>
      <c r="D1621" s="47" t="s">
        <v>4191</v>
      </c>
      <c r="E1621" s="47" t="s">
        <v>2087</v>
      </c>
      <c r="F1621" s="55" t="b">
        <v>1</v>
      </c>
      <c r="G1621" s="54" t="b">
        <v>1</v>
      </c>
      <c r="H1621" s="54" t="b">
        <v>1</v>
      </c>
      <c r="I1621" s="54" t="b">
        <v>1</v>
      </c>
      <c r="J1621" s="54" t="b">
        <v>1</v>
      </c>
      <c r="K1621" s="63" t="s">
        <v>704</v>
      </c>
      <c r="L1621" s="63" t="s">
        <v>4610</v>
      </c>
      <c r="M1621" s="63" t="s">
        <v>4191</v>
      </c>
      <c r="N1621" s="63" t="s">
        <v>2087</v>
      </c>
    </row>
    <row r="1622" spans="1:14" x14ac:dyDescent="0.2">
      <c r="A1622" s="51">
        <v>1621</v>
      </c>
      <c r="B1622" s="54" t="s">
        <v>704</v>
      </c>
      <c r="C1622" s="47" t="s">
        <v>4613</v>
      </c>
      <c r="D1622" s="47" t="s">
        <v>4193</v>
      </c>
      <c r="E1622" s="47" t="s">
        <v>2087</v>
      </c>
      <c r="F1622" s="55" t="b">
        <v>1</v>
      </c>
      <c r="G1622" s="54" t="b">
        <v>1</v>
      </c>
      <c r="H1622" s="54" t="b">
        <v>1</v>
      </c>
      <c r="I1622" s="54" t="b">
        <v>1</v>
      </c>
      <c r="J1622" s="54" t="b">
        <v>1</v>
      </c>
      <c r="K1622" s="63" t="s">
        <v>704</v>
      </c>
      <c r="L1622" s="63" t="s">
        <v>4613</v>
      </c>
      <c r="M1622" s="63" t="s">
        <v>4193</v>
      </c>
      <c r="N1622" s="63" t="s">
        <v>2087</v>
      </c>
    </row>
    <row r="1623" spans="1:14" x14ac:dyDescent="0.2">
      <c r="A1623" s="51">
        <v>1622</v>
      </c>
      <c r="B1623" s="54" t="s">
        <v>704</v>
      </c>
      <c r="C1623" s="47" t="s">
        <v>4618</v>
      </c>
      <c r="D1623" s="47" t="s">
        <v>4619</v>
      </c>
      <c r="E1623" s="47" t="s">
        <v>2087</v>
      </c>
      <c r="F1623" s="55" t="b">
        <v>1</v>
      </c>
      <c r="G1623" s="54" t="b">
        <v>1</v>
      </c>
      <c r="H1623" s="54" t="b">
        <v>1</v>
      </c>
      <c r="I1623" s="54" t="b">
        <v>1</v>
      </c>
      <c r="J1623" s="54" t="b">
        <v>1</v>
      </c>
      <c r="K1623" s="63" t="s">
        <v>704</v>
      </c>
      <c r="L1623" s="63" t="s">
        <v>4618</v>
      </c>
      <c r="M1623" s="63" t="s">
        <v>4619</v>
      </c>
      <c r="N1623" s="63" t="s">
        <v>2087</v>
      </c>
    </row>
    <row r="1624" spans="1:14" x14ac:dyDescent="0.2">
      <c r="A1624" s="51">
        <v>1623</v>
      </c>
      <c r="B1624" s="54" t="s">
        <v>704</v>
      </c>
      <c r="C1624" s="47" t="s">
        <v>4614</v>
      </c>
      <c r="D1624" s="47" t="s">
        <v>4615</v>
      </c>
      <c r="E1624" s="47" t="s">
        <v>2087</v>
      </c>
      <c r="F1624" s="55" t="b">
        <v>1</v>
      </c>
      <c r="G1624" s="54" t="b">
        <v>1</v>
      </c>
      <c r="H1624" s="54" t="b">
        <v>1</v>
      </c>
      <c r="I1624" s="54" t="b">
        <v>1</v>
      </c>
      <c r="J1624" s="54" t="b">
        <v>1</v>
      </c>
      <c r="K1624" s="63" t="s">
        <v>704</v>
      </c>
      <c r="L1624" s="63" t="s">
        <v>4614</v>
      </c>
      <c r="M1624" s="63" t="s">
        <v>4615</v>
      </c>
      <c r="N1624" s="63" t="s">
        <v>2087</v>
      </c>
    </row>
    <row r="1625" spans="1:14" x14ac:dyDescent="0.2">
      <c r="A1625" s="51">
        <v>1624</v>
      </c>
      <c r="B1625" s="54" t="s">
        <v>704</v>
      </c>
      <c r="C1625" s="47" t="s">
        <v>4616</v>
      </c>
      <c r="D1625" s="47" t="s">
        <v>4617</v>
      </c>
      <c r="E1625" s="47" t="s">
        <v>2087</v>
      </c>
      <c r="F1625" s="55" t="b">
        <v>1</v>
      </c>
      <c r="G1625" s="54" t="b">
        <v>1</v>
      </c>
      <c r="H1625" s="54" t="b">
        <v>1</v>
      </c>
      <c r="I1625" s="54" t="b">
        <v>1</v>
      </c>
      <c r="J1625" s="54" t="b">
        <v>1</v>
      </c>
      <c r="K1625" s="63" t="s">
        <v>704</v>
      </c>
      <c r="L1625" s="63" t="s">
        <v>4616</v>
      </c>
      <c r="M1625" s="63" t="s">
        <v>4617</v>
      </c>
      <c r="N1625" s="63" t="s">
        <v>2087</v>
      </c>
    </row>
    <row r="1626" spans="1:14" x14ac:dyDescent="0.2">
      <c r="A1626" s="51">
        <v>1625</v>
      </c>
      <c r="B1626" s="54" t="s">
        <v>704</v>
      </c>
      <c r="C1626" s="47" t="s">
        <v>4620</v>
      </c>
      <c r="D1626" s="47" t="s">
        <v>4197</v>
      </c>
      <c r="E1626" s="47" t="s">
        <v>2087</v>
      </c>
      <c r="F1626" s="55" t="b">
        <v>1</v>
      </c>
      <c r="G1626" s="54" t="b">
        <v>1</v>
      </c>
      <c r="H1626" s="54" t="b">
        <v>1</v>
      </c>
      <c r="I1626" s="54" t="b">
        <v>1</v>
      </c>
      <c r="J1626" s="54" t="b">
        <v>1</v>
      </c>
      <c r="K1626" s="63" t="s">
        <v>704</v>
      </c>
      <c r="L1626" s="63" t="s">
        <v>4620</v>
      </c>
      <c r="M1626" s="63" t="s">
        <v>4197</v>
      </c>
      <c r="N1626" s="63" t="s">
        <v>2087</v>
      </c>
    </row>
    <row r="1627" spans="1:14" x14ac:dyDescent="0.2">
      <c r="A1627" s="51">
        <v>1626</v>
      </c>
      <c r="B1627" s="54" t="s">
        <v>711</v>
      </c>
      <c r="C1627" s="47" t="s">
        <v>4626</v>
      </c>
      <c r="D1627" s="47" t="s">
        <v>12395</v>
      </c>
      <c r="E1627" s="48" t="s">
        <v>2590</v>
      </c>
      <c r="F1627" s="66" t="b">
        <v>0</v>
      </c>
      <c r="G1627" s="54" t="b">
        <v>1</v>
      </c>
      <c r="H1627" s="54" t="b">
        <v>1</v>
      </c>
      <c r="I1627" s="65" t="b">
        <v>0</v>
      </c>
      <c r="J1627" s="54" t="b">
        <v>1</v>
      </c>
      <c r="K1627" s="63" t="s">
        <v>711</v>
      </c>
      <c r="L1627" s="63" t="s">
        <v>4626</v>
      </c>
      <c r="M1627" s="63" t="s">
        <v>4627</v>
      </c>
      <c r="N1627" s="63" t="s">
        <v>2590</v>
      </c>
    </row>
    <row r="1628" spans="1:14" x14ac:dyDescent="0.2">
      <c r="A1628" s="51">
        <v>1627</v>
      </c>
      <c r="B1628" s="54" t="s">
        <v>711</v>
      </c>
      <c r="C1628" s="47" t="s">
        <v>4743</v>
      </c>
      <c r="D1628" s="47" t="s">
        <v>12453</v>
      </c>
      <c r="E1628" s="48" t="s">
        <v>2590</v>
      </c>
      <c r="F1628" s="66" t="b">
        <v>0</v>
      </c>
      <c r="G1628" s="54" t="b">
        <v>1</v>
      </c>
      <c r="H1628" s="54" t="b">
        <v>1</v>
      </c>
      <c r="I1628" s="65" t="b">
        <v>0</v>
      </c>
      <c r="J1628" s="54" t="b">
        <v>1</v>
      </c>
      <c r="K1628" s="63" t="s">
        <v>711</v>
      </c>
      <c r="L1628" s="63" t="s">
        <v>4743</v>
      </c>
      <c r="M1628" s="63" t="s">
        <v>4744</v>
      </c>
      <c r="N1628" s="63" t="s">
        <v>2590</v>
      </c>
    </row>
    <row r="1629" spans="1:14" x14ac:dyDescent="0.2">
      <c r="A1629" s="51">
        <v>1628</v>
      </c>
      <c r="B1629" s="54" t="s">
        <v>711</v>
      </c>
      <c r="C1629" s="47" t="s">
        <v>4657</v>
      </c>
      <c r="D1629" s="47" t="s">
        <v>12410</v>
      </c>
      <c r="E1629" s="48" t="s">
        <v>2590</v>
      </c>
      <c r="F1629" s="66" t="b">
        <v>0</v>
      </c>
      <c r="G1629" s="54" t="b">
        <v>1</v>
      </c>
      <c r="H1629" s="54" t="b">
        <v>1</v>
      </c>
      <c r="I1629" s="65" t="b">
        <v>0</v>
      </c>
      <c r="J1629" s="54" t="b">
        <v>1</v>
      </c>
      <c r="K1629" s="63" t="s">
        <v>711</v>
      </c>
      <c r="L1629" s="63" t="s">
        <v>4657</v>
      </c>
      <c r="M1629" s="63" t="s">
        <v>4658</v>
      </c>
      <c r="N1629" s="63" t="s">
        <v>2590</v>
      </c>
    </row>
    <row r="1630" spans="1:14" x14ac:dyDescent="0.2">
      <c r="A1630" s="51">
        <v>1629</v>
      </c>
      <c r="B1630" s="54" t="s">
        <v>711</v>
      </c>
      <c r="C1630" s="47" t="s">
        <v>4655</v>
      </c>
      <c r="D1630" s="47" t="s">
        <v>12409</v>
      </c>
      <c r="E1630" s="48" t="s">
        <v>2590</v>
      </c>
      <c r="F1630" s="66" t="b">
        <v>0</v>
      </c>
      <c r="G1630" s="54" t="b">
        <v>1</v>
      </c>
      <c r="H1630" s="54" t="b">
        <v>1</v>
      </c>
      <c r="I1630" s="65" t="b">
        <v>0</v>
      </c>
      <c r="J1630" s="54" t="b">
        <v>1</v>
      </c>
      <c r="K1630" s="63" t="s">
        <v>711</v>
      </c>
      <c r="L1630" s="63" t="s">
        <v>4655</v>
      </c>
      <c r="M1630" s="63" t="s">
        <v>4656</v>
      </c>
      <c r="N1630" s="63" t="s">
        <v>2590</v>
      </c>
    </row>
    <row r="1631" spans="1:14" x14ac:dyDescent="0.2">
      <c r="A1631" s="51">
        <v>1630</v>
      </c>
      <c r="B1631" s="54" t="s">
        <v>711</v>
      </c>
      <c r="C1631" s="47" t="s">
        <v>4663</v>
      </c>
      <c r="D1631" s="47" t="s">
        <v>12413</v>
      </c>
      <c r="E1631" s="48" t="s">
        <v>2590</v>
      </c>
      <c r="F1631" s="66" t="b">
        <v>0</v>
      </c>
      <c r="G1631" s="54" t="b">
        <v>1</v>
      </c>
      <c r="H1631" s="54" t="b">
        <v>1</v>
      </c>
      <c r="I1631" s="65" t="b">
        <v>0</v>
      </c>
      <c r="J1631" s="54" t="b">
        <v>1</v>
      </c>
      <c r="K1631" s="63" t="s">
        <v>711</v>
      </c>
      <c r="L1631" s="63" t="s">
        <v>4663</v>
      </c>
      <c r="M1631" s="63" t="s">
        <v>4664</v>
      </c>
      <c r="N1631" s="63" t="s">
        <v>2590</v>
      </c>
    </row>
    <row r="1632" spans="1:14" x14ac:dyDescent="0.2">
      <c r="A1632" s="51">
        <v>1631</v>
      </c>
      <c r="B1632" s="54" t="s">
        <v>711</v>
      </c>
      <c r="C1632" s="47" t="s">
        <v>4661</v>
      </c>
      <c r="D1632" s="47" t="s">
        <v>12412</v>
      </c>
      <c r="E1632" s="48" t="s">
        <v>2590</v>
      </c>
      <c r="F1632" s="66" t="b">
        <v>0</v>
      </c>
      <c r="G1632" s="54" t="b">
        <v>1</v>
      </c>
      <c r="H1632" s="54" t="b">
        <v>1</v>
      </c>
      <c r="I1632" s="65" t="b">
        <v>0</v>
      </c>
      <c r="J1632" s="54" t="b">
        <v>1</v>
      </c>
      <c r="K1632" s="63" t="s">
        <v>711</v>
      </c>
      <c r="L1632" s="63" t="s">
        <v>4661</v>
      </c>
      <c r="M1632" s="63" t="s">
        <v>4662</v>
      </c>
      <c r="N1632" s="63" t="s">
        <v>2590</v>
      </c>
    </row>
    <row r="1633" spans="1:14" x14ac:dyDescent="0.2">
      <c r="A1633" s="51">
        <v>1632</v>
      </c>
      <c r="B1633" s="54" t="s">
        <v>711</v>
      </c>
      <c r="C1633" s="47" t="s">
        <v>4631</v>
      </c>
      <c r="D1633" s="47" t="s">
        <v>12397</v>
      </c>
      <c r="E1633" s="48" t="s">
        <v>2590</v>
      </c>
      <c r="F1633" s="66" t="b">
        <v>0</v>
      </c>
      <c r="G1633" s="54" t="b">
        <v>1</v>
      </c>
      <c r="H1633" s="54" t="b">
        <v>1</v>
      </c>
      <c r="I1633" s="65" t="b">
        <v>0</v>
      </c>
      <c r="J1633" s="54" t="b">
        <v>1</v>
      </c>
      <c r="K1633" s="63" t="s">
        <v>711</v>
      </c>
      <c r="L1633" s="63" t="s">
        <v>4631</v>
      </c>
      <c r="M1633" s="63" t="s">
        <v>4632</v>
      </c>
      <c r="N1633" s="63" t="s">
        <v>2590</v>
      </c>
    </row>
    <row r="1634" spans="1:14" x14ac:dyDescent="0.2">
      <c r="A1634" s="51">
        <v>1633</v>
      </c>
      <c r="B1634" s="54" t="s">
        <v>711</v>
      </c>
      <c r="C1634" s="47" t="s">
        <v>4633</v>
      </c>
      <c r="D1634" s="47" t="s">
        <v>12398</v>
      </c>
      <c r="E1634" s="48" t="s">
        <v>2590</v>
      </c>
      <c r="F1634" s="66" t="b">
        <v>0</v>
      </c>
      <c r="G1634" s="54" t="b">
        <v>1</v>
      </c>
      <c r="H1634" s="54" t="b">
        <v>1</v>
      </c>
      <c r="I1634" s="65" t="b">
        <v>0</v>
      </c>
      <c r="J1634" s="54" t="b">
        <v>1</v>
      </c>
      <c r="K1634" s="63" t="s">
        <v>711</v>
      </c>
      <c r="L1634" s="63" t="s">
        <v>4633</v>
      </c>
      <c r="M1634" s="63" t="s">
        <v>4634</v>
      </c>
      <c r="N1634" s="63" t="s">
        <v>2590</v>
      </c>
    </row>
    <row r="1635" spans="1:14" x14ac:dyDescent="0.2">
      <c r="A1635" s="51">
        <v>1634</v>
      </c>
      <c r="B1635" s="54" t="s">
        <v>711</v>
      </c>
      <c r="C1635" s="47" t="s">
        <v>4621</v>
      </c>
      <c r="D1635" s="47" t="s">
        <v>12392</v>
      </c>
      <c r="E1635" s="48" t="s">
        <v>2590</v>
      </c>
      <c r="F1635" s="66" t="b">
        <v>0</v>
      </c>
      <c r="G1635" s="54" t="b">
        <v>1</v>
      </c>
      <c r="H1635" s="54" t="b">
        <v>1</v>
      </c>
      <c r="I1635" s="65" t="b">
        <v>0</v>
      </c>
      <c r="J1635" s="54" t="b">
        <v>1</v>
      </c>
      <c r="K1635" s="63" t="s">
        <v>711</v>
      </c>
      <c r="L1635" s="63" t="s">
        <v>4621</v>
      </c>
      <c r="M1635" s="63" t="s">
        <v>4622</v>
      </c>
      <c r="N1635" s="63" t="s">
        <v>2590</v>
      </c>
    </row>
    <row r="1636" spans="1:14" x14ac:dyDescent="0.2">
      <c r="A1636" s="51">
        <v>1635</v>
      </c>
      <c r="B1636" s="54" t="s">
        <v>711</v>
      </c>
      <c r="C1636" s="47" t="s">
        <v>4667</v>
      </c>
      <c r="D1636" s="47" t="s">
        <v>12415</v>
      </c>
      <c r="E1636" s="48" t="s">
        <v>2590</v>
      </c>
      <c r="F1636" s="66" t="b">
        <v>0</v>
      </c>
      <c r="G1636" s="54" t="b">
        <v>1</v>
      </c>
      <c r="H1636" s="54" t="b">
        <v>1</v>
      </c>
      <c r="I1636" s="65" t="b">
        <v>0</v>
      </c>
      <c r="J1636" s="54" t="b">
        <v>1</v>
      </c>
      <c r="K1636" s="63" t="s">
        <v>711</v>
      </c>
      <c r="L1636" s="63" t="s">
        <v>4667</v>
      </c>
      <c r="M1636" s="63" t="s">
        <v>4668</v>
      </c>
      <c r="N1636" s="63" t="s">
        <v>2590</v>
      </c>
    </row>
    <row r="1637" spans="1:14" x14ac:dyDescent="0.2">
      <c r="A1637" s="51">
        <v>1636</v>
      </c>
      <c r="B1637" s="54" t="s">
        <v>711</v>
      </c>
      <c r="C1637" s="47" t="s">
        <v>4693</v>
      </c>
      <c r="D1637" s="47" t="s">
        <v>12428</v>
      </c>
      <c r="E1637" s="48" t="s">
        <v>2590</v>
      </c>
      <c r="F1637" s="66" t="b">
        <v>0</v>
      </c>
      <c r="G1637" s="54" t="b">
        <v>1</v>
      </c>
      <c r="H1637" s="54" t="b">
        <v>1</v>
      </c>
      <c r="I1637" s="65" t="b">
        <v>0</v>
      </c>
      <c r="J1637" s="54" t="b">
        <v>1</v>
      </c>
      <c r="K1637" s="63" t="s">
        <v>711</v>
      </c>
      <c r="L1637" s="63" t="s">
        <v>4693</v>
      </c>
      <c r="M1637" s="63" t="s">
        <v>4694</v>
      </c>
      <c r="N1637" s="63" t="s">
        <v>2590</v>
      </c>
    </row>
    <row r="1638" spans="1:14" x14ac:dyDescent="0.2">
      <c r="A1638" s="51">
        <v>1637</v>
      </c>
      <c r="B1638" s="54" t="s">
        <v>711</v>
      </c>
      <c r="C1638" s="47" t="s">
        <v>4701</v>
      </c>
      <c r="D1638" s="47" t="s">
        <v>12432</v>
      </c>
      <c r="E1638" s="48" t="s">
        <v>2590</v>
      </c>
      <c r="F1638" s="66" t="b">
        <v>0</v>
      </c>
      <c r="G1638" s="54" t="b">
        <v>1</v>
      </c>
      <c r="H1638" s="54" t="b">
        <v>1</v>
      </c>
      <c r="I1638" s="65" t="b">
        <v>0</v>
      </c>
      <c r="J1638" s="54" t="b">
        <v>1</v>
      </c>
      <c r="K1638" s="63" t="s">
        <v>711</v>
      </c>
      <c r="L1638" s="63" t="s">
        <v>4701</v>
      </c>
      <c r="M1638" s="63" t="s">
        <v>4702</v>
      </c>
      <c r="N1638" s="63" t="s">
        <v>2590</v>
      </c>
    </row>
    <row r="1639" spans="1:14" x14ac:dyDescent="0.2">
      <c r="A1639" s="51">
        <v>1638</v>
      </c>
      <c r="B1639" s="54" t="s">
        <v>711</v>
      </c>
      <c r="C1639" s="47" t="s">
        <v>4713</v>
      </c>
      <c r="D1639" s="47" t="s">
        <v>12438</v>
      </c>
      <c r="E1639" s="48" t="s">
        <v>2590</v>
      </c>
      <c r="F1639" s="66" t="b">
        <v>0</v>
      </c>
      <c r="G1639" s="54" t="b">
        <v>1</v>
      </c>
      <c r="H1639" s="54" t="b">
        <v>1</v>
      </c>
      <c r="I1639" s="65" t="b">
        <v>0</v>
      </c>
      <c r="J1639" s="54" t="b">
        <v>1</v>
      </c>
      <c r="K1639" s="63" t="s">
        <v>711</v>
      </c>
      <c r="L1639" s="63" t="s">
        <v>4713</v>
      </c>
      <c r="M1639" s="63" t="s">
        <v>4714</v>
      </c>
      <c r="N1639" s="63" t="s">
        <v>2590</v>
      </c>
    </row>
    <row r="1640" spans="1:14" x14ac:dyDescent="0.2">
      <c r="A1640" s="51">
        <v>1639</v>
      </c>
      <c r="B1640" s="54" t="s">
        <v>711</v>
      </c>
      <c r="C1640" s="47" t="s">
        <v>4749</v>
      </c>
      <c r="D1640" s="47" t="s">
        <v>12456</v>
      </c>
      <c r="E1640" s="48" t="s">
        <v>2590</v>
      </c>
      <c r="F1640" s="66" t="b">
        <v>0</v>
      </c>
      <c r="G1640" s="54" t="b">
        <v>1</v>
      </c>
      <c r="H1640" s="54" t="b">
        <v>1</v>
      </c>
      <c r="I1640" s="65" t="b">
        <v>0</v>
      </c>
      <c r="J1640" s="54" t="b">
        <v>1</v>
      </c>
      <c r="K1640" s="63" t="s">
        <v>711</v>
      </c>
      <c r="L1640" s="63" t="s">
        <v>4749</v>
      </c>
      <c r="M1640" s="63" t="s">
        <v>4750</v>
      </c>
      <c r="N1640" s="63" t="s">
        <v>2590</v>
      </c>
    </row>
    <row r="1641" spans="1:14" x14ac:dyDescent="0.2">
      <c r="A1641" s="51">
        <v>1640</v>
      </c>
      <c r="B1641" s="54" t="s">
        <v>711</v>
      </c>
      <c r="C1641" s="47" t="s">
        <v>4689</v>
      </c>
      <c r="D1641" s="47" t="s">
        <v>12426</v>
      </c>
      <c r="E1641" s="48" t="s">
        <v>2590</v>
      </c>
      <c r="F1641" s="66" t="b">
        <v>0</v>
      </c>
      <c r="G1641" s="54" t="b">
        <v>1</v>
      </c>
      <c r="H1641" s="54" t="b">
        <v>1</v>
      </c>
      <c r="I1641" s="65" t="b">
        <v>0</v>
      </c>
      <c r="J1641" s="54" t="b">
        <v>1</v>
      </c>
      <c r="K1641" s="63" t="s">
        <v>711</v>
      </c>
      <c r="L1641" s="63" t="s">
        <v>4689</v>
      </c>
      <c r="M1641" s="63" t="s">
        <v>4690</v>
      </c>
      <c r="N1641" s="63" t="s">
        <v>2590</v>
      </c>
    </row>
    <row r="1642" spans="1:14" x14ac:dyDescent="0.2">
      <c r="A1642" s="51">
        <v>1641</v>
      </c>
      <c r="B1642" s="54" t="s">
        <v>711</v>
      </c>
      <c r="C1642" s="47" t="s">
        <v>4685</v>
      </c>
      <c r="D1642" s="47" t="s">
        <v>12424</v>
      </c>
      <c r="E1642" s="48" t="s">
        <v>2590</v>
      </c>
      <c r="F1642" s="66" t="b">
        <v>0</v>
      </c>
      <c r="G1642" s="54" t="b">
        <v>1</v>
      </c>
      <c r="H1642" s="54" t="b">
        <v>1</v>
      </c>
      <c r="I1642" s="65" t="b">
        <v>0</v>
      </c>
      <c r="J1642" s="54" t="b">
        <v>1</v>
      </c>
      <c r="K1642" s="63" t="s">
        <v>711</v>
      </c>
      <c r="L1642" s="63" t="s">
        <v>4685</v>
      </c>
      <c r="M1642" s="63" t="s">
        <v>4686</v>
      </c>
      <c r="N1642" s="63" t="s">
        <v>2590</v>
      </c>
    </row>
    <row r="1643" spans="1:14" x14ac:dyDescent="0.2">
      <c r="A1643" s="51">
        <v>1642</v>
      </c>
      <c r="B1643" s="54" t="s">
        <v>711</v>
      </c>
      <c r="C1643" s="47" t="s">
        <v>4707</v>
      </c>
      <c r="D1643" s="47" t="s">
        <v>12435</v>
      </c>
      <c r="E1643" s="48" t="s">
        <v>2590</v>
      </c>
      <c r="F1643" s="66" t="b">
        <v>0</v>
      </c>
      <c r="G1643" s="54" t="b">
        <v>1</v>
      </c>
      <c r="H1643" s="54" t="b">
        <v>1</v>
      </c>
      <c r="I1643" s="65" t="b">
        <v>0</v>
      </c>
      <c r="J1643" s="54" t="b">
        <v>1</v>
      </c>
      <c r="K1643" s="63" t="s">
        <v>711</v>
      </c>
      <c r="L1643" s="63" t="s">
        <v>4707</v>
      </c>
      <c r="M1643" s="63" t="s">
        <v>4708</v>
      </c>
      <c r="N1643" s="63" t="s">
        <v>2590</v>
      </c>
    </row>
    <row r="1644" spans="1:14" x14ac:dyDescent="0.2">
      <c r="A1644" s="51">
        <v>1643</v>
      </c>
      <c r="B1644" s="54" t="s">
        <v>711</v>
      </c>
      <c r="C1644" s="47" t="s">
        <v>4635</v>
      </c>
      <c r="D1644" s="47" t="s">
        <v>12399</v>
      </c>
      <c r="E1644" s="48" t="s">
        <v>2590</v>
      </c>
      <c r="F1644" s="66" t="b">
        <v>0</v>
      </c>
      <c r="G1644" s="54" t="b">
        <v>1</v>
      </c>
      <c r="H1644" s="54" t="b">
        <v>1</v>
      </c>
      <c r="I1644" s="65" t="b">
        <v>0</v>
      </c>
      <c r="J1644" s="54" t="b">
        <v>1</v>
      </c>
      <c r="K1644" s="63" t="s">
        <v>711</v>
      </c>
      <c r="L1644" s="63" t="s">
        <v>4635</v>
      </c>
      <c r="M1644" s="63" t="s">
        <v>3864</v>
      </c>
      <c r="N1644" s="63" t="s">
        <v>2590</v>
      </c>
    </row>
    <row r="1645" spans="1:14" x14ac:dyDescent="0.2">
      <c r="A1645" s="51">
        <v>1644</v>
      </c>
      <c r="B1645" s="54" t="s">
        <v>711</v>
      </c>
      <c r="C1645" s="47" t="s">
        <v>4735</v>
      </c>
      <c r="D1645" s="47" t="s">
        <v>12449</v>
      </c>
      <c r="E1645" s="48" t="s">
        <v>2590</v>
      </c>
      <c r="F1645" s="66" t="b">
        <v>0</v>
      </c>
      <c r="G1645" s="54" t="b">
        <v>1</v>
      </c>
      <c r="H1645" s="54" t="b">
        <v>1</v>
      </c>
      <c r="I1645" s="65" t="b">
        <v>0</v>
      </c>
      <c r="J1645" s="54" t="b">
        <v>1</v>
      </c>
      <c r="K1645" s="63" t="s">
        <v>711</v>
      </c>
      <c r="L1645" s="63" t="s">
        <v>4735</v>
      </c>
      <c r="M1645" s="63" t="s">
        <v>4736</v>
      </c>
      <c r="N1645" s="63" t="s">
        <v>2590</v>
      </c>
    </row>
    <row r="1646" spans="1:14" x14ac:dyDescent="0.2">
      <c r="A1646" s="51">
        <v>1645</v>
      </c>
      <c r="B1646" s="54" t="s">
        <v>711</v>
      </c>
      <c r="C1646" s="47" t="s">
        <v>4671</v>
      </c>
      <c r="D1646" s="47" t="s">
        <v>12417</v>
      </c>
      <c r="E1646" s="48" t="s">
        <v>2590</v>
      </c>
      <c r="F1646" s="66" t="b">
        <v>0</v>
      </c>
      <c r="G1646" s="54" t="b">
        <v>1</v>
      </c>
      <c r="H1646" s="54" t="b">
        <v>1</v>
      </c>
      <c r="I1646" s="65" t="b">
        <v>0</v>
      </c>
      <c r="J1646" s="54" t="b">
        <v>1</v>
      </c>
      <c r="K1646" s="63" t="s">
        <v>711</v>
      </c>
      <c r="L1646" s="63" t="s">
        <v>4671</v>
      </c>
      <c r="M1646" s="63" t="s">
        <v>4672</v>
      </c>
      <c r="N1646" s="63" t="s">
        <v>2590</v>
      </c>
    </row>
    <row r="1647" spans="1:14" x14ac:dyDescent="0.2">
      <c r="A1647" s="51">
        <v>1646</v>
      </c>
      <c r="B1647" s="54" t="s">
        <v>711</v>
      </c>
      <c r="C1647" s="47" t="s">
        <v>4723</v>
      </c>
      <c r="D1647" s="47" t="s">
        <v>12443</v>
      </c>
      <c r="E1647" s="48" t="s">
        <v>2590</v>
      </c>
      <c r="F1647" s="66" t="b">
        <v>0</v>
      </c>
      <c r="G1647" s="54" t="b">
        <v>1</v>
      </c>
      <c r="H1647" s="54" t="b">
        <v>1</v>
      </c>
      <c r="I1647" s="65" t="b">
        <v>0</v>
      </c>
      <c r="J1647" s="54" t="b">
        <v>1</v>
      </c>
      <c r="K1647" s="63" t="s">
        <v>711</v>
      </c>
      <c r="L1647" s="63" t="s">
        <v>4723</v>
      </c>
      <c r="M1647" s="63" t="s">
        <v>4724</v>
      </c>
      <c r="N1647" s="63" t="s">
        <v>2590</v>
      </c>
    </row>
    <row r="1648" spans="1:14" x14ac:dyDescent="0.2">
      <c r="A1648" s="51">
        <v>1647</v>
      </c>
      <c r="B1648" s="54" t="s">
        <v>711</v>
      </c>
      <c r="C1648" s="47" t="s">
        <v>4679</v>
      </c>
      <c r="D1648" s="47" t="s">
        <v>12421</v>
      </c>
      <c r="E1648" s="48" t="s">
        <v>2590</v>
      </c>
      <c r="F1648" s="66" t="b">
        <v>0</v>
      </c>
      <c r="G1648" s="54" t="b">
        <v>1</v>
      </c>
      <c r="H1648" s="54" t="b">
        <v>1</v>
      </c>
      <c r="I1648" s="65" t="b">
        <v>0</v>
      </c>
      <c r="J1648" s="54" t="b">
        <v>1</v>
      </c>
      <c r="K1648" s="63" t="s">
        <v>711</v>
      </c>
      <c r="L1648" s="63" t="s">
        <v>4679</v>
      </c>
      <c r="M1648" s="63" t="s">
        <v>4680</v>
      </c>
      <c r="N1648" s="63" t="s">
        <v>2590</v>
      </c>
    </row>
    <row r="1649" spans="1:14" x14ac:dyDescent="0.2">
      <c r="A1649" s="51">
        <v>1648</v>
      </c>
      <c r="B1649" s="54" t="s">
        <v>711</v>
      </c>
      <c r="C1649" s="47" t="s">
        <v>4703</v>
      </c>
      <c r="D1649" s="47" t="s">
        <v>12433</v>
      </c>
      <c r="E1649" s="48" t="s">
        <v>2590</v>
      </c>
      <c r="F1649" s="66" t="b">
        <v>0</v>
      </c>
      <c r="G1649" s="54" t="b">
        <v>1</v>
      </c>
      <c r="H1649" s="54" t="b">
        <v>1</v>
      </c>
      <c r="I1649" s="65" t="b">
        <v>0</v>
      </c>
      <c r="J1649" s="54" t="b">
        <v>1</v>
      </c>
      <c r="K1649" s="63" t="s">
        <v>711</v>
      </c>
      <c r="L1649" s="63" t="s">
        <v>4703</v>
      </c>
      <c r="M1649" s="63" t="s">
        <v>4704</v>
      </c>
      <c r="N1649" s="63" t="s">
        <v>2590</v>
      </c>
    </row>
    <row r="1650" spans="1:14" x14ac:dyDescent="0.2">
      <c r="A1650" s="51">
        <v>1649</v>
      </c>
      <c r="B1650" s="54" t="s">
        <v>711</v>
      </c>
      <c r="C1650" s="47" t="s">
        <v>4711</v>
      </c>
      <c r="D1650" s="47" t="s">
        <v>12437</v>
      </c>
      <c r="E1650" s="48" t="s">
        <v>2590</v>
      </c>
      <c r="F1650" s="66" t="b">
        <v>0</v>
      </c>
      <c r="G1650" s="54" t="b">
        <v>1</v>
      </c>
      <c r="H1650" s="54" t="b">
        <v>1</v>
      </c>
      <c r="I1650" s="65" t="b">
        <v>0</v>
      </c>
      <c r="J1650" s="54" t="b">
        <v>1</v>
      </c>
      <c r="K1650" s="63" t="s">
        <v>711</v>
      </c>
      <c r="L1650" s="63" t="s">
        <v>4711</v>
      </c>
      <c r="M1650" s="63" t="s">
        <v>4712</v>
      </c>
      <c r="N1650" s="63" t="s">
        <v>2590</v>
      </c>
    </row>
    <row r="1651" spans="1:14" x14ac:dyDescent="0.2">
      <c r="A1651" s="51">
        <v>1650</v>
      </c>
      <c r="B1651" s="54" t="s">
        <v>711</v>
      </c>
      <c r="C1651" s="47" t="s">
        <v>4741</v>
      </c>
      <c r="D1651" s="47" t="s">
        <v>12452</v>
      </c>
      <c r="E1651" s="48" t="s">
        <v>2590</v>
      </c>
      <c r="F1651" s="66" t="b">
        <v>0</v>
      </c>
      <c r="G1651" s="54" t="b">
        <v>1</v>
      </c>
      <c r="H1651" s="54" t="b">
        <v>1</v>
      </c>
      <c r="I1651" s="65" t="b">
        <v>0</v>
      </c>
      <c r="J1651" s="54" t="b">
        <v>1</v>
      </c>
      <c r="K1651" s="63" t="s">
        <v>711</v>
      </c>
      <c r="L1651" s="63" t="s">
        <v>4741</v>
      </c>
      <c r="M1651" s="63" t="s">
        <v>4742</v>
      </c>
      <c r="N1651" s="63" t="s">
        <v>2590</v>
      </c>
    </row>
    <row r="1652" spans="1:14" x14ac:dyDescent="0.2">
      <c r="A1652" s="51">
        <v>1651</v>
      </c>
      <c r="B1652" s="54" t="s">
        <v>711</v>
      </c>
      <c r="C1652" s="47" t="s">
        <v>4665</v>
      </c>
      <c r="D1652" s="47" t="s">
        <v>12414</v>
      </c>
      <c r="E1652" s="48" t="s">
        <v>2590</v>
      </c>
      <c r="F1652" s="66" t="b">
        <v>0</v>
      </c>
      <c r="G1652" s="54" t="b">
        <v>1</v>
      </c>
      <c r="H1652" s="54" t="b">
        <v>1</v>
      </c>
      <c r="I1652" s="65" t="b">
        <v>0</v>
      </c>
      <c r="J1652" s="54" t="b">
        <v>1</v>
      </c>
      <c r="K1652" s="63" t="s">
        <v>711</v>
      </c>
      <c r="L1652" s="63" t="s">
        <v>4665</v>
      </c>
      <c r="M1652" s="63" t="s">
        <v>4666</v>
      </c>
      <c r="N1652" s="63" t="s">
        <v>2590</v>
      </c>
    </row>
    <row r="1653" spans="1:14" x14ac:dyDescent="0.2">
      <c r="A1653" s="51">
        <v>1652</v>
      </c>
      <c r="B1653" s="54" t="s">
        <v>711</v>
      </c>
      <c r="C1653" s="47" t="s">
        <v>4647</v>
      </c>
      <c r="D1653" s="47" t="s">
        <v>12405</v>
      </c>
      <c r="E1653" s="48" t="s">
        <v>2590</v>
      </c>
      <c r="F1653" s="66" t="b">
        <v>0</v>
      </c>
      <c r="G1653" s="54" t="b">
        <v>1</v>
      </c>
      <c r="H1653" s="54" t="b">
        <v>1</v>
      </c>
      <c r="I1653" s="65" t="b">
        <v>0</v>
      </c>
      <c r="J1653" s="54" t="b">
        <v>1</v>
      </c>
      <c r="K1653" s="63" t="s">
        <v>711</v>
      </c>
      <c r="L1653" s="63" t="s">
        <v>4647</v>
      </c>
      <c r="M1653" s="63" t="s">
        <v>4648</v>
      </c>
      <c r="N1653" s="63" t="s">
        <v>2590</v>
      </c>
    </row>
    <row r="1654" spans="1:14" x14ac:dyDescent="0.2">
      <c r="A1654" s="51">
        <v>1653</v>
      </c>
      <c r="B1654" s="54" t="s">
        <v>711</v>
      </c>
      <c r="C1654" s="47" t="s">
        <v>4669</v>
      </c>
      <c r="D1654" s="47" t="s">
        <v>12416</v>
      </c>
      <c r="E1654" s="48" t="s">
        <v>2590</v>
      </c>
      <c r="F1654" s="66" t="b">
        <v>0</v>
      </c>
      <c r="G1654" s="54" t="b">
        <v>1</v>
      </c>
      <c r="H1654" s="54" t="b">
        <v>1</v>
      </c>
      <c r="I1654" s="65" t="b">
        <v>0</v>
      </c>
      <c r="J1654" s="54" t="b">
        <v>1</v>
      </c>
      <c r="K1654" s="63" t="s">
        <v>711</v>
      </c>
      <c r="L1654" s="63" t="s">
        <v>4669</v>
      </c>
      <c r="M1654" s="63" t="s">
        <v>4670</v>
      </c>
      <c r="N1654" s="63" t="s">
        <v>2590</v>
      </c>
    </row>
    <row r="1655" spans="1:14" x14ac:dyDescent="0.2">
      <c r="A1655" s="51">
        <v>1654</v>
      </c>
      <c r="B1655" s="54" t="s">
        <v>711</v>
      </c>
      <c r="C1655" s="47" t="s">
        <v>4739</v>
      </c>
      <c r="D1655" s="47" t="s">
        <v>12451</v>
      </c>
      <c r="E1655" s="48" t="s">
        <v>2590</v>
      </c>
      <c r="F1655" s="66" t="b">
        <v>0</v>
      </c>
      <c r="G1655" s="54" t="b">
        <v>1</v>
      </c>
      <c r="H1655" s="54" t="b">
        <v>1</v>
      </c>
      <c r="I1655" s="65" t="b">
        <v>0</v>
      </c>
      <c r="J1655" s="54" t="b">
        <v>1</v>
      </c>
      <c r="K1655" s="63" t="s">
        <v>711</v>
      </c>
      <c r="L1655" s="63" t="s">
        <v>4739</v>
      </c>
      <c r="M1655" s="63" t="s">
        <v>4740</v>
      </c>
      <c r="N1655" s="63" t="s">
        <v>2590</v>
      </c>
    </row>
    <row r="1656" spans="1:14" x14ac:dyDescent="0.2">
      <c r="A1656" s="51">
        <v>1655</v>
      </c>
      <c r="B1656" s="54" t="s">
        <v>711</v>
      </c>
      <c r="C1656" s="47" t="s">
        <v>4683</v>
      </c>
      <c r="D1656" s="47" t="s">
        <v>12423</v>
      </c>
      <c r="E1656" s="48" t="s">
        <v>2590</v>
      </c>
      <c r="F1656" s="66" t="b">
        <v>0</v>
      </c>
      <c r="G1656" s="54" t="b">
        <v>1</v>
      </c>
      <c r="H1656" s="54" t="b">
        <v>1</v>
      </c>
      <c r="I1656" s="65" t="b">
        <v>0</v>
      </c>
      <c r="J1656" s="54" t="b">
        <v>1</v>
      </c>
      <c r="K1656" s="63" t="s">
        <v>711</v>
      </c>
      <c r="L1656" s="63" t="s">
        <v>4683</v>
      </c>
      <c r="M1656" s="63" t="s">
        <v>4684</v>
      </c>
      <c r="N1656" s="63" t="s">
        <v>2590</v>
      </c>
    </row>
    <row r="1657" spans="1:14" x14ac:dyDescent="0.2">
      <c r="A1657" s="51">
        <v>1656</v>
      </c>
      <c r="B1657" s="54" t="s">
        <v>711</v>
      </c>
      <c r="C1657" s="47" t="s">
        <v>4681</v>
      </c>
      <c r="D1657" s="47" t="s">
        <v>12422</v>
      </c>
      <c r="E1657" s="48" t="s">
        <v>2590</v>
      </c>
      <c r="F1657" s="66" t="b">
        <v>0</v>
      </c>
      <c r="G1657" s="54" t="b">
        <v>1</v>
      </c>
      <c r="H1657" s="54" t="b">
        <v>1</v>
      </c>
      <c r="I1657" s="65" t="b">
        <v>0</v>
      </c>
      <c r="J1657" s="54" t="b">
        <v>1</v>
      </c>
      <c r="K1657" s="63" t="s">
        <v>711</v>
      </c>
      <c r="L1657" s="63" t="s">
        <v>4681</v>
      </c>
      <c r="M1657" s="63" t="s">
        <v>4682</v>
      </c>
      <c r="N1657" s="63" t="s">
        <v>2590</v>
      </c>
    </row>
    <row r="1658" spans="1:14" x14ac:dyDescent="0.2">
      <c r="A1658" s="51">
        <v>1657</v>
      </c>
      <c r="B1658" s="54" t="s">
        <v>711</v>
      </c>
      <c r="C1658" s="47" t="s">
        <v>4691</v>
      </c>
      <c r="D1658" s="47" t="s">
        <v>12427</v>
      </c>
      <c r="E1658" s="48" t="s">
        <v>2590</v>
      </c>
      <c r="F1658" s="66" t="b">
        <v>0</v>
      </c>
      <c r="G1658" s="54" t="b">
        <v>1</v>
      </c>
      <c r="H1658" s="54" t="b">
        <v>1</v>
      </c>
      <c r="I1658" s="65" t="b">
        <v>0</v>
      </c>
      <c r="J1658" s="54" t="b">
        <v>1</v>
      </c>
      <c r="K1658" s="63" t="s">
        <v>711</v>
      </c>
      <c r="L1658" s="63" t="s">
        <v>4691</v>
      </c>
      <c r="M1658" s="63" t="s">
        <v>4692</v>
      </c>
      <c r="N1658" s="63" t="s">
        <v>2590</v>
      </c>
    </row>
    <row r="1659" spans="1:14" x14ac:dyDescent="0.2">
      <c r="A1659" s="51">
        <v>1658</v>
      </c>
      <c r="B1659" s="54" t="s">
        <v>711</v>
      </c>
      <c r="C1659" s="47" t="s">
        <v>4695</v>
      </c>
      <c r="D1659" s="47" t="s">
        <v>12429</v>
      </c>
      <c r="E1659" s="48" t="s">
        <v>2590</v>
      </c>
      <c r="F1659" s="66" t="b">
        <v>0</v>
      </c>
      <c r="G1659" s="54" t="b">
        <v>1</v>
      </c>
      <c r="H1659" s="54" t="b">
        <v>1</v>
      </c>
      <c r="I1659" s="65" t="b">
        <v>0</v>
      </c>
      <c r="J1659" s="54" t="b">
        <v>1</v>
      </c>
      <c r="K1659" s="63" t="s">
        <v>711</v>
      </c>
      <c r="L1659" s="63" t="s">
        <v>4695</v>
      </c>
      <c r="M1659" s="63" t="s">
        <v>4696</v>
      </c>
      <c r="N1659" s="63" t="s">
        <v>2590</v>
      </c>
    </row>
    <row r="1660" spans="1:14" x14ac:dyDescent="0.2">
      <c r="A1660" s="51">
        <v>1659</v>
      </c>
      <c r="B1660" s="54" t="s">
        <v>711</v>
      </c>
      <c r="C1660" s="47" t="s">
        <v>4717</v>
      </c>
      <c r="D1660" s="47" t="s">
        <v>12440</v>
      </c>
      <c r="E1660" s="48" t="s">
        <v>2590</v>
      </c>
      <c r="F1660" s="66" t="b">
        <v>0</v>
      </c>
      <c r="G1660" s="54" t="b">
        <v>1</v>
      </c>
      <c r="H1660" s="54" t="b">
        <v>1</v>
      </c>
      <c r="I1660" s="65" t="b">
        <v>0</v>
      </c>
      <c r="J1660" s="54" t="b">
        <v>1</v>
      </c>
      <c r="K1660" s="63" t="s">
        <v>711</v>
      </c>
      <c r="L1660" s="63" t="s">
        <v>4717</v>
      </c>
      <c r="M1660" s="63" t="s">
        <v>4718</v>
      </c>
      <c r="N1660" s="63" t="s">
        <v>2590</v>
      </c>
    </row>
    <row r="1661" spans="1:14" x14ac:dyDescent="0.2">
      <c r="A1661" s="51">
        <v>1660</v>
      </c>
      <c r="B1661" s="54" t="s">
        <v>711</v>
      </c>
      <c r="C1661" s="47" t="s">
        <v>4721</v>
      </c>
      <c r="D1661" s="47" t="s">
        <v>12442</v>
      </c>
      <c r="E1661" s="48" t="s">
        <v>2590</v>
      </c>
      <c r="F1661" s="66" t="b">
        <v>0</v>
      </c>
      <c r="G1661" s="54" t="b">
        <v>1</v>
      </c>
      <c r="H1661" s="54" t="b">
        <v>1</v>
      </c>
      <c r="I1661" s="65" t="b">
        <v>0</v>
      </c>
      <c r="J1661" s="54" t="b">
        <v>1</v>
      </c>
      <c r="K1661" s="63" t="s">
        <v>711</v>
      </c>
      <c r="L1661" s="63" t="s">
        <v>4721</v>
      </c>
      <c r="M1661" s="63" t="s">
        <v>4722</v>
      </c>
      <c r="N1661" s="63" t="s">
        <v>2590</v>
      </c>
    </row>
    <row r="1662" spans="1:14" x14ac:dyDescent="0.2">
      <c r="A1662" s="51">
        <v>1661</v>
      </c>
      <c r="B1662" s="54" t="s">
        <v>711</v>
      </c>
      <c r="C1662" s="47" t="s">
        <v>4731</v>
      </c>
      <c r="D1662" s="47" t="s">
        <v>12447</v>
      </c>
      <c r="E1662" s="48" t="s">
        <v>2590</v>
      </c>
      <c r="F1662" s="66" t="b">
        <v>0</v>
      </c>
      <c r="G1662" s="54" t="b">
        <v>1</v>
      </c>
      <c r="H1662" s="54" t="b">
        <v>1</v>
      </c>
      <c r="I1662" s="65" t="b">
        <v>0</v>
      </c>
      <c r="J1662" s="54" t="b">
        <v>1</v>
      </c>
      <c r="K1662" s="63" t="s">
        <v>711</v>
      </c>
      <c r="L1662" s="63" t="s">
        <v>4731</v>
      </c>
      <c r="M1662" s="63" t="s">
        <v>4732</v>
      </c>
      <c r="N1662" s="63" t="s">
        <v>2590</v>
      </c>
    </row>
    <row r="1663" spans="1:14" x14ac:dyDescent="0.2">
      <c r="A1663" s="51">
        <v>1662</v>
      </c>
      <c r="B1663" s="54" t="s">
        <v>711</v>
      </c>
      <c r="C1663" s="47" t="s">
        <v>4659</v>
      </c>
      <c r="D1663" s="47" t="s">
        <v>12411</v>
      </c>
      <c r="E1663" s="48" t="s">
        <v>2590</v>
      </c>
      <c r="F1663" s="66" t="b">
        <v>0</v>
      </c>
      <c r="G1663" s="54" t="b">
        <v>1</v>
      </c>
      <c r="H1663" s="54" t="b">
        <v>1</v>
      </c>
      <c r="I1663" s="65" t="b">
        <v>0</v>
      </c>
      <c r="J1663" s="54" t="b">
        <v>1</v>
      </c>
      <c r="K1663" s="63" t="s">
        <v>711</v>
      </c>
      <c r="L1663" s="63" t="s">
        <v>4659</v>
      </c>
      <c r="M1663" s="63" t="s">
        <v>4660</v>
      </c>
      <c r="N1663" s="63" t="s">
        <v>2590</v>
      </c>
    </row>
    <row r="1664" spans="1:14" x14ac:dyDescent="0.2">
      <c r="A1664" s="51">
        <v>1663</v>
      </c>
      <c r="B1664" s="54" t="s">
        <v>711</v>
      </c>
      <c r="C1664" s="47" t="s">
        <v>4639</v>
      </c>
      <c r="D1664" s="47" t="s">
        <v>12401</v>
      </c>
      <c r="E1664" s="48" t="s">
        <v>2590</v>
      </c>
      <c r="F1664" s="66" t="b">
        <v>0</v>
      </c>
      <c r="G1664" s="54" t="b">
        <v>1</v>
      </c>
      <c r="H1664" s="54" t="b">
        <v>1</v>
      </c>
      <c r="I1664" s="65" t="b">
        <v>0</v>
      </c>
      <c r="J1664" s="54" t="b">
        <v>1</v>
      </c>
      <c r="K1664" s="63" t="s">
        <v>711</v>
      </c>
      <c r="L1664" s="63" t="s">
        <v>4639</v>
      </c>
      <c r="M1664" s="63" t="s">
        <v>4640</v>
      </c>
      <c r="N1664" s="63" t="s">
        <v>2590</v>
      </c>
    </row>
    <row r="1665" spans="1:14" x14ac:dyDescent="0.2">
      <c r="A1665" s="51">
        <v>1664</v>
      </c>
      <c r="B1665" s="54" t="s">
        <v>711</v>
      </c>
      <c r="C1665" s="47" t="s">
        <v>4623</v>
      </c>
      <c r="D1665" s="47" t="s">
        <v>12393</v>
      </c>
      <c r="E1665" s="47" t="s">
        <v>12394</v>
      </c>
      <c r="F1665" s="55" t="b">
        <v>1</v>
      </c>
      <c r="G1665" s="54" t="b">
        <v>1</v>
      </c>
      <c r="H1665" s="54" t="b">
        <v>1</v>
      </c>
      <c r="I1665" s="65" t="b">
        <v>0</v>
      </c>
      <c r="J1665" s="65" t="b">
        <v>0</v>
      </c>
      <c r="K1665" s="63" t="s">
        <v>711</v>
      </c>
      <c r="L1665" s="63" t="s">
        <v>4623</v>
      </c>
      <c r="M1665" s="63" t="s">
        <v>4624</v>
      </c>
      <c r="N1665" s="63" t="s">
        <v>4625</v>
      </c>
    </row>
    <row r="1666" spans="1:14" x14ac:dyDescent="0.2">
      <c r="A1666" s="51">
        <v>1665</v>
      </c>
      <c r="B1666" s="54" t="s">
        <v>711</v>
      </c>
      <c r="C1666" s="47" t="s">
        <v>4653</v>
      </c>
      <c r="D1666" s="47" t="s">
        <v>12408</v>
      </c>
      <c r="E1666" s="48" t="s">
        <v>2590</v>
      </c>
      <c r="F1666" s="66" t="b">
        <v>0</v>
      </c>
      <c r="G1666" s="54" t="b">
        <v>1</v>
      </c>
      <c r="H1666" s="54" t="b">
        <v>1</v>
      </c>
      <c r="I1666" s="65" t="b">
        <v>0</v>
      </c>
      <c r="J1666" s="54" t="b">
        <v>1</v>
      </c>
      <c r="K1666" s="63" t="s">
        <v>711</v>
      </c>
      <c r="L1666" s="63" t="s">
        <v>4653</v>
      </c>
      <c r="M1666" s="63" t="s">
        <v>4654</v>
      </c>
      <c r="N1666" s="63" t="s">
        <v>2590</v>
      </c>
    </row>
    <row r="1667" spans="1:14" x14ac:dyDescent="0.2">
      <c r="A1667" s="51">
        <v>1666</v>
      </c>
      <c r="B1667" s="54" t="s">
        <v>711</v>
      </c>
      <c r="C1667" s="47" t="s">
        <v>4747</v>
      </c>
      <c r="D1667" s="47" t="s">
        <v>12455</v>
      </c>
      <c r="E1667" s="48" t="s">
        <v>2590</v>
      </c>
      <c r="F1667" s="66" t="b">
        <v>0</v>
      </c>
      <c r="G1667" s="54" t="b">
        <v>1</v>
      </c>
      <c r="H1667" s="54" t="b">
        <v>1</v>
      </c>
      <c r="I1667" s="65" t="b">
        <v>0</v>
      </c>
      <c r="J1667" s="54" t="b">
        <v>1</v>
      </c>
      <c r="K1667" s="63" t="s">
        <v>711</v>
      </c>
      <c r="L1667" s="63" t="s">
        <v>4747</v>
      </c>
      <c r="M1667" s="63" t="s">
        <v>4748</v>
      </c>
      <c r="N1667" s="63" t="s">
        <v>2590</v>
      </c>
    </row>
    <row r="1668" spans="1:14" x14ac:dyDescent="0.2">
      <c r="A1668" s="51">
        <v>1667</v>
      </c>
      <c r="B1668" s="54" t="s">
        <v>711</v>
      </c>
      <c r="C1668" s="47" t="s">
        <v>4727</v>
      </c>
      <c r="D1668" s="47" t="s">
        <v>12445</v>
      </c>
      <c r="E1668" s="48" t="s">
        <v>2590</v>
      </c>
      <c r="F1668" s="66" t="b">
        <v>0</v>
      </c>
      <c r="G1668" s="54" t="b">
        <v>1</v>
      </c>
      <c r="H1668" s="54" t="b">
        <v>1</v>
      </c>
      <c r="I1668" s="65" t="b">
        <v>0</v>
      </c>
      <c r="J1668" s="54" t="b">
        <v>1</v>
      </c>
      <c r="K1668" s="63" t="s">
        <v>711</v>
      </c>
      <c r="L1668" s="63" t="s">
        <v>4727</v>
      </c>
      <c r="M1668" s="63" t="s">
        <v>4728</v>
      </c>
      <c r="N1668" s="63" t="s">
        <v>2590</v>
      </c>
    </row>
    <row r="1669" spans="1:14" x14ac:dyDescent="0.2">
      <c r="A1669" s="51">
        <v>1668</v>
      </c>
      <c r="B1669" s="54" t="s">
        <v>711</v>
      </c>
      <c r="C1669" s="47" t="s">
        <v>4645</v>
      </c>
      <c r="D1669" s="47" t="s">
        <v>12404</v>
      </c>
      <c r="E1669" s="48" t="s">
        <v>2590</v>
      </c>
      <c r="F1669" s="66" t="b">
        <v>0</v>
      </c>
      <c r="G1669" s="54" t="b">
        <v>1</v>
      </c>
      <c r="H1669" s="54" t="b">
        <v>1</v>
      </c>
      <c r="I1669" s="65" t="b">
        <v>0</v>
      </c>
      <c r="J1669" s="54" t="b">
        <v>1</v>
      </c>
      <c r="K1669" s="63" t="s">
        <v>711</v>
      </c>
      <c r="L1669" s="63" t="s">
        <v>4645</v>
      </c>
      <c r="M1669" s="63" t="s">
        <v>4646</v>
      </c>
      <c r="N1669" s="63" t="s">
        <v>2590</v>
      </c>
    </row>
    <row r="1670" spans="1:14" x14ac:dyDescent="0.2">
      <c r="A1670" s="51">
        <v>1669</v>
      </c>
      <c r="B1670" s="54" t="s">
        <v>711</v>
      </c>
      <c r="C1670" s="47" t="s">
        <v>4699</v>
      </c>
      <c r="D1670" s="47" t="s">
        <v>12431</v>
      </c>
      <c r="E1670" s="48" t="s">
        <v>2590</v>
      </c>
      <c r="F1670" s="66" t="b">
        <v>0</v>
      </c>
      <c r="G1670" s="54" t="b">
        <v>1</v>
      </c>
      <c r="H1670" s="54" t="b">
        <v>1</v>
      </c>
      <c r="I1670" s="65" t="b">
        <v>0</v>
      </c>
      <c r="J1670" s="54" t="b">
        <v>1</v>
      </c>
      <c r="K1670" s="63" t="s">
        <v>711</v>
      </c>
      <c r="L1670" s="63" t="s">
        <v>4699</v>
      </c>
      <c r="M1670" s="63" t="s">
        <v>4700</v>
      </c>
      <c r="N1670" s="63" t="s">
        <v>2590</v>
      </c>
    </row>
    <row r="1671" spans="1:14" x14ac:dyDescent="0.2">
      <c r="A1671" s="51">
        <v>1670</v>
      </c>
      <c r="B1671" s="54" t="s">
        <v>711</v>
      </c>
      <c r="C1671" s="47" t="s">
        <v>4709</v>
      </c>
      <c r="D1671" s="47" t="s">
        <v>12436</v>
      </c>
      <c r="E1671" s="48" t="s">
        <v>2590</v>
      </c>
      <c r="F1671" s="66" t="b">
        <v>0</v>
      </c>
      <c r="G1671" s="54" t="b">
        <v>1</v>
      </c>
      <c r="H1671" s="54" t="b">
        <v>1</v>
      </c>
      <c r="I1671" s="65" t="b">
        <v>0</v>
      </c>
      <c r="J1671" s="54" t="b">
        <v>1</v>
      </c>
      <c r="K1671" s="63" t="s">
        <v>711</v>
      </c>
      <c r="L1671" s="63" t="s">
        <v>4709</v>
      </c>
      <c r="M1671" s="63" t="s">
        <v>4710</v>
      </c>
      <c r="N1671" s="63" t="s">
        <v>2590</v>
      </c>
    </row>
    <row r="1672" spans="1:14" x14ac:dyDescent="0.2">
      <c r="A1672" s="51">
        <v>1671</v>
      </c>
      <c r="B1672" s="54" t="s">
        <v>711</v>
      </c>
      <c r="C1672" s="47" t="s">
        <v>4729</v>
      </c>
      <c r="D1672" s="47" t="s">
        <v>12446</v>
      </c>
      <c r="E1672" s="48" t="s">
        <v>2590</v>
      </c>
      <c r="F1672" s="66" t="b">
        <v>0</v>
      </c>
      <c r="G1672" s="54" t="b">
        <v>1</v>
      </c>
      <c r="H1672" s="54" t="b">
        <v>1</v>
      </c>
      <c r="I1672" s="65" t="b">
        <v>0</v>
      </c>
      <c r="J1672" s="54" t="b">
        <v>1</v>
      </c>
      <c r="K1672" s="63" t="s">
        <v>711</v>
      </c>
      <c r="L1672" s="63" t="s">
        <v>4729</v>
      </c>
      <c r="M1672" s="63" t="s">
        <v>4730</v>
      </c>
      <c r="N1672" s="63" t="s">
        <v>2590</v>
      </c>
    </row>
    <row r="1673" spans="1:14" x14ac:dyDescent="0.2">
      <c r="A1673" s="51">
        <v>1672</v>
      </c>
      <c r="B1673" s="54" t="s">
        <v>711</v>
      </c>
      <c r="C1673" s="47" t="s">
        <v>4643</v>
      </c>
      <c r="D1673" s="47" t="s">
        <v>12403</v>
      </c>
      <c r="E1673" s="48" t="s">
        <v>2590</v>
      </c>
      <c r="F1673" s="66" t="b">
        <v>0</v>
      </c>
      <c r="G1673" s="54" t="b">
        <v>1</v>
      </c>
      <c r="H1673" s="54" t="b">
        <v>1</v>
      </c>
      <c r="I1673" s="65" t="b">
        <v>0</v>
      </c>
      <c r="J1673" s="54" t="b">
        <v>1</v>
      </c>
      <c r="K1673" s="63" t="s">
        <v>711</v>
      </c>
      <c r="L1673" s="63" t="s">
        <v>4643</v>
      </c>
      <c r="M1673" s="63" t="s">
        <v>4644</v>
      </c>
      <c r="N1673" s="63" t="s">
        <v>2590</v>
      </c>
    </row>
    <row r="1674" spans="1:14" x14ac:dyDescent="0.2">
      <c r="A1674" s="51">
        <v>1673</v>
      </c>
      <c r="B1674" s="54" t="s">
        <v>711</v>
      </c>
      <c r="C1674" s="47" t="s">
        <v>4677</v>
      </c>
      <c r="D1674" s="47" t="s">
        <v>12420</v>
      </c>
      <c r="E1674" s="48" t="s">
        <v>2590</v>
      </c>
      <c r="F1674" s="66" t="b">
        <v>0</v>
      </c>
      <c r="G1674" s="54" t="b">
        <v>1</v>
      </c>
      <c r="H1674" s="54" t="b">
        <v>1</v>
      </c>
      <c r="I1674" s="65" t="b">
        <v>0</v>
      </c>
      <c r="J1674" s="54" t="b">
        <v>1</v>
      </c>
      <c r="K1674" s="63" t="s">
        <v>711</v>
      </c>
      <c r="L1674" s="63" t="s">
        <v>4677</v>
      </c>
      <c r="M1674" s="63" t="s">
        <v>4678</v>
      </c>
      <c r="N1674" s="63" t="s">
        <v>2590</v>
      </c>
    </row>
    <row r="1675" spans="1:14" x14ac:dyDescent="0.2">
      <c r="A1675" s="51">
        <v>1674</v>
      </c>
      <c r="B1675" s="54" t="s">
        <v>711</v>
      </c>
      <c r="C1675" s="47" t="s">
        <v>4705</v>
      </c>
      <c r="D1675" s="47" t="s">
        <v>12434</v>
      </c>
      <c r="E1675" s="48" t="s">
        <v>2590</v>
      </c>
      <c r="F1675" s="66" t="b">
        <v>0</v>
      </c>
      <c r="G1675" s="54" t="b">
        <v>1</v>
      </c>
      <c r="H1675" s="54" t="b">
        <v>1</v>
      </c>
      <c r="I1675" s="65" t="b">
        <v>0</v>
      </c>
      <c r="J1675" s="54" t="b">
        <v>1</v>
      </c>
      <c r="K1675" s="63" t="s">
        <v>711</v>
      </c>
      <c r="L1675" s="63" t="s">
        <v>4705</v>
      </c>
      <c r="M1675" s="63" t="s">
        <v>4706</v>
      </c>
      <c r="N1675" s="63" t="s">
        <v>2590</v>
      </c>
    </row>
    <row r="1676" spans="1:14" x14ac:dyDescent="0.2">
      <c r="A1676" s="51">
        <v>1675</v>
      </c>
      <c r="B1676" s="54" t="s">
        <v>711</v>
      </c>
      <c r="C1676" s="47" t="s">
        <v>4725</v>
      </c>
      <c r="D1676" s="47" t="s">
        <v>12444</v>
      </c>
      <c r="E1676" s="48" t="s">
        <v>2590</v>
      </c>
      <c r="F1676" s="66" t="b">
        <v>0</v>
      </c>
      <c r="G1676" s="54" t="b">
        <v>1</v>
      </c>
      <c r="H1676" s="54" t="b">
        <v>1</v>
      </c>
      <c r="I1676" s="65" t="b">
        <v>0</v>
      </c>
      <c r="J1676" s="54" t="b">
        <v>1</v>
      </c>
      <c r="K1676" s="63" t="s">
        <v>711</v>
      </c>
      <c r="L1676" s="63" t="s">
        <v>4725</v>
      </c>
      <c r="M1676" s="63" t="s">
        <v>4726</v>
      </c>
      <c r="N1676" s="63" t="s">
        <v>2590</v>
      </c>
    </row>
    <row r="1677" spans="1:14" x14ac:dyDescent="0.2">
      <c r="A1677" s="51">
        <v>1676</v>
      </c>
      <c r="B1677" s="54" t="s">
        <v>711</v>
      </c>
      <c r="C1677" s="47" t="s">
        <v>4641</v>
      </c>
      <c r="D1677" s="47" t="s">
        <v>12402</v>
      </c>
      <c r="E1677" s="48" t="s">
        <v>2590</v>
      </c>
      <c r="F1677" s="66" t="b">
        <v>0</v>
      </c>
      <c r="G1677" s="54" t="b">
        <v>1</v>
      </c>
      <c r="H1677" s="54" t="b">
        <v>1</v>
      </c>
      <c r="I1677" s="65" t="b">
        <v>0</v>
      </c>
      <c r="J1677" s="54" t="b">
        <v>1</v>
      </c>
      <c r="K1677" s="63" t="s">
        <v>711</v>
      </c>
      <c r="L1677" s="63" t="s">
        <v>4641</v>
      </c>
      <c r="M1677" s="63" t="s">
        <v>4642</v>
      </c>
      <c r="N1677" s="63" t="s">
        <v>2590</v>
      </c>
    </row>
    <row r="1678" spans="1:14" x14ac:dyDescent="0.2">
      <c r="A1678" s="51">
        <v>1677</v>
      </c>
      <c r="B1678" s="54" t="s">
        <v>711</v>
      </c>
      <c r="C1678" s="47" t="s">
        <v>4628</v>
      </c>
      <c r="D1678" s="47" t="s">
        <v>12396</v>
      </c>
      <c r="E1678" s="47" t="s">
        <v>2087</v>
      </c>
      <c r="F1678" s="55" t="b">
        <v>1</v>
      </c>
      <c r="G1678" s="54" t="b">
        <v>1</v>
      </c>
      <c r="H1678" s="54" t="b">
        <v>1</v>
      </c>
      <c r="I1678" s="65" t="b">
        <v>0</v>
      </c>
      <c r="J1678" s="65" t="b">
        <v>0</v>
      </c>
      <c r="K1678" s="63" t="s">
        <v>711</v>
      </c>
      <c r="L1678" s="63" t="s">
        <v>4628</v>
      </c>
      <c r="M1678" s="63" t="s">
        <v>4629</v>
      </c>
      <c r="N1678" s="63" t="s">
        <v>4630</v>
      </c>
    </row>
    <row r="1679" spans="1:14" x14ac:dyDescent="0.2">
      <c r="A1679" s="51">
        <v>1678</v>
      </c>
      <c r="B1679" s="54" t="s">
        <v>711</v>
      </c>
      <c r="C1679" s="47" t="s">
        <v>4636</v>
      </c>
      <c r="D1679" s="47" t="s">
        <v>12400</v>
      </c>
      <c r="E1679" s="48" t="s">
        <v>2590</v>
      </c>
      <c r="F1679" s="66" t="b">
        <v>0</v>
      </c>
      <c r="G1679" s="54" t="b">
        <v>1</v>
      </c>
      <c r="H1679" s="54" t="b">
        <v>1</v>
      </c>
      <c r="I1679" s="65" t="b">
        <v>0</v>
      </c>
      <c r="J1679" s="54" t="b">
        <v>1</v>
      </c>
      <c r="K1679" s="63" t="s">
        <v>711</v>
      </c>
      <c r="L1679" s="63" t="s">
        <v>4636</v>
      </c>
      <c r="M1679" s="63" t="s">
        <v>4637</v>
      </c>
      <c r="N1679" s="63" t="s">
        <v>2590</v>
      </c>
    </row>
    <row r="1680" spans="1:14" x14ac:dyDescent="0.2">
      <c r="A1680" s="51">
        <v>1679</v>
      </c>
      <c r="B1680" s="54" t="s">
        <v>711</v>
      </c>
      <c r="C1680" s="47" t="s">
        <v>4687</v>
      </c>
      <c r="D1680" s="47" t="s">
        <v>12425</v>
      </c>
      <c r="E1680" s="47" t="s">
        <v>2087</v>
      </c>
      <c r="F1680" s="55" t="b">
        <v>1</v>
      </c>
      <c r="G1680" s="54" t="b">
        <v>1</v>
      </c>
      <c r="H1680" s="54" t="b">
        <v>1</v>
      </c>
      <c r="I1680" s="65" t="b">
        <v>0</v>
      </c>
      <c r="J1680" s="65" t="b">
        <v>0</v>
      </c>
      <c r="K1680" s="63" t="s">
        <v>711</v>
      </c>
      <c r="L1680" s="63" t="s">
        <v>4687</v>
      </c>
      <c r="M1680" s="63" t="s">
        <v>4688</v>
      </c>
      <c r="N1680" s="63" t="s">
        <v>4630</v>
      </c>
    </row>
    <row r="1681" spans="1:14" x14ac:dyDescent="0.2">
      <c r="A1681" s="51">
        <v>1680</v>
      </c>
      <c r="B1681" s="54" t="s">
        <v>711</v>
      </c>
      <c r="C1681" s="47" t="s">
        <v>4651</v>
      </c>
      <c r="D1681" s="47" t="s">
        <v>12407</v>
      </c>
      <c r="E1681" s="47" t="s">
        <v>2087</v>
      </c>
      <c r="F1681" s="55" t="b">
        <v>1</v>
      </c>
      <c r="G1681" s="54" t="b">
        <v>1</v>
      </c>
      <c r="H1681" s="54" t="b">
        <v>1</v>
      </c>
      <c r="I1681" s="65" t="b">
        <v>0</v>
      </c>
      <c r="J1681" s="65" t="b">
        <v>0</v>
      </c>
      <c r="K1681" s="63" t="s">
        <v>711</v>
      </c>
      <c r="L1681" s="63" t="s">
        <v>4651</v>
      </c>
      <c r="M1681" s="63" t="s">
        <v>4652</v>
      </c>
      <c r="N1681" s="63" t="s">
        <v>4630</v>
      </c>
    </row>
    <row r="1682" spans="1:14" x14ac:dyDescent="0.2">
      <c r="A1682" s="51">
        <v>1681</v>
      </c>
      <c r="B1682" s="54" t="s">
        <v>711</v>
      </c>
      <c r="C1682" s="47" t="s">
        <v>4675</v>
      </c>
      <c r="D1682" s="47" t="s">
        <v>12419</v>
      </c>
      <c r="E1682" s="47" t="s">
        <v>2087</v>
      </c>
      <c r="F1682" s="55" t="b">
        <v>1</v>
      </c>
      <c r="G1682" s="54" t="b">
        <v>1</v>
      </c>
      <c r="H1682" s="54" t="b">
        <v>1</v>
      </c>
      <c r="I1682" s="65" t="b">
        <v>0</v>
      </c>
      <c r="J1682" s="65" t="b">
        <v>0</v>
      </c>
      <c r="K1682" s="63" t="s">
        <v>711</v>
      </c>
      <c r="L1682" s="63" t="s">
        <v>4675</v>
      </c>
      <c r="M1682" s="63" t="s">
        <v>4676</v>
      </c>
      <c r="N1682" s="63" t="s">
        <v>4630</v>
      </c>
    </row>
    <row r="1683" spans="1:14" x14ac:dyDescent="0.2">
      <c r="A1683" s="51">
        <v>1682</v>
      </c>
      <c r="B1683" s="54" t="s">
        <v>711</v>
      </c>
      <c r="C1683" s="47" t="s">
        <v>4737</v>
      </c>
      <c r="D1683" s="47" t="s">
        <v>12450</v>
      </c>
      <c r="E1683" s="47" t="s">
        <v>2087</v>
      </c>
      <c r="F1683" s="55" t="b">
        <v>1</v>
      </c>
      <c r="G1683" s="54" t="b">
        <v>1</v>
      </c>
      <c r="H1683" s="54" t="b">
        <v>1</v>
      </c>
      <c r="I1683" s="65" t="b">
        <v>0</v>
      </c>
      <c r="J1683" s="65" t="b">
        <v>0</v>
      </c>
      <c r="K1683" s="63" t="s">
        <v>711</v>
      </c>
      <c r="L1683" s="63" t="s">
        <v>4737</v>
      </c>
      <c r="M1683" s="63" t="s">
        <v>4738</v>
      </c>
      <c r="N1683" s="63" t="s">
        <v>4630</v>
      </c>
    </row>
    <row r="1684" spans="1:14" x14ac:dyDescent="0.2">
      <c r="A1684" s="51">
        <v>1683</v>
      </c>
      <c r="B1684" s="54" t="s">
        <v>711</v>
      </c>
      <c r="C1684" s="47" t="s">
        <v>4673</v>
      </c>
      <c r="D1684" s="47" t="s">
        <v>12418</v>
      </c>
      <c r="E1684" s="47" t="s">
        <v>2087</v>
      </c>
      <c r="F1684" s="55" t="b">
        <v>1</v>
      </c>
      <c r="G1684" s="54" t="b">
        <v>1</v>
      </c>
      <c r="H1684" s="54" t="b">
        <v>1</v>
      </c>
      <c r="I1684" s="65" t="b">
        <v>0</v>
      </c>
      <c r="J1684" s="65" t="b">
        <v>0</v>
      </c>
      <c r="K1684" s="63" t="s">
        <v>711</v>
      </c>
      <c r="L1684" s="63" t="s">
        <v>4673</v>
      </c>
      <c r="M1684" s="63" t="s">
        <v>4674</v>
      </c>
      <c r="N1684" s="63" t="s">
        <v>4630</v>
      </c>
    </row>
    <row r="1685" spans="1:14" x14ac:dyDescent="0.2">
      <c r="A1685" s="51">
        <v>1684</v>
      </c>
      <c r="B1685" s="54" t="s">
        <v>711</v>
      </c>
      <c r="C1685" s="47" t="s">
        <v>4649</v>
      </c>
      <c r="D1685" s="47" t="s">
        <v>12406</v>
      </c>
      <c r="E1685" s="47" t="s">
        <v>2087</v>
      </c>
      <c r="F1685" s="55" t="b">
        <v>1</v>
      </c>
      <c r="G1685" s="54" t="b">
        <v>1</v>
      </c>
      <c r="H1685" s="54" t="b">
        <v>1</v>
      </c>
      <c r="I1685" s="65" t="b">
        <v>0</v>
      </c>
      <c r="J1685" s="65" t="b">
        <v>0</v>
      </c>
      <c r="K1685" s="63" t="s">
        <v>711</v>
      </c>
      <c r="L1685" s="63" t="s">
        <v>4649</v>
      </c>
      <c r="M1685" s="63" t="s">
        <v>4650</v>
      </c>
      <c r="N1685" s="63" t="s">
        <v>4630</v>
      </c>
    </row>
    <row r="1686" spans="1:14" x14ac:dyDescent="0.2">
      <c r="A1686" s="51">
        <v>1685</v>
      </c>
      <c r="B1686" s="54" t="s">
        <v>711</v>
      </c>
      <c r="C1686" s="47" t="s">
        <v>4733</v>
      </c>
      <c r="D1686" s="47" t="s">
        <v>12448</v>
      </c>
      <c r="E1686" s="47" t="s">
        <v>2087</v>
      </c>
      <c r="F1686" s="55" t="b">
        <v>1</v>
      </c>
      <c r="G1686" s="54" t="b">
        <v>1</v>
      </c>
      <c r="H1686" s="54" t="b">
        <v>1</v>
      </c>
      <c r="I1686" s="65" t="b">
        <v>0</v>
      </c>
      <c r="J1686" s="65" t="b">
        <v>0</v>
      </c>
      <c r="K1686" s="63" t="s">
        <v>711</v>
      </c>
      <c r="L1686" s="63" t="s">
        <v>4733</v>
      </c>
      <c r="M1686" s="63" t="s">
        <v>4734</v>
      </c>
      <c r="N1686" s="63" t="s">
        <v>4630</v>
      </c>
    </row>
    <row r="1687" spans="1:14" x14ac:dyDescent="0.2">
      <c r="A1687" s="51">
        <v>1686</v>
      </c>
      <c r="B1687" s="54" t="s">
        <v>711</v>
      </c>
      <c r="C1687" s="47" t="s">
        <v>4638</v>
      </c>
      <c r="D1687" s="47" t="s">
        <v>12400</v>
      </c>
      <c r="E1687" s="47" t="s">
        <v>2087</v>
      </c>
      <c r="F1687" s="55" t="b">
        <v>1</v>
      </c>
      <c r="G1687" s="54" t="b">
        <v>1</v>
      </c>
      <c r="H1687" s="54" t="b">
        <v>1</v>
      </c>
      <c r="I1687" s="65" t="b">
        <v>0</v>
      </c>
      <c r="J1687" s="65" t="b">
        <v>0</v>
      </c>
      <c r="K1687" s="63" t="s">
        <v>711</v>
      </c>
      <c r="L1687" s="63" t="s">
        <v>4638</v>
      </c>
      <c r="M1687" s="63" t="s">
        <v>4637</v>
      </c>
      <c r="N1687" s="63" t="s">
        <v>4630</v>
      </c>
    </row>
    <row r="1688" spans="1:14" x14ac:dyDescent="0.2">
      <c r="A1688" s="51">
        <v>1687</v>
      </c>
      <c r="B1688" s="54" t="s">
        <v>711</v>
      </c>
      <c r="C1688" s="47" t="s">
        <v>4719</v>
      </c>
      <c r="D1688" s="47" t="s">
        <v>12441</v>
      </c>
      <c r="E1688" s="47" t="s">
        <v>2087</v>
      </c>
      <c r="F1688" s="55" t="b">
        <v>1</v>
      </c>
      <c r="G1688" s="54" t="b">
        <v>1</v>
      </c>
      <c r="H1688" s="54" t="b">
        <v>1</v>
      </c>
      <c r="I1688" s="65" t="b">
        <v>0</v>
      </c>
      <c r="J1688" s="65" t="b">
        <v>0</v>
      </c>
      <c r="K1688" s="63" t="s">
        <v>711</v>
      </c>
      <c r="L1688" s="63" t="s">
        <v>4719</v>
      </c>
      <c r="M1688" s="63" t="s">
        <v>4720</v>
      </c>
      <c r="N1688" s="63" t="s">
        <v>4630</v>
      </c>
    </row>
    <row r="1689" spans="1:14" x14ac:dyDescent="0.2">
      <c r="A1689" s="51">
        <v>1688</v>
      </c>
      <c r="B1689" s="54" t="s">
        <v>711</v>
      </c>
      <c r="C1689" s="47" t="s">
        <v>4745</v>
      </c>
      <c r="D1689" s="47" t="s">
        <v>12454</v>
      </c>
      <c r="E1689" s="47" t="s">
        <v>2087</v>
      </c>
      <c r="F1689" s="55" t="b">
        <v>1</v>
      </c>
      <c r="G1689" s="54" t="b">
        <v>1</v>
      </c>
      <c r="H1689" s="54" t="b">
        <v>1</v>
      </c>
      <c r="I1689" s="65" t="b">
        <v>0</v>
      </c>
      <c r="J1689" s="65" t="b">
        <v>0</v>
      </c>
      <c r="K1689" s="63" t="s">
        <v>711</v>
      </c>
      <c r="L1689" s="63" t="s">
        <v>4745</v>
      </c>
      <c r="M1689" s="63" t="s">
        <v>4746</v>
      </c>
      <c r="N1689" s="63" t="s">
        <v>4630</v>
      </c>
    </row>
    <row r="1690" spans="1:14" x14ac:dyDescent="0.2">
      <c r="A1690" s="51">
        <v>1689</v>
      </c>
      <c r="B1690" s="54" t="s">
        <v>711</v>
      </c>
      <c r="C1690" s="47" t="s">
        <v>4715</v>
      </c>
      <c r="D1690" s="47" t="s">
        <v>12439</v>
      </c>
      <c r="E1690" s="47" t="s">
        <v>2087</v>
      </c>
      <c r="F1690" s="55" t="b">
        <v>1</v>
      </c>
      <c r="G1690" s="54" t="b">
        <v>1</v>
      </c>
      <c r="H1690" s="54" t="b">
        <v>1</v>
      </c>
      <c r="I1690" s="65" t="b">
        <v>0</v>
      </c>
      <c r="J1690" s="65" t="b">
        <v>0</v>
      </c>
      <c r="K1690" s="63" t="s">
        <v>711</v>
      </c>
      <c r="L1690" s="63" t="s">
        <v>4715</v>
      </c>
      <c r="M1690" s="63" t="s">
        <v>4716</v>
      </c>
      <c r="N1690" s="63" t="s">
        <v>4630</v>
      </c>
    </row>
    <row r="1691" spans="1:14" x14ac:dyDescent="0.2">
      <c r="A1691" s="51">
        <v>1690</v>
      </c>
      <c r="B1691" s="54" t="s">
        <v>711</v>
      </c>
      <c r="C1691" s="47" t="s">
        <v>4697</v>
      </c>
      <c r="D1691" s="47" t="s">
        <v>12430</v>
      </c>
      <c r="E1691" s="47" t="s">
        <v>2087</v>
      </c>
      <c r="F1691" s="55" t="b">
        <v>1</v>
      </c>
      <c r="G1691" s="54" t="b">
        <v>1</v>
      </c>
      <c r="H1691" s="54" t="b">
        <v>1</v>
      </c>
      <c r="I1691" s="65" t="b">
        <v>0</v>
      </c>
      <c r="J1691" s="65" t="b">
        <v>0</v>
      </c>
      <c r="K1691" s="63" t="s">
        <v>711</v>
      </c>
      <c r="L1691" s="63" t="s">
        <v>4697</v>
      </c>
      <c r="M1691" s="63" t="s">
        <v>4698</v>
      </c>
      <c r="N1691" s="63" t="s">
        <v>4630</v>
      </c>
    </row>
    <row r="1692" spans="1:14" x14ac:dyDescent="0.2">
      <c r="A1692" s="51">
        <v>1691</v>
      </c>
      <c r="B1692" s="54" t="s">
        <v>713</v>
      </c>
      <c r="C1692" s="47" t="s">
        <v>4751</v>
      </c>
      <c r="D1692" s="47" t="s">
        <v>12457</v>
      </c>
      <c r="E1692" s="47" t="s">
        <v>2164</v>
      </c>
      <c r="F1692" s="55" t="b">
        <v>1</v>
      </c>
      <c r="G1692" s="54" t="b">
        <v>1</v>
      </c>
      <c r="H1692" s="54" t="b">
        <v>1</v>
      </c>
      <c r="I1692" s="65" t="b">
        <v>0</v>
      </c>
      <c r="J1692" s="54" t="b">
        <v>1</v>
      </c>
      <c r="K1692" s="63" t="s">
        <v>713</v>
      </c>
      <c r="L1692" s="63" t="s">
        <v>4751</v>
      </c>
      <c r="M1692" s="63" t="s">
        <v>4752</v>
      </c>
      <c r="N1692" s="63" t="s">
        <v>2164</v>
      </c>
    </row>
    <row r="1693" spans="1:14" x14ac:dyDescent="0.2">
      <c r="A1693" s="51">
        <v>1692</v>
      </c>
      <c r="B1693" s="54" t="s">
        <v>713</v>
      </c>
      <c r="C1693" s="47" t="s">
        <v>4755</v>
      </c>
      <c r="D1693" s="47" t="s">
        <v>12458</v>
      </c>
      <c r="E1693" s="47" t="s">
        <v>2164</v>
      </c>
      <c r="F1693" s="55" t="b">
        <v>1</v>
      </c>
      <c r="G1693" s="54" t="b">
        <v>1</v>
      </c>
      <c r="H1693" s="54" t="b">
        <v>1</v>
      </c>
      <c r="I1693" s="65" t="b">
        <v>0</v>
      </c>
      <c r="J1693" s="54" t="b">
        <v>1</v>
      </c>
      <c r="K1693" s="63" t="s">
        <v>713</v>
      </c>
      <c r="L1693" s="63" t="s">
        <v>4755</v>
      </c>
      <c r="M1693" s="63" t="s">
        <v>4756</v>
      </c>
      <c r="N1693" s="63" t="s">
        <v>2164</v>
      </c>
    </row>
    <row r="1694" spans="1:14" x14ac:dyDescent="0.2">
      <c r="A1694" s="51">
        <v>1693</v>
      </c>
      <c r="B1694" s="54" t="s">
        <v>713</v>
      </c>
      <c r="C1694" s="47" t="s">
        <v>4757</v>
      </c>
      <c r="D1694" s="47" t="s">
        <v>12459</v>
      </c>
      <c r="E1694" s="47" t="s">
        <v>2164</v>
      </c>
      <c r="F1694" s="55" t="b">
        <v>1</v>
      </c>
      <c r="G1694" s="54" t="b">
        <v>1</v>
      </c>
      <c r="H1694" s="54" t="b">
        <v>1</v>
      </c>
      <c r="I1694" s="65" t="b">
        <v>0</v>
      </c>
      <c r="J1694" s="54" t="b">
        <v>1</v>
      </c>
      <c r="K1694" s="63" t="s">
        <v>713</v>
      </c>
      <c r="L1694" s="63" t="s">
        <v>4757</v>
      </c>
      <c r="M1694" s="63" t="s">
        <v>4758</v>
      </c>
      <c r="N1694" s="63" t="s">
        <v>2164</v>
      </c>
    </row>
    <row r="1695" spans="1:14" x14ac:dyDescent="0.2">
      <c r="A1695" s="51">
        <v>1694</v>
      </c>
      <c r="B1695" s="54" t="s">
        <v>713</v>
      </c>
      <c r="C1695" s="47" t="s">
        <v>4753</v>
      </c>
      <c r="D1695" s="47" t="s">
        <v>12460</v>
      </c>
      <c r="E1695" s="47" t="s">
        <v>2164</v>
      </c>
      <c r="F1695" s="55" t="b">
        <v>1</v>
      </c>
      <c r="G1695" s="54" t="b">
        <v>1</v>
      </c>
      <c r="H1695" s="54" t="b">
        <v>1</v>
      </c>
      <c r="I1695" s="65" t="b">
        <v>0</v>
      </c>
      <c r="J1695" s="54" t="b">
        <v>1</v>
      </c>
      <c r="K1695" s="63" t="s">
        <v>713</v>
      </c>
      <c r="L1695" s="63" t="s">
        <v>4753</v>
      </c>
      <c r="M1695" s="63" t="s">
        <v>4754</v>
      </c>
      <c r="N1695" s="63" t="s">
        <v>2164</v>
      </c>
    </row>
    <row r="1696" spans="1:14" x14ac:dyDescent="0.2">
      <c r="A1696" s="51">
        <v>1695</v>
      </c>
      <c r="B1696" s="54" t="s">
        <v>715</v>
      </c>
      <c r="C1696" s="47" t="s">
        <v>4759</v>
      </c>
      <c r="D1696" s="47" t="s">
        <v>2513</v>
      </c>
      <c r="E1696" s="47" t="s">
        <v>1970</v>
      </c>
      <c r="F1696" s="55" t="b">
        <v>1</v>
      </c>
      <c r="G1696" s="54" t="b">
        <v>1</v>
      </c>
      <c r="H1696" s="54" t="b">
        <v>1</v>
      </c>
      <c r="I1696" s="54" t="b">
        <v>1</v>
      </c>
      <c r="J1696" s="54" t="b">
        <v>1</v>
      </c>
      <c r="K1696" s="63" t="s">
        <v>715</v>
      </c>
      <c r="L1696" s="63" t="s">
        <v>4759</v>
      </c>
      <c r="M1696" s="63" t="s">
        <v>2513</v>
      </c>
      <c r="N1696" s="63" t="s">
        <v>1970</v>
      </c>
    </row>
    <row r="1697" spans="1:14" x14ac:dyDescent="0.2">
      <c r="A1697" s="51">
        <v>1696</v>
      </c>
      <c r="B1697" s="54" t="s">
        <v>715</v>
      </c>
      <c r="C1697" s="47" t="s">
        <v>4760</v>
      </c>
      <c r="D1697" s="47" t="s">
        <v>3878</v>
      </c>
      <c r="E1697" s="47" t="s">
        <v>1970</v>
      </c>
      <c r="F1697" s="55" t="b">
        <v>1</v>
      </c>
      <c r="G1697" s="54" t="b">
        <v>1</v>
      </c>
      <c r="H1697" s="54" t="b">
        <v>1</v>
      </c>
      <c r="I1697" s="54" t="b">
        <v>1</v>
      </c>
      <c r="J1697" s="54" t="b">
        <v>1</v>
      </c>
      <c r="K1697" s="63" t="s">
        <v>715</v>
      </c>
      <c r="L1697" s="63" t="s">
        <v>4760</v>
      </c>
      <c r="M1697" s="63" t="s">
        <v>3878</v>
      </c>
      <c r="N1697" s="63" t="s">
        <v>1970</v>
      </c>
    </row>
    <row r="1698" spans="1:14" x14ac:dyDescent="0.2">
      <c r="A1698" s="51">
        <v>1697</v>
      </c>
      <c r="B1698" s="54" t="s">
        <v>715</v>
      </c>
      <c r="C1698" s="47" t="s">
        <v>4761</v>
      </c>
      <c r="D1698" s="47" t="s">
        <v>2025</v>
      </c>
      <c r="E1698" s="47" t="s">
        <v>1970</v>
      </c>
      <c r="F1698" s="55" t="b">
        <v>1</v>
      </c>
      <c r="G1698" s="54" t="b">
        <v>1</v>
      </c>
      <c r="H1698" s="54" t="b">
        <v>1</v>
      </c>
      <c r="I1698" s="54" t="b">
        <v>1</v>
      </c>
      <c r="J1698" s="54" t="b">
        <v>1</v>
      </c>
      <c r="K1698" s="63" t="s">
        <v>715</v>
      </c>
      <c r="L1698" s="63" t="s">
        <v>4761</v>
      </c>
      <c r="M1698" s="63" t="s">
        <v>2025</v>
      </c>
      <c r="N1698" s="63" t="s">
        <v>1970</v>
      </c>
    </row>
    <row r="1699" spans="1:14" x14ac:dyDescent="0.2">
      <c r="A1699" s="51">
        <v>1698</v>
      </c>
      <c r="B1699" s="54" t="s">
        <v>715</v>
      </c>
      <c r="C1699" s="47" t="s">
        <v>4762</v>
      </c>
      <c r="D1699" s="47" t="s">
        <v>2518</v>
      </c>
      <c r="E1699" s="47" t="s">
        <v>1970</v>
      </c>
      <c r="F1699" s="55" t="b">
        <v>1</v>
      </c>
      <c r="G1699" s="54" t="b">
        <v>1</v>
      </c>
      <c r="H1699" s="54" t="b">
        <v>1</v>
      </c>
      <c r="I1699" s="54" t="b">
        <v>1</v>
      </c>
      <c r="J1699" s="54" t="b">
        <v>1</v>
      </c>
      <c r="K1699" s="63" t="s">
        <v>715</v>
      </c>
      <c r="L1699" s="63" t="s">
        <v>4762</v>
      </c>
      <c r="M1699" s="63" t="s">
        <v>2518</v>
      </c>
      <c r="N1699" s="63" t="s">
        <v>1970</v>
      </c>
    </row>
    <row r="1700" spans="1:14" x14ac:dyDescent="0.2">
      <c r="A1700" s="51">
        <v>1699</v>
      </c>
      <c r="B1700" s="54" t="s">
        <v>715</v>
      </c>
      <c r="C1700" s="47" t="s">
        <v>4763</v>
      </c>
      <c r="D1700" s="47" t="s">
        <v>3885</v>
      </c>
      <c r="E1700" s="47" t="s">
        <v>1970</v>
      </c>
      <c r="F1700" s="55" t="b">
        <v>1</v>
      </c>
      <c r="G1700" s="54" t="b">
        <v>1</v>
      </c>
      <c r="H1700" s="54" t="b">
        <v>1</v>
      </c>
      <c r="I1700" s="54" t="b">
        <v>1</v>
      </c>
      <c r="J1700" s="54" t="b">
        <v>1</v>
      </c>
      <c r="K1700" s="63" t="s">
        <v>715</v>
      </c>
      <c r="L1700" s="63" t="s">
        <v>4763</v>
      </c>
      <c r="M1700" s="63" t="s">
        <v>3885</v>
      </c>
      <c r="N1700" s="63" t="s">
        <v>1970</v>
      </c>
    </row>
    <row r="1701" spans="1:14" x14ac:dyDescent="0.2">
      <c r="A1701" s="51">
        <v>1700</v>
      </c>
      <c r="B1701" s="54" t="s">
        <v>715</v>
      </c>
      <c r="C1701" s="47" t="s">
        <v>4764</v>
      </c>
      <c r="D1701" s="47" t="s">
        <v>3887</v>
      </c>
      <c r="E1701" s="47" t="s">
        <v>1970</v>
      </c>
      <c r="F1701" s="55" t="b">
        <v>1</v>
      </c>
      <c r="G1701" s="54" t="b">
        <v>1</v>
      </c>
      <c r="H1701" s="54" t="b">
        <v>1</v>
      </c>
      <c r="I1701" s="54" t="b">
        <v>1</v>
      </c>
      <c r="J1701" s="54" t="b">
        <v>1</v>
      </c>
      <c r="K1701" s="63" t="s">
        <v>715</v>
      </c>
      <c r="L1701" s="63" t="s">
        <v>4764</v>
      </c>
      <c r="M1701" s="63" t="s">
        <v>3887</v>
      </c>
      <c r="N1701" s="63" t="s">
        <v>1970</v>
      </c>
    </row>
    <row r="1702" spans="1:14" x14ac:dyDescent="0.2">
      <c r="A1702" s="51">
        <v>1701</v>
      </c>
      <c r="B1702" s="54" t="s">
        <v>715</v>
      </c>
      <c r="C1702" s="47" t="s">
        <v>4765</v>
      </c>
      <c r="D1702" s="47" t="s">
        <v>4766</v>
      </c>
      <c r="E1702" s="48" t="s">
        <v>2021</v>
      </c>
      <c r="F1702" s="66" t="b">
        <v>0</v>
      </c>
      <c r="G1702" s="54" t="b">
        <v>1</v>
      </c>
      <c r="H1702" s="54" t="b">
        <v>1</v>
      </c>
      <c r="I1702" s="54" t="b">
        <v>1</v>
      </c>
      <c r="J1702" s="54" t="b">
        <v>1</v>
      </c>
      <c r="K1702" s="63" t="s">
        <v>715</v>
      </c>
      <c r="L1702" s="63" t="s">
        <v>4765</v>
      </c>
      <c r="M1702" s="63" t="s">
        <v>4766</v>
      </c>
      <c r="N1702" s="63" t="s">
        <v>2021</v>
      </c>
    </row>
    <row r="1703" spans="1:14" x14ac:dyDescent="0.2">
      <c r="A1703" s="51">
        <v>1702</v>
      </c>
      <c r="B1703" s="54" t="s">
        <v>724</v>
      </c>
      <c r="C1703" s="47" t="s">
        <v>4767</v>
      </c>
      <c r="D1703" s="47" t="s">
        <v>4768</v>
      </c>
      <c r="E1703" s="47" t="s">
        <v>2590</v>
      </c>
      <c r="F1703" s="55" t="b">
        <v>1</v>
      </c>
      <c r="G1703" s="54" t="b">
        <v>1</v>
      </c>
      <c r="H1703" s="54" t="b">
        <v>1</v>
      </c>
      <c r="I1703" s="54" t="b">
        <v>1</v>
      </c>
      <c r="J1703" s="54" t="b">
        <v>1</v>
      </c>
      <c r="K1703" s="63" t="s">
        <v>724</v>
      </c>
      <c r="L1703" s="63" t="s">
        <v>4767</v>
      </c>
      <c r="M1703" s="63" t="s">
        <v>4768</v>
      </c>
      <c r="N1703" s="63" t="s">
        <v>2590</v>
      </c>
    </row>
    <row r="1704" spans="1:14" x14ac:dyDescent="0.2">
      <c r="A1704" s="51">
        <v>1703</v>
      </c>
      <c r="B1704" s="54" t="s">
        <v>724</v>
      </c>
      <c r="C1704" s="47" t="s">
        <v>4769</v>
      </c>
      <c r="D1704" s="47" t="s">
        <v>4770</v>
      </c>
      <c r="E1704" s="47" t="s">
        <v>2590</v>
      </c>
      <c r="F1704" s="55" t="b">
        <v>1</v>
      </c>
      <c r="G1704" s="54" t="b">
        <v>1</v>
      </c>
      <c r="H1704" s="54" t="b">
        <v>1</v>
      </c>
      <c r="I1704" s="54" t="b">
        <v>1</v>
      </c>
      <c r="J1704" s="54" t="b">
        <v>1</v>
      </c>
      <c r="K1704" s="63" t="s">
        <v>724</v>
      </c>
      <c r="L1704" s="63" t="s">
        <v>4769</v>
      </c>
      <c r="M1704" s="63" t="s">
        <v>4770</v>
      </c>
      <c r="N1704" s="63" t="s">
        <v>2590</v>
      </c>
    </row>
    <row r="1705" spans="1:14" x14ac:dyDescent="0.2">
      <c r="A1705" s="51">
        <v>1704</v>
      </c>
      <c r="B1705" s="54" t="s">
        <v>724</v>
      </c>
      <c r="C1705" s="47" t="s">
        <v>4771</v>
      </c>
      <c r="D1705" s="47" t="s">
        <v>4772</v>
      </c>
      <c r="E1705" s="47" t="s">
        <v>2590</v>
      </c>
      <c r="F1705" s="55" t="b">
        <v>1</v>
      </c>
      <c r="G1705" s="54" t="b">
        <v>1</v>
      </c>
      <c r="H1705" s="54" t="b">
        <v>1</v>
      </c>
      <c r="I1705" s="54" t="b">
        <v>1</v>
      </c>
      <c r="J1705" s="54" t="b">
        <v>1</v>
      </c>
      <c r="K1705" s="63" t="s">
        <v>724</v>
      </c>
      <c r="L1705" s="63" t="s">
        <v>4771</v>
      </c>
      <c r="M1705" s="63" t="s">
        <v>4772</v>
      </c>
      <c r="N1705" s="63" t="s">
        <v>2590</v>
      </c>
    </row>
    <row r="1706" spans="1:14" x14ac:dyDescent="0.2">
      <c r="A1706" s="51">
        <v>1705</v>
      </c>
      <c r="B1706" s="54" t="s">
        <v>724</v>
      </c>
      <c r="C1706" s="47" t="s">
        <v>4773</v>
      </c>
      <c r="D1706" s="47" t="s">
        <v>4774</v>
      </c>
      <c r="E1706" s="47" t="s">
        <v>2590</v>
      </c>
      <c r="F1706" s="55" t="b">
        <v>1</v>
      </c>
      <c r="G1706" s="54" t="b">
        <v>1</v>
      </c>
      <c r="H1706" s="54" t="b">
        <v>1</v>
      </c>
      <c r="I1706" s="54" t="b">
        <v>1</v>
      </c>
      <c r="J1706" s="54" t="b">
        <v>1</v>
      </c>
      <c r="K1706" s="63" t="s">
        <v>724</v>
      </c>
      <c r="L1706" s="63" t="s">
        <v>4773</v>
      </c>
      <c r="M1706" s="63" t="s">
        <v>4774</v>
      </c>
      <c r="N1706" s="63" t="s">
        <v>2590</v>
      </c>
    </row>
    <row r="1707" spans="1:14" x14ac:dyDescent="0.2">
      <c r="A1707" s="51">
        <v>1706</v>
      </c>
      <c r="B1707" s="54" t="s">
        <v>724</v>
      </c>
      <c r="C1707" s="47" t="s">
        <v>4777</v>
      </c>
      <c r="D1707" s="47" t="s">
        <v>4778</v>
      </c>
      <c r="E1707" s="47" t="s">
        <v>2590</v>
      </c>
      <c r="F1707" s="55" t="b">
        <v>1</v>
      </c>
      <c r="G1707" s="54" t="b">
        <v>1</v>
      </c>
      <c r="H1707" s="54" t="b">
        <v>1</v>
      </c>
      <c r="I1707" s="54" t="b">
        <v>1</v>
      </c>
      <c r="J1707" s="54" t="b">
        <v>1</v>
      </c>
      <c r="K1707" s="63" t="s">
        <v>724</v>
      </c>
      <c r="L1707" s="63" t="s">
        <v>4777</v>
      </c>
      <c r="M1707" s="63" t="s">
        <v>4778</v>
      </c>
      <c r="N1707" s="63" t="s">
        <v>2590</v>
      </c>
    </row>
    <row r="1708" spans="1:14" x14ac:dyDescent="0.2">
      <c r="A1708" s="51">
        <v>1707</v>
      </c>
      <c r="B1708" s="54" t="s">
        <v>724</v>
      </c>
      <c r="C1708" s="47" t="s">
        <v>4779</v>
      </c>
      <c r="D1708" s="47" t="s">
        <v>1577</v>
      </c>
      <c r="E1708" s="47" t="s">
        <v>2590</v>
      </c>
      <c r="F1708" s="55" t="b">
        <v>1</v>
      </c>
      <c r="G1708" s="54" t="b">
        <v>1</v>
      </c>
      <c r="H1708" s="54" t="b">
        <v>1</v>
      </c>
      <c r="I1708" s="54" t="b">
        <v>1</v>
      </c>
      <c r="J1708" s="54" t="b">
        <v>1</v>
      </c>
      <c r="K1708" s="63" t="s">
        <v>724</v>
      </c>
      <c r="L1708" s="63" t="s">
        <v>4779</v>
      </c>
      <c r="M1708" s="63" t="s">
        <v>1577</v>
      </c>
      <c r="N1708" s="63" t="s">
        <v>2590</v>
      </c>
    </row>
    <row r="1709" spans="1:14" x14ac:dyDescent="0.2">
      <c r="A1709" s="51">
        <v>1708</v>
      </c>
      <c r="B1709" s="54" t="s">
        <v>724</v>
      </c>
      <c r="C1709" s="47" t="s">
        <v>4780</v>
      </c>
      <c r="D1709" s="47" t="s">
        <v>4781</v>
      </c>
      <c r="E1709" s="47" t="s">
        <v>2590</v>
      </c>
      <c r="F1709" s="55" t="b">
        <v>1</v>
      </c>
      <c r="G1709" s="54" t="b">
        <v>1</v>
      </c>
      <c r="H1709" s="54" t="b">
        <v>1</v>
      </c>
      <c r="I1709" s="54" t="b">
        <v>1</v>
      </c>
      <c r="J1709" s="54" t="b">
        <v>1</v>
      </c>
      <c r="K1709" s="63" t="s">
        <v>724</v>
      </c>
      <c r="L1709" s="63" t="s">
        <v>4780</v>
      </c>
      <c r="M1709" s="63" t="s">
        <v>4781</v>
      </c>
      <c r="N1709" s="63" t="s">
        <v>2590</v>
      </c>
    </row>
    <row r="1710" spans="1:14" x14ac:dyDescent="0.2">
      <c r="A1710" s="51">
        <v>1709</v>
      </c>
      <c r="B1710" s="54" t="s">
        <v>724</v>
      </c>
      <c r="C1710" s="47" t="s">
        <v>4782</v>
      </c>
      <c r="D1710" s="47" t="s">
        <v>4783</v>
      </c>
      <c r="E1710" s="47" t="s">
        <v>2590</v>
      </c>
      <c r="F1710" s="55" t="b">
        <v>1</v>
      </c>
      <c r="G1710" s="54" t="b">
        <v>1</v>
      </c>
      <c r="H1710" s="54" t="b">
        <v>1</v>
      </c>
      <c r="I1710" s="54" t="b">
        <v>1</v>
      </c>
      <c r="J1710" s="54" t="b">
        <v>1</v>
      </c>
      <c r="K1710" s="63" t="s">
        <v>724</v>
      </c>
      <c r="L1710" s="63" t="s">
        <v>4782</v>
      </c>
      <c r="M1710" s="63" t="s">
        <v>4783</v>
      </c>
      <c r="N1710" s="63" t="s">
        <v>2590</v>
      </c>
    </row>
    <row r="1711" spans="1:14" x14ac:dyDescent="0.2">
      <c r="A1711" s="51">
        <v>1710</v>
      </c>
      <c r="B1711" s="54" t="s">
        <v>724</v>
      </c>
      <c r="C1711" s="47" t="s">
        <v>4784</v>
      </c>
      <c r="D1711" s="47" t="s">
        <v>4785</v>
      </c>
      <c r="E1711" s="47" t="s">
        <v>2590</v>
      </c>
      <c r="F1711" s="55" t="b">
        <v>1</v>
      </c>
      <c r="G1711" s="54" t="b">
        <v>1</v>
      </c>
      <c r="H1711" s="54" t="b">
        <v>1</v>
      </c>
      <c r="I1711" s="54" t="b">
        <v>1</v>
      </c>
      <c r="J1711" s="54" t="b">
        <v>1</v>
      </c>
      <c r="K1711" s="63" t="s">
        <v>724</v>
      </c>
      <c r="L1711" s="63" t="s">
        <v>4784</v>
      </c>
      <c r="M1711" s="63" t="s">
        <v>4785</v>
      </c>
      <c r="N1711" s="63" t="s">
        <v>2590</v>
      </c>
    </row>
    <row r="1712" spans="1:14" x14ac:dyDescent="0.2">
      <c r="A1712" s="51">
        <v>1711</v>
      </c>
      <c r="B1712" s="54" t="s">
        <v>724</v>
      </c>
      <c r="C1712" s="47" t="s">
        <v>4786</v>
      </c>
      <c r="D1712" s="47" t="s">
        <v>4787</v>
      </c>
      <c r="E1712" s="47" t="s">
        <v>2590</v>
      </c>
      <c r="F1712" s="55" t="b">
        <v>1</v>
      </c>
      <c r="G1712" s="54" t="b">
        <v>1</v>
      </c>
      <c r="H1712" s="54" t="b">
        <v>1</v>
      </c>
      <c r="I1712" s="54" t="b">
        <v>1</v>
      </c>
      <c r="J1712" s="54" t="b">
        <v>1</v>
      </c>
      <c r="K1712" s="63" t="s">
        <v>724</v>
      </c>
      <c r="L1712" s="63" t="s">
        <v>4786</v>
      </c>
      <c r="M1712" s="63" t="s">
        <v>4787</v>
      </c>
      <c r="N1712" s="63" t="s">
        <v>2590</v>
      </c>
    </row>
    <row r="1713" spans="1:14" x14ac:dyDescent="0.2">
      <c r="A1713" s="51">
        <v>1712</v>
      </c>
      <c r="B1713" s="54" t="s">
        <v>724</v>
      </c>
      <c r="C1713" s="47" t="s">
        <v>4788</v>
      </c>
      <c r="D1713" s="47" t="s">
        <v>4789</v>
      </c>
      <c r="E1713" s="47" t="s">
        <v>2590</v>
      </c>
      <c r="F1713" s="55" t="b">
        <v>1</v>
      </c>
      <c r="G1713" s="54" t="b">
        <v>1</v>
      </c>
      <c r="H1713" s="54" t="b">
        <v>1</v>
      </c>
      <c r="I1713" s="54" t="b">
        <v>1</v>
      </c>
      <c r="J1713" s="54" t="b">
        <v>1</v>
      </c>
      <c r="K1713" s="63" t="s">
        <v>724</v>
      </c>
      <c r="L1713" s="63" t="s">
        <v>4788</v>
      </c>
      <c r="M1713" s="63" t="s">
        <v>4789</v>
      </c>
      <c r="N1713" s="63" t="s">
        <v>2590</v>
      </c>
    </row>
    <row r="1714" spans="1:14" x14ac:dyDescent="0.2">
      <c r="A1714" s="51">
        <v>1713</v>
      </c>
      <c r="B1714" s="54" t="s">
        <v>724</v>
      </c>
      <c r="C1714" s="47" t="s">
        <v>4775</v>
      </c>
      <c r="D1714" s="47" t="s">
        <v>4776</v>
      </c>
      <c r="E1714" s="47" t="s">
        <v>2590</v>
      </c>
      <c r="F1714" s="55" t="b">
        <v>1</v>
      </c>
      <c r="G1714" s="54" t="b">
        <v>1</v>
      </c>
      <c r="H1714" s="54" t="b">
        <v>1</v>
      </c>
      <c r="I1714" s="54" t="b">
        <v>1</v>
      </c>
      <c r="J1714" s="54" t="b">
        <v>1</v>
      </c>
      <c r="K1714" s="63" t="s">
        <v>724</v>
      </c>
      <c r="L1714" s="63" t="s">
        <v>4775</v>
      </c>
      <c r="M1714" s="63" t="s">
        <v>4776</v>
      </c>
      <c r="N1714" s="63" t="s">
        <v>2590</v>
      </c>
    </row>
    <row r="1715" spans="1:14" x14ac:dyDescent="0.2">
      <c r="A1715" s="51">
        <v>1714</v>
      </c>
      <c r="B1715" s="54" t="s">
        <v>724</v>
      </c>
      <c r="C1715" s="47" t="s">
        <v>4792</v>
      </c>
      <c r="D1715" s="47" t="s">
        <v>4793</v>
      </c>
      <c r="E1715" s="47" t="s">
        <v>2590</v>
      </c>
      <c r="F1715" s="55" t="b">
        <v>1</v>
      </c>
      <c r="G1715" s="54" t="b">
        <v>1</v>
      </c>
      <c r="H1715" s="54" t="b">
        <v>1</v>
      </c>
      <c r="I1715" s="54" t="b">
        <v>1</v>
      </c>
      <c r="J1715" s="54" t="b">
        <v>1</v>
      </c>
      <c r="K1715" s="63" t="s">
        <v>724</v>
      </c>
      <c r="L1715" s="63" t="s">
        <v>4792</v>
      </c>
      <c r="M1715" s="63" t="s">
        <v>4793</v>
      </c>
      <c r="N1715" s="63" t="s">
        <v>2590</v>
      </c>
    </row>
    <row r="1716" spans="1:14" x14ac:dyDescent="0.2">
      <c r="A1716" s="51">
        <v>1715</v>
      </c>
      <c r="B1716" s="54" t="s">
        <v>724</v>
      </c>
      <c r="C1716" s="47" t="s">
        <v>4790</v>
      </c>
      <c r="D1716" s="47" t="s">
        <v>4791</v>
      </c>
      <c r="E1716" s="47" t="s">
        <v>2590</v>
      </c>
      <c r="F1716" s="55" t="b">
        <v>1</v>
      </c>
      <c r="G1716" s="54" t="b">
        <v>1</v>
      </c>
      <c r="H1716" s="54" t="b">
        <v>1</v>
      </c>
      <c r="I1716" s="54" t="b">
        <v>1</v>
      </c>
      <c r="J1716" s="54" t="b">
        <v>1</v>
      </c>
      <c r="K1716" s="63" t="s">
        <v>724</v>
      </c>
      <c r="L1716" s="63" t="s">
        <v>4790</v>
      </c>
      <c r="M1716" s="63" t="s">
        <v>4791</v>
      </c>
      <c r="N1716" s="63" t="s">
        <v>2590</v>
      </c>
    </row>
    <row r="1717" spans="1:14" x14ac:dyDescent="0.2">
      <c r="A1717" s="51">
        <v>1716</v>
      </c>
      <c r="B1717" s="54" t="s">
        <v>724</v>
      </c>
      <c r="C1717" s="47" t="s">
        <v>4794</v>
      </c>
      <c r="D1717" s="47" t="s">
        <v>4795</v>
      </c>
      <c r="E1717" s="47" t="s">
        <v>2590</v>
      </c>
      <c r="F1717" s="55" t="b">
        <v>1</v>
      </c>
      <c r="G1717" s="54" t="b">
        <v>1</v>
      </c>
      <c r="H1717" s="54" t="b">
        <v>1</v>
      </c>
      <c r="I1717" s="54" t="b">
        <v>1</v>
      </c>
      <c r="J1717" s="54" t="b">
        <v>1</v>
      </c>
      <c r="K1717" s="63" t="s">
        <v>724</v>
      </c>
      <c r="L1717" s="63" t="s">
        <v>4794</v>
      </c>
      <c r="M1717" s="63" t="s">
        <v>4795</v>
      </c>
      <c r="N1717" s="63" t="s">
        <v>2590</v>
      </c>
    </row>
    <row r="1718" spans="1:14" x14ac:dyDescent="0.2">
      <c r="A1718" s="51">
        <v>1717</v>
      </c>
      <c r="B1718" s="54" t="s">
        <v>724</v>
      </c>
      <c r="C1718" s="47" t="s">
        <v>4796</v>
      </c>
      <c r="D1718" s="47" t="s">
        <v>4797</v>
      </c>
      <c r="E1718" s="47" t="s">
        <v>2590</v>
      </c>
      <c r="F1718" s="55" t="b">
        <v>1</v>
      </c>
      <c r="G1718" s="54" t="b">
        <v>1</v>
      </c>
      <c r="H1718" s="54" t="b">
        <v>1</v>
      </c>
      <c r="I1718" s="54" t="b">
        <v>1</v>
      </c>
      <c r="J1718" s="54" t="b">
        <v>1</v>
      </c>
      <c r="K1718" s="63" t="s">
        <v>724</v>
      </c>
      <c r="L1718" s="63" t="s">
        <v>4796</v>
      </c>
      <c r="M1718" s="63" t="s">
        <v>4797</v>
      </c>
      <c r="N1718" s="63" t="s">
        <v>2590</v>
      </c>
    </row>
    <row r="1719" spans="1:14" x14ac:dyDescent="0.2">
      <c r="A1719" s="51">
        <v>1718</v>
      </c>
      <c r="B1719" s="54" t="s">
        <v>724</v>
      </c>
      <c r="C1719" s="47" t="s">
        <v>4798</v>
      </c>
      <c r="D1719" s="47" t="s">
        <v>4799</v>
      </c>
      <c r="E1719" s="47" t="s">
        <v>2590</v>
      </c>
      <c r="F1719" s="55" t="b">
        <v>1</v>
      </c>
      <c r="G1719" s="54" t="b">
        <v>1</v>
      </c>
      <c r="H1719" s="54" t="b">
        <v>1</v>
      </c>
      <c r="I1719" s="54" t="b">
        <v>1</v>
      </c>
      <c r="J1719" s="54" t="b">
        <v>1</v>
      </c>
      <c r="K1719" s="63" t="s">
        <v>724</v>
      </c>
      <c r="L1719" s="63" t="s">
        <v>4798</v>
      </c>
      <c r="M1719" s="63" t="s">
        <v>4799</v>
      </c>
      <c r="N1719" s="63" t="s">
        <v>2590</v>
      </c>
    </row>
    <row r="1720" spans="1:14" x14ac:dyDescent="0.2">
      <c r="A1720" s="51">
        <v>1719</v>
      </c>
      <c r="B1720" s="54" t="s">
        <v>724</v>
      </c>
      <c r="C1720" s="47" t="s">
        <v>4802</v>
      </c>
      <c r="D1720" s="47" t="s">
        <v>4803</v>
      </c>
      <c r="E1720" s="47" t="s">
        <v>2590</v>
      </c>
      <c r="F1720" s="55" t="b">
        <v>1</v>
      </c>
      <c r="G1720" s="54" t="b">
        <v>1</v>
      </c>
      <c r="H1720" s="54" t="b">
        <v>1</v>
      </c>
      <c r="I1720" s="54" t="b">
        <v>1</v>
      </c>
      <c r="J1720" s="54" t="b">
        <v>1</v>
      </c>
      <c r="K1720" s="63" t="s">
        <v>724</v>
      </c>
      <c r="L1720" s="63" t="s">
        <v>4802</v>
      </c>
      <c r="M1720" s="63" t="s">
        <v>4803</v>
      </c>
      <c r="N1720" s="63" t="s">
        <v>2590</v>
      </c>
    </row>
    <row r="1721" spans="1:14" x14ac:dyDescent="0.2">
      <c r="A1721" s="51">
        <v>1720</v>
      </c>
      <c r="B1721" s="54" t="s">
        <v>724</v>
      </c>
      <c r="C1721" s="47" t="s">
        <v>4800</v>
      </c>
      <c r="D1721" s="47" t="s">
        <v>4801</v>
      </c>
      <c r="E1721" s="47" t="s">
        <v>2590</v>
      </c>
      <c r="F1721" s="55" t="b">
        <v>1</v>
      </c>
      <c r="G1721" s="54" t="b">
        <v>1</v>
      </c>
      <c r="H1721" s="54" t="b">
        <v>1</v>
      </c>
      <c r="I1721" s="54" t="b">
        <v>1</v>
      </c>
      <c r="J1721" s="54" t="b">
        <v>1</v>
      </c>
      <c r="K1721" s="63" t="s">
        <v>724</v>
      </c>
      <c r="L1721" s="63" t="s">
        <v>4800</v>
      </c>
      <c r="M1721" s="63" t="s">
        <v>4801</v>
      </c>
      <c r="N1721" s="63" t="s">
        <v>2590</v>
      </c>
    </row>
    <row r="1722" spans="1:14" x14ac:dyDescent="0.2">
      <c r="A1722" s="51">
        <v>1721</v>
      </c>
      <c r="B1722" s="54" t="s">
        <v>724</v>
      </c>
      <c r="C1722" s="47" t="s">
        <v>4804</v>
      </c>
      <c r="D1722" s="47" t="s">
        <v>4805</v>
      </c>
      <c r="E1722" s="47" t="s">
        <v>2590</v>
      </c>
      <c r="F1722" s="55" t="b">
        <v>1</v>
      </c>
      <c r="G1722" s="54" t="b">
        <v>1</v>
      </c>
      <c r="H1722" s="54" t="b">
        <v>1</v>
      </c>
      <c r="I1722" s="54" t="b">
        <v>1</v>
      </c>
      <c r="J1722" s="54" t="b">
        <v>1</v>
      </c>
      <c r="K1722" s="63" t="s">
        <v>724</v>
      </c>
      <c r="L1722" s="63" t="s">
        <v>4804</v>
      </c>
      <c r="M1722" s="63" t="s">
        <v>4805</v>
      </c>
      <c r="N1722" s="63" t="s">
        <v>2590</v>
      </c>
    </row>
    <row r="1723" spans="1:14" x14ac:dyDescent="0.2">
      <c r="A1723" s="51">
        <v>1722</v>
      </c>
      <c r="B1723" s="54" t="s">
        <v>724</v>
      </c>
      <c r="C1723" s="47" t="s">
        <v>4806</v>
      </c>
      <c r="D1723" s="47" t="s">
        <v>4807</v>
      </c>
      <c r="E1723" s="47" t="s">
        <v>2590</v>
      </c>
      <c r="F1723" s="55" t="b">
        <v>1</v>
      </c>
      <c r="G1723" s="54" t="b">
        <v>1</v>
      </c>
      <c r="H1723" s="54" t="b">
        <v>1</v>
      </c>
      <c r="I1723" s="54" t="b">
        <v>1</v>
      </c>
      <c r="J1723" s="54" t="b">
        <v>1</v>
      </c>
      <c r="K1723" s="63" t="s">
        <v>724</v>
      </c>
      <c r="L1723" s="63" t="s">
        <v>4806</v>
      </c>
      <c r="M1723" s="63" t="s">
        <v>4807</v>
      </c>
      <c r="N1723" s="63" t="s">
        <v>2590</v>
      </c>
    </row>
    <row r="1724" spans="1:14" x14ac:dyDescent="0.2">
      <c r="A1724" s="51">
        <v>1723</v>
      </c>
      <c r="B1724" s="54" t="s">
        <v>724</v>
      </c>
      <c r="C1724" s="47" t="s">
        <v>4808</v>
      </c>
      <c r="D1724" s="47" t="s">
        <v>4809</v>
      </c>
      <c r="E1724" s="47" t="s">
        <v>2590</v>
      </c>
      <c r="F1724" s="55" t="b">
        <v>1</v>
      </c>
      <c r="G1724" s="54" t="b">
        <v>1</v>
      </c>
      <c r="H1724" s="54" t="b">
        <v>1</v>
      </c>
      <c r="I1724" s="54" t="b">
        <v>1</v>
      </c>
      <c r="J1724" s="54" t="b">
        <v>1</v>
      </c>
      <c r="K1724" s="63" t="s">
        <v>724</v>
      </c>
      <c r="L1724" s="63" t="s">
        <v>4808</v>
      </c>
      <c r="M1724" s="63" t="s">
        <v>4809</v>
      </c>
      <c r="N1724" s="63" t="s">
        <v>2590</v>
      </c>
    </row>
    <row r="1725" spans="1:14" x14ac:dyDescent="0.2">
      <c r="A1725" s="51">
        <v>1724</v>
      </c>
      <c r="B1725" s="54" t="s">
        <v>728</v>
      </c>
      <c r="C1725" s="47" t="s">
        <v>4814</v>
      </c>
      <c r="D1725" s="47" t="s">
        <v>4815</v>
      </c>
      <c r="E1725" s="47" t="s">
        <v>4630</v>
      </c>
      <c r="F1725" s="55" t="b">
        <v>1</v>
      </c>
      <c r="G1725" s="54" t="b">
        <v>1</v>
      </c>
      <c r="H1725" s="54" t="b">
        <v>1</v>
      </c>
      <c r="I1725" s="54" t="b">
        <v>1</v>
      </c>
      <c r="J1725" s="65" t="b">
        <v>0</v>
      </c>
      <c r="K1725" s="63" t="s">
        <v>728</v>
      </c>
      <c r="L1725" s="63" t="s">
        <v>4814</v>
      </c>
      <c r="M1725" s="63" t="s">
        <v>4815</v>
      </c>
      <c r="N1725" s="63" t="s">
        <v>2365</v>
      </c>
    </row>
    <row r="1726" spans="1:14" x14ac:dyDescent="0.2">
      <c r="A1726" s="51">
        <v>1725</v>
      </c>
      <c r="B1726" s="54" t="s">
        <v>728</v>
      </c>
      <c r="C1726" s="47" t="s">
        <v>4810</v>
      </c>
      <c r="D1726" s="47" t="s">
        <v>4811</v>
      </c>
      <c r="E1726" s="48" t="s">
        <v>3158</v>
      </c>
      <c r="F1726" s="66" t="b">
        <v>0</v>
      </c>
      <c r="G1726" s="54" t="b">
        <v>1</v>
      </c>
      <c r="H1726" s="54" t="b">
        <v>1</v>
      </c>
      <c r="I1726" s="54" t="b">
        <v>1</v>
      </c>
      <c r="J1726" s="54" t="b">
        <v>1</v>
      </c>
      <c r="K1726" s="63" t="s">
        <v>728</v>
      </c>
      <c r="L1726" s="63" t="s">
        <v>4810</v>
      </c>
      <c r="M1726" s="63" t="s">
        <v>4811</v>
      </c>
      <c r="N1726" s="63" t="s">
        <v>3158</v>
      </c>
    </row>
    <row r="1727" spans="1:14" x14ac:dyDescent="0.2">
      <c r="A1727" s="51">
        <v>1726</v>
      </c>
      <c r="B1727" s="54" t="s">
        <v>728</v>
      </c>
      <c r="C1727" s="47" t="s">
        <v>4812</v>
      </c>
      <c r="D1727" s="47" t="s">
        <v>4813</v>
      </c>
      <c r="E1727" s="48" t="s">
        <v>3158</v>
      </c>
      <c r="F1727" s="66" t="b">
        <v>0</v>
      </c>
      <c r="G1727" s="54" t="b">
        <v>1</v>
      </c>
      <c r="H1727" s="54" t="b">
        <v>1</v>
      </c>
      <c r="I1727" s="54" t="b">
        <v>1</v>
      </c>
      <c r="J1727" s="54" t="b">
        <v>1</v>
      </c>
      <c r="K1727" s="63" t="s">
        <v>728</v>
      </c>
      <c r="L1727" s="63" t="s">
        <v>4812</v>
      </c>
      <c r="M1727" s="63" t="s">
        <v>4813</v>
      </c>
      <c r="N1727" s="63" t="s">
        <v>3158</v>
      </c>
    </row>
    <row r="1728" spans="1:14" x14ac:dyDescent="0.2">
      <c r="A1728" s="51">
        <v>1727</v>
      </c>
      <c r="B1728" s="54" t="s">
        <v>728</v>
      </c>
      <c r="C1728" s="47" t="s">
        <v>4816</v>
      </c>
      <c r="D1728" s="47" t="s">
        <v>4815</v>
      </c>
      <c r="E1728" s="48" t="s">
        <v>3158</v>
      </c>
      <c r="F1728" s="66" t="b">
        <v>0</v>
      </c>
      <c r="G1728" s="54" t="b">
        <v>1</v>
      </c>
      <c r="H1728" s="54" t="b">
        <v>1</v>
      </c>
      <c r="I1728" s="54" t="b">
        <v>1</v>
      </c>
      <c r="J1728" s="54" t="b">
        <v>1</v>
      </c>
      <c r="K1728" s="63" t="s">
        <v>728</v>
      </c>
      <c r="L1728" s="63" t="s">
        <v>4816</v>
      </c>
      <c r="M1728" s="63" t="s">
        <v>4815</v>
      </c>
      <c r="N1728" s="63" t="s">
        <v>3158</v>
      </c>
    </row>
    <row r="1729" spans="1:14" x14ac:dyDescent="0.2">
      <c r="A1729" s="51">
        <v>1728</v>
      </c>
      <c r="B1729" s="54" t="s">
        <v>728</v>
      </c>
      <c r="C1729" s="47" t="s">
        <v>4817</v>
      </c>
      <c r="D1729" s="47" t="s">
        <v>4818</v>
      </c>
      <c r="E1729" s="47" t="s">
        <v>2365</v>
      </c>
      <c r="F1729" s="55" t="b">
        <v>1</v>
      </c>
      <c r="G1729" s="54" t="b">
        <v>1</v>
      </c>
      <c r="H1729" s="54" t="b">
        <v>1</v>
      </c>
      <c r="I1729" s="54" t="b">
        <v>1</v>
      </c>
      <c r="J1729" s="65" t="b">
        <v>0</v>
      </c>
      <c r="K1729" s="63" t="s">
        <v>728</v>
      </c>
      <c r="L1729" s="63" t="s">
        <v>4817</v>
      </c>
      <c r="M1729" s="63" t="s">
        <v>4818</v>
      </c>
      <c r="N1729" s="63" t="s">
        <v>4819</v>
      </c>
    </row>
    <row r="1730" spans="1:14" x14ac:dyDescent="0.2">
      <c r="A1730" s="51">
        <v>1729</v>
      </c>
      <c r="B1730" s="54" t="s">
        <v>728</v>
      </c>
      <c r="C1730" s="47" t="s">
        <v>4820</v>
      </c>
      <c r="D1730" s="47" t="s">
        <v>4821</v>
      </c>
      <c r="E1730" s="48" t="s">
        <v>3158</v>
      </c>
      <c r="F1730" s="66" t="b">
        <v>0</v>
      </c>
      <c r="G1730" s="54" t="b">
        <v>1</v>
      </c>
      <c r="H1730" s="54" t="b">
        <v>1</v>
      </c>
      <c r="I1730" s="54" t="b">
        <v>1</v>
      </c>
      <c r="J1730" s="54" t="b">
        <v>1</v>
      </c>
      <c r="K1730" s="63" t="s">
        <v>728</v>
      </c>
      <c r="L1730" s="63" t="s">
        <v>4820</v>
      </c>
      <c r="M1730" s="63" t="s">
        <v>4821</v>
      </c>
      <c r="N1730" s="63" t="s">
        <v>3158</v>
      </c>
    </row>
    <row r="1731" spans="1:14" x14ac:dyDescent="0.2">
      <c r="A1731" s="51">
        <v>1730</v>
      </c>
      <c r="B1731" s="54" t="s">
        <v>728</v>
      </c>
      <c r="C1731" s="47" t="s">
        <v>4844</v>
      </c>
      <c r="D1731" s="47" t="s">
        <v>4845</v>
      </c>
      <c r="E1731" s="47" t="s">
        <v>4630</v>
      </c>
      <c r="F1731" s="55" t="b">
        <v>1</v>
      </c>
      <c r="G1731" s="54" t="b">
        <v>1</v>
      </c>
      <c r="H1731" s="54" t="b">
        <v>1</v>
      </c>
      <c r="I1731" s="54" t="b">
        <v>1</v>
      </c>
      <c r="J1731" s="65" t="b">
        <v>0</v>
      </c>
      <c r="K1731" s="63" t="s">
        <v>728</v>
      </c>
      <c r="L1731" s="63" t="s">
        <v>4844</v>
      </c>
      <c r="M1731" s="63" t="s">
        <v>4845</v>
      </c>
      <c r="N1731" s="63" t="s">
        <v>2365</v>
      </c>
    </row>
    <row r="1732" spans="1:14" x14ac:dyDescent="0.2">
      <c r="A1732" s="51">
        <v>1731</v>
      </c>
      <c r="B1732" s="54" t="s">
        <v>728</v>
      </c>
      <c r="C1732" s="47" t="s">
        <v>4822</v>
      </c>
      <c r="D1732" s="47" t="s">
        <v>4823</v>
      </c>
      <c r="E1732" s="48" t="s">
        <v>3158</v>
      </c>
      <c r="F1732" s="66" t="b">
        <v>0</v>
      </c>
      <c r="G1732" s="54" t="b">
        <v>1</v>
      </c>
      <c r="H1732" s="54" t="b">
        <v>1</v>
      </c>
      <c r="I1732" s="54" t="b">
        <v>1</v>
      </c>
      <c r="J1732" s="54" t="b">
        <v>1</v>
      </c>
      <c r="K1732" s="63" t="s">
        <v>728</v>
      </c>
      <c r="L1732" s="63" t="s">
        <v>4822</v>
      </c>
      <c r="M1732" s="63" t="s">
        <v>4823</v>
      </c>
      <c r="N1732" s="63" t="s">
        <v>3158</v>
      </c>
    </row>
    <row r="1733" spans="1:14" x14ac:dyDescent="0.2">
      <c r="A1733" s="51">
        <v>1732</v>
      </c>
      <c r="B1733" s="54" t="s">
        <v>728</v>
      </c>
      <c r="C1733" s="47" t="s">
        <v>4826</v>
      </c>
      <c r="D1733" s="47" t="s">
        <v>4827</v>
      </c>
      <c r="E1733" s="48" t="s">
        <v>3158</v>
      </c>
      <c r="F1733" s="66" t="b">
        <v>0</v>
      </c>
      <c r="G1733" s="54" t="b">
        <v>1</v>
      </c>
      <c r="H1733" s="54" t="b">
        <v>1</v>
      </c>
      <c r="I1733" s="54" t="b">
        <v>1</v>
      </c>
      <c r="J1733" s="54" t="b">
        <v>1</v>
      </c>
      <c r="K1733" s="63" t="s">
        <v>728</v>
      </c>
      <c r="L1733" s="63" t="s">
        <v>4826</v>
      </c>
      <c r="M1733" s="63" t="s">
        <v>4827</v>
      </c>
      <c r="N1733" s="63" t="s">
        <v>3158</v>
      </c>
    </row>
    <row r="1734" spans="1:14" x14ac:dyDescent="0.2">
      <c r="A1734" s="51">
        <v>1733</v>
      </c>
      <c r="B1734" s="54" t="s">
        <v>728</v>
      </c>
      <c r="C1734" s="47" t="s">
        <v>4824</v>
      </c>
      <c r="D1734" s="47" t="s">
        <v>4825</v>
      </c>
      <c r="E1734" s="48" t="s">
        <v>3158</v>
      </c>
      <c r="F1734" s="66" t="b">
        <v>0</v>
      </c>
      <c r="G1734" s="54" t="b">
        <v>1</v>
      </c>
      <c r="H1734" s="54" t="b">
        <v>1</v>
      </c>
      <c r="I1734" s="54" t="b">
        <v>1</v>
      </c>
      <c r="J1734" s="54" t="b">
        <v>1</v>
      </c>
      <c r="K1734" s="63" t="s">
        <v>728</v>
      </c>
      <c r="L1734" s="63" t="s">
        <v>4824</v>
      </c>
      <c r="M1734" s="63" t="s">
        <v>4825</v>
      </c>
      <c r="N1734" s="63" t="s">
        <v>3158</v>
      </c>
    </row>
    <row r="1735" spans="1:14" x14ac:dyDescent="0.2">
      <c r="A1735" s="51">
        <v>1734</v>
      </c>
      <c r="B1735" s="54" t="s">
        <v>728</v>
      </c>
      <c r="C1735" s="47" t="s">
        <v>4828</v>
      </c>
      <c r="D1735" s="47" t="s">
        <v>4829</v>
      </c>
      <c r="E1735" s="48" t="s">
        <v>3158</v>
      </c>
      <c r="F1735" s="66" t="b">
        <v>0</v>
      </c>
      <c r="G1735" s="54" t="b">
        <v>1</v>
      </c>
      <c r="H1735" s="54" t="b">
        <v>1</v>
      </c>
      <c r="I1735" s="54" t="b">
        <v>1</v>
      </c>
      <c r="J1735" s="54" t="b">
        <v>1</v>
      </c>
      <c r="K1735" s="63" t="s">
        <v>728</v>
      </c>
      <c r="L1735" s="63" t="s">
        <v>4828</v>
      </c>
      <c r="M1735" s="63" t="s">
        <v>4829</v>
      </c>
      <c r="N1735" s="63" t="s">
        <v>3158</v>
      </c>
    </row>
    <row r="1736" spans="1:14" x14ac:dyDescent="0.2">
      <c r="A1736" s="51">
        <v>1735</v>
      </c>
      <c r="B1736" s="54" t="s">
        <v>728</v>
      </c>
      <c r="C1736" s="47" t="s">
        <v>4830</v>
      </c>
      <c r="D1736" s="47" t="s">
        <v>4831</v>
      </c>
      <c r="E1736" s="47" t="s">
        <v>4630</v>
      </c>
      <c r="F1736" s="55" t="b">
        <v>1</v>
      </c>
      <c r="G1736" s="54" t="b">
        <v>1</v>
      </c>
      <c r="H1736" s="54" t="b">
        <v>1</v>
      </c>
      <c r="I1736" s="54" t="b">
        <v>1</v>
      </c>
      <c r="J1736" s="65" t="b">
        <v>0</v>
      </c>
      <c r="K1736" s="63" t="s">
        <v>728</v>
      </c>
      <c r="L1736" s="63" t="s">
        <v>4830</v>
      </c>
      <c r="M1736" s="63" t="s">
        <v>4831</v>
      </c>
      <c r="N1736" s="63" t="s">
        <v>2365</v>
      </c>
    </row>
    <row r="1737" spans="1:14" x14ac:dyDescent="0.2">
      <c r="A1737" s="51">
        <v>1736</v>
      </c>
      <c r="B1737" s="54" t="s">
        <v>728</v>
      </c>
      <c r="C1737" s="47" t="s">
        <v>4832</v>
      </c>
      <c r="D1737" s="47" t="s">
        <v>4831</v>
      </c>
      <c r="E1737" s="48" t="s">
        <v>3158</v>
      </c>
      <c r="F1737" s="66" t="b">
        <v>0</v>
      </c>
      <c r="G1737" s="54" t="b">
        <v>1</v>
      </c>
      <c r="H1737" s="54" t="b">
        <v>1</v>
      </c>
      <c r="I1737" s="54" t="b">
        <v>1</v>
      </c>
      <c r="J1737" s="54" t="b">
        <v>1</v>
      </c>
      <c r="K1737" s="63" t="s">
        <v>728</v>
      </c>
      <c r="L1737" s="63" t="s">
        <v>4832</v>
      </c>
      <c r="M1737" s="63" t="s">
        <v>4831</v>
      </c>
      <c r="N1737" s="63" t="s">
        <v>3158</v>
      </c>
    </row>
    <row r="1738" spans="1:14" x14ac:dyDescent="0.2">
      <c r="A1738" s="51">
        <v>1737</v>
      </c>
      <c r="B1738" s="54" t="s">
        <v>728</v>
      </c>
      <c r="C1738" s="47" t="s">
        <v>4833</v>
      </c>
      <c r="D1738" s="47" t="s">
        <v>4834</v>
      </c>
      <c r="E1738" s="48" t="s">
        <v>3158</v>
      </c>
      <c r="F1738" s="66" t="b">
        <v>0</v>
      </c>
      <c r="G1738" s="54" t="b">
        <v>1</v>
      </c>
      <c r="H1738" s="54" t="b">
        <v>1</v>
      </c>
      <c r="I1738" s="54" t="b">
        <v>1</v>
      </c>
      <c r="J1738" s="54" t="b">
        <v>1</v>
      </c>
      <c r="K1738" s="63" t="s">
        <v>728</v>
      </c>
      <c r="L1738" s="63" t="s">
        <v>4833</v>
      </c>
      <c r="M1738" s="63" t="s">
        <v>4834</v>
      </c>
      <c r="N1738" s="63" t="s">
        <v>3158</v>
      </c>
    </row>
    <row r="1739" spans="1:14" x14ac:dyDescent="0.2">
      <c r="A1739" s="51">
        <v>1738</v>
      </c>
      <c r="B1739" s="54" t="s">
        <v>728</v>
      </c>
      <c r="C1739" s="47" t="s">
        <v>4835</v>
      </c>
      <c r="D1739" s="47" t="s">
        <v>4836</v>
      </c>
      <c r="E1739" s="48" t="s">
        <v>3158</v>
      </c>
      <c r="F1739" s="66" t="b">
        <v>0</v>
      </c>
      <c r="G1739" s="54" t="b">
        <v>1</v>
      </c>
      <c r="H1739" s="54" t="b">
        <v>1</v>
      </c>
      <c r="I1739" s="54" t="b">
        <v>1</v>
      </c>
      <c r="J1739" s="54" t="b">
        <v>1</v>
      </c>
      <c r="K1739" s="63" t="s">
        <v>728</v>
      </c>
      <c r="L1739" s="63" t="s">
        <v>4835</v>
      </c>
      <c r="M1739" s="63" t="s">
        <v>4836</v>
      </c>
      <c r="N1739" s="63" t="s">
        <v>3158</v>
      </c>
    </row>
    <row r="1740" spans="1:14" x14ac:dyDescent="0.2">
      <c r="A1740" s="51">
        <v>1739</v>
      </c>
      <c r="B1740" s="54" t="s">
        <v>728</v>
      </c>
      <c r="C1740" s="47" t="s">
        <v>4837</v>
      </c>
      <c r="D1740" s="47" t="s">
        <v>4838</v>
      </c>
      <c r="E1740" s="48" t="s">
        <v>3158</v>
      </c>
      <c r="F1740" s="66" t="b">
        <v>0</v>
      </c>
      <c r="G1740" s="54" t="b">
        <v>1</v>
      </c>
      <c r="H1740" s="54" t="b">
        <v>1</v>
      </c>
      <c r="I1740" s="54" t="b">
        <v>1</v>
      </c>
      <c r="J1740" s="54" t="b">
        <v>1</v>
      </c>
      <c r="K1740" s="63" t="s">
        <v>728</v>
      </c>
      <c r="L1740" s="63" t="s">
        <v>4837</v>
      </c>
      <c r="M1740" s="63" t="s">
        <v>4838</v>
      </c>
      <c r="N1740" s="63" t="s">
        <v>3158</v>
      </c>
    </row>
    <row r="1741" spans="1:14" x14ac:dyDescent="0.2">
      <c r="A1741" s="51">
        <v>1740</v>
      </c>
      <c r="B1741" s="54" t="s">
        <v>728</v>
      </c>
      <c r="C1741" s="47" t="s">
        <v>4839</v>
      </c>
      <c r="D1741" s="47" t="s">
        <v>4840</v>
      </c>
      <c r="E1741" s="48" t="s">
        <v>3158</v>
      </c>
      <c r="F1741" s="66" t="b">
        <v>0</v>
      </c>
      <c r="G1741" s="54" t="b">
        <v>1</v>
      </c>
      <c r="H1741" s="54" t="b">
        <v>1</v>
      </c>
      <c r="I1741" s="54" t="b">
        <v>1</v>
      </c>
      <c r="J1741" s="54" t="b">
        <v>1</v>
      </c>
      <c r="K1741" s="63" t="s">
        <v>728</v>
      </c>
      <c r="L1741" s="63" t="s">
        <v>4839</v>
      </c>
      <c r="M1741" s="63" t="s">
        <v>4840</v>
      </c>
      <c r="N1741" s="63" t="s">
        <v>3158</v>
      </c>
    </row>
    <row r="1742" spans="1:14" x14ac:dyDescent="0.2">
      <c r="A1742" s="51">
        <v>1741</v>
      </c>
      <c r="B1742" s="54" t="s">
        <v>728</v>
      </c>
      <c r="C1742" s="47" t="s">
        <v>4841</v>
      </c>
      <c r="D1742" s="47" t="s">
        <v>4842</v>
      </c>
      <c r="E1742" s="47" t="s">
        <v>4630</v>
      </c>
      <c r="F1742" s="55" t="b">
        <v>1</v>
      </c>
      <c r="G1742" s="54" t="b">
        <v>1</v>
      </c>
      <c r="H1742" s="54" t="b">
        <v>1</v>
      </c>
      <c r="I1742" s="54" t="b">
        <v>1</v>
      </c>
      <c r="J1742" s="65" t="b">
        <v>0</v>
      </c>
      <c r="K1742" s="63" t="s">
        <v>728</v>
      </c>
      <c r="L1742" s="63" t="s">
        <v>4841</v>
      </c>
      <c r="M1742" s="63" t="s">
        <v>4842</v>
      </c>
      <c r="N1742" s="63" t="s">
        <v>2365</v>
      </c>
    </row>
    <row r="1743" spans="1:14" x14ac:dyDescent="0.2">
      <c r="A1743" s="51">
        <v>1742</v>
      </c>
      <c r="B1743" s="54" t="s">
        <v>728</v>
      </c>
      <c r="C1743" s="47" t="s">
        <v>4843</v>
      </c>
      <c r="D1743" s="47" t="s">
        <v>4842</v>
      </c>
      <c r="E1743" s="48" t="s">
        <v>3158</v>
      </c>
      <c r="F1743" s="66" t="b">
        <v>0</v>
      </c>
      <c r="G1743" s="54" t="b">
        <v>1</v>
      </c>
      <c r="H1743" s="54" t="b">
        <v>1</v>
      </c>
      <c r="I1743" s="54" t="b">
        <v>1</v>
      </c>
      <c r="J1743" s="54" t="b">
        <v>1</v>
      </c>
      <c r="K1743" s="63" t="s">
        <v>728</v>
      </c>
      <c r="L1743" s="63" t="s">
        <v>4843</v>
      </c>
      <c r="M1743" s="63" t="s">
        <v>4842</v>
      </c>
      <c r="N1743" s="63" t="s">
        <v>3158</v>
      </c>
    </row>
    <row r="1744" spans="1:14" x14ac:dyDescent="0.2">
      <c r="A1744" s="51">
        <v>1743</v>
      </c>
      <c r="B1744" s="54" t="s">
        <v>728</v>
      </c>
      <c r="C1744" s="47" t="s">
        <v>4849</v>
      </c>
      <c r="D1744" s="47" t="s">
        <v>4850</v>
      </c>
      <c r="E1744" s="48" t="s">
        <v>3158</v>
      </c>
      <c r="F1744" s="66" t="b">
        <v>0</v>
      </c>
      <c r="G1744" s="54" t="b">
        <v>1</v>
      </c>
      <c r="H1744" s="54" t="b">
        <v>1</v>
      </c>
      <c r="I1744" s="54" t="b">
        <v>1</v>
      </c>
      <c r="J1744" s="54" t="b">
        <v>1</v>
      </c>
      <c r="K1744" s="63" t="s">
        <v>728</v>
      </c>
      <c r="L1744" s="63" t="s">
        <v>4849</v>
      </c>
      <c r="M1744" s="63" t="s">
        <v>4850</v>
      </c>
      <c r="N1744" s="63" t="s">
        <v>3158</v>
      </c>
    </row>
    <row r="1745" spans="1:14" x14ac:dyDescent="0.2">
      <c r="A1745" s="51">
        <v>1744</v>
      </c>
      <c r="B1745" s="54" t="s">
        <v>728</v>
      </c>
      <c r="C1745" s="47" t="s">
        <v>4846</v>
      </c>
      <c r="D1745" s="47" t="s">
        <v>4845</v>
      </c>
      <c r="E1745" s="48" t="s">
        <v>3158</v>
      </c>
      <c r="F1745" s="66" t="b">
        <v>0</v>
      </c>
      <c r="G1745" s="54" t="b">
        <v>1</v>
      </c>
      <c r="H1745" s="54" t="b">
        <v>1</v>
      </c>
      <c r="I1745" s="54" t="b">
        <v>1</v>
      </c>
      <c r="J1745" s="54" t="b">
        <v>1</v>
      </c>
      <c r="K1745" s="63" t="s">
        <v>728</v>
      </c>
      <c r="L1745" s="63" t="s">
        <v>4846</v>
      </c>
      <c r="M1745" s="63" t="s">
        <v>4845</v>
      </c>
      <c r="N1745" s="63" t="s">
        <v>3158</v>
      </c>
    </row>
    <row r="1746" spans="1:14" x14ac:dyDescent="0.2">
      <c r="A1746" s="51">
        <v>1745</v>
      </c>
      <c r="B1746" s="54" t="s">
        <v>728</v>
      </c>
      <c r="C1746" s="47" t="s">
        <v>4855</v>
      </c>
      <c r="D1746" s="47" t="s">
        <v>4856</v>
      </c>
      <c r="E1746" s="48" t="s">
        <v>3158</v>
      </c>
      <c r="F1746" s="66" t="b">
        <v>0</v>
      </c>
      <c r="G1746" s="54" t="b">
        <v>1</v>
      </c>
      <c r="H1746" s="54" t="b">
        <v>1</v>
      </c>
      <c r="I1746" s="54" t="b">
        <v>1</v>
      </c>
      <c r="J1746" s="54" t="b">
        <v>1</v>
      </c>
      <c r="K1746" s="63" t="s">
        <v>728</v>
      </c>
      <c r="L1746" s="63" t="s">
        <v>4855</v>
      </c>
      <c r="M1746" s="63" t="s">
        <v>4856</v>
      </c>
      <c r="N1746" s="63" t="s">
        <v>3158</v>
      </c>
    </row>
    <row r="1747" spans="1:14" x14ac:dyDescent="0.2">
      <c r="A1747" s="51">
        <v>1746</v>
      </c>
      <c r="B1747" s="54" t="s">
        <v>728</v>
      </c>
      <c r="C1747" s="47" t="s">
        <v>4851</v>
      </c>
      <c r="D1747" s="47" t="s">
        <v>4852</v>
      </c>
      <c r="E1747" s="48" t="s">
        <v>3158</v>
      </c>
      <c r="F1747" s="66" t="b">
        <v>0</v>
      </c>
      <c r="G1747" s="54" t="b">
        <v>1</v>
      </c>
      <c r="H1747" s="54" t="b">
        <v>1</v>
      </c>
      <c r="I1747" s="54" t="b">
        <v>1</v>
      </c>
      <c r="J1747" s="54" t="b">
        <v>1</v>
      </c>
      <c r="K1747" s="63" t="s">
        <v>728</v>
      </c>
      <c r="L1747" s="63" t="s">
        <v>4851</v>
      </c>
      <c r="M1747" s="63" t="s">
        <v>4852</v>
      </c>
      <c r="N1747" s="63" t="s">
        <v>3158</v>
      </c>
    </row>
    <row r="1748" spans="1:14" x14ac:dyDescent="0.2">
      <c r="A1748" s="51">
        <v>1747</v>
      </c>
      <c r="B1748" s="54" t="s">
        <v>728</v>
      </c>
      <c r="C1748" s="47" t="s">
        <v>4853</v>
      </c>
      <c r="D1748" s="47" t="s">
        <v>4854</v>
      </c>
      <c r="E1748" s="48" t="s">
        <v>3158</v>
      </c>
      <c r="F1748" s="66" t="b">
        <v>0</v>
      </c>
      <c r="G1748" s="54" t="b">
        <v>1</v>
      </c>
      <c r="H1748" s="54" t="b">
        <v>1</v>
      </c>
      <c r="I1748" s="54" t="b">
        <v>1</v>
      </c>
      <c r="J1748" s="54" t="b">
        <v>1</v>
      </c>
      <c r="K1748" s="63" t="s">
        <v>728</v>
      </c>
      <c r="L1748" s="63" t="s">
        <v>4853</v>
      </c>
      <c r="M1748" s="63" t="s">
        <v>4854</v>
      </c>
      <c r="N1748" s="63" t="s">
        <v>3158</v>
      </c>
    </row>
    <row r="1749" spans="1:14" x14ac:dyDescent="0.2">
      <c r="A1749" s="51">
        <v>1748</v>
      </c>
      <c r="B1749" s="54" t="s">
        <v>728</v>
      </c>
      <c r="C1749" s="47" t="s">
        <v>4847</v>
      </c>
      <c r="D1749" s="47" t="s">
        <v>4848</v>
      </c>
      <c r="E1749" s="48" t="s">
        <v>3158</v>
      </c>
      <c r="F1749" s="66" t="b">
        <v>0</v>
      </c>
      <c r="G1749" s="54" t="b">
        <v>1</v>
      </c>
      <c r="H1749" s="54" t="b">
        <v>1</v>
      </c>
      <c r="I1749" s="54" t="b">
        <v>1</v>
      </c>
      <c r="J1749" s="54" t="b">
        <v>1</v>
      </c>
      <c r="K1749" s="63" t="s">
        <v>728</v>
      </c>
      <c r="L1749" s="63" t="s">
        <v>4847</v>
      </c>
      <c r="M1749" s="63" t="s">
        <v>4848</v>
      </c>
      <c r="N1749" s="63" t="s">
        <v>3158</v>
      </c>
    </row>
    <row r="1750" spans="1:14" x14ac:dyDescent="0.2">
      <c r="A1750" s="51">
        <v>1749</v>
      </c>
      <c r="B1750" s="54" t="s">
        <v>728</v>
      </c>
      <c r="C1750" s="47" t="s">
        <v>4857</v>
      </c>
      <c r="D1750" s="47" t="s">
        <v>4858</v>
      </c>
      <c r="E1750" s="47" t="s">
        <v>4630</v>
      </c>
      <c r="F1750" s="55" t="b">
        <v>1</v>
      </c>
      <c r="G1750" s="54" t="b">
        <v>1</v>
      </c>
      <c r="H1750" s="54" t="b">
        <v>1</v>
      </c>
      <c r="I1750" s="54" t="b">
        <v>1</v>
      </c>
      <c r="J1750" s="65" t="b">
        <v>0</v>
      </c>
      <c r="K1750" s="63" t="s">
        <v>728</v>
      </c>
      <c r="L1750" s="63" t="s">
        <v>4857</v>
      </c>
      <c r="M1750" s="63" t="s">
        <v>4858</v>
      </c>
      <c r="N1750" s="63" t="s">
        <v>2365</v>
      </c>
    </row>
    <row r="1751" spans="1:14" x14ac:dyDescent="0.2">
      <c r="A1751" s="51">
        <v>1750</v>
      </c>
      <c r="B1751" s="54" t="s">
        <v>728</v>
      </c>
      <c r="C1751" s="47" t="s">
        <v>4859</v>
      </c>
      <c r="D1751" s="47" t="s">
        <v>4858</v>
      </c>
      <c r="E1751" s="48" t="s">
        <v>3158</v>
      </c>
      <c r="F1751" s="66" t="b">
        <v>0</v>
      </c>
      <c r="G1751" s="54" t="b">
        <v>1</v>
      </c>
      <c r="H1751" s="54" t="b">
        <v>1</v>
      </c>
      <c r="I1751" s="54" t="b">
        <v>1</v>
      </c>
      <c r="J1751" s="54" t="b">
        <v>1</v>
      </c>
      <c r="K1751" s="63" t="s">
        <v>728</v>
      </c>
      <c r="L1751" s="63" t="s">
        <v>4859</v>
      </c>
      <c r="M1751" s="63" t="s">
        <v>4858</v>
      </c>
      <c r="N1751" s="63" t="s">
        <v>3158</v>
      </c>
    </row>
    <row r="1752" spans="1:14" x14ac:dyDescent="0.2">
      <c r="A1752" s="51">
        <v>1751</v>
      </c>
      <c r="B1752" s="54" t="s">
        <v>728</v>
      </c>
      <c r="C1752" s="47" t="s">
        <v>4862</v>
      </c>
      <c r="D1752" s="47" t="s">
        <v>4863</v>
      </c>
      <c r="E1752" s="48" t="s">
        <v>3158</v>
      </c>
      <c r="F1752" s="66" t="b">
        <v>0</v>
      </c>
      <c r="G1752" s="54" t="b">
        <v>1</v>
      </c>
      <c r="H1752" s="54" t="b">
        <v>1</v>
      </c>
      <c r="I1752" s="54" t="b">
        <v>1</v>
      </c>
      <c r="J1752" s="54" t="b">
        <v>1</v>
      </c>
      <c r="K1752" s="63" t="s">
        <v>728</v>
      </c>
      <c r="L1752" s="63" t="s">
        <v>4862</v>
      </c>
      <c r="M1752" s="63" t="s">
        <v>4863</v>
      </c>
      <c r="N1752" s="63" t="s">
        <v>3158</v>
      </c>
    </row>
    <row r="1753" spans="1:14" x14ac:dyDescent="0.2">
      <c r="A1753" s="51">
        <v>1752</v>
      </c>
      <c r="B1753" s="54" t="s">
        <v>728</v>
      </c>
      <c r="C1753" s="47" t="s">
        <v>4860</v>
      </c>
      <c r="D1753" s="47" t="s">
        <v>4861</v>
      </c>
      <c r="E1753" s="48" t="s">
        <v>3158</v>
      </c>
      <c r="F1753" s="66" t="b">
        <v>0</v>
      </c>
      <c r="G1753" s="54" t="b">
        <v>1</v>
      </c>
      <c r="H1753" s="54" t="b">
        <v>1</v>
      </c>
      <c r="I1753" s="54" t="b">
        <v>1</v>
      </c>
      <c r="J1753" s="54" t="b">
        <v>1</v>
      </c>
      <c r="K1753" s="63" t="s">
        <v>728</v>
      </c>
      <c r="L1753" s="63" t="s">
        <v>4860</v>
      </c>
      <c r="M1753" s="63" t="s">
        <v>4861</v>
      </c>
      <c r="N1753" s="63" t="s">
        <v>3158</v>
      </c>
    </row>
    <row r="1754" spans="1:14" x14ac:dyDescent="0.2">
      <c r="A1754" s="51">
        <v>1753</v>
      </c>
      <c r="B1754" s="54" t="s">
        <v>728</v>
      </c>
      <c r="C1754" s="47" t="s">
        <v>4867</v>
      </c>
      <c r="D1754" s="47" t="s">
        <v>4868</v>
      </c>
      <c r="E1754" s="47" t="s">
        <v>4630</v>
      </c>
      <c r="F1754" s="55" t="b">
        <v>1</v>
      </c>
      <c r="G1754" s="54" t="b">
        <v>1</v>
      </c>
      <c r="H1754" s="54" t="b">
        <v>1</v>
      </c>
      <c r="I1754" s="54" t="b">
        <v>1</v>
      </c>
      <c r="J1754" s="65" t="b">
        <v>0</v>
      </c>
      <c r="K1754" s="63" t="s">
        <v>728</v>
      </c>
      <c r="L1754" s="63" t="s">
        <v>4867</v>
      </c>
      <c r="M1754" s="63" t="s">
        <v>4868</v>
      </c>
      <c r="N1754" s="63" t="s">
        <v>2365</v>
      </c>
    </row>
    <row r="1755" spans="1:14" x14ac:dyDescent="0.2">
      <c r="A1755" s="51">
        <v>1754</v>
      </c>
      <c r="B1755" s="54" t="s">
        <v>728</v>
      </c>
      <c r="C1755" s="47" t="s">
        <v>4864</v>
      </c>
      <c r="D1755" s="47" t="s">
        <v>4865</v>
      </c>
      <c r="E1755" s="48" t="s">
        <v>3158</v>
      </c>
      <c r="F1755" s="66" t="b">
        <v>0</v>
      </c>
      <c r="G1755" s="54" t="b">
        <v>1</v>
      </c>
      <c r="H1755" s="54" t="b">
        <v>1</v>
      </c>
      <c r="I1755" s="54" t="b">
        <v>1</v>
      </c>
      <c r="J1755" s="54" t="b">
        <v>1</v>
      </c>
      <c r="K1755" s="63" t="s">
        <v>728</v>
      </c>
      <c r="L1755" s="63" t="s">
        <v>4864</v>
      </c>
      <c r="M1755" s="63" t="s">
        <v>4865</v>
      </c>
      <c r="N1755" s="63" t="s">
        <v>3158</v>
      </c>
    </row>
    <row r="1756" spans="1:14" x14ac:dyDescent="0.2">
      <c r="A1756" s="51">
        <v>1755</v>
      </c>
      <c r="B1756" s="54" t="s">
        <v>728</v>
      </c>
      <c r="C1756" s="47" t="s">
        <v>4870</v>
      </c>
      <c r="D1756" s="47" t="s">
        <v>4871</v>
      </c>
      <c r="E1756" s="48" t="s">
        <v>3158</v>
      </c>
      <c r="F1756" s="66" t="b">
        <v>0</v>
      </c>
      <c r="G1756" s="54" t="b">
        <v>1</v>
      </c>
      <c r="H1756" s="54" t="b">
        <v>1</v>
      </c>
      <c r="I1756" s="54" t="b">
        <v>1</v>
      </c>
      <c r="J1756" s="54" t="b">
        <v>1</v>
      </c>
      <c r="K1756" s="63" t="s">
        <v>728</v>
      </c>
      <c r="L1756" s="63" t="s">
        <v>4870</v>
      </c>
      <c r="M1756" s="63" t="s">
        <v>4871</v>
      </c>
      <c r="N1756" s="63" t="s">
        <v>3158</v>
      </c>
    </row>
    <row r="1757" spans="1:14" x14ac:dyDescent="0.2">
      <c r="A1757" s="51">
        <v>1756</v>
      </c>
      <c r="B1757" s="54" t="s">
        <v>728</v>
      </c>
      <c r="C1757" s="47" t="s">
        <v>4866</v>
      </c>
      <c r="D1757" s="47" t="s">
        <v>1701</v>
      </c>
      <c r="E1757" s="48" t="s">
        <v>3158</v>
      </c>
      <c r="F1757" s="66" t="b">
        <v>0</v>
      </c>
      <c r="G1757" s="54" t="b">
        <v>1</v>
      </c>
      <c r="H1757" s="54" t="b">
        <v>1</v>
      </c>
      <c r="I1757" s="54" t="b">
        <v>1</v>
      </c>
      <c r="J1757" s="54" t="b">
        <v>1</v>
      </c>
      <c r="K1757" s="63" t="s">
        <v>728</v>
      </c>
      <c r="L1757" s="63" t="s">
        <v>4866</v>
      </c>
      <c r="M1757" s="63" t="s">
        <v>1701</v>
      </c>
      <c r="N1757" s="63" t="s">
        <v>3158</v>
      </c>
    </row>
    <row r="1758" spans="1:14" x14ac:dyDescent="0.2">
      <c r="A1758" s="51">
        <v>1757</v>
      </c>
      <c r="B1758" s="54" t="s">
        <v>728</v>
      </c>
      <c r="C1758" s="47" t="s">
        <v>4869</v>
      </c>
      <c r="D1758" s="47" t="s">
        <v>4868</v>
      </c>
      <c r="E1758" s="48" t="s">
        <v>3158</v>
      </c>
      <c r="F1758" s="66" t="b">
        <v>0</v>
      </c>
      <c r="G1758" s="54" t="b">
        <v>1</v>
      </c>
      <c r="H1758" s="54" t="b">
        <v>1</v>
      </c>
      <c r="I1758" s="54" t="b">
        <v>1</v>
      </c>
      <c r="J1758" s="54" t="b">
        <v>1</v>
      </c>
      <c r="K1758" s="63" t="s">
        <v>728</v>
      </c>
      <c r="L1758" s="63" t="s">
        <v>4869</v>
      </c>
      <c r="M1758" s="63" t="s">
        <v>4868</v>
      </c>
      <c r="N1758" s="63" t="s">
        <v>3158</v>
      </c>
    </row>
    <row r="1759" spans="1:14" x14ac:dyDescent="0.2">
      <c r="A1759" s="51">
        <v>1758</v>
      </c>
      <c r="B1759" s="54" t="s">
        <v>728</v>
      </c>
      <c r="C1759" s="47" t="s">
        <v>4872</v>
      </c>
      <c r="D1759" s="47" t="s">
        <v>12461</v>
      </c>
      <c r="E1759" s="47" t="s">
        <v>4630</v>
      </c>
      <c r="F1759" s="55" t="b">
        <v>1</v>
      </c>
      <c r="G1759" s="54" t="b">
        <v>1</v>
      </c>
      <c r="H1759" s="54" t="b">
        <v>1</v>
      </c>
      <c r="I1759" s="65" t="b">
        <v>0</v>
      </c>
      <c r="J1759" s="65" t="b">
        <v>0</v>
      </c>
      <c r="K1759" s="63" t="s">
        <v>728</v>
      </c>
      <c r="L1759" s="63" t="s">
        <v>4872</v>
      </c>
      <c r="M1759" s="63" t="s">
        <v>4873</v>
      </c>
      <c r="N1759" s="63" t="s">
        <v>2365</v>
      </c>
    </row>
    <row r="1760" spans="1:14" x14ac:dyDescent="0.2">
      <c r="A1760" s="51">
        <v>1759</v>
      </c>
      <c r="B1760" s="54" t="s">
        <v>728</v>
      </c>
      <c r="C1760" s="47" t="s">
        <v>4874</v>
      </c>
      <c r="D1760" s="47" t="s">
        <v>12461</v>
      </c>
      <c r="E1760" s="48" t="s">
        <v>3158</v>
      </c>
      <c r="F1760" s="66" t="b">
        <v>0</v>
      </c>
      <c r="G1760" s="54" t="b">
        <v>1</v>
      </c>
      <c r="H1760" s="54" t="b">
        <v>1</v>
      </c>
      <c r="I1760" s="65" t="b">
        <v>0</v>
      </c>
      <c r="J1760" s="54" t="b">
        <v>1</v>
      </c>
      <c r="K1760" s="63" t="s">
        <v>728</v>
      </c>
      <c r="L1760" s="63" t="s">
        <v>4874</v>
      </c>
      <c r="M1760" s="63" t="s">
        <v>4873</v>
      </c>
      <c r="N1760" s="63" t="s">
        <v>3158</v>
      </c>
    </row>
    <row r="1761" spans="1:14" x14ac:dyDescent="0.2">
      <c r="A1761" s="51">
        <v>1760</v>
      </c>
      <c r="B1761" s="54" t="s">
        <v>728</v>
      </c>
      <c r="C1761" s="47" t="s">
        <v>4875</v>
      </c>
      <c r="D1761" s="47" t="s">
        <v>4876</v>
      </c>
      <c r="E1761" s="48" t="s">
        <v>3158</v>
      </c>
      <c r="F1761" s="66" t="b">
        <v>0</v>
      </c>
      <c r="G1761" s="54" t="b">
        <v>1</v>
      </c>
      <c r="H1761" s="54" t="b">
        <v>1</v>
      </c>
      <c r="I1761" s="54" t="b">
        <v>1</v>
      </c>
      <c r="J1761" s="54" t="b">
        <v>1</v>
      </c>
      <c r="K1761" s="63" t="s">
        <v>728</v>
      </c>
      <c r="L1761" s="63" t="s">
        <v>4875</v>
      </c>
      <c r="M1761" s="63" t="s">
        <v>4876</v>
      </c>
      <c r="N1761" s="63" t="s">
        <v>3158</v>
      </c>
    </row>
    <row r="1762" spans="1:14" x14ac:dyDescent="0.2">
      <c r="A1762" s="51">
        <v>1761</v>
      </c>
      <c r="B1762" s="54" t="s">
        <v>728</v>
      </c>
      <c r="C1762" s="47" t="s">
        <v>4877</v>
      </c>
      <c r="D1762" s="47" t="s">
        <v>4878</v>
      </c>
      <c r="E1762" s="48" t="s">
        <v>3158</v>
      </c>
      <c r="F1762" s="66" t="b">
        <v>0</v>
      </c>
      <c r="G1762" s="54" t="b">
        <v>1</v>
      </c>
      <c r="H1762" s="54" t="b">
        <v>1</v>
      </c>
      <c r="I1762" s="54" t="b">
        <v>1</v>
      </c>
      <c r="J1762" s="54" t="b">
        <v>1</v>
      </c>
      <c r="K1762" s="63" t="s">
        <v>728</v>
      </c>
      <c r="L1762" s="63" t="s">
        <v>4877</v>
      </c>
      <c r="M1762" s="63" t="s">
        <v>4878</v>
      </c>
      <c r="N1762" s="63" t="s">
        <v>3158</v>
      </c>
    </row>
    <row r="1763" spans="1:14" x14ac:dyDescent="0.2">
      <c r="A1763" s="51">
        <v>1762</v>
      </c>
      <c r="B1763" s="54" t="s">
        <v>728</v>
      </c>
      <c r="C1763" s="47" t="s">
        <v>4881</v>
      </c>
      <c r="D1763" s="47" t="s">
        <v>4882</v>
      </c>
      <c r="E1763" s="48" t="s">
        <v>3158</v>
      </c>
      <c r="F1763" s="66" t="b">
        <v>0</v>
      </c>
      <c r="G1763" s="54" t="b">
        <v>1</v>
      </c>
      <c r="H1763" s="54" t="b">
        <v>1</v>
      </c>
      <c r="I1763" s="54" t="b">
        <v>1</v>
      </c>
      <c r="J1763" s="54" t="b">
        <v>1</v>
      </c>
      <c r="K1763" s="63" t="s">
        <v>728</v>
      </c>
      <c r="L1763" s="63" t="s">
        <v>4881</v>
      </c>
      <c r="M1763" s="63" t="s">
        <v>4882</v>
      </c>
      <c r="N1763" s="63" t="s">
        <v>3158</v>
      </c>
    </row>
    <row r="1764" spans="1:14" x14ac:dyDescent="0.2">
      <c r="A1764" s="51">
        <v>1763</v>
      </c>
      <c r="B1764" s="54" t="s">
        <v>728</v>
      </c>
      <c r="C1764" s="47" t="s">
        <v>4879</v>
      </c>
      <c r="D1764" s="47" t="s">
        <v>4880</v>
      </c>
      <c r="E1764" s="48" t="s">
        <v>3158</v>
      </c>
      <c r="F1764" s="66" t="b">
        <v>0</v>
      </c>
      <c r="G1764" s="54" t="b">
        <v>1</v>
      </c>
      <c r="H1764" s="54" t="b">
        <v>1</v>
      </c>
      <c r="I1764" s="54" t="b">
        <v>1</v>
      </c>
      <c r="J1764" s="54" t="b">
        <v>1</v>
      </c>
      <c r="K1764" s="63" t="s">
        <v>728</v>
      </c>
      <c r="L1764" s="63" t="s">
        <v>4879</v>
      </c>
      <c r="M1764" s="63" t="s">
        <v>4880</v>
      </c>
      <c r="N1764" s="63" t="s">
        <v>3158</v>
      </c>
    </row>
    <row r="1765" spans="1:14" x14ac:dyDescent="0.2">
      <c r="A1765" s="51">
        <v>1764</v>
      </c>
      <c r="B1765" s="54" t="s">
        <v>728</v>
      </c>
      <c r="C1765" s="47" t="s">
        <v>4883</v>
      </c>
      <c r="D1765" s="47" t="s">
        <v>4884</v>
      </c>
      <c r="E1765" s="48" t="s">
        <v>3158</v>
      </c>
      <c r="F1765" s="66" t="b">
        <v>0</v>
      </c>
      <c r="G1765" s="54" t="b">
        <v>1</v>
      </c>
      <c r="H1765" s="54" t="b">
        <v>1</v>
      </c>
      <c r="I1765" s="54" t="b">
        <v>1</v>
      </c>
      <c r="J1765" s="54" t="b">
        <v>1</v>
      </c>
      <c r="K1765" s="63" t="s">
        <v>728</v>
      </c>
      <c r="L1765" s="63" t="s">
        <v>4883</v>
      </c>
      <c r="M1765" s="63" t="s">
        <v>4884</v>
      </c>
      <c r="N1765" s="63" t="s">
        <v>3158</v>
      </c>
    </row>
    <row r="1766" spans="1:14" x14ac:dyDescent="0.2">
      <c r="A1766" s="51">
        <v>1765</v>
      </c>
      <c r="B1766" s="54" t="s">
        <v>730</v>
      </c>
      <c r="C1766" s="47" t="s">
        <v>4885</v>
      </c>
      <c r="D1766" s="47" t="s">
        <v>4886</v>
      </c>
      <c r="E1766" s="47" t="s">
        <v>2087</v>
      </c>
      <c r="F1766" s="55" t="b">
        <v>1</v>
      </c>
      <c r="G1766" s="54" t="b">
        <v>1</v>
      </c>
      <c r="H1766" s="54" t="b">
        <v>1</v>
      </c>
      <c r="I1766" s="54" t="b">
        <v>1</v>
      </c>
      <c r="J1766" s="54" t="b">
        <v>1</v>
      </c>
      <c r="K1766" s="63" t="s">
        <v>730</v>
      </c>
      <c r="L1766" s="63" t="s">
        <v>4885</v>
      </c>
      <c r="M1766" s="63" t="s">
        <v>4886</v>
      </c>
      <c r="N1766" s="63" t="s">
        <v>2087</v>
      </c>
    </row>
    <row r="1767" spans="1:14" x14ac:dyDescent="0.2">
      <c r="A1767" s="51">
        <v>1766</v>
      </c>
      <c r="B1767" s="54" t="s">
        <v>730</v>
      </c>
      <c r="C1767" s="47" t="s">
        <v>4892</v>
      </c>
      <c r="D1767" s="47" t="s">
        <v>4893</v>
      </c>
      <c r="E1767" s="47" t="s">
        <v>2087</v>
      </c>
      <c r="F1767" s="55" t="b">
        <v>1</v>
      </c>
      <c r="G1767" s="54" t="b">
        <v>1</v>
      </c>
      <c r="H1767" s="54" t="b">
        <v>1</v>
      </c>
      <c r="I1767" s="54" t="b">
        <v>1</v>
      </c>
      <c r="J1767" s="54" t="b">
        <v>1</v>
      </c>
      <c r="K1767" s="63" t="s">
        <v>730</v>
      </c>
      <c r="L1767" s="63" t="s">
        <v>4892</v>
      </c>
      <c r="M1767" s="63" t="s">
        <v>4893</v>
      </c>
      <c r="N1767" s="63" t="s">
        <v>2087</v>
      </c>
    </row>
    <row r="1768" spans="1:14" x14ac:dyDescent="0.2">
      <c r="A1768" s="51">
        <v>1767</v>
      </c>
      <c r="B1768" s="54" t="s">
        <v>730</v>
      </c>
      <c r="C1768" s="47" t="s">
        <v>4887</v>
      </c>
      <c r="D1768" s="47" t="s">
        <v>4888</v>
      </c>
      <c r="E1768" s="47" t="s">
        <v>2087</v>
      </c>
      <c r="F1768" s="55" t="b">
        <v>1</v>
      </c>
      <c r="G1768" s="54" t="b">
        <v>1</v>
      </c>
      <c r="H1768" s="54" t="b">
        <v>1</v>
      </c>
      <c r="I1768" s="54" t="b">
        <v>1</v>
      </c>
      <c r="J1768" s="54" t="b">
        <v>1</v>
      </c>
      <c r="K1768" s="63" t="s">
        <v>730</v>
      </c>
      <c r="L1768" s="63" t="s">
        <v>4887</v>
      </c>
      <c r="M1768" s="63" t="s">
        <v>4888</v>
      </c>
      <c r="N1768" s="63" t="s">
        <v>2087</v>
      </c>
    </row>
    <row r="1769" spans="1:14" x14ac:dyDescent="0.2">
      <c r="A1769" s="51">
        <v>1768</v>
      </c>
      <c r="B1769" s="54" t="s">
        <v>730</v>
      </c>
      <c r="C1769" s="47" t="s">
        <v>4889</v>
      </c>
      <c r="D1769" s="47" t="s">
        <v>4890</v>
      </c>
      <c r="E1769" s="47" t="s">
        <v>4891</v>
      </c>
      <c r="F1769" s="55" t="b">
        <v>1</v>
      </c>
      <c r="G1769" s="54" t="b">
        <v>1</v>
      </c>
      <c r="H1769" s="54" t="b">
        <v>1</v>
      </c>
      <c r="I1769" s="54" t="b">
        <v>1</v>
      </c>
      <c r="J1769" s="54" t="b">
        <v>1</v>
      </c>
      <c r="K1769" s="63" t="s">
        <v>730</v>
      </c>
      <c r="L1769" s="63" t="s">
        <v>4889</v>
      </c>
      <c r="M1769" s="63" t="s">
        <v>4890</v>
      </c>
      <c r="N1769" s="63" t="s">
        <v>4891</v>
      </c>
    </row>
    <row r="1770" spans="1:14" x14ac:dyDescent="0.2">
      <c r="A1770" s="51">
        <v>1769</v>
      </c>
      <c r="B1770" s="54" t="s">
        <v>730</v>
      </c>
      <c r="C1770" s="47" t="s">
        <v>4894</v>
      </c>
      <c r="D1770" s="47" t="s">
        <v>4895</v>
      </c>
      <c r="E1770" s="47" t="s">
        <v>2087</v>
      </c>
      <c r="F1770" s="55" t="b">
        <v>1</v>
      </c>
      <c r="G1770" s="54" t="b">
        <v>1</v>
      </c>
      <c r="H1770" s="54" t="b">
        <v>1</v>
      </c>
      <c r="I1770" s="54" t="b">
        <v>1</v>
      </c>
      <c r="J1770" s="54" t="b">
        <v>1</v>
      </c>
      <c r="K1770" s="63" t="s">
        <v>730</v>
      </c>
      <c r="L1770" s="63" t="s">
        <v>4894</v>
      </c>
      <c r="M1770" s="63" t="s">
        <v>4895</v>
      </c>
      <c r="N1770" s="63" t="s">
        <v>2087</v>
      </c>
    </row>
    <row r="1771" spans="1:14" x14ac:dyDescent="0.2">
      <c r="A1771" s="51">
        <v>1770</v>
      </c>
      <c r="B1771" s="54" t="s">
        <v>730</v>
      </c>
      <c r="C1771" s="47" t="s">
        <v>4896</v>
      </c>
      <c r="D1771" s="47" t="s">
        <v>4897</v>
      </c>
      <c r="E1771" s="47" t="s">
        <v>2087</v>
      </c>
      <c r="F1771" s="55" t="b">
        <v>1</v>
      </c>
      <c r="G1771" s="54" t="b">
        <v>1</v>
      </c>
      <c r="H1771" s="54" t="b">
        <v>1</v>
      </c>
      <c r="I1771" s="54" t="b">
        <v>1</v>
      </c>
      <c r="J1771" s="54" t="b">
        <v>1</v>
      </c>
      <c r="K1771" s="63" t="s">
        <v>730</v>
      </c>
      <c r="L1771" s="63" t="s">
        <v>4896</v>
      </c>
      <c r="M1771" s="63" t="s">
        <v>4897</v>
      </c>
      <c r="N1771" s="63" t="s">
        <v>2087</v>
      </c>
    </row>
    <row r="1772" spans="1:14" x14ac:dyDescent="0.2">
      <c r="A1772" s="51">
        <v>1771</v>
      </c>
      <c r="B1772" s="54" t="s">
        <v>730</v>
      </c>
      <c r="C1772" s="47" t="s">
        <v>4898</v>
      </c>
      <c r="D1772" s="47" t="s">
        <v>4899</v>
      </c>
      <c r="E1772" s="48" t="s">
        <v>1719</v>
      </c>
      <c r="F1772" s="66" t="b">
        <v>0</v>
      </c>
      <c r="G1772" s="54" t="b">
        <v>1</v>
      </c>
      <c r="H1772" s="54" t="b">
        <v>1</v>
      </c>
      <c r="I1772" s="54" t="b">
        <v>1</v>
      </c>
      <c r="J1772" s="54" t="b">
        <v>1</v>
      </c>
      <c r="K1772" s="63" t="s">
        <v>730</v>
      </c>
      <c r="L1772" s="63" t="s">
        <v>4898</v>
      </c>
      <c r="M1772" s="63" t="s">
        <v>4899</v>
      </c>
      <c r="N1772" s="63" t="s">
        <v>1719</v>
      </c>
    </row>
    <row r="1773" spans="1:14" x14ac:dyDescent="0.2">
      <c r="A1773" s="51">
        <v>1772</v>
      </c>
      <c r="B1773" s="54" t="s">
        <v>730</v>
      </c>
      <c r="C1773" s="47" t="s">
        <v>4900</v>
      </c>
      <c r="D1773" s="47" t="s">
        <v>4901</v>
      </c>
      <c r="E1773" s="48" t="s">
        <v>1719</v>
      </c>
      <c r="F1773" s="66" t="b">
        <v>0</v>
      </c>
      <c r="G1773" s="54" t="b">
        <v>1</v>
      </c>
      <c r="H1773" s="54" t="b">
        <v>1</v>
      </c>
      <c r="I1773" s="54" t="b">
        <v>1</v>
      </c>
      <c r="J1773" s="54" t="b">
        <v>1</v>
      </c>
      <c r="K1773" s="63" t="s">
        <v>730</v>
      </c>
      <c r="L1773" s="63" t="s">
        <v>4900</v>
      </c>
      <c r="M1773" s="63" t="s">
        <v>4901</v>
      </c>
      <c r="N1773" s="63" t="s">
        <v>1719</v>
      </c>
    </row>
    <row r="1774" spans="1:14" x14ac:dyDescent="0.2">
      <c r="A1774" s="51">
        <v>1773</v>
      </c>
      <c r="B1774" s="54" t="s">
        <v>730</v>
      </c>
      <c r="C1774" s="47" t="s">
        <v>4902</v>
      </c>
      <c r="D1774" s="47" t="s">
        <v>4903</v>
      </c>
      <c r="E1774" s="47" t="s">
        <v>2087</v>
      </c>
      <c r="F1774" s="55" t="b">
        <v>1</v>
      </c>
      <c r="G1774" s="54" t="b">
        <v>1</v>
      </c>
      <c r="H1774" s="54" t="b">
        <v>1</v>
      </c>
      <c r="I1774" s="54" t="b">
        <v>1</v>
      </c>
      <c r="J1774" s="54" t="b">
        <v>1</v>
      </c>
      <c r="K1774" s="63" t="s">
        <v>730</v>
      </c>
      <c r="L1774" s="63" t="s">
        <v>4902</v>
      </c>
      <c r="M1774" s="63" t="s">
        <v>4903</v>
      </c>
      <c r="N1774" s="63" t="s">
        <v>2087</v>
      </c>
    </row>
    <row r="1775" spans="1:14" x14ac:dyDescent="0.2">
      <c r="A1775" s="51">
        <v>1774</v>
      </c>
      <c r="B1775" s="54" t="s">
        <v>730</v>
      </c>
      <c r="C1775" s="47" t="s">
        <v>4904</v>
      </c>
      <c r="D1775" s="47" t="s">
        <v>4905</v>
      </c>
      <c r="E1775" s="47" t="s">
        <v>2087</v>
      </c>
      <c r="F1775" s="55" t="b">
        <v>1</v>
      </c>
      <c r="G1775" s="54" t="b">
        <v>1</v>
      </c>
      <c r="H1775" s="54" t="b">
        <v>1</v>
      </c>
      <c r="I1775" s="54" t="b">
        <v>1</v>
      </c>
      <c r="J1775" s="54" t="b">
        <v>1</v>
      </c>
      <c r="K1775" s="63" t="s">
        <v>730</v>
      </c>
      <c r="L1775" s="63" t="s">
        <v>4904</v>
      </c>
      <c r="M1775" s="63" t="s">
        <v>4905</v>
      </c>
      <c r="N1775" s="63" t="s">
        <v>2087</v>
      </c>
    </row>
    <row r="1776" spans="1:14" x14ac:dyDescent="0.2">
      <c r="A1776" s="51">
        <v>1775</v>
      </c>
      <c r="B1776" s="54" t="s">
        <v>730</v>
      </c>
      <c r="C1776" s="47" t="s">
        <v>4906</v>
      </c>
      <c r="D1776" s="47" t="s">
        <v>4907</v>
      </c>
      <c r="E1776" s="48" t="s">
        <v>1719</v>
      </c>
      <c r="F1776" s="66" t="b">
        <v>0</v>
      </c>
      <c r="G1776" s="54" t="b">
        <v>1</v>
      </c>
      <c r="H1776" s="54" t="b">
        <v>1</v>
      </c>
      <c r="I1776" s="54" t="b">
        <v>1</v>
      </c>
      <c r="J1776" s="54" t="b">
        <v>1</v>
      </c>
      <c r="K1776" s="63" t="s">
        <v>730</v>
      </c>
      <c r="L1776" s="63" t="s">
        <v>4906</v>
      </c>
      <c r="M1776" s="63" t="s">
        <v>4907</v>
      </c>
      <c r="N1776" s="63" t="s">
        <v>1719</v>
      </c>
    </row>
    <row r="1777" spans="1:14" x14ac:dyDescent="0.2">
      <c r="A1777" s="51">
        <v>1776</v>
      </c>
      <c r="B1777" s="54" t="s">
        <v>730</v>
      </c>
      <c r="C1777" s="47" t="s">
        <v>4908</v>
      </c>
      <c r="D1777" s="47" t="s">
        <v>4909</v>
      </c>
      <c r="E1777" s="47" t="s">
        <v>2087</v>
      </c>
      <c r="F1777" s="55" t="b">
        <v>1</v>
      </c>
      <c r="G1777" s="54" t="b">
        <v>1</v>
      </c>
      <c r="H1777" s="54" t="b">
        <v>1</v>
      </c>
      <c r="I1777" s="54" t="b">
        <v>1</v>
      </c>
      <c r="J1777" s="54" t="b">
        <v>1</v>
      </c>
      <c r="K1777" s="63" t="s">
        <v>730</v>
      </c>
      <c r="L1777" s="63" t="s">
        <v>4908</v>
      </c>
      <c r="M1777" s="63" t="s">
        <v>4909</v>
      </c>
      <c r="N1777" s="63" t="s">
        <v>2087</v>
      </c>
    </row>
    <row r="1778" spans="1:14" x14ac:dyDescent="0.2">
      <c r="A1778" s="51">
        <v>1777</v>
      </c>
      <c r="B1778" s="54" t="s">
        <v>732</v>
      </c>
      <c r="C1778" s="47" t="s">
        <v>4910</v>
      </c>
      <c r="D1778" s="47" t="s">
        <v>4911</v>
      </c>
      <c r="E1778" s="47" t="s">
        <v>2087</v>
      </c>
      <c r="F1778" s="55" t="b">
        <v>1</v>
      </c>
      <c r="G1778" s="54" t="b">
        <v>1</v>
      </c>
      <c r="H1778" s="54" t="b">
        <v>1</v>
      </c>
      <c r="I1778" s="54" t="b">
        <v>1</v>
      </c>
      <c r="J1778" s="54" t="b">
        <v>1</v>
      </c>
      <c r="K1778" s="63" t="s">
        <v>732</v>
      </c>
      <c r="L1778" s="63" t="s">
        <v>4910</v>
      </c>
      <c r="M1778" s="63" t="s">
        <v>4911</v>
      </c>
      <c r="N1778" s="63" t="s">
        <v>2087</v>
      </c>
    </row>
    <row r="1779" spans="1:14" x14ac:dyDescent="0.2">
      <c r="A1779" s="51">
        <v>1778</v>
      </c>
      <c r="B1779" s="54" t="s">
        <v>732</v>
      </c>
      <c r="C1779" s="47" t="s">
        <v>4912</v>
      </c>
      <c r="D1779" s="47" t="s">
        <v>4913</v>
      </c>
      <c r="E1779" s="47" t="s">
        <v>2087</v>
      </c>
      <c r="F1779" s="55" t="b">
        <v>1</v>
      </c>
      <c r="G1779" s="54" t="b">
        <v>1</v>
      </c>
      <c r="H1779" s="54" t="b">
        <v>1</v>
      </c>
      <c r="I1779" s="54" t="b">
        <v>1</v>
      </c>
      <c r="J1779" s="54" t="b">
        <v>1</v>
      </c>
      <c r="K1779" s="63" t="s">
        <v>732</v>
      </c>
      <c r="L1779" s="63" t="s">
        <v>4912</v>
      </c>
      <c r="M1779" s="63" t="s">
        <v>4913</v>
      </c>
      <c r="N1779" s="63" t="s">
        <v>2087</v>
      </c>
    </row>
    <row r="1780" spans="1:14" x14ac:dyDescent="0.2">
      <c r="A1780" s="51">
        <v>1779</v>
      </c>
      <c r="B1780" s="54" t="s">
        <v>732</v>
      </c>
      <c r="C1780" s="47" t="s">
        <v>4914</v>
      </c>
      <c r="D1780" s="47" t="s">
        <v>4915</v>
      </c>
      <c r="E1780" s="47" t="s">
        <v>2087</v>
      </c>
      <c r="F1780" s="55" t="b">
        <v>1</v>
      </c>
      <c r="G1780" s="54" t="b">
        <v>1</v>
      </c>
      <c r="H1780" s="54" t="b">
        <v>1</v>
      </c>
      <c r="I1780" s="54" t="b">
        <v>1</v>
      </c>
      <c r="J1780" s="54" t="b">
        <v>1</v>
      </c>
      <c r="K1780" s="63" t="s">
        <v>732</v>
      </c>
      <c r="L1780" s="63" t="s">
        <v>4914</v>
      </c>
      <c r="M1780" s="63" t="s">
        <v>4915</v>
      </c>
      <c r="N1780" s="63" t="s">
        <v>2087</v>
      </c>
    </row>
    <row r="1781" spans="1:14" x14ac:dyDescent="0.2">
      <c r="A1781" s="51">
        <v>1780</v>
      </c>
      <c r="B1781" s="54" t="s">
        <v>732</v>
      </c>
      <c r="C1781" s="47" t="s">
        <v>4916</v>
      </c>
      <c r="D1781" s="47" t="s">
        <v>4917</v>
      </c>
      <c r="E1781" s="47" t="s">
        <v>2087</v>
      </c>
      <c r="F1781" s="55" t="b">
        <v>1</v>
      </c>
      <c r="G1781" s="54" t="b">
        <v>1</v>
      </c>
      <c r="H1781" s="54" t="b">
        <v>1</v>
      </c>
      <c r="I1781" s="54" t="b">
        <v>1</v>
      </c>
      <c r="J1781" s="54" t="b">
        <v>1</v>
      </c>
      <c r="K1781" s="63" t="s">
        <v>732</v>
      </c>
      <c r="L1781" s="63" t="s">
        <v>4916</v>
      </c>
      <c r="M1781" s="63" t="s">
        <v>4917</v>
      </c>
      <c r="N1781" s="63" t="s">
        <v>2087</v>
      </c>
    </row>
    <row r="1782" spans="1:14" x14ac:dyDescent="0.2">
      <c r="A1782" s="51">
        <v>1781</v>
      </c>
      <c r="B1782" s="54" t="s">
        <v>732</v>
      </c>
      <c r="C1782" s="47" t="s">
        <v>4918</v>
      </c>
      <c r="D1782" s="47" t="s">
        <v>4919</v>
      </c>
      <c r="E1782" s="47" t="s">
        <v>2087</v>
      </c>
      <c r="F1782" s="55" t="b">
        <v>1</v>
      </c>
      <c r="G1782" s="54" t="b">
        <v>1</v>
      </c>
      <c r="H1782" s="54" t="b">
        <v>1</v>
      </c>
      <c r="I1782" s="54" t="b">
        <v>1</v>
      </c>
      <c r="J1782" s="54" t="b">
        <v>1</v>
      </c>
      <c r="K1782" s="63" t="s">
        <v>732</v>
      </c>
      <c r="L1782" s="63" t="s">
        <v>4918</v>
      </c>
      <c r="M1782" s="63" t="s">
        <v>4919</v>
      </c>
      <c r="N1782" s="63" t="s">
        <v>2087</v>
      </c>
    </row>
    <row r="1783" spans="1:14" x14ac:dyDescent="0.2">
      <c r="A1783" s="51">
        <v>1782</v>
      </c>
      <c r="B1783" s="54" t="s">
        <v>732</v>
      </c>
      <c r="C1783" s="47" t="s">
        <v>4920</v>
      </c>
      <c r="D1783" s="47" t="s">
        <v>4921</v>
      </c>
      <c r="E1783" s="47" t="s">
        <v>2087</v>
      </c>
      <c r="F1783" s="55" t="b">
        <v>1</v>
      </c>
      <c r="G1783" s="54" t="b">
        <v>1</v>
      </c>
      <c r="H1783" s="54" t="b">
        <v>1</v>
      </c>
      <c r="I1783" s="54" t="b">
        <v>1</v>
      </c>
      <c r="J1783" s="54" t="b">
        <v>1</v>
      </c>
      <c r="K1783" s="63" t="s">
        <v>732</v>
      </c>
      <c r="L1783" s="63" t="s">
        <v>4920</v>
      </c>
      <c r="M1783" s="63" t="s">
        <v>4921</v>
      </c>
      <c r="N1783" s="63" t="s">
        <v>2087</v>
      </c>
    </row>
    <row r="1784" spans="1:14" x14ac:dyDescent="0.2">
      <c r="A1784" s="51">
        <v>1783</v>
      </c>
      <c r="B1784" s="54" t="s">
        <v>732</v>
      </c>
      <c r="C1784" s="47" t="s">
        <v>4922</v>
      </c>
      <c r="D1784" s="47" t="s">
        <v>4923</v>
      </c>
      <c r="E1784" s="47" t="s">
        <v>2087</v>
      </c>
      <c r="F1784" s="55" t="b">
        <v>1</v>
      </c>
      <c r="G1784" s="54" t="b">
        <v>1</v>
      </c>
      <c r="H1784" s="54" t="b">
        <v>1</v>
      </c>
      <c r="I1784" s="54" t="b">
        <v>1</v>
      </c>
      <c r="J1784" s="54" t="b">
        <v>1</v>
      </c>
      <c r="K1784" s="63" t="s">
        <v>732</v>
      </c>
      <c r="L1784" s="63" t="s">
        <v>4922</v>
      </c>
      <c r="M1784" s="63" t="s">
        <v>4923</v>
      </c>
      <c r="N1784" s="63" t="s">
        <v>2087</v>
      </c>
    </row>
    <row r="1785" spans="1:14" x14ac:dyDescent="0.2">
      <c r="A1785" s="51">
        <v>1784</v>
      </c>
      <c r="B1785" s="54" t="s">
        <v>732</v>
      </c>
      <c r="C1785" s="47" t="s">
        <v>4924</v>
      </c>
      <c r="D1785" s="47" t="s">
        <v>4925</v>
      </c>
      <c r="E1785" s="47" t="s">
        <v>2087</v>
      </c>
      <c r="F1785" s="55" t="b">
        <v>1</v>
      </c>
      <c r="G1785" s="54" t="b">
        <v>1</v>
      </c>
      <c r="H1785" s="54" t="b">
        <v>1</v>
      </c>
      <c r="I1785" s="54" t="b">
        <v>1</v>
      </c>
      <c r="J1785" s="54" t="b">
        <v>1</v>
      </c>
      <c r="K1785" s="63" t="s">
        <v>732</v>
      </c>
      <c r="L1785" s="63" t="s">
        <v>4924</v>
      </c>
      <c r="M1785" s="63" t="s">
        <v>4925</v>
      </c>
      <c r="N1785" s="63" t="s">
        <v>2087</v>
      </c>
    </row>
    <row r="1786" spans="1:14" x14ac:dyDescent="0.2">
      <c r="A1786" s="51">
        <v>1785</v>
      </c>
      <c r="B1786" s="54" t="s">
        <v>732</v>
      </c>
      <c r="C1786" s="47" t="s">
        <v>4926</v>
      </c>
      <c r="D1786" s="47" t="s">
        <v>4927</v>
      </c>
      <c r="E1786" s="47" t="s">
        <v>2087</v>
      </c>
      <c r="F1786" s="55" t="b">
        <v>1</v>
      </c>
      <c r="G1786" s="54" t="b">
        <v>1</v>
      </c>
      <c r="H1786" s="54" t="b">
        <v>1</v>
      </c>
      <c r="I1786" s="54" t="b">
        <v>1</v>
      </c>
      <c r="J1786" s="54" t="b">
        <v>1</v>
      </c>
      <c r="K1786" s="63" t="s">
        <v>732</v>
      </c>
      <c r="L1786" s="63" t="s">
        <v>4926</v>
      </c>
      <c r="M1786" s="63" t="s">
        <v>4927</v>
      </c>
      <c r="N1786" s="63" t="s">
        <v>2087</v>
      </c>
    </row>
    <row r="1787" spans="1:14" x14ac:dyDescent="0.2">
      <c r="A1787" s="51">
        <v>1786</v>
      </c>
      <c r="B1787" s="54" t="s">
        <v>732</v>
      </c>
      <c r="C1787" s="47" t="s">
        <v>4928</v>
      </c>
      <c r="D1787" s="47" t="s">
        <v>4929</v>
      </c>
      <c r="E1787" s="47" t="s">
        <v>2087</v>
      </c>
      <c r="F1787" s="55" t="b">
        <v>1</v>
      </c>
      <c r="G1787" s="54" t="b">
        <v>1</v>
      </c>
      <c r="H1787" s="54" t="b">
        <v>1</v>
      </c>
      <c r="I1787" s="54" t="b">
        <v>1</v>
      </c>
      <c r="J1787" s="54" t="b">
        <v>1</v>
      </c>
      <c r="K1787" s="63" t="s">
        <v>732</v>
      </c>
      <c r="L1787" s="63" t="s">
        <v>4928</v>
      </c>
      <c r="M1787" s="63" t="s">
        <v>4929</v>
      </c>
      <c r="N1787" s="63" t="s">
        <v>2087</v>
      </c>
    </row>
    <row r="1788" spans="1:14" x14ac:dyDescent="0.2">
      <c r="A1788" s="51">
        <v>1787</v>
      </c>
      <c r="B1788" s="54" t="s">
        <v>734</v>
      </c>
      <c r="C1788" s="47" t="s">
        <v>4930</v>
      </c>
      <c r="D1788" s="47" t="s">
        <v>4931</v>
      </c>
      <c r="E1788" s="47" t="s">
        <v>2590</v>
      </c>
      <c r="F1788" s="55" t="b">
        <v>1</v>
      </c>
      <c r="G1788" s="54" t="b">
        <v>1</v>
      </c>
      <c r="H1788" s="54" t="b">
        <v>1</v>
      </c>
      <c r="I1788" s="54" t="b">
        <v>1</v>
      </c>
      <c r="J1788" s="54" t="b">
        <v>1</v>
      </c>
      <c r="K1788" s="63" t="s">
        <v>734</v>
      </c>
      <c r="L1788" s="63" t="s">
        <v>4930</v>
      </c>
      <c r="M1788" s="63" t="s">
        <v>4931</v>
      </c>
      <c r="N1788" s="63" t="s">
        <v>2590</v>
      </c>
    </row>
    <row r="1789" spans="1:14" x14ac:dyDescent="0.2">
      <c r="A1789" s="51">
        <v>1788</v>
      </c>
      <c r="G1789" s="65" t="b">
        <v>0</v>
      </c>
      <c r="H1789" s="65" t="b">
        <v>0</v>
      </c>
      <c r="I1789" s="65" t="b">
        <v>0</v>
      </c>
      <c r="J1789" s="65" t="b">
        <v>0</v>
      </c>
      <c r="K1789" s="63" t="s">
        <v>734</v>
      </c>
      <c r="L1789" s="63" t="s">
        <v>4930</v>
      </c>
      <c r="M1789" s="63" t="s">
        <v>4936</v>
      </c>
      <c r="N1789" s="63" t="s">
        <v>2590</v>
      </c>
    </row>
    <row r="1790" spans="1:14" x14ac:dyDescent="0.2">
      <c r="A1790" s="51">
        <v>1789</v>
      </c>
      <c r="B1790" s="54" t="s">
        <v>734</v>
      </c>
      <c r="C1790" s="47" t="s">
        <v>4932</v>
      </c>
      <c r="D1790" s="47" t="s">
        <v>2875</v>
      </c>
      <c r="E1790" s="47" t="s">
        <v>2590</v>
      </c>
      <c r="F1790" s="55" t="b">
        <v>1</v>
      </c>
      <c r="G1790" s="54" t="b">
        <v>1</v>
      </c>
      <c r="H1790" s="54" t="b">
        <v>1</v>
      </c>
      <c r="I1790" s="54" t="b">
        <v>1</v>
      </c>
      <c r="J1790" s="54" t="b">
        <v>1</v>
      </c>
      <c r="K1790" s="63" t="s">
        <v>734</v>
      </c>
      <c r="L1790" s="63" t="s">
        <v>4932</v>
      </c>
      <c r="M1790" s="63" t="s">
        <v>2875</v>
      </c>
      <c r="N1790" s="63" t="s">
        <v>2590</v>
      </c>
    </row>
    <row r="1791" spans="1:14" x14ac:dyDescent="0.2">
      <c r="A1791" s="51">
        <v>1790</v>
      </c>
      <c r="G1791" s="65" t="b">
        <v>0</v>
      </c>
      <c r="H1791" s="65" t="b">
        <v>0</v>
      </c>
      <c r="I1791" s="65" t="b">
        <v>0</v>
      </c>
      <c r="J1791" s="65" t="b">
        <v>0</v>
      </c>
      <c r="K1791" s="63" t="s">
        <v>734</v>
      </c>
      <c r="L1791" s="63" t="s">
        <v>4932</v>
      </c>
      <c r="M1791" s="63" t="s">
        <v>4949</v>
      </c>
      <c r="N1791" s="63" t="s">
        <v>2590</v>
      </c>
    </row>
    <row r="1792" spans="1:14" x14ac:dyDescent="0.2">
      <c r="A1792" s="51">
        <v>1791</v>
      </c>
      <c r="B1792" s="54" t="s">
        <v>734</v>
      </c>
      <c r="C1792" s="47" t="s">
        <v>4933</v>
      </c>
      <c r="D1792" s="47" t="s">
        <v>4935</v>
      </c>
      <c r="E1792" s="47" t="s">
        <v>2590</v>
      </c>
      <c r="F1792" s="55" t="b">
        <v>1</v>
      </c>
      <c r="G1792" s="54" t="b">
        <v>1</v>
      </c>
      <c r="H1792" s="54" t="b">
        <v>1</v>
      </c>
      <c r="I1792" s="65" t="b">
        <v>0</v>
      </c>
      <c r="J1792" s="54" t="b">
        <v>1</v>
      </c>
      <c r="K1792" s="63" t="s">
        <v>734</v>
      </c>
      <c r="L1792" s="63" t="s">
        <v>4933</v>
      </c>
      <c r="M1792" s="63" t="s">
        <v>4934</v>
      </c>
      <c r="N1792" s="63" t="s">
        <v>2590</v>
      </c>
    </row>
    <row r="1793" spans="1:14" x14ac:dyDescent="0.2">
      <c r="A1793" s="51">
        <v>1792</v>
      </c>
      <c r="G1793" s="65" t="b">
        <v>0</v>
      </c>
      <c r="H1793" s="65" t="b">
        <v>0</v>
      </c>
      <c r="I1793" s="65" t="b">
        <v>0</v>
      </c>
      <c r="J1793" s="65" t="b">
        <v>0</v>
      </c>
      <c r="K1793" s="63" t="s">
        <v>734</v>
      </c>
      <c r="L1793" s="63" t="s">
        <v>4933</v>
      </c>
      <c r="M1793" s="63" t="s">
        <v>4935</v>
      </c>
      <c r="N1793" s="63" t="s">
        <v>2590</v>
      </c>
    </row>
    <row r="1794" spans="1:14" x14ac:dyDescent="0.2">
      <c r="A1794" s="51">
        <v>1793</v>
      </c>
      <c r="B1794" s="54" t="s">
        <v>734</v>
      </c>
      <c r="C1794" s="47" t="s">
        <v>4942</v>
      </c>
      <c r="D1794" s="47" t="s">
        <v>2929</v>
      </c>
      <c r="E1794" s="47" t="s">
        <v>2590</v>
      </c>
      <c r="F1794" s="55" t="b">
        <v>1</v>
      </c>
      <c r="G1794" s="54" t="b">
        <v>1</v>
      </c>
      <c r="H1794" s="54" t="b">
        <v>1</v>
      </c>
      <c r="I1794" s="54" t="b">
        <v>1</v>
      </c>
      <c r="J1794" s="54" t="b">
        <v>1</v>
      </c>
      <c r="K1794" s="63" t="s">
        <v>734</v>
      </c>
      <c r="L1794" s="63" t="s">
        <v>4942</v>
      </c>
      <c r="M1794" s="63" t="s">
        <v>2929</v>
      </c>
      <c r="N1794" s="63" t="s">
        <v>2590</v>
      </c>
    </row>
    <row r="1795" spans="1:14" x14ac:dyDescent="0.2">
      <c r="A1795" s="51">
        <v>1794</v>
      </c>
      <c r="G1795" s="65" t="b">
        <v>0</v>
      </c>
      <c r="H1795" s="65" t="b">
        <v>0</v>
      </c>
      <c r="I1795" s="65" t="b">
        <v>0</v>
      </c>
      <c r="J1795" s="65" t="b">
        <v>0</v>
      </c>
      <c r="K1795" s="63" t="s">
        <v>734</v>
      </c>
      <c r="L1795" s="63" t="s">
        <v>4942</v>
      </c>
      <c r="M1795" s="63" t="s">
        <v>4946</v>
      </c>
      <c r="N1795" s="63" t="s">
        <v>2590</v>
      </c>
    </row>
    <row r="1796" spans="1:14" x14ac:dyDescent="0.2">
      <c r="A1796" s="51">
        <v>1795</v>
      </c>
      <c r="B1796" s="54" t="s">
        <v>734</v>
      </c>
      <c r="C1796" s="47" t="s">
        <v>4943</v>
      </c>
      <c r="D1796" s="47" t="s">
        <v>4944</v>
      </c>
      <c r="E1796" s="47" t="s">
        <v>2590</v>
      </c>
      <c r="F1796" s="55" t="b">
        <v>1</v>
      </c>
      <c r="G1796" s="54" t="b">
        <v>1</v>
      </c>
      <c r="H1796" s="54" t="b">
        <v>1</v>
      </c>
      <c r="I1796" s="54" t="b">
        <v>1</v>
      </c>
      <c r="J1796" s="54" t="b">
        <v>1</v>
      </c>
      <c r="K1796" s="63" t="s">
        <v>734</v>
      </c>
      <c r="L1796" s="63" t="s">
        <v>4943</v>
      </c>
      <c r="M1796" s="63" t="s">
        <v>4944</v>
      </c>
      <c r="N1796" s="63" t="s">
        <v>2590</v>
      </c>
    </row>
    <row r="1797" spans="1:14" x14ac:dyDescent="0.2">
      <c r="A1797" s="51">
        <v>1796</v>
      </c>
      <c r="G1797" s="65" t="b">
        <v>0</v>
      </c>
      <c r="H1797" s="65" t="b">
        <v>0</v>
      </c>
      <c r="I1797" s="65" t="b">
        <v>0</v>
      </c>
      <c r="J1797" s="65" t="b">
        <v>0</v>
      </c>
      <c r="K1797" s="63" t="s">
        <v>734</v>
      </c>
      <c r="L1797" s="63" t="s">
        <v>4943</v>
      </c>
      <c r="M1797" s="63" t="s">
        <v>4948</v>
      </c>
      <c r="N1797" s="63" t="s">
        <v>2590</v>
      </c>
    </row>
    <row r="1798" spans="1:14" x14ac:dyDescent="0.2">
      <c r="A1798" s="51">
        <v>1797</v>
      </c>
      <c r="B1798" s="54" t="s">
        <v>734</v>
      </c>
      <c r="C1798" s="47" t="s">
        <v>4939</v>
      </c>
      <c r="D1798" s="47" t="s">
        <v>4941</v>
      </c>
      <c r="E1798" s="47" t="s">
        <v>2590</v>
      </c>
      <c r="F1798" s="55" t="b">
        <v>1</v>
      </c>
      <c r="G1798" s="54" t="b">
        <v>1</v>
      </c>
      <c r="H1798" s="54" t="b">
        <v>1</v>
      </c>
      <c r="I1798" s="65" t="b">
        <v>0</v>
      </c>
      <c r="J1798" s="54" t="b">
        <v>1</v>
      </c>
      <c r="K1798" s="63" t="s">
        <v>734</v>
      </c>
      <c r="L1798" s="63" t="s">
        <v>4939</v>
      </c>
      <c r="M1798" s="63" t="s">
        <v>4940</v>
      </c>
      <c r="N1798" s="63" t="s">
        <v>2590</v>
      </c>
    </row>
    <row r="1799" spans="1:14" x14ac:dyDescent="0.2">
      <c r="A1799" s="51">
        <v>1798</v>
      </c>
      <c r="G1799" s="65" t="b">
        <v>0</v>
      </c>
      <c r="H1799" s="65" t="b">
        <v>0</v>
      </c>
      <c r="I1799" s="65" t="b">
        <v>0</v>
      </c>
      <c r="J1799" s="65" t="b">
        <v>0</v>
      </c>
      <c r="K1799" s="63" t="s">
        <v>734</v>
      </c>
      <c r="L1799" s="63" t="s">
        <v>4939</v>
      </c>
      <c r="M1799" s="63" t="s">
        <v>4941</v>
      </c>
      <c r="N1799" s="63" t="s">
        <v>2590</v>
      </c>
    </row>
    <row r="1800" spans="1:14" x14ac:dyDescent="0.2">
      <c r="A1800" s="51">
        <v>1799</v>
      </c>
      <c r="B1800" s="54" t="s">
        <v>734</v>
      </c>
      <c r="C1800" s="47" t="s">
        <v>4945</v>
      </c>
      <c r="D1800" s="47" t="s">
        <v>3066</v>
      </c>
      <c r="E1800" s="47" t="s">
        <v>2590</v>
      </c>
      <c r="F1800" s="55" t="b">
        <v>1</v>
      </c>
      <c r="G1800" s="54" t="b">
        <v>1</v>
      </c>
      <c r="H1800" s="54" t="b">
        <v>1</v>
      </c>
      <c r="I1800" s="54" t="b">
        <v>1</v>
      </c>
      <c r="J1800" s="54" t="b">
        <v>1</v>
      </c>
      <c r="K1800" s="63" t="s">
        <v>734</v>
      </c>
      <c r="L1800" s="63" t="s">
        <v>4945</v>
      </c>
      <c r="M1800" s="63" t="s">
        <v>3066</v>
      </c>
      <c r="N1800" s="63" t="s">
        <v>2590</v>
      </c>
    </row>
    <row r="1801" spans="1:14" x14ac:dyDescent="0.2">
      <c r="A1801" s="51">
        <v>1800</v>
      </c>
      <c r="G1801" s="65" t="b">
        <v>0</v>
      </c>
      <c r="H1801" s="65" t="b">
        <v>0</v>
      </c>
      <c r="I1801" s="65" t="b">
        <v>0</v>
      </c>
      <c r="J1801" s="65" t="b">
        <v>0</v>
      </c>
      <c r="K1801" s="63" t="s">
        <v>734</v>
      </c>
      <c r="L1801" s="63" t="s">
        <v>4945</v>
      </c>
      <c r="M1801" s="63" t="s">
        <v>4947</v>
      </c>
      <c r="N1801" s="63" t="s">
        <v>2590</v>
      </c>
    </row>
    <row r="1802" spans="1:14" x14ac:dyDescent="0.2">
      <c r="A1802" s="51">
        <v>1801</v>
      </c>
      <c r="B1802" s="54" t="s">
        <v>734</v>
      </c>
      <c r="C1802" s="47" t="s">
        <v>4937</v>
      </c>
      <c r="D1802" s="47" t="s">
        <v>3069</v>
      </c>
      <c r="E1802" s="47" t="s">
        <v>2590</v>
      </c>
      <c r="F1802" s="55" t="b">
        <v>1</v>
      </c>
      <c r="G1802" s="54" t="b">
        <v>1</v>
      </c>
      <c r="H1802" s="54" t="b">
        <v>1</v>
      </c>
      <c r="I1802" s="65" t="b">
        <v>0</v>
      </c>
      <c r="J1802" s="54" t="b">
        <v>1</v>
      </c>
      <c r="K1802" s="63" t="s">
        <v>734</v>
      </c>
      <c r="L1802" s="63" t="s">
        <v>4937</v>
      </c>
      <c r="M1802" s="63" t="s">
        <v>4938</v>
      </c>
      <c r="N1802" s="63" t="s">
        <v>2590</v>
      </c>
    </row>
    <row r="1803" spans="1:14" x14ac:dyDescent="0.2">
      <c r="A1803" s="51">
        <v>1802</v>
      </c>
      <c r="G1803" s="65" t="b">
        <v>0</v>
      </c>
      <c r="H1803" s="65" t="b">
        <v>0</v>
      </c>
      <c r="I1803" s="65" t="b">
        <v>0</v>
      </c>
      <c r="J1803" s="65" t="b">
        <v>0</v>
      </c>
      <c r="K1803" s="63" t="s">
        <v>734</v>
      </c>
      <c r="L1803" s="63" t="s">
        <v>4937</v>
      </c>
      <c r="M1803" s="63" t="s">
        <v>3069</v>
      </c>
      <c r="N1803" s="63" t="s">
        <v>2590</v>
      </c>
    </row>
    <row r="1804" spans="1:14" x14ac:dyDescent="0.2">
      <c r="A1804" s="51">
        <v>1803</v>
      </c>
      <c r="B1804" s="54" t="s">
        <v>734</v>
      </c>
      <c r="C1804" s="47" t="s">
        <v>4950</v>
      </c>
      <c r="D1804" s="47" t="s">
        <v>3074</v>
      </c>
      <c r="E1804" s="47" t="s">
        <v>2590</v>
      </c>
      <c r="F1804" s="55" t="b">
        <v>1</v>
      </c>
      <c r="G1804" s="54" t="b">
        <v>1</v>
      </c>
      <c r="H1804" s="54" t="b">
        <v>1</v>
      </c>
      <c r="I1804" s="65" t="b">
        <v>0</v>
      </c>
      <c r="J1804" s="54" t="b">
        <v>1</v>
      </c>
      <c r="K1804" s="63" t="s">
        <v>734</v>
      </c>
      <c r="L1804" s="63" t="s">
        <v>4950</v>
      </c>
      <c r="M1804" s="63" t="s">
        <v>4951</v>
      </c>
      <c r="N1804" s="63" t="s">
        <v>2590</v>
      </c>
    </row>
    <row r="1805" spans="1:14" x14ac:dyDescent="0.2">
      <c r="A1805" s="51">
        <v>1804</v>
      </c>
      <c r="G1805" s="65" t="b">
        <v>0</v>
      </c>
      <c r="H1805" s="65" t="b">
        <v>0</v>
      </c>
      <c r="I1805" s="65" t="b">
        <v>0</v>
      </c>
      <c r="J1805" s="65" t="b">
        <v>0</v>
      </c>
      <c r="K1805" s="63" t="s">
        <v>734</v>
      </c>
      <c r="L1805" s="63" t="s">
        <v>4950</v>
      </c>
      <c r="M1805" s="63" t="s">
        <v>3074</v>
      </c>
      <c r="N1805" s="63" t="s">
        <v>2590</v>
      </c>
    </row>
    <row r="1806" spans="1:14" x14ac:dyDescent="0.2">
      <c r="A1806" s="51">
        <v>1805</v>
      </c>
      <c r="B1806" s="54" t="s">
        <v>734</v>
      </c>
      <c r="C1806" s="47" t="s">
        <v>4952</v>
      </c>
      <c r="D1806" s="47" t="s">
        <v>4954</v>
      </c>
      <c r="E1806" s="47" t="s">
        <v>2590</v>
      </c>
      <c r="F1806" s="55" t="b">
        <v>1</v>
      </c>
      <c r="G1806" s="54" t="b">
        <v>1</v>
      </c>
      <c r="H1806" s="54" t="b">
        <v>1</v>
      </c>
      <c r="I1806" s="65" t="b">
        <v>0</v>
      </c>
      <c r="J1806" s="54" t="b">
        <v>1</v>
      </c>
      <c r="K1806" s="63" t="s">
        <v>734</v>
      </c>
      <c r="L1806" s="63" t="s">
        <v>4952</v>
      </c>
      <c r="M1806" s="63" t="s">
        <v>4953</v>
      </c>
      <c r="N1806" s="63" t="s">
        <v>2590</v>
      </c>
    </row>
    <row r="1807" spans="1:14" x14ac:dyDescent="0.2">
      <c r="A1807" s="51">
        <v>1806</v>
      </c>
      <c r="G1807" s="65" t="b">
        <v>0</v>
      </c>
      <c r="H1807" s="65" t="b">
        <v>0</v>
      </c>
      <c r="I1807" s="65" t="b">
        <v>0</v>
      </c>
      <c r="J1807" s="65" t="b">
        <v>0</v>
      </c>
      <c r="K1807" s="63" t="s">
        <v>734</v>
      </c>
      <c r="L1807" s="63" t="s">
        <v>4952</v>
      </c>
      <c r="M1807" s="63" t="s">
        <v>4954</v>
      </c>
      <c r="N1807" s="63" t="s">
        <v>2590</v>
      </c>
    </row>
    <row r="1808" spans="1:14" x14ac:dyDescent="0.2">
      <c r="A1808" s="51">
        <v>1807</v>
      </c>
      <c r="B1808" s="54" t="s">
        <v>738</v>
      </c>
      <c r="C1808" s="47" t="s">
        <v>4955</v>
      </c>
      <c r="D1808" s="47" t="s">
        <v>4956</v>
      </c>
      <c r="E1808" s="47" t="s">
        <v>2590</v>
      </c>
      <c r="F1808" s="55" t="b">
        <v>1</v>
      </c>
      <c r="G1808" s="54" t="b">
        <v>1</v>
      </c>
      <c r="H1808" s="54" t="b">
        <v>1</v>
      </c>
      <c r="I1808" s="54" t="b">
        <v>1</v>
      </c>
      <c r="J1808" s="54" t="b">
        <v>1</v>
      </c>
      <c r="K1808" s="63" t="s">
        <v>738</v>
      </c>
      <c r="L1808" s="63" t="s">
        <v>4955</v>
      </c>
      <c r="M1808" s="63" t="s">
        <v>4956</v>
      </c>
      <c r="N1808" s="63" t="s">
        <v>2590</v>
      </c>
    </row>
    <row r="1809" spans="1:14" x14ac:dyDescent="0.2">
      <c r="A1809" s="51">
        <v>1808</v>
      </c>
      <c r="B1809" s="54" t="s">
        <v>738</v>
      </c>
      <c r="C1809" s="47" t="s">
        <v>4957</v>
      </c>
      <c r="D1809" s="47" t="s">
        <v>4958</v>
      </c>
      <c r="E1809" s="47" t="s">
        <v>2590</v>
      </c>
      <c r="F1809" s="55" t="b">
        <v>1</v>
      </c>
      <c r="G1809" s="54" t="b">
        <v>1</v>
      </c>
      <c r="H1809" s="54" t="b">
        <v>1</v>
      </c>
      <c r="I1809" s="54" t="b">
        <v>1</v>
      </c>
      <c r="J1809" s="54" t="b">
        <v>1</v>
      </c>
      <c r="K1809" s="63" t="s">
        <v>738</v>
      </c>
      <c r="L1809" s="63" t="s">
        <v>4957</v>
      </c>
      <c r="M1809" s="63" t="s">
        <v>4958</v>
      </c>
      <c r="N1809" s="63" t="s">
        <v>2590</v>
      </c>
    </row>
    <row r="1810" spans="1:14" x14ac:dyDescent="0.2">
      <c r="A1810" s="51">
        <v>1809</v>
      </c>
      <c r="B1810" s="54" t="s">
        <v>738</v>
      </c>
      <c r="C1810" s="47" t="s">
        <v>4959</v>
      </c>
      <c r="D1810" s="47" t="s">
        <v>4960</v>
      </c>
      <c r="E1810" s="47" t="s">
        <v>2590</v>
      </c>
      <c r="F1810" s="55" t="b">
        <v>1</v>
      </c>
      <c r="G1810" s="54" t="b">
        <v>1</v>
      </c>
      <c r="H1810" s="54" t="b">
        <v>1</v>
      </c>
      <c r="I1810" s="54" t="b">
        <v>1</v>
      </c>
      <c r="J1810" s="54" t="b">
        <v>1</v>
      </c>
      <c r="K1810" s="63" t="s">
        <v>738</v>
      </c>
      <c r="L1810" s="63" t="s">
        <v>4959</v>
      </c>
      <c r="M1810" s="63" t="s">
        <v>4960</v>
      </c>
      <c r="N1810" s="63" t="s">
        <v>2590</v>
      </c>
    </row>
    <row r="1811" spans="1:14" x14ac:dyDescent="0.2">
      <c r="A1811" s="51">
        <v>1810</v>
      </c>
      <c r="B1811" s="54" t="s">
        <v>738</v>
      </c>
      <c r="C1811" s="47" t="s">
        <v>4961</v>
      </c>
      <c r="D1811" s="47" t="s">
        <v>4962</v>
      </c>
      <c r="E1811" s="47" t="s">
        <v>2590</v>
      </c>
      <c r="F1811" s="55" t="b">
        <v>1</v>
      </c>
      <c r="G1811" s="54" t="b">
        <v>1</v>
      </c>
      <c r="H1811" s="54" t="b">
        <v>1</v>
      </c>
      <c r="I1811" s="54" t="b">
        <v>1</v>
      </c>
      <c r="J1811" s="54" t="b">
        <v>1</v>
      </c>
      <c r="K1811" s="63" t="s">
        <v>738</v>
      </c>
      <c r="L1811" s="63" t="s">
        <v>4961</v>
      </c>
      <c r="M1811" s="63" t="s">
        <v>4962</v>
      </c>
      <c r="N1811" s="63" t="s">
        <v>2590</v>
      </c>
    </row>
    <row r="1812" spans="1:14" x14ac:dyDescent="0.2">
      <c r="A1812" s="51">
        <v>1811</v>
      </c>
      <c r="B1812" s="54" t="s">
        <v>738</v>
      </c>
      <c r="C1812" s="47" t="s">
        <v>4963</v>
      </c>
      <c r="D1812" s="47" t="s">
        <v>4964</v>
      </c>
      <c r="E1812" s="47" t="s">
        <v>2590</v>
      </c>
      <c r="F1812" s="55" t="b">
        <v>1</v>
      </c>
      <c r="G1812" s="54" t="b">
        <v>1</v>
      </c>
      <c r="H1812" s="54" t="b">
        <v>1</v>
      </c>
      <c r="I1812" s="54" t="b">
        <v>1</v>
      </c>
      <c r="J1812" s="54" t="b">
        <v>1</v>
      </c>
      <c r="K1812" s="63" t="s">
        <v>738</v>
      </c>
      <c r="L1812" s="63" t="s">
        <v>4963</v>
      </c>
      <c r="M1812" s="63" t="s">
        <v>4964</v>
      </c>
      <c r="N1812" s="63" t="s">
        <v>2590</v>
      </c>
    </row>
    <row r="1813" spans="1:14" x14ac:dyDescent="0.2">
      <c r="A1813" s="51">
        <v>1812</v>
      </c>
      <c r="B1813" s="54" t="s">
        <v>738</v>
      </c>
      <c r="C1813" s="47" t="s">
        <v>4965</v>
      </c>
      <c r="D1813" s="47" t="s">
        <v>4966</v>
      </c>
      <c r="E1813" s="47" t="s">
        <v>2590</v>
      </c>
      <c r="F1813" s="55" t="b">
        <v>1</v>
      </c>
      <c r="G1813" s="54" t="b">
        <v>1</v>
      </c>
      <c r="H1813" s="54" t="b">
        <v>1</v>
      </c>
      <c r="I1813" s="54" t="b">
        <v>1</v>
      </c>
      <c r="J1813" s="54" t="b">
        <v>1</v>
      </c>
      <c r="K1813" s="63" t="s">
        <v>738</v>
      </c>
      <c r="L1813" s="63" t="s">
        <v>4965</v>
      </c>
      <c r="M1813" s="63" t="s">
        <v>4966</v>
      </c>
      <c r="N1813" s="63" t="s">
        <v>2590</v>
      </c>
    </row>
    <row r="1814" spans="1:14" x14ac:dyDescent="0.2">
      <c r="A1814" s="51">
        <v>1813</v>
      </c>
      <c r="B1814" s="54" t="s">
        <v>738</v>
      </c>
      <c r="C1814" s="47" t="s">
        <v>4967</v>
      </c>
      <c r="D1814" s="47" t="s">
        <v>4968</v>
      </c>
      <c r="E1814" s="47" t="s">
        <v>2590</v>
      </c>
      <c r="F1814" s="55" t="b">
        <v>1</v>
      </c>
      <c r="G1814" s="54" t="b">
        <v>1</v>
      </c>
      <c r="H1814" s="54" t="b">
        <v>1</v>
      </c>
      <c r="I1814" s="54" t="b">
        <v>1</v>
      </c>
      <c r="J1814" s="54" t="b">
        <v>1</v>
      </c>
      <c r="K1814" s="63" t="s">
        <v>738</v>
      </c>
      <c r="L1814" s="63" t="s">
        <v>4967</v>
      </c>
      <c r="M1814" s="63" t="s">
        <v>4968</v>
      </c>
      <c r="N1814" s="63" t="s">
        <v>2590</v>
      </c>
    </row>
    <row r="1815" spans="1:14" x14ac:dyDescent="0.2">
      <c r="A1815" s="51">
        <v>1814</v>
      </c>
      <c r="B1815" s="54" t="s">
        <v>738</v>
      </c>
      <c r="C1815" s="47" t="s">
        <v>4969</v>
      </c>
      <c r="D1815" s="47" t="s">
        <v>4970</v>
      </c>
      <c r="E1815" s="47" t="s">
        <v>2590</v>
      </c>
      <c r="F1815" s="55" t="b">
        <v>1</v>
      </c>
      <c r="G1815" s="54" t="b">
        <v>1</v>
      </c>
      <c r="H1815" s="54" t="b">
        <v>1</v>
      </c>
      <c r="I1815" s="54" t="b">
        <v>1</v>
      </c>
      <c r="J1815" s="54" t="b">
        <v>1</v>
      </c>
      <c r="K1815" s="63" t="s">
        <v>738</v>
      </c>
      <c r="L1815" s="63" t="s">
        <v>4969</v>
      </c>
      <c r="M1815" s="63" t="s">
        <v>4970</v>
      </c>
      <c r="N1815" s="63" t="s">
        <v>2590</v>
      </c>
    </row>
    <row r="1816" spans="1:14" x14ac:dyDescent="0.2">
      <c r="A1816" s="51">
        <v>1815</v>
      </c>
      <c r="B1816" s="54" t="s">
        <v>738</v>
      </c>
      <c r="C1816" s="47" t="s">
        <v>4971</v>
      </c>
      <c r="D1816" s="47" t="s">
        <v>4972</v>
      </c>
      <c r="E1816" s="47" t="s">
        <v>2590</v>
      </c>
      <c r="F1816" s="55" t="b">
        <v>1</v>
      </c>
      <c r="G1816" s="54" t="b">
        <v>1</v>
      </c>
      <c r="H1816" s="54" t="b">
        <v>1</v>
      </c>
      <c r="I1816" s="54" t="b">
        <v>1</v>
      </c>
      <c r="J1816" s="54" t="b">
        <v>1</v>
      </c>
      <c r="K1816" s="63" t="s">
        <v>738</v>
      </c>
      <c r="L1816" s="63" t="s">
        <v>4971</v>
      </c>
      <c r="M1816" s="63" t="s">
        <v>4972</v>
      </c>
      <c r="N1816" s="63" t="s">
        <v>2590</v>
      </c>
    </row>
    <row r="1817" spans="1:14" x14ac:dyDescent="0.2">
      <c r="A1817" s="51">
        <v>1816</v>
      </c>
      <c r="B1817" s="54" t="s">
        <v>738</v>
      </c>
      <c r="C1817" s="47" t="s">
        <v>4975</v>
      </c>
      <c r="D1817" s="47" t="s">
        <v>4976</v>
      </c>
      <c r="E1817" s="47" t="s">
        <v>2590</v>
      </c>
      <c r="F1817" s="55" t="b">
        <v>1</v>
      </c>
      <c r="G1817" s="54" t="b">
        <v>1</v>
      </c>
      <c r="H1817" s="54" t="b">
        <v>1</v>
      </c>
      <c r="I1817" s="54" t="b">
        <v>1</v>
      </c>
      <c r="J1817" s="54" t="b">
        <v>1</v>
      </c>
      <c r="K1817" s="63" t="s">
        <v>738</v>
      </c>
      <c r="L1817" s="63" t="s">
        <v>4975</v>
      </c>
      <c r="M1817" s="63" t="s">
        <v>4976</v>
      </c>
      <c r="N1817" s="63" t="s">
        <v>2590</v>
      </c>
    </row>
    <row r="1818" spans="1:14" x14ac:dyDescent="0.2">
      <c r="A1818" s="51">
        <v>1817</v>
      </c>
      <c r="B1818" s="54" t="s">
        <v>738</v>
      </c>
      <c r="C1818" s="47" t="s">
        <v>4973</v>
      </c>
      <c r="D1818" s="47" t="s">
        <v>4974</v>
      </c>
      <c r="E1818" s="47" t="s">
        <v>2590</v>
      </c>
      <c r="F1818" s="55" t="b">
        <v>1</v>
      </c>
      <c r="G1818" s="54" t="b">
        <v>1</v>
      </c>
      <c r="H1818" s="54" t="b">
        <v>1</v>
      </c>
      <c r="I1818" s="54" t="b">
        <v>1</v>
      </c>
      <c r="J1818" s="54" t="b">
        <v>1</v>
      </c>
      <c r="K1818" s="63" t="s">
        <v>738</v>
      </c>
      <c r="L1818" s="63" t="s">
        <v>4973</v>
      </c>
      <c r="M1818" s="63" t="s">
        <v>4974</v>
      </c>
      <c r="N1818" s="63" t="s">
        <v>2590</v>
      </c>
    </row>
    <row r="1819" spans="1:14" x14ac:dyDescent="0.2">
      <c r="A1819" s="51">
        <v>1818</v>
      </c>
      <c r="B1819" s="54" t="s">
        <v>738</v>
      </c>
      <c r="C1819" s="47" t="s">
        <v>4978</v>
      </c>
      <c r="D1819" s="47" t="s">
        <v>4979</v>
      </c>
      <c r="E1819" s="47" t="s">
        <v>2590</v>
      </c>
      <c r="F1819" s="55" t="b">
        <v>1</v>
      </c>
      <c r="G1819" s="54" t="b">
        <v>1</v>
      </c>
      <c r="H1819" s="54" t="b">
        <v>1</v>
      </c>
      <c r="I1819" s="54" t="b">
        <v>1</v>
      </c>
      <c r="J1819" s="54" t="b">
        <v>1</v>
      </c>
      <c r="K1819" s="63" t="s">
        <v>738</v>
      </c>
      <c r="L1819" s="63" t="s">
        <v>4978</v>
      </c>
      <c r="M1819" s="63" t="s">
        <v>4979</v>
      </c>
      <c r="N1819" s="63" t="s">
        <v>2590</v>
      </c>
    </row>
    <row r="1820" spans="1:14" x14ac:dyDescent="0.2">
      <c r="A1820" s="51">
        <v>1819</v>
      </c>
      <c r="B1820" s="54" t="s">
        <v>738</v>
      </c>
      <c r="C1820" s="47" t="s">
        <v>4977</v>
      </c>
      <c r="D1820" s="47" t="s">
        <v>2661</v>
      </c>
      <c r="E1820" s="47" t="s">
        <v>2590</v>
      </c>
      <c r="F1820" s="55" t="b">
        <v>1</v>
      </c>
      <c r="G1820" s="54" t="b">
        <v>1</v>
      </c>
      <c r="H1820" s="54" t="b">
        <v>1</v>
      </c>
      <c r="I1820" s="54" t="b">
        <v>1</v>
      </c>
      <c r="J1820" s="54" t="b">
        <v>1</v>
      </c>
      <c r="K1820" s="63" t="s">
        <v>738</v>
      </c>
      <c r="L1820" s="63" t="s">
        <v>4977</v>
      </c>
      <c r="M1820" s="63" t="s">
        <v>2661</v>
      </c>
      <c r="N1820" s="63" t="s">
        <v>2590</v>
      </c>
    </row>
    <row r="1821" spans="1:14" x14ac:dyDescent="0.2">
      <c r="A1821" s="51">
        <v>1820</v>
      </c>
      <c r="B1821" s="54" t="s">
        <v>738</v>
      </c>
      <c r="C1821" s="47" t="s">
        <v>4980</v>
      </c>
      <c r="D1821" s="47" t="s">
        <v>4981</v>
      </c>
      <c r="E1821" s="47" t="s">
        <v>2590</v>
      </c>
      <c r="F1821" s="55" t="b">
        <v>1</v>
      </c>
      <c r="G1821" s="54" t="b">
        <v>1</v>
      </c>
      <c r="H1821" s="54" t="b">
        <v>1</v>
      </c>
      <c r="I1821" s="54" t="b">
        <v>1</v>
      </c>
      <c r="J1821" s="54" t="b">
        <v>1</v>
      </c>
      <c r="K1821" s="63" t="s">
        <v>738</v>
      </c>
      <c r="L1821" s="63" t="s">
        <v>4980</v>
      </c>
      <c r="M1821" s="63" t="s">
        <v>4981</v>
      </c>
      <c r="N1821" s="63" t="s">
        <v>2590</v>
      </c>
    </row>
    <row r="1822" spans="1:14" x14ac:dyDescent="0.2">
      <c r="A1822" s="51">
        <v>1821</v>
      </c>
      <c r="B1822" s="54" t="s">
        <v>738</v>
      </c>
      <c r="C1822" s="47" t="s">
        <v>4982</v>
      </c>
      <c r="D1822" s="47" t="s">
        <v>4983</v>
      </c>
      <c r="E1822" s="47" t="s">
        <v>2590</v>
      </c>
      <c r="F1822" s="55" t="b">
        <v>1</v>
      </c>
      <c r="G1822" s="54" t="b">
        <v>1</v>
      </c>
      <c r="H1822" s="54" t="b">
        <v>1</v>
      </c>
      <c r="I1822" s="54" t="b">
        <v>1</v>
      </c>
      <c r="J1822" s="54" t="b">
        <v>1</v>
      </c>
      <c r="K1822" s="63" t="s">
        <v>738</v>
      </c>
      <c r="L1822" s="63" t="s">
        <v>4982</v>
      </c>
      <c r="M1822" s="63" t="s">
        <v>4983</v>
      </c>
      <c r="N1822" s="63" t="s">
        <v>2590</v>
      </c>
    </row>
    <row r="1823" spans="1:14" x14ac:dyDescent="0.2">
      <c r="A1823" s="51">
        <v>1822</v>
      </c>
      <c r="B1823" s="54" t="s">
        <v>738</v>
      </c>
      <c r="C1823" s="47" t="s">
        <v>4984</v>
      </c>
      <c r="D1823" s="47" t="s">
        <v>4985</v>
      </c>
      <c r="E1823" s="47" t="s">
        <v>2590</v>
      </c>
      <c r="F1823" s="55" t="b">
        <v>1</v>
      </c>
      <c r="G1823" s="54" t="b">
        <v>1</v>
      </c>
      <c r="H1823" s="54" t="b">
        <v>1</v>
      </c>
      <c r="I1823" s="54" t="b">
        <v>1</v>
      </c>
      <c r="J1823" s="54" t="b">
        <v>1</v>
      </c>
      <c r="K1823" s="63" t="s">
        <v>738</v>
      </c>
      <c r="L1823" s="63" t="s">
        <v>4984</v>
      </c>
      <c r="M1823" s="63" t="s">
        <v>4985</v>
      </c>
      <c r="N1823" s="63" t="s">
        <v>2590</v>
      </c>
    </row>
    <row r="1824" spans="1:14" x14ac:dyDescent="0.2">
      <c r="A1824" s="51">
        <v>1823</v>
      </c>
      <c r="B1824" s="54" t="s">
        <v>738</v>
      </c>
      <c r="C1824" s="47" t="s">
        <v>4986</v>
      </c>
      <c r="D1824" s="47" t="s">
        <v>4987</v>
      </c>
      <c r="E1824" s="47" t="s">
        <v>2590</v>
      </c>
      <c r="F1824" s="55" t="b">
        <v>1</v>
      </c>
      <c r="G1824" s="54" t="b">
        <v>1</v>
      </c>
      <c r="H1824" s="54" t="b">
        <v>1</v>
      </c>
      <c r="I1824" s="54" t="b">
        <v>1</v>
      </c>
      <c r="J1824" s="54" t="b">
        <v>1</v>
      </c>
      <c r="K1824" s="63" t="s">
        <v>738</v>
      </c>
      <c r="L1824" s="63" t="s">
        <v>4986</v>
      </c>
      <c r="M1824" s="63" t="s">
        <v>4987</v>
      </c>
      <c r="N1824" s="63" t="s">
        <v>2590</v>
      </c>
    </row>
    <row r="1825" spans="1:14" x14ac:dyDescent="0.2">
      <c r="A1825" s="51">
        <v>1824</v>
      </c>
      <c r="B1825" s="54" t="s">
        <v>738</v>
      </c>
      <c r="C1825" s="47" t="s">
        <v>4988</v>
      </c>
      <c r="D1825" s="47" t="s">
        <v>4989</v>
      </c>
      <c r="E1825" s="47" t="s">
        <v>2590</v>
      </c>
      <c r="F1825" s="55" t="b">
        <v>1</v>
      </c>
      <c r="G1825" s="54" t="b">
        <v>1</v>
      </c>
      <c r="H1825" s="54" t="b">
        <v>1</v>
      </c>
      <c r="I1825" s="54" t="b">
        <v>1</v>
      </c>
      <c r="J1825" s="54" t="b">
        <v>1</v>
      </c>
      <c r="K1825" s="63" t="s">
        <v>738</v>
      </c>
      <c r="L1825" s="63" t="s">
        <v>4988</v>
      </c>
      <c r="M1825" s="63" t="s">
        <v>4989</v>
      </c>
      <c r="N1825" s="63" t="s">
        <v>2590</v>
      </c>
    </row>
    <row r="1826" spans="1:14" x14ac:dyDescent="0.2">
      <c r="A1826" s="51">
        <v>1825</v>
      </c>
      <c r="B1826" s="54" t="s">
        <v>745</v>
      </c>
      <c r="C1826" s="47" t="s">
        <v>4990</v>
      </c>
      <c r="D1826" s="47" t="s">
        <v>4991</v>
      </c>
      <c r="E1826" s="47" t="s">
        <v>1788</v>
      </c>
      <c r="F1826" s="55" t="b">
        <v>1</v>
      </c>
      <c r="G1826" s="54" t="b">
        <v>1</v>
      </c>
      <c r="H1826" s="54" t="b">
        <v>1</v>
      </c>
      <c r="I1826" s="54" t="b">
        <v>1</v>
      </c>
      <c r="J1826" s="54" t="b">
        <v>1</v>
      </c>
      <c r="K1826" s="63" t="s">
        <v>745</v>
      </c>
      <c r="L1826" s="63" t="s">
        <v>4990</v>
      </c>
      <c r="M1826" s="63" t="s">
        <v>4991</v>
      </c>
      <c r="N1826" s="63" t="s">
        <v>1788</v>
      </c>
    </row>
    <row r="1827" spans="1:14" x14ac:dyDescent="0.2">
      <c r="A1827" s="51">
        <v>1826</v>
      </c>
      <c r="B1827" s="54" t="s">
        <v>745</v>
      </c>
      <c r="C1827" s="47" t="s">
        <v>5001</v>
      </c>
      <c r="D1827" s="47" t="s">
        <v>5002</v>
      </c>
      <c r="E1827" s="47" t="s">
        <v>12462</v>
      </c>
      <c r="F1827" s="55" t="b">
        <v>1</v>
      </c>
      <c r="G1827" s="54" t="b">
        <v>1</v>
      </c>
      <c r="H1827" s="54" t="b">
        <v>1</v>
      </c>
      <c r="I1827" s="54" t="b">
        <v>1</v>
      </c>
      <c r="J1827" s="65" t="b">
        <v>0</v>
      </c>
      <c r="K1827" s="63" t="s">
        <v>745</v>
      </c>
      <c r="L1827" s="63" t="s">
        <v>5001</v>
      </c>
      <c r="M1827" s="63" t="s">
        <v>5002</v>
      </c>
      <c r="N1827" s="63" t="s">
        <v>5003</v>
      </c>
    </row>
    <row r="1828" spans="1:14" x14ac:dyDescent="0.2">
      <c r="A1828" s="51">
        <v>1827</v>
      </c>
      <c r="B1828" s="54" t="s">
        <v>745</v>
      </c>
      <c r="C1828" s="47" t="s">
        <v>4999</v>
      </c>
      <c r="D1828" s="47" t="s">
        <v>5000</v>
      </c>
      <c r="E1828" s="47" t="s">
        <v>1788</v>
      </c>
      <c r="F1828" s="55" t="b">
        <v>1</v>
      </c>
      <c r="G1828" s="54" t="b">
        <v>1</v>
      </c>
      <c r="H1828" s="54" t="b">
        <v>1</v>
      </c>
      <c r="I1828" s="54" t="b">
        <v>1</v>
      </c>
      <c r="J1828" s="54" t="b">
        <v>1</v>
      </c>
      <c r="K1828" s="63" t="s">
        <v>745</v>
      </c>
      <c r="L1828" s="63" t="s">
        <v>4999</v>
      </c>
      <c r="M1828" s="63" t="s">
        <v>5000</v>
      </c>
      <c r="N1828" s="63" t="s">
        <v>1788</v>
      </c>
    </row>
    <row r="1829" spans="1:14" x14ac:dyDescent="0.2">
      <c r="A1829" s="51">
        <v>1828</v>
      </c>
      <c r="B1829" s="54" t="s">
        <v>745</v>
      </c>
      <c r="C1829" s="47" t="s">
        <v>4997</v>
      </c>
      <c r="D1829" s="47" t="s">
        <v>4998</v>
      </c>
      <c r="E1829" s="47" t="s">
        <v>1788</v>
      </c>
      <c r="F1829" s="55" t="b">
        <v>1</v>
      </c>
      <c r="G1829" s="54" t="b">
        <v>1</v>
      </c>
      <c r="H1829" s="54" t="b">
        <v>1</v>
      </c>
      <c r="I1829" s="54" t="b">
        <v>1</v>
      </c>
      <c r="J1829" s="54" t="b">
        <v>1</v>
      </c>
      <c r="K1829" s="63" t="s">
        <v>745</v>
      </c>
      <c r="L1829" s="63" t="s">
        <v>4997</v>
      </c>
      <c r="M1829" s="63" t="s">
        <v>4998</v>
      </c>
      <c r="N1829" s="63" t="s">
        <v>1788</v>
      </c>
    </row>
    <row r="1830" spans="1:14" x14ac:dyDescent="0.2">
      <c r="A1830" s="51">
        <v>1829</v>
      </c>
      <c r="B1830" s="54" t="s">
        <v>745</v>
      </c>
      <c r="C1830" s="47" t="s">
        <v>4994</v>
      </c>
      <c r="D1830" s="47" t="s">
        <v>4995</v>
      </c>
      <c r="E1830" s="47" t="s">
        <v>4996</v>
      </c>
      <c r="F1830" s="55" t="b">
        <v>1</v>
      </c>
      <c r="G1830" s="54" t="b">
        <v>1</v>
      </c>
      <c r="H1830" s="54" t="b">
        <v>1</v>
      </c>
      <c r="I1830" s="54" t="b">
        <v>1</v>
      </c>
      <c r="J1830" s="54" t="b">
        <v>1</v>
      </c>
      <c r="K1830" s="63" t="s">
        <v>745</v>
      </c>
      <c r="L1830" s="63" t="s">
        <v>4994</v>
      </c>
      <c r="M1830" s="63" t="s">
        <v>4995</v>
      </c>
      <c r="N1830" s="63" t="s">
        <v>4996</v>
      </c>
    </row>
    <row r="1831" spans="1:14" x14ac:dyDescent="0.2">
      <c r="A1831" s="51">
        <v>1830</v>
      </c>
      <c r="B1831" s="54" t="s">
        <v>745</v>
      </c>
      <c r="C1831" s="47" t="s">
        <v>4992</v>
      </c>
      <c r="D1831" s="47" t="s">
        <v>4993</v>
      </c>
      <c r="E1831" s="47" t="s">
        <v>1788</v>
      </c>
      <c r="F1831" s="55" t="b">
        <v>1</v>
      </c>
      <c r="G1831" s="54" t="b">
        <v>1</v>
      </c>
      <c r="H1831" s="54" t="b">
        <v>1</v>
      </c>
      <c r="I1831" s="54" t="b">
        <v>1</v>
      </c>
      <c r="J1831" s="54" t="b">
        <v>1</v>
      </c>
      <c r="K1831" s="63" t="s">
        <v>745</v>
      </c>
      <c r="L1831" s="63" t="s">
        <v>4992</v>
      </c>
      <c r="M1831" s="63" t="s">
        <v>4993</v>
      </c>
      <c r="N1831" s="63" t="s">
        <v>1788</v>
      </c>
    </row>
    <row r="1832" spans="1:14" x14ac:dyDescent="0.2">
      <c r="A1832" s="51">
        <v>1831</v>
      </c>
      <c r="B1832" s="54" t="s">
        <v>745</v>
      </c>
      <c r="C1832" s="47" t="s">
        <v>5004</v>
      </c>
      <c r="D1832" s="47" t="s">
        <v>5005</v>
      </c>
      <c r="E1832" s="47" t="s">
        <v>1788</v>
      </c>
      <c r="F1832" s="55" t="b">
        <v>1</v>
      </c>
      <c r="G1832" s="54" t="b">
        <v>1</v>
      </c>
      <c r="H1832" s="54" t="b">
        <v>1</v>
      </c>
      <c r="I1832" s="54" t="b">
        <v>1</v>
      </c>
      <c r="J1832" s="54" t="b">
        <v>1</v>
      </c>
      <c r="K1832" s="63" t="s">
        <v>745</v>
      </c>
      <c r="L1832" s="63" t="s">
        <v>5004</v>
      </c>
      <c r="M1832" s="63" t="s">
        <v>5005</v>
      </c>
      <c r="N1832" s="63" t="s">
        <v>1788</v>
      </c>
    </row>
    <row r="1833" spans="1:14" x14ac:dyDescent="0.2">
      <c r="A1833" s="51">
        <v>1832</v>
      </c>
      <c r="B1833" s="54" t="s">
        <v>745</v>
      </c>
      <c r="C1833" s="47" t="s">
        <v>5006</v>
      </c>
      <c r="D1833" s="47" t="s">
        <v>5007</v>
      </c>
      <c r="E1833" s="47" t="s">
        <v>12462</v>
      </c>
      <c r="F1833" s="55" t="b">
        <v>1</v>
      </c>
      <c r="G1833" s="54" t="b">
        <v>1</v>
      </c>
      <c r="H1833" s="54" t="b">
        <v>1</v>
      </c>
      <c r="I1833" s="54" t="b">
        <v>1</v>
      </c>
      <c r="J1833" s="65" t="b">
        <v>0</v>
      </c>
      <c r="K1833" s="63" t="s">
        <v>745</v>
      </c>
      <c r="L1833" s="63" t="s">
        <v>5006</v>
      </c>
      <c r="M1833" s="63" t="s">
        <v>5007</v>
      </c>
      <c r="N1833" s="63" t="s">
        <v>5003</v>
      </c>
    </row>
    <row r="1834" spans="1:14" x14ac:dyDescent="0.2">
      <c r="A1834" s="51">
        <v>1833</v>
      </c>
      <c r="B1834" s="54" t="s">
        <v>745</v>
      </c>
      <c r="C1834" s="47" t="s">
        <v>5008</v>
      </c>
      <c r="D1834" s="47" t="s">
        <v>5009</v>
      </c>
      <c r="E1834" s="47" t="s">
        <v>12462</v>
      </c>
      <c r="F1834" s="55" t="b">
        <v>1</v>
      </c>
      <c r="G1834" s="54" t="b">
        <v>1</v>
      </c>
      <c r="H1834" s="54" t="b">
        <v>1</v>
      </c>
      <c r="I1834" s="54" t="b">
        <v>1</v>
      </c>
      <c r="J1834" s="65" t="b">
        <v>0</v>
      </c>
      <c r="K1834" s="63" t="s">
        <v>745</v>
      </c>
      <c r="L1834" s="63" t="s">
        <v>5008</v>
      </c>
      <c r="M1834" s="63" t="s">
        <v>5009</v>
      </c>
      <c r="N1834" s="63" t="s">
        <v>5003</v>
      </c>
    </row>
    <row r="1835" spans="1:14" x14ac:dyDescent="0.2">
      <c r="A1835" s="51">
        <v>1834</v>
      </c>
      <c r="B1835" s="54" t="s">
        <v>745</v>
      </c>
      <c r="C1835" s="47" t="s">
        <v>5010</v>
      </c>
      <c r="D1835" s="47" t="s">
        <v>5011</v>
      </c>
      <c r="E1835" s="47" t="s">
        <v>12462</v>
      </c>
      <c r="F1835" s="55" t="b">
        <v>1</v>
      </c>
      <c r="G1835" s="54" t="b">
        <v>1</v>
      </c>
      <c r="H1835" s="54" t="b">
        <v>1</v>
      </c>
      <c r="I1835" s="54" t="b">
        <v>1</v>
      </c>
      <c r="J1835" s="65" t="b">
        <v>0</v>
      </c>
      <c r="K1835" s="63" t="s">
        <v>745</v>
      </c>
      <c r="L1835" s="63" t="s">
        <v>5010</v>
      </c>
      <c r="M1835" s="63" t="s">
        <v>5011</v>
      </c>
      <c r="N1835" s="63" t="s">
        <v>5003</v>
      </c>
    </row>
    <row r="1836" spans="1:14" x14ac:dyDescent="0.2">
      <c r="A1836" s="51">
        <v>1835</v>
      </c>
      <c r="B1836" s="54" t="s">
        <v>745</v>
      </c>
      <c r="C1836" s="47" t="s">
        <v>5075</v>
      </c>
      <c r="D1836" s="47" t="s">
        <v>5076</v>
      </c>
      <c r="E1836" s="47" t="s">
        <v>12462</v>
      </c>
      <c r="F1836" s="55" t="b">
        <v>1</v>
      </c>
      <c r="G1836" s="54" t="b">
        <v>1</v>
      </c>
      <c r="H1836" s="54" t="b">
        <v>1</v>
      </c>
      <c r="I1836" s="54" t="b">
        <v>1</v>
      </c>
      <c r="J1836" s="65" t="b">
        <v>0</v>
      </c>
      <c r="K1836" s="63" t="s">
        <v>745</v>
      </c>
      <c r="L1836" s="63" t="s">
        <v>5075</v>
      </c>
      <c r="M1836" s="63" t="s">
        <v>5076</v>
      </c>
      <c r="N1836" s="63" t="s">
        <v>5003</v>
      </c>
    </row>
    <row r="1837" spans="1:14" x14ac:dyDescent="0.2">
      <c r="A1837" s="51">
        <v>1836</v>
      </c>
      <c r="B1837" s="54" t="s">
        <v>745</v>
      </c>
      <c r="C1837" s="47" t="s">
        <v>5012</v>
      </c>
      <c r="D1837" s="47" t="s">
        <v>5013</v>
      </c>
      <c r="E1837" s="47" t="s">
        <v>1788</v>
      </c>
      <c r="F1837" s="55" t="b">
        <v>1</v>
      </c>
      <c r="G1837" s="54" t="b">
        <v>1</v>
      </c>
      <c r="H1837" s="54" t="b">
        <v>1</v>
      </c>
      <c r="I1837" s="54" t="b">
        <v>1</v>
      </c>
      <c r="J1837" s="54" t="b">
        <v>1</v>
      </c>
      <c r="K1837" s="63" t="s">
        <v>745</v>
      </c>
      <c r="L1837" s="63" t="s">
        <v>5012</v>
      </c>
      <c r="M1837" s="63" t="s">
        <v>5013</v>
      </c>
      <c r="N1837" s="63" t="s">
        <v>1788</v>
      </c>
    </row>
    <row r="1838" spans="1:14" x14ac:dyDescent="0.2">
      <c r="A1838" s="51">
        <v>1837</v>
      </c>
      <c r="B1838" s="54" t="s">
        <v>745</v>
      </c>
      <c r="C1838" s="47" t="s">
        <v>5016</v>
      </c>
      <c r="D1838" s="47" t="s">
        <v>5017</v>
      </c>
      <c r="E1838" s="47" t="s">
        <v>1788</v>
      </c>
      <c r="F1838" s="55" t="b">
        <v>1</v>
      </c>
      <c r="G1838" s="54" t="b">
        <v>1</v>
      </c>
      <c r="H1838" s="54" t="b">
        <v>1</v>
      </c>
      <c r="I1838" s="54" t="b">
        <v>1</v>
      </c>
      <c r="J1838" s="54" t="b">
        <v>1</v>
      </c>
      <c r="K1838" s="63" t="s">
        <v>745</v>
      </c>
      <c r="L1838" s="63" t="s">
        <v>5016</v>
      </c>
      <c r="M1838" s="63" t="s">
        <v>5017</v>
      </c>
      <c r="N1838" s="63" t="s">
        <v>1788</v>
      </c>
    </row>
    <row r="1839" spans="1:14" x14ac:dyDescent="0.2">
      <c r="A1839" s="51">
        <v>1838</v>
      </c>
      <c r="B1839" s="54" t="s">
        <v>745</v>
      </c>
      <c r="C1839" s="47" t="s">
        <v>5014</v>
      </c>
      <c r="D1839" s="47" t="s">
        <v>5015</v>
      </c>
      <c r="E1839" s="47" t="s">
        <v>12462</v>
      </c>
      <c r="F1839" s="55" t="b">
        <v>1</v>
      </c>
      <c r="G1839" s="54" t="b">
        <v>1</v>
      </c>
      <c r="H1839" s="54" t="b">
        <v>1</v>
      </c>
      <c r="I1839" s="54" t="b">
        <v>1</v>
      </c>
      <c r="J1839" s="65" t="b">
        <v>0</v>
      </c>
      <c r="K1839" s="63" t="s">
        <v>745</v>
      </c>
      <c r="L1839" s="63" t="s">
        <v>5014</v>
      </c>
      <c r="M1839" s="63" t="s">
        <v>5015</v>
      </c>
      <c r="N1839" s="63" t="s">
        <v>5003</v>
      </c>
    </row>
    <row r="1840" spans="1:14" x14ac:dyDescent="0.2">
      <c r="A1840" s="51">
        <v>1839</v>
      </c>
      <c r="B1840" s="54" t="s">
        <v>745</v>
      </c>
      <c r="C1840" s="47" t="s">
        <v>5018</v>
      </c>
      <c r="D1840" s="47" t="s">
        <v>5019</v>
      </c>
      <c r="E1840" s="47" t="s">
        <v>1788</v>
      </c>
      <c r="F1840" s="55" t="b">
        <v>1</v>
      </c>
      <c r="G1840" s="54" t="b">
        <v>1</v>
      </c>
      <c r="H1840" s="54" t="b">
        <v>1</v>
      </c>
      <c r="I1840" s="54" t="b">
        <v>1</v>
      </c>
      <c r="J1840" s="54" t="b">
        <v>1</v>
      </c>
      <c r="K1840" s="63" t="s">
        <v>745</v>
      </c>
      <c r="L1840" s="63" t="s">
        <v>5018</v>
      </c>
      <c r="M1840" s="63" t="s">
        <v>5019</v>
      </c>
      <c r="N1840" s="63" t="s">
        <v>1788</v>
      </c>
    </row>
    <row r="1841" spans="1:14" x14ac:dyDescent="0.2">
      <c r="A1841" s="51">
        <v>1840</v>
      </c>
      <c r="B1841" s="54" t="s">
        <v>745</v>
      </c>
      <c r="C1841" s="47" t="s">
        <v>5020</v>
      </c>
      <c r="D1841" s="47" t="s">
        <v>5021</v>
      </c>
      <c r="E1841" s="47" t="s">
        <v>1788</v>
      </c>
      <c r="F1841" s="55" t="b">
        <v>1</v>
      </c>
      <c r="G1841" s="54" t="b">
        <v>1</v>
      </c>
      <c r="H1841" s="54" t="b">
        <v>1</v>
      </c>
      <c r="I1841" s="54" t="b">
        <v>1</v>
      </c>
      <c r="J1841" s="54" t="b">
        <v>1</v>
      </c>
      <c r="K1841" s="63" t="s">
        <v>745</v>
      </c>
      <c r="L1841" s="63" t="s">
        <v>5020</v>
      </c>
      <c r="M1841" s="63" t="s">
        <v>5021</v>
      </c>
      <c r="N1841" s="63" t="s">
        <v>1788</v>
      </c>
    </row>
    <row r="1842" spans="1:14" x14ac:dyDescent="0.2">
      <c r="A1842" s="51">
        <v>1841</v>
      </c>
      <c r="B1842" s="54" t="s">
        <v>745</v>
      </c>
      <c r="C1842" s="47" t="s">
        <v>5022</v>
      </c>
      <c r="D1842" s="47" t="s">
        <v>5023</v>
      </c>
      <c r="E1842" s="47" t="s">
        <v>12462</v>
      </c>
      <c r="F1842" s="55" t="b">
        <v>1</v>
      </c>
      <c r="G1842" s="54" t="b">
        <v>1</v>
      </c>
      <c r="H1842" s="54" t="b">
        <v>1</v>
      </c>
      <c r="I1842" s="54" t="b">
        <v>1</v>
      </c>
      <c r="J1842" s="65" t="b">
        <v>0</v>
      </c>
      <c r="K1842" s="63" t="s">
        <v>745</v>
      </c>
      <c r="L1842" s="63" t="s">
        <v>5022</v>
      </c>
      <c r="M1842" s="63" t="s">
        <v>5023</v>
      </c>
      <c r="N1842" s="63" t="s">
        <v>5003</v>
      </c>
    </row>
    <row r="1843" spans="1:14" x14ac:dyDescent="0.2">
      <c r="A1843" s="51">
        <v>1842</v>
      </c>
      <c r="B1843" s="54" t="s">
        <v>745</v>
      </c>
      <c r="C1843" s="47" t="s">
        <v>5024</v>
      </c>
      <c r="D1843" s="47" t="s">
        <v>5025</v>
      </c>
      <c r="E1843" s="47" t="s">
        <v>1788</v>
      </c>
      <c r="F1843" s="55" t="b">
        <v>1</v>
      </c>
      <c r="G1843" s="54" t="b">
        <v>1</v>
      </c>
      <c r="H1843" s="54" t="b">
        <v>1</v>
      </c>
      <c r="I1843" s="54" t="b">
        <v>1</v>
      </c>
      <c r="J1843" s="54" t="b">
        <v>1</v>
      </c>
      <c r="K1843" s="63" t="s">
        <v>745</v>
      </c>
      <c r="L1843" s="63" t="s">
        <v>5024</v>
      </c>
      <c r="M1843" s="63" t="s">
        <v>5025</v>
      </c>
      <c r="N1843" s="63" t="s">
        <v>1788</v>
      </c>
    </row>
    <row r="1844" spans="1:14" x14ac:dyDescent="0.2">
      <c r="A1844" s="51">
        <v>1843</v>
      </c>
      <c r="B1844" s="54" t="s">
        <v>745</v>
      </c>
      <c r="C1844" s="47" t="s">
        <v>5030</v>
      </c>
      <c r="D1844" s="47" t="s">
        <v>5031</v>
      </c>
      <c r="E1844" s="47" t="s">
        <v>1788</v>
      </c>
      <c r="F1844" s="55" t="b">
        <v>1</v>
      </c>
      <c r="G1844" s="54" t="b">
        <v>1</v>
      </c>
      <c r="H1844" s="54" t="b">
        <v>1</v>
      </c>
      <c r="I1844" s="54" t="b">
        <v>1</v>
      </c>
      <c r="J1844" s="54" t="b">
        <v>1</v>
      </c>
      <c r="K1844" s="63" t="s">
        <v>745</v>
      </c>
      <c r="L1844" s="63" t="s">
        <v>5030</v>
      </c>
      <c r="M1844" s="63" t="s">
        <v>5031</v>
      </c>
      <c r="N1844" s="63" t="s">
        <v>1788</v>
      </c>
    </row>
    <row r="1845" spans="1:14" x14ac:dyDescent="0.2">
      <c r="A1845" s="51">
        <v>1844</v>
      </c>
      <c r="B1845" s="54" t="s">
        <v>745</v>
      </c>
      <c r="C1845" s="47" t="s">
        <v>5028</v>
      </c>
      <c r="D1845" s="47" t="s">
        <v>5029</v>
      </c>
      <c r="E1845" s="47" t="s">
        <v>12462</v>
      </c>
      <c r="F1845" s="55" t="b">
        <v>1</v>
      </c>
      <c r="G1845" s="54" t="b">
        <v>1</v>
      </c>
      <c r="H1845" s="54" t="b">
        <v>1</v>
      </c>
      <c r="I1845" s="54" t="b">
        <v>1</v>
      </c>
      <c r="J1845" s="65" t="b">
        <v>0</v>
      </c>
      <c r="K1845" s="63" t="s">
        <v>745</v>
      </c>
      <c r="L1845" s="63" t="s">
        <v>5028</v>
      </c>
      <c r="M1845" s="63" t="s">
        <v>5029</v>
      </c>
      <c r="N1845" s="63" t="s">
        <v>5003</v>
      </c>
    </row>
    <row r="1846" spans="1:14" x14ac:dyDescent="0.2">
      <c r="A1846" s="51">
        <v>1845</v>
      </c>
      <c r="B1846" s="54" t="s">
        <v>745</v>
      </c>
      <c r="C1846" s="47" t="s">
        <v>5026</v>
      </c>
      <c r="D1846" s="47" t="s">
        <v>5027</v>
      </c>
      <c r="E1846" s="47" t="s">
        <v>12462</v>
      </c>
      <c r="F1846" s="55" t="b">
        <v>1</v>
      </c>
      <c r="G1846" s="54" t="b">
        <v>1</v>
      </c>
      <c r="H1846" s="54" t="b">
        <v>1</v>
      </c>
      <c r="I1846" s="54" t="b">
        <v>1</v>
      </c>
      <c r="J1846" s="65" t="b">
        <v>0</v>
      </c>
      <c r="K1846" s="63" t="s">
        <v>745</v>
      </c>
      <c r="L1846" s="63" t="s">
        <v>5026</v>
      </c>
      <c r="M1846" s="63" t="s">
        <v>5027</v>
      </c>
      <c r="N1846" s="63" t="s">
        <v>5003</v>
      </c>
    </row>
    <row r="1847" spans="1:14" x14ac:dyDescent="0.2">
      <c r="A1847" s="51">
        <v>1846</v>
      </c>
      <c r="B1847" s="54" t="s">
        <v>745</v>
      </c>
      <c r="C1847" s="47" t="s">
        <v>5032</v>
      </c>
      <c r="D1847" s="47" t="s">
        <v>5033</v>
      </c>
      <c r="E1847" s="47" t="s">
        <v>12462</v>
      </c>
      <c r="F1847" s="55" t="b">
        <v>1</v>
      </c>
      <c r="G1847" s="54" t="b">
        <v>1</v>
      </c>
      <c r="H1847" s="54" t="b">
        <v>1</v>
      </c>
      <c r="I1847" s="54" t="b">
        <v>1</v>
      </c>
      <c r="J1847" s="65" t="b">
        <v>0</v>
      </c>
      <c r="K1847" s="63" t="s">
        <v>745</v>
      </c>
      <c r="L1847" s="63" t="s">
        <v>5032</v>
      </c>
      <c r="M1847" s="63" t="s">
        <v>5033</v>
      </c>
      <c r="N1847" s="63" t="s">
        <v>5003</v>
      </c>
    </row>
    <row r="1848" spans="1:14" x14ac:dyDescent="0.2">
      <c r="A1848" s="51">
        <v>1847</v>
      </c>
      <c r="B1848" s="54" t="s">
        <v>745</v>
      </c>
      <c r="C1848" s="47" t="s">
        <v>5034</v>
      </c>
      <c r="D1848" s="47" t="s">
        <v>5035</v>
      </c>
      <c r="E1848" s="47" t="s">
        <v>12462</v>
      </c>
      <c r="F1848" s="55" t="b">
        <v>1</v>
      </c>
      <c r="G1848" s="54" t="b">
        <v>1</v>
      </c>
      <c r="H1848" s="54" t="b">
        <v>1</v>
      </c>
      <c r="I1848" s="54" t="b">
        <v>1</v>
      </c>
      <c r="J1848" s="65" t="b">
        <v>0</v>
      </c>
      <c r="K1848" s="63" t="s">
        <v>745</v>
      </c>
      <c r="L1848" s="63" t="s">
        <v>5034</v>
      </c>
      <c r="M1848" s="63" t="s">
        <v>5035</v>
      </c>
      <c r="N1848" s="63" t="s">
        <v>5003</v>
      </c>
    </row>
    <row r="1849" spans="1:14" x14ac:dyDescent="0.2">
      <c r="A1849" s="51">
        <v>1848</v>
      </c>
      <c r="B1849" s="54" t="s">
        <v>745</v>
      </c>
      <c r="C1849" s="47" t="s">
        <v>5038</v>
      </c>
      <c r="D1849" s="47" t="s">
        <v>5039</v>
      </c>
      <c r="E1849" s="47" t="s">
        <v>1788</v>
      </c>
      <c r="F1849" s="55" t="b">
        <v>1</v>
      </c>
      <c r="G1849" s="54" t="b">
        <v>1</v>
      </c>
      <c r="H1849" s="54" t="b">
        <v>1</v>
      </c>
      <c r="I1849" s="54" t="b">
        <v>1</v>
      </c>
      <c r="J1849" s="54" t="b">
        <v>1</v>
      </c>
      <c r="K1849" s="63" t="s">
        <v>745</v>
      </c>
      <c r="L1849" s="63" t="s">
        <v>5038</v>
      </c>
      <c r="M1849" s="63" t="s">
        <v>5039</v>
      </c>
      <c r="N1849" s="63" t="s">
        <v>1788</v>
      </c>
    </row>
    <row r="1850" spans="1:14" x14ac:dyDescent="0.2">
      <c r="A1850" s="51">
        <v>1849</v>
      </c>
      <c r="B1850" s="54" t="s">
        <v>745</v>
      </c>
      <c r="C1850" s="47" t="s">
        <v>5036</v>
      </c>
      <c r="D1850" s="47" t="s">
        <v>5037</v>
      </c>
      <c r="E1850" s="47" t="s">
        <v>12462</v>
      </c>
      <c r="F1850" s="55" t="b">
        <v>1</v>
      </c>
      <c r="G1850" s="54" t="b">
        <v>1</v>
      </c>
      <c r="H1850" s="54" t="b">
        <v>1</v>
      </c>
      <c r="I1850" s="54" t="b">
        <v>1</v>
      </c>
      <c r="J1850" s="65" t="b">
        <v>0</v>
      </c>
      <c r="K1850" s="63" t="s">
        <v>745</v>
      </c>
      <c r="L1850" s="63" t="s">
        <v>5036</v>
      </c>
      <c r="M1850" s="63" t="s">
        <v>5037</v>
      </c>
      <c r="N1850" s="63" t="s">
        <v>5003</v>
      </c>
    </row>
    <row r="1851" spans="1:14" x14ac:dyDescent="0.2">
      <c r="A1851" s="51">
        <v>1850</v>
      </c>
      <c r="B1851" s="54" t="s">
        <v>745</v>
      </c>
      <c r="C1851" s="47" t="s">
        <v>5040</v>
      </c>
      <c r="D1851" s="47" t="s">
        <v>5041</v>
      </c>
      <c r="E1851" s="47" t="s">
        <v>1788</v>
      </c>
      <c r="F1851" s="55" t="b">
        <v>1</v>
      </c>
      <c r="G1851" s="54" t="b">
        <v>1</v>
      </c>
      <c r="H1851" s="54" t="b">
        <v>1</v>
      </c>
      <c r="I1851" s="54" t="b">
        <v>1</v>
      </c>
      <c r="J1851" s="54" t="b">
        <v>1</v>
      </c>
      <c r="K1851" s="63" t="s">
        <v>745</v>
      </c>
      <c r="L1851" s="63" t="s">
        <v>5040</v>
      </c>
      <c r="M1851" s="63" t="s">
        <v>5041</v>
      </c>
      <c r="N1851" s="63" t="s">
        <v>1788</v>
      </c>
    </row>
    <row r="1852" spans="1:14" x14ac:dyDescent="0.2">
      <c r="A1852" s="51">
        <v>1851</v>
      </c>
      <c r="B1852" s="54" t="s">
        <v>745</v>
      </c>
      <c r="C1852" s="47" t="s">
        <v>5042</v>
      </c>
      <c r="D1852" s="47" t="s">
        <v>5043</v>
      </c>
      <c r="E1852" s="47" t="s">
        <v>12462</v>
      </c>
      <c r="F1852" s="55" t="b">
        <v>1</v>
      </c>
      <c r="G1852" s="54" t="b">
        <v>1</v>
      </c>
      <c r="H1852" s="54" t="b">
        <v>1</v>
      </c>
      <c r="I1852" s="54" t="b">
        <v>1</v>
      </c>
      <c r="J1852" s="65" t="b">
        <v>0</v>
      </c>
      <c r="K1852" s="63" t="s">
        <v>745</v>
      </c>
      <c r="L1852" s="63" t="s">
        <v>5042</v>
      </c>
      <c r="M1852" s="63" t="s">
        <v>5043</v>
      </c>
      <c r="N1852" s="63" t="s">
        <v>5003</v>
      </c>
    </row>
    <row r="1853" spans="1:14" x14ac:dyDescent="0.2">
      <c r="A1853" s="51">
        <v>1852</v>
      </c>
      <c r="B1853" s="54" t="s">
        <v>745</v>
      </c>
      <c r="C1853" s="47" t="s">
        <v>5052</v>
      </c>
      <c r="D1853" s="47" t="s">
        <v>5053</v>
      </c>
      <c r="E1853" s="47" t="s">
        <v>12462</v>
      </c>
      <c r="F1853" s="55" t="b">
        <v>1</v>
      </c>
      <c r="G1853" s="54" t="b">
        <v>1</v>
      </c>
      <c r="H1853" s="54" t="b">
        <v>1</v>
      </c>
      <c r="I1853" s="54" t="b">
        <v>1</v>
      </c>
      <c r="J1853" s="65" t="b">
        <v>0</v>
      </c>
      <c r="K1853" s="63" t="s">
        <v>745</v>
      </c>
      <c r="L1853" s="63" t="s">
        <v>5052</v>
      </c>
      <c r="M1853" s="63" t="s">
        <v>5053</v>
      </c>
      <c r="N1853" s="63" t="s">
        <v>5003</v>
      </c>
    </row>
    <row r="1854" spans="1:14" x14ac:dyDescent="0.2">
      <c r="A1854" s="51">
        <v>1853</v>
      </c>
      <c r="B1854" s="54" t="s">
        <v>745</v>
      </c>
      <c r="C1854" s="47" t="s">
        <v>5060</v>
      </c>
      <c r="D1854" s="47" t="s">
        <v>5061</v>
      </c>
      <c r="E1854" s="47" t="s">
        <v>12462</v>
      </c>
      <c r="F1854" s="55" t="b">
        <v>1</v>
      </c>
      <c r="G1854" s="54" t="b">
        <v>1</v>
      </c>
      <c r="H1854" s="54" t="b">
        <v>1</v>
      </c>
      <c r="I1854" s="54" t="b">
        <v>1</v>
      </c>
      <c r="J1854" s="65" t="b">
        <v>0</v>
      </c>
      <c r="K1854" s="63" t="s">
        <v>745</v>
      </c>
      <c r="L1854" s="63" t="s">
        <v>5060</v>
      </c>
      <c r="M1854" s="63" t="s">
        <v>5061</v>
      </c>
      <c r="N1854" s="63" t="s">
        <v>5003</v>
      </c>
    </row>
    <row r="1855" spans="1:14" x14ac:dyDescent="0.2">
      <c r="A1855" s="51">
        <v>1854</v>
      </c>
      <c r="B1855" s="54" t="s">
        <v>745</v>
      </c>
      <c r="C1855" s="47" t="s">
        <v>5058</v>
      </c>
      <c r="D1855" s="47" t="s">
        <v>5059</v>
      </c>
      <c r="E1855" s="47" t="s">
        <v>12462</v>
      </c>
      <c r="F1855" s="55" t="b">
        <v>1</v>
      </c>
      <c r="G1855" s="54" t="b">
        <v>1</v>
      </c>
      <c r="H1855" s="54" t="b">
        <v>1</v>
      </c>
      <c r="I1855" s="54" t="b">
        <v>1</v>
      </c>
      <c r="J1855" s="65" t="b">
        <v>0</v>
      </c>
      <c r="K1855" s="63" t="s">
        <v>745</v>
      </c>
      <c r="L1855" s="63" t="s">
        <v>5058</v>
      </c>
      <c r="M1855" s="63" t="s">
        <v>5059</v>
      </c>
      <c r="N1855" s="63" t="s">
        <v>5003</v>
      </c>
    </row>
    <row r="1856" spans="1:14" x14ac:dyDescent="0.2">
      <c r="A1856" s="51">
        <v>1855</v>
      </c>
      <c r="B1856" s="54" t="s">
        <v>745</v>
      </c>
      <c r="C1856" s="47" t="s">
        <v>5056</v>
      </c>
      <c r="D1856" s="47" t="s">
        <v>5057</v>
      </c>
      <c r="E1856" s="47" t="s">
        <v>12462</v>
      </c>
      <c r="F1856" s="55" t="b">
        <v>1</v>
      </c>
      <c r="G1856" s="54" t="b">
        <v>1</v>
      </c>
      <c r="H1856" s="54" t="b">
        <v>1</v>
      </c>
      <c r="I1856" s="54" t="b">
        <v>1</v>
      </c>
      <c r="J1856" s="65" t="b">
        <v>0</v>
      </c>
      <c r="K1856" s="63" t="s">
        <v>745</v>
      </c>
      <c r="L1856" s="63" t="s">
        <v>5056</v>
      </c>
      <c r="M1856" s="63" t="s">
        <v>5057</v>
      </c>
      <c r="N1856" s="63" t="s">
        <v>5003</v>
      </c>
    </row>
    <row r="1857" spans="1:14" x14ac:dyDescent="0.2">
      <c r="A1857" s="51">
        <v>1856</v>
      </c>
      <c r="B1857" s="54" t="s">
        <v>745</v>
      </c>
      <c r="C1857" s="47" t="s">
        <v>5048</v>
      </c>
      <c r="D1857" s="47" t="s">
        <v>5049</v>
      </c>
      <c r="E1857" s="47" t="s">
        <v>12462</v>
      </c>
      <c r="F1857" s="55" t="b">
        <v>1</v>
      </c>
      <c r="G1857" s="54" t="b">
        <v>1</v>
      </c>
      <c r="H1857" s="54" t="b">
        <v>1</v>
      </c>
      <c r="I1857" s="54" t="b">
        <v>1</v>
      </c>
      <c r="J1857" s="65" t="b">
        <v>0</v>
      </c>
      <c r="K1857" s="63" t="s">
        <v>745</v>
      </c>
      <c r="L1857" s="63" t="s">
        <v>5048</v>
      </c>
      <c r="M1857" s="63" t="s">
        <v>5049</v>
      </c>
      <c r="N1857" s="63" t="s">
        <v>5003</v>
      </c>
    </row>
    <row r="1858" spans="1:14" x14ac:dyDescent="0.2">
      <c r="A1858" s="51">
        <v>1857</v>
      </c>
      <c r="B1858" s="54" t="s">
        <v>745</v>
      </c>
      <c r="C1858" s="47" t="s">
        <v>5046</v>
      </c>
      <c r="D1858" s="47" t="s">
        <v>5047</v>
      </c>
      <c r="E1858" s="47" t="s">
        <v>1788</v>
      </c>
      <c r="F1858" s="55" t="b">
        <v>1</v>
      </c>
      <c r="G1858" s="54" t="b">
        <v>1</v>
      </c>
      <c r="H1858" s="54" t="b">
        <v>1</v>
      </c>
      <c r="I1858" s="54" t="b">
        <v>1</v>
      </c>
      <c r="J1858" s="54" t="b">
        <v>1</v>
      </c>
      <c r="K1858" s="63" t="s">
        <v>745</v>
      </c>
      <c r="L1858" s="63" t="s">
        <v>5046</v>
      </c>
      <c r="M1858" s="63" t="s">
        <v>5047</v>
      </c>
      <c r="N1858" s="63" t="s">
        <v>1788</v>
      </c>
    </row>
    <row r="1859" spans="1:14" x14ac:dyDescent="0.2">
      <c r="A1859" s="51">
        <v>1858</v>
      </c>
      <c r="B1859" s="54" t="s">
        <v>745</v>
      </c>
      <c r="C1859" s="47" t="s">
        <v>5054</v>
      </c>
      <c r="D1859" s="47" t="s">
        <v>5055</v>
      </c>
      <c r="E1859" s="47" t="s">
        <v>12462</v>
      </c>
      <c r="F1859" s="55" t="b">
        <v>1</v>
      </c>
      <c r="G1859" s="54" t="b">
        <v>1</v>
      </c>
      <c r="H1859" s="54" t="b">
        <v>1</v>
      </c>
      <c r="I1859" s="54" t="b">
        <v>1</v>
      </c>
      <c r="J1859" s="65" t="b">
        <v>0</v>
      </c>
      <c r="K1859" s="63" t="s">
        <v>745</v>
      </c>
      <c r="L1859" s="63" t="s">
        <v>5054</v>
      </c>
      <c r="M1859" s="63" t="s">
        <v>5055</v>
      </c>
      <c r="N1859" s="63" t="s">
        <v>5003</v>
      </c>
    </row>
    <row r="1860" spans="1:14" x14ac:dyDescent="0.2">
      <c r="A1860" s="51">
        <v>1859</v>
      </c>
      <c r="B1860" s="54" t="s">
        <v>745</v>
      </c>
      <c r="C1860" s="47" t="s">
        <v>5044</v>
      </c>
      <c r="D1860" s="47" t="s">
        <v>5045</v>
      </c>
      <c r="E1860" s="47" t="s">
        <v>12462</v>
      </c>
      <c r="F1860" s="55" t="b">
        <v>1</v>
      </c>
      <c r="G1860" s="54" t="b">
        <v>1</v>
      </c>
      <c r="H1860" s="54" t="b">
        <v>1</v>
      </c>
      <c r="I1860" s="54" t="b">
        <v>1</v>
      </c>
      <c r="J1860" s="65" t="b">
        <v>0</v>
      </c>
      <c r="K1860" s="63" t="s">
        <v>745</v>
      </c>
      <c r="L1860" s="63" t="s">
        <v>5044</v>
      </c>
      <c r="M1860" s="63" t="s">
        <v>5045</v>
      </c>
      <c r="N1860" s="63" t="s">
        <v>5003</v>
      </c>
    </row>
    <row r="1861" spans="1:14" x14ac:dyDescent="0.2">
      <c r="A1861" s="51">
        <v>1860</v>
      </c>
      <c r="B1861" s="54" t="s">
        <v>745</v>
      </c>
      <c r="C1861" s="47" t="s">
        <v>5050</v>
      </c>
      <c r="D1861" s="47" t="s">
        <v>5051</v>
      </c>
      <c r="E1861" s="47" t="s">
        <v>1788</v>
      </c>
      <c r="F1861" s="55" t="b">
        <v>1</v>
      </c>
      <c r="G1861" s="54" t="b">
        <v>1</v>
      </c>
      <c r="H1861" s="54" t="b">
        <v>1</v>
      </c>
      <c r="I1861" s="54" t="b">
        <v>1</v>
      </c>
      <c r="J1861" s="54" t="b">
        <v>1</v>
      </c>
      <c r="K1861" s="63" t="s">
        <v>745</v>
      </c>
      <c r="L1861" s="63" t="s">
        <v>5050</v>
      </c>
      <c r="M1861" s="63" t="s">
        <v>5051</v>
      </c>
      <c r="N1861" s="63" t="s">
        <v>1788</v>
      </c>
    </row>
    <row r="1862" spans="1:14" x14ac:dyDescent="0.2">
      <c r="A1862" s="51">
        <v>1861</v>
      </c>
      <c r="B1862" s="54" t="s">
        <v>745</v>
      </c>
      <c r="C1862" s="47" t="s">
        <v>5062</v>
      </c>
      <c r="D1862" s="47" t="s">
        <v>5063</v>
      </c>
      <c r="E1862" s="47" t="s">
        <v>12462</v>
      </c>
      <c r="F1862" s="55" t="b">
        <v>1</v>
      </c>
      <c r="G1862" s="54" t="b">
        <v>1</v>
      </c>
      <c r="H1862" s="54" t="b">
        <v>1</v>
      </c>
      <c r="I1862" s="54" t="b">
        <v>1</v>
      </c>
      <c r="J1862" s="65" t="b">
        <v>0</v>
      </c>
      <c r="K1862" s="63" t="s">
        <v>745</v>
      </c>
      <c r="L1862" s="63" t="s">
        <v>5062</v>
      </c>
      <c r="M1862" s="63" t="s">
        <v>5063</v>
      </c>
      <c r="N1862" s="63" t="s">
        <v>5003</v>
      </c>
    </row>
    <row r="1863" spans="1:14" x14ac:dyDescent="0.2">
      <c r="A1863" s="51">
        <v>1862</v>
      </c>
      <c r="B1863" s="54" t="s">
        <v>745</v>
      </c>
      <c r="C1863" s="47" t="s">
        <v>5064</v>
      </c>
      <c r="D1863" s="47" t="s">
        <v>5065</v>
      </c>
      <c r="E1863" s="47" t="s">
        <v>1788</v>
      </c>
      <c r="F1863" s="55" t="b">
        <v>1</v>
      </c>
      <c r="G1863" s="54" t="b">
        <v>1</v>
      </c>
      <c r="H1863" s="54" t="b">
        <v>1</v>
      </c>
      <c r="I1863" s="54" t="b">
        <v>1</v>
      </c>
      <c r="J1863" s="54" t="b">
        <v>1</v>
      </c>
      <c r="K1863" s="63" t="s">
        <v>745</v>
      </c>
      <c r="L1863" s="63" t="s">
        <v>5064</v>
      </c>
      <c r="M1863" s="63" t="s">
        <v>5065</v>
      </c>
      <c r="N1863" s="63" t="s">
        <v>1788</v>
      </c>
    </row>
    <row r="1864" spans="1:14" x14ac:dyDescent="0.2">
      <c r="A1864" s="51">
        <v>1863</v>
      </c>
      <c r="B1864" s="54" t="s">
        <v>745</v>
      </c>
      <c r="C1864" s="47" t="s">
        <v>5066</v>
      </c>
      <c r="D1864" s="47" t="s">
        <v>5067</v>
      </c>
      <c r="E1864" s="47" t="s">
        <v>1788</v>
      </c>
      <c r="F1864" s="55" t="b">
        <v>1</v>
      </c>
      <c r="G1864" s="54" t="b">
        <v>1</v>
      </c>
      <c r="H1864" s="54" t="b">
        <v>1</v>
      </c>
      <c r="I1864" s="54" t="b">
        <v>1</v>
      </c>
      <c r="J1864" s="54" t="b">
        <v>1</v>
      </c>
      <c r="K1864" s="63" t="s">
        <v>745</v>
      </c>
      <c r="L1864" s="63" t="s">
        <v>5066</v>
      </c>
      <c r="M1864" s="63" t="s">
        <v>5067</v>
      </c>
      <c r="N1864" s="63" t="s">
        <v>1788</v>
      </c>
    </row>
    <row r="1865" spans="1:14" x14ac:dyDescent="0.2">
      <c r="A1865" s="51">
        <v>1864</v>
      </c>
      <c r="B1865" s="54" t="s">
        <v>745</v>
      </c>
      <c r="C1865" s="47" t="s">
        <v>5068</v>
      </c>
      <c r="D1865" s="47" t="s">
        <v>5069</v>
      </c>
      <c r="E1865" s="47" t="s">
        <v>1788</v>
      </c>
      <c r="F1865" s="55" t="b">
        <v>1</v>
      </c>
      <c r="G1865" s="54" t="b">
        <v>1</v>
      </c>
      <c r="H1865" s="54" t="b">
        <v>1</v>
      </c>
      <c r="I1865" s="54" t="b">
        <v>1</v>
      </c>
      <c r="J1865" s="54" t="b">
        <v>1</v>
      </c>
      <c r="K1865" s="63" t="s">
        <v>745</v>
      </c>
      <c r="L1865" s="63" t="s">
        <v>5068</v>
      </c>
      <c r="M1865" s="63" t="s">
        <v>5069</v>
      </c>
      <c r="N1865" s="63" t="s">
        <v>1788</v>
      </c>
    </row>
    <row r="1866" spans="1:14" x14ac:dyDescent="0.2">
      <c r="A1866" s="51">
        <v>1865</v>
      </c>
      <c r="B1866" s="54" t="s">
        <v>745</v>
      </c>
      <c r="C1866" s="47" t="s">
        <v>5070</v>
      </c>
      <c r="D1866" s="47" t="s">
        <v>5069</v>
      </c>
      <c r="E1866" s="47" t="s">
        <v>12462</v>
      </c>
      <c r="F1866" s="55" t="b">
        <v>1</v>
      </c>
      <c r="G1866" s="54" t="b">
        <v>1</v>
      </c>
      <c r="H1866" s="54" t="b">
        <v>1</v>
      </c>
      <c r="I1866" s="54" t="b">
        <v>1</v>
      </c>
      <c r="J1866" s="65" t="b">
        <v>0</v>
      </c>
      <c r="K1866" s="63" t="s">
        <v>745</v>
      </c>
      <c r="L1866" s="63" t="s">
        <v>5070</v>
      </c>
      <c r="M1866" s="63" t="s">
        <v>5069</v>
      </c>
      <c r="N1866" s="63" t="s">
        <v>5003</v>
      </c>
    </row>
    <row r="1867" spans="1:14" x14ac:dyDescent="0.2">
      <c r="A1867" s="51">
        <v>1866</v>
      </c>
      <c r="B1867" s="54" t="s">
        <v>745</v>
      </c>
      <c r="C1867" s="47" t="s">
        <v>5071</v>
      </c>
      <c r="D1867" s="47" t="s">
        <v>5072</v>
      </c>
      <c r="E1867" s="47" t="s">
        <v>1788</v>
      </c>
      <c r="F1867" s="55" t="b">
        <v>1</v>
      </c>
      <c r="G1867" s="54" t="b">
        <v>1</v>
      </c>
      <c r="H1867" s="54" t="b">
        <v>1</v>
      </c>
      <c r="I1867" s="54" t="b">
        <v>1</v>
      </c>
      <c r="J1867" s="54" t="b">
        <v>1</v>
      </c>
      <c r="K1867" s="63" t="s">
        <v>745</v>
      </c>
      <c r="L1867" s="63" t="s">
        <v>5071</v>
      </c>
      <c r="M1867" s="63" t="s">
        <v>5072</v>
      </c>
      <c r="N1867" s="63" t="s">
        <v>1788</v>
      </c>
    </row>
    <row r="1868" spans="1:14" x14ac:dyDescent="0.2">
      <c r="A1868" s="51">
        <v>1867</v>
      </c>
      <c r="B1868" s="54" t="s">
        <v>745</v>
      </c>
      <c r="C1868" s="47" t="s">
        <v>5073</v>
      </c>
      <c r="D1868" s="47" t="s">
        <v>5074</v>
      </c>
      <c r="E1868" s="47" t="s">
        <v>12462</v>
      </c>
      <c r="F1868" s="55" t="b">
        <v>1</v>
      </c>
      <c r="G1868" s="54" t="b">
        <v>1</v>
      </c>
      <c r="H1868" s="54" t="b">
        <v>1</v>
      </c>
      <c r="I1868" s="54" t="b">
        <v>1</v>
      </c>
      <c r="J1868" s="65" t="b">
        <v>0</v>
      </c>
      <c r="K1868" s="63" t="s">
        <v>745</v>
      </c>
      <c r="L1868" s="63" t="s">
        <v>5073</v>
      </c>
      <c r="M1868" s="63" t="s">
        <v>5074</v>
      </c>
      <c r="N1868" s="63" t="s">
        <v>5003</v>
      </c>
    </row>
    <row r="1869" spans="1:14" x14ac:dyDescent="0.2">
      <c r="A1869" s="51">
        <v>1868</v>
      </c>
      <c r="B1869" s="54" t="s">
        <v>747</v>
      </c>
      <c r="C1869" s="47" t="s">
        <v>5085</v>
      </c>
      <c r="D1869" s="47" t="s">
        <v>5086</v>
      </c>
      <c r="E1869" s="48" t="s">
        <v>2087</v>
      </c>
      <c r="F1869" s="66" t="b">
        <v>0</v>
      </c>
      <c r="G1869" s="54" t="b">
        <v>1</v>
      </c>
      <c r="H1869" s="54" t="b">
        <v>1</v>
      </c>
      <c r="I1869" s="54" t="b">
        <v>1</v>
      </c>
      <c r="J1869" s="54" t="b">
        <v>1</v>
      </c>
      <c r="K1869" s="63" t="s">
        <v>747</v>
      </c>
      <c r="L1869" s="63" t="s">
        <v>5085</v>
      </c>
      <c r="M1869" s="63" t="s">
        <v>5086</v>
      </c>
      <c r="N1869" s="63" t="s">
        <v>2087</v>
      </c>
    </row>
    <row r="1870" spans="1:14" x14ac:dyDescent="0.2">
      <c r="A1870" s="51">
        <v>1869</v>
      </c>
      <c r="B1870" s="54" t="s">
        <v>747</v>
      </c>
      <c r="C1870" s="47" t="s">
        <v>5079</v>
      </c>
      <c r="D1870" s="47" t="s">
        <v>12463</v>
      </c>
      <c r="E1870" s="47" t="s">
        <v>2087</v>
      </c>
      <c r="F1870" s="55" t="b">
        <v>1</v>
      </c>
      <c r="G1870" s="54" t="b">
        <v>1</v>
      </c>
      <c r="H1870" s="54" t="b">
        <v>1</v>
      </c>
      <c r="I1870" s="65" t="b">
        <v>0</v>
      </c>
      <c r="J1870" s="54" t="b">
        <v>1</v>
      </c>
      <c r="K1870" s="63" t="s">
        <v>747</v>
      </c>
      <c r="L1870" s="63" t="s">
        <v>5079</v>
      </c>
      <c r="M1870" s="63" t="s">
        <v>5080</v>
      </c>
      <c r="N1870" s="63" t="s">
        <v>2087</v>
      </c>
    </row>
    <row r="1871" spans="1:14" x14ac:dyDescent="0.2">
      <c r="A1871" s="51">
        <v>1870</v>
      </c>
      <c r="B1871" s="54" t="s">
        <v>747</v>
      </c>
      <c r="C1871" s="47" t="s">
        <v>5089</v>
      </c>
      <c r="D1871" s="47" t="s">
        <v>5090</v>
      </c>
      <c r="E1871" s="47" t="s">
        <v>2087</v>
      </c>
      <c r="F1871" s="55" t="b">
        <v>1</v>
      </c>
      <c r="G1871" s="54" t="b">
        <v>1</v>
      </c>
      <c r="H1871" s="54" t="b">
        <v>1</v>
      </c>
      <c r="I1871" s="54" t="b">
        <v>1</v>
      </c>
      <c r="J1871" s="54" t="b">
        <v>1</v>
      </c>
      <c r="K1871" s="63" t="s">
        <v>747</v>
      </c>
      <c r="L1871" s="63" t="s">
        <v>5089</v>
      </c>
      <c r="M1871" s="63" t="s">
        <v>5090</v>
      </c>
      <c r="N1871" s="63" t="s">
        <v>2087</v>
      </c>
    </row>
    <row r="1872" spans="1:14" x14ac:dyDescent="0.2">
      <c r="A1872" s="51">
        <v>1871</v>
      </c>
      <c r="B1872" s="54" t="s">
        <v>747</v>
      </c>
      <c r="C1872" s="47" t="s">
        <v>5093</v>
      </c>
      <c r="D1872" s="47" t="s">
        <v>5094</v>
      </c>
      <c r="E1872" s="47" t="s">
        <v>2087</v>
      </c>
      <c r="F1872" s="55" t="b">
        <v>1</v>
      </c>
      <c r="G1872" s="54" t="b">
        <v>1</v>
      </c>
      <c r="H1872" s="54" t="b">
        <v>1</v>
      </c>
      <c r="I1872" s="54" t="b">
        <v>1</v>
      </c>
      <c r="J1872" s="54" t="b">
        <v>1</v>
      </c>
      <c r="K1872" s="63" t="s">
        <v>747</v>
      </c>
      <c r="L1872" s="63" t="s">
        <v>5093</v>
      </c>
      <c r="M1872" s="63" t="s">
        <v>5094</v>
      </c>
      <c r="N1872" s="63" t="s">
        <v>2087</v>
      </c>
    </row>
    <row r="1873" spans="1:14" x14ac:dyDescent="0.2">
      <c r="A1873" s="51">
        <v>1872</v>
      </c>
      <c r="B1873" s="54" t="s">
        <v>747</v>
      </c>
      <c r="C1873" s="47" t="s">
        <v>5091</v>
      </c>
      <c r="D1873" s="47" t="s">
        <v>5092</v>
      </c>
      <c r="E1873" s="47" t="s">
        <v>2087</v>
      </c>
      <c r="F1873" s="55" t="b">
        <v>1</v>
      </c>
      <c r="G1873" s="54" t="b">
        <v>1</v>
      </c>
      <c r="H1873" s="54" t="b">
        <v>1</v>
      </c>
      <c r="I1873" s="54" t="b">
        <v>1</v>
      </c>
      <c r="J1873" s="54" t="b">
        <v>1</v>
      </c>
      <c r="K1873" s="63" t="s">
        <v>747</v>
      </c>
      <c r="L1873" s="63" t="s">
        <v>5091</v>
      </c>
      <c r="M1873" s="63" t="s">
        <v>5092</v>
      </c>
      <c r="N1873" s="63" t="s">
        <v>2087</v>
      </c>
    </row>
    <row r="1874" spans="1:14" x14ac:dyDescent="0.2">
      <c r="A1874" s="51">
        <v>1873</v>
      </c>
      <c r="B1874" s="54" t="s">
        <v>747</v>
      </c>
      <c r="C1874" s="47" t="s">
        <v>5083</v>
      </c>
      <c r="D1874" s="47" t="s">
        <v>12465</v>
      </c>
      <c r="E1874" s="47" t="s">
        <v>2087</v>
      </c>
      <c r="F1874" s="55" t="b">
        <v>1</v>
      </c>
      <c r="G1874" s="54" t="b">
        <v>1</v>
      </c>
      <c r="H1874" s="54" t="b">
        <v>1</v>
      </c>
      <c r="I1874" s="65" t="b">
        <v>0</v>
      </c>
      <c r="J1874" s="54" t="b">
        <v>1</v>
      </c>
      <c r="K1874" s="63" t="s">
        <v>747</v>
      </c>
      <c r="L1874" s="63" t="s">
        <v>5083</v>
      </c>
      <c r="M1874" s="63" t="s">
        <v>5084</v>
      </c>
      <c r="N1874" s="63" t="s">
        <v>2087</v>
      </c>
    </row>
    <row r="1875" spans="1:14" x14ac:dyDescent="0.2">
      <c r="A1875" s="51">
        <v>1874</v>
      </c>
      <c r="B1875" s="54" t="s">
        <v>747</v>
      </c>
      <c r="C1875" s="47" t="s">
        <v>5081</v>
      </c>
      <c r="D1875" s="47" t="s">
        <v>12464</v>
      </c>
      <c r="E1875" s="47" t="s">
        <v>2087</v>
      </c>
      <c r="F1875" s="55" t="b">
        <v>1</v>
      </c>
      <c r="G1875" s="54" t="b">
        <v>1</v>
      </c>
      <c r="H1875" s="54" t="b">
        <v>1</v>
      </c>
      <c r="I1875" s="65" t="b">
        <v>0</v>
      </c>
      <c r="J1875" s="54" t="b">
        <v>1</v>
      </c>
      <c r="K1875" s="63" t="s">
        <v>747</v>
      </c>
      <c r="L1875" s="63" t="s">
        <v>5081</v>
      </c>
      <c r="M1875" s="63" t="s">
        <v>5082</v>
      </c>
      <c r="N1875" s="63" t="s">
        <v>2087</v>
      </c>
    </row>
    <row r="1876" spans="1:14" x14ac:dyDescent="0.2">
      <c r="A1876" s="51">
        <v>1875</v>
      </c>
      <c r="B1876" s="54" t="s">
        <v>747</v>
      </c>
      <c r="C1876" s="47" t="s">
        <v>5077</v>
      </c>
      <c r="D1876" s="47" t="s">
        <v>5078</v>
      </c>
      <c r="E1876" s="47" t="s">
        <v>2087</v>
      </c>
      <c r="F1876" s="55" t="b">
        <v>1</v>
      </c>
      <c r="G1876" s="54" t="b">
        <v>1</v>
      </c>
      <c r="H1876" s="54" t="b">
        <v>1</v>
      </c>
      <c r="I1876" s="54" t="b">
        <v>1</v>
      </c>
      <c r="J1876" s="54" t="b">
        <v>1</v>
      </c>
      <c r="K1876" s="63" t="s">
        <v>747</v>
      </c>
      <c r="L1876" s="63" t="s">
        <v>5077</v>
      </c>
      <c r="M1876" s="63" t="s">
        <v>5078</v>
      </c>
      <c r="N1876" s="63" t="s">
        <v>2087</v>
      </c>
    </row>
    <row r="1877" spans="1:14" x14ac:dyDescent="0.2">
      <c r="A1877" s="51">
        <v>1876</v>
      </c>
      <c r="B1877" s="54" t="s">
        <v>747</v>
      </c>
      <c r="C1877" s="47" t="s">
        <v>5087</v>
      </c>
      <c r="D1877" s="47" t="s">
        <v>5088</v>
      </c>
      <c r="E1877" s="47" t="s">
        <v>2087</v>
      </c>
      <c r="F1877" s="55" t="b">
        <v>1</v>
      </c>
      <c r="G1877" s="54" t="b">
        <v>1</v>
      </c>
      <c r="H1877" s="54" t="b">
        <v>1</v>
      </c>
      <c r="I1877" s="54" t="b">
        <v>1</v>
      </c>
      <c r="J1877" s="54" t="b">
        <v>1</v>
      </c>
      <c r="K1877" s="63" t="s">
        <v>747</v>
      </c>
      <c r="L1877" s="63" t="s">
        <v>5087</v>
      </c>
      <c r="M1877" s="63" t="s">
        <v>5088</v>
      </c>
      <c r="N1877" s="63" t="s">
        <v>2087</v>
      </c>
    </row>
    <row r="1878" spans="1:14" x14ac:dyDescent="0.2">
      <c r="A1878" s="51">
        <v>1877</v>
      </c>
      <c r="B1878" s="54" t="s">
        <v>749</v>
      </c>
      <c r="C1878" s="47" t="s">
        <v>5095</v>
      </c>
      <c r="D1878" s="47" t="s">
        <v>5096</v>
      </c>
      <c r="E1878" s="47" t="s">
        <v>12150</v>
      </c>
      <c r="F1878" s="55" t="b">
        <v>1</v>
      </c>
      <c r="G1878" s="54" t="b">
        <v>1</v>
      </c>
      <c r="H1878" s="54" t="b">
        <v>1</v>
      </c>
      <c r="I1878" s="54" t="b">
        <v>1</v>
      </c>
      <c r="J1878" s="65" t="b">
        <v>0</v>
      </c>
      <c r="K1878" s="63" t="s">
        <v>749</v>
      </c>
      <c r="L1878" s="63" t="s">
        <v>5095</v>
      </c>
      <c r="M1878" s="63" t="s">
        <v>5096</v>
      </c>
      <c r="N1878" s="63" t="s">
        <v>5097</v>
      </c>
    </row>
    <row r="1879" spans="1:14" x14ac:dyDescent="0.2">
      <c r="A1879" s="51">
        <v>1878</v>
      </c>
      <c r="B1879" s="54" t="s">
        <v>749</v>
      </c>
      <c r="C1879" s="47" t="s">
        <v>5098</v>
      </c>
      <c r="D1879" s="47" t="s">
        <v>5099</v>
      </c>
      <c r="E1879" s="47" t="s">
        <v>2113</v>
      </c>
      <c r="F1879" s="55" t="b">
        <v>1</v>
      </c>
      <c r="G1879" s="54" t="b">
        <v>1</v>
      </c>
      <c r="H1879" s="54" t="b">
        <v>1</v>
      </c>
      <c r="I1879" s="54" t="b">
        <v>1</v>
      </c>
      <c r="J1879" s="54" t="b">
        <v>1</v>
      </c>
      <c r="K1879" s="63" t="s">
        <v>749</v>
      </c>
      <c r="L1879" s="63" t="s">
        <v>5098</v>
      </c>
      <c r="M1879" s="63" t="s">
        <v>5099</v>
      </c>
      <c r="N1879" s="63" t="s">
        <v>2113</v>
      </c>
    </row>
    <row r="1880" spans="1:14" x14ac:dyDescent="0.2">
      <c r="A1880" s="51">
        <v>1879</v>
      </c>
      <c r="B1880" s="54" t="s">
        <v>749</v>
      </c>
      <c r="C1880" s="47" t="s">
        <v>5100</v>
      </c>
      <c r="D1880" s="47" t="s">
        <v>12466</v>
      </c>
      <c r="E1880" s="47" t="s">
        <v>2113</v>
      </c>
      <c r="F1880" s="55" t="b">
        <v>1</v>
      </c>
      <c r="G1880" s="54" t="b">
        <v>1</v>
      </c>
      <c r="H1880" s="54" t="b">
        <v>1</v>
      </c>
      <c r="I1880" s="65" t="b">
        <v>0</v>
      </c>
      <c r="J1880" s="54" t="b">
        <v>1</v>
      </c>
      <c r="K1880" s="63" t="s">
        <v>749</v>
      </c>
      <c r="L1880" s="63" t="s">
        <v>5100</v>
      </c>
      <c r="M1880" s="63" t="s">
        <v>5101</v>
      </c>
      <c r="N1880" s="63" t="s">
        <v>2113</v>
      </c>
    </row>
    <row r="1881" spans="1:14" x14ac:dyDescent="0.2">
      <c r="A1881" s="51">
        <v>1880</v>
      </c>
      <c r="B1881" s="54" t="s">
        <v>749</v>
      </c>
      <c r="C1881" s="47" t="s">
        <v>5102</v>
      </c>
      <c r="D1881" s="47" t="s">
        <v>5103</v>
      </c>
      <c r="E1881" s="47" t="s">
        <v>2113</v>
      </c>
      <c r="F1881" s="55" t="b">
        <v>1</v>
      </c>
      <c r="G1881" s="54" t="b">
        <v>1</v>
      </c>
      <c r="H1881" s="54" t="b">
        <v>1</v>
      </c>
      <c r="I1881" s="54" t="b">
        <v>1</v>
      </c>
      <c r="J1881" s="54" t="b">
        <v>1</v>
      </c>
      <c r="K1881" s="63" t="s">
        <v>749</v>
      </c>
      <c r="L1881" s="63" t="s">
        <v>5102</v>
      </c>
      <c r="M1881" s="63" t="s">
        <v>5103</v>
      </c>
      <c r="N1881" s="63" t="s">
        <v>2113</v>
      </c>
    </row>
    <row r="1882" spans="1:14" x14ac:dyDescent="0.2">
      <c r="A1882" s="51">
        <v>1881</v>
      </c>
      <c r="B1882" s="54" t="s">
        <v>749</v>
      </c>
      <c r="C1882" s="47" t="s">
        <v>5104</v>
      </c>
      <c r="D1882" s="47" t="s">
        <v>12467</v>
      </c>
      <c r="E1882" s="47" t="s">
        <v>2113</v>
      </c>
      <c r="F1882" s="55" t="b">
        <v>1</v>
      </c>
      <c r="G1882" s="54" t="b">
        <v>1</v>
      </c>
      <c r="H1882" s="54" t="b">
        <v>1</v>
      </c>
      <c r="I1882" s="65" t="b">
        <v>0</v>
      </c>
      <c r="J1882" s="54" t="b">
        <v>1</v>
      </c>
      <c r="K1882" s="63" t="s">
        <v>749</v>
      </c>
      <c r="L1882" s="63" t="s">
        <v>5104</v>
      </c>
      <c r="M1882" s="63" t="s">
        <v>5105</v>
      </c>
      <c r="N1882" s="63" t="s">
        <v>2113</v>
      </c>
    </row>
    <row r="1883" spans="1:14" x14ac:dyDescent="0.2">
      <c r="A1883" s="51">
        <v>1882</v>
      </c>
      <c r="B1883" s="54" t="s">
        <v>749</v>
      </c>
      <c r="C1883" s="47" t="s">
        <v>5106</v>
      </c>
      <c r="D1883" s="47" t="s">
        <v>12468</v>
      </c>
      <c r="E1883" s="47" t="s">
        <v>12150</v>
      </c>
      <c r="F1883" s="55" t="b">
        <v>1</v>
      </c>
      <c r="G1883" s="54" t="b">
        <v>1</v>
      </c>
      <c r="H1883" s="54" t="b">
        <v>1</v>
      </c>
      <c r="I1883" s="65" t="b">
        <v>0</v>
      </c>
      <c r="J1883" s="65" t="b">
        <v>0</v>
      </c>
      <c r="K1883" s="63" t="s">
        <v>749</v>
      </c>
      <c r="L1883" s="63" t="s">
        <v>5106</v>
      </c>
      <c r="M1883" s="63" t="s">
        <v>5107</v>
      </c>
      <c r="N1883" s="63" t="s">
        <v>5097</v>
      </c>
    </row>
    <row r="1884" spans="1:14" x14ac:dyDescent="0.2">
      <c r="A1884" s="51">
        <v>1883</v>
      </c>
      <c r="B1884" s="54" t="s">
        <v>749</v>
      </c>
      <c r="C1884" s="47" t="s">
        <v>5108</v>
      </c>
      <c r="D1884" s="47" t="s">
        <v>12469</v>
      </c>
      <c r="E1884" s="47" t="s">
        <v>2113</v>
      </c>
      <c r="F1884" s="55" t="b">
        <v>1</v>
      </c>
      <c r="G1884" s="54" t="b">
        <v>1</v>
      </c>
      <c r="H1884" s="54" t="b">
        <v>1</v>
      </c>
      <c r="I1884" s="65" t="b">
        <v>0</v>
      </c>
      <c r="J1884" s="54" t="b">
        <v>1</v>
      </c>
      <c r="K1884" s="63" t="s">
        <v>749</v>
      </c>
      <c r="L1884" s="63" t="s">
        <v>5108</v>
      </c>
      <c r="M1884" s="63" t="s">
        <v>5109</v>
      </c>
      <c r="N1884" s="63" t="s">
        <v>2113</v>
      </c>
    </row>
    <row r="1885" spans="1:14" x14ac:dyDescent="0.2">
      <c r="A1885" s="51">
        <v>1884</v>
      </c>
      <c r="B1885" s="54" t="s">
        <v>749</v>
      </c>
      <c r="C1885" s="47" t="s">
        <v>5112</v>
      </c>
      <c r="D1885" s="47" t="s">
        <v>12471</v>
      </c>
      <c r="E1885" s="47" t="s">
        <v>12150</v>
      </c>
      <c r="F1885" s="55" t="b">
        <v>1</v>
      </c>
      <c r="G1885" s="54" t="b">
        <v>1</v>
      </c>
      <c r="H1885" s="54" t="b">
        <v>1</v>
      </c>
      <c r="I1885" s="65" t="b">
        <v>0</v>
      </c>
      <c r="J1885" s="65" t="b">
        <v>0</v>
      </c>
      <c r="K1885" s="63" t="s">
        <v>749</v>
      </c>
      <c r="L1885" s="63" t="s">
        <v>5112</v>
      </c>
      <c r="M1885" s="63" t="s">
        <v>5113</v>
      </c>
      <c r="N1885" s="63" t="s">
        <v>5097</v>
      </c>
    </row>
    <row r="1886" spans="1:14" x14ac:dyDescent="0.2">
      <c r="A1886" s="51">
        <v>1885</v>
      </c>
      <c r="B1886" s="54" t="s">
        <v>749</v>
      </c>
      <c r="C1886" s="47" t="s">
        <v>5114</v>
      </c>
      <c r="D1886" s="47" t="s">
        <v>5115</v>
      </c>
      <c r="E1886" s="47" t="s">
        <v>12472</v>
      </c>
      <c r="F1886" s="55" t="b">
        <v>1</v>
      </c>
      <c r="G1886" s="54" t="b">
        <v>1</v>
      </c>
      <c r="H1886" s="54" t="b">
        <v>1</v>
      </c>
      <c r="I1886" s="54" t="b">
        <v>1</v>
      </c>
      <c r="J1886" s="65" t="b">
        <v>0</v>
      </c>
      <c r="K1886" s="63" t="s">
        <v>749</v>
      </c>
      <c r="L1886" s="63" t="s">
        <v>5114</v>
      </c>
      <c r="M1886" s="63" t="s">
        <v>5115</v>
      </c>
      <c r="N1886" s="63" t="s">
        <v>5097</v>
      </c>
    </row>
    <row r="1887" spans="1:14" x14ac:dyDescent="0.2">
      <c r="A1887" s="51">
        <v>1886</v>
      </c>
      <c r="B1887" s="54" t="s">
        <v>749</v>
      </c>
      <c r="C1887" s="47" t="s">
        <v>5110</v>
      </c>
      <c r="D1887" s="47" t="s">
        <v>12470</v>
      </c>
      <c r="E1887" s="47" t="s">
        <v>12150</v>
      </c>
      <c r="F1887" s="55" t="b">
        <v>1</v>
      </c>
      <c r="G1887" s="54" t="b">
        <v>1</v>
      </c>
      <c r="H1887" s="54" t="b">
        <v>1</v>
      </c>
      <c r="I1887" s="65" t="b">
        <v>0</v>
      </c>
      <c r="J1887" s="65" t="b">
        <v>0</v>
      </c>
      <c r="K1887" s="63" t="s">
        <v>749</v>
      </c>
      <c r="L1887" s="63" t="s">
        <v>5110</v>
      </c>
      <c r="M1887" s="63" t="s">
        <v>5111</v>
      </c>
      <c r="N1887" s="63" t="s">
        <v>5097</v>
      </c>
    </row>
    <row r="1888" spans="1:14" x14ac:dyDescent="0.2">
      <c r="A1888" s="51">
        <v>1887</v>
      </c>
      <c r="B1888" s="54" t="s">
        <v>749</v>
      </c>
      <c r="C1888" s="47" t="s">
        <v>5116</v>
      </c>
      <c r="D1888" s="47" t="s">
        <v>5117</v>
      </c>
      <c r="E1888" s="47" t="s">
        <v>2113</v>
      </c>
      <c r="F1888" s="55" t="b">
        <v>1</v>
      </c>
      <c r="G1888" s="54" t="b">
        <v>1</v>
      </c>
      <c r="H1888" s="54" t="b">
        <v>1</v>
      </c>
      <c r="I1888" s="54" t="b">
        <v>1</v>
      </c>
      <c r="J1888" s="54" t="b">
        <v>1</v>
      </c>
      <c r="K1888" s="63" t="s">
        <v>749</v>
      </c>
      <c r="L1888" s="63" t="s">
        <v>5116</v>
      </c>
      <c r="M1888" s="63" t="s">
        <v>5117</v>
      </c>
      <c r="N1888" s="63" t="s">
        <v>2113</v>
      </c>
    </row>
    <row r="1889" spans="1:14" x14ac:dyDescent="0.2">
      <c r="A1889" s="51">
        <v>1888</v>
      </c>
      <c r="B1889" s="54" t="s">
        <v>749</v>
      </c>
      <c r="C1889" s="47" t="s">
        <v>5118</v>
      </c>
      <c r="D1889" s="47" t="s">
        <v>12473</v>
      </c>
      <c r="E1889" s="47" t="s">
        <v>2113</v>
      </c>
      <c r="F1889" s="55" t="b">
        <v>1</v>
      </c>
      <c r="G1889" s="54" t="b">
        <v>1</v>
      </c>
      <c r="H1889" s="54" t="b">
        <v>1</v>
      </c>
      <c r="I1889" s="65" t="b">
        <v>0</v>
      </c>
      <c r="J1889" s="54" t="b">
        <v>1</v>
      </c>
      <c r="K1889" s="63" t="s">
        <v>749</v>
      </c>
      <c r="L1889" s="63" t="s">
        <v>5118</v>
      </c>
      <c r="M1889" s="63" t="s">
        <v>5119</v>
      </c>
      <c r="N1889" s="63" t="s">
        <v>2113</v>
      </c>
    </row>
    <row r="1890" spans="1:14" x14ac:dyDescent="0.2">
      <c r="A1890" s="51">
        <v>1889</v>
      </c>
      <c r="B1890" s="54" t="s">
        <v>749</v>
      </c>
      <c r="C1890" s="47" t="s">
        <v>5122</v>
      </c>
      <c r="D1890" s="47" t="s">
        <v>12475</v>
      </c>
      <c r="E1890" s="47" t="s">
        <v>2113</v>
      </c>
      <c r="F1890" s="55" t="b">
        <v>1</v>
      </c>
      <c r="G1890" s="54" t="b">
        <v>1</v>
      </c>
      <c r="H1890" s="54" t="b">
        <v>1</v>
      </c>
      <c r="I1890" s="65" t="b">
        <v>0</v>
      </c>
      <c r="J1890" s="54" t="b">
        <v>1</v>
      </c>
      <c r="K1890" s="63" t="s">
        <v>749</v>
      </c>
      <c r="L1890" s="63" t="s">
        <v>5122</v>
      </c>
      <c r="M1890" s="63" t="s">
        <v>5123</v>
      </c>
      <c r="N1890" s="63" t="s">
        <v>2113</v>
      </c>
    </row>
    <row r="1891" spans="1:14" x14ac:dyDescent="0.2">
      <c r="A1891" s="51">
        <v>1890</v>
      </c>
      <c r="B1891" s="54" t="s">
        <v>749</v>
      </c>
      <c r="C1891" s="47" t="s">
        <v>5120</v>
      </c>
      <c r="D1891" s="47" t="s">
        <v>12474</v>
      </c>
      <c r="E1891" s="47" t="s">
        <v>2113</v>
      </c>
      <c r="F1891" s="55" t="b">
        <v>1</v>
      </c>
      <c r="G1891" s="54" t="b">
        <v>1</v>
      </c>
      <c r="H1891" s="54" t="b">
        <v>1</v>
      </c>
      <c r="I1891" s="65" t="b">
        <v>0</v>
      </c>
      <c r="J1891" s="54" t="b">
        <v>1</v>
      </c>
      <c r="K1891" s="63" t="s">
        <v>749</v>
      </c>
      <c r="L1891" s="63" t="s">
        <v>5120</v>
      </c>
      <c r="M1891" s="63" t="s">
        <v>5121</v>
      </c>
      <c r="N1891" s="63" t="s">
        <v>2113</v>
      </c>
    </row>
    <row r="1892" spans="1:14" x14ac:dyDescent="0.2">
      <c r="A1892" s="51">
        <v>1891</v>
      </c>
      <c r="B1892" s="54" t="s">
        <v>749</v>
      </c>
      <c r="C1892" s="47" t="s">
        <v>5126</v>
      </c>
      <c r="D1892" s="47" t="s">
        <v>5127</v>
      </c>
      <c r="E1892" s="47" t="s">
        <v>2113</v>
      </c>
      <c r="F1892" s="55" t="b">
        <v>1</v>
      </c>
      <c r="G1892" s="54" t="b">
        <v>1</v>
      </c>
      <c r="H1892" s="54" t="b">
        <v>1</v>
      </c>
      <c r="I1892" s="54" t="b">
        <v>1</v>
      </c>
      <c r="J1892" s="54" t="b">
        <v>1</v>
      </c>
      <c r="K1892" s="63" t="s">
        <v>749</v>
      </c>
      <c r="L1892" s="63" t="s">
        <v>5126</v>
      </c>
      <c r="M1892" s="63" t="s">
        <v>5127</v>
      </c>
      <c r="N1892" s="63" t="s">
        <v>2113</v>
      </c>
    </row>
    <row r="1893" spans="1:14" x14ac:dyDescent="0.2">
      <c r="A1893" s="51">
        <v>1892</v>
      </c>
      <c r="B1893" s="54" t="s">
        <v>749</v>
      </c>
      <c r="C1893" s="47" t="s">
        <v>5124</v>
      </c>
      <c r="D1893" s="47" t="s">
        <v>12476</v>
      </c>
      <c r="E1893" s="47" t="s">
        <v>2113</v>
      </c>
      <c r="F1893" s="55" t="b">
        <v>1</v>
      </c>
      <c r="G1893" s="54" t="b">
        <v>1</v>
      </c>
      <c r="H1893" s="54" t="b">
        <v>1</v>
      </c>
      <c r="I1893" s="65" t="b">
        <v>0</v>
      </c>
      <c r="J1893" s="54" t="b">
        <v>1</v>
      </c>
      <c r="K1893" s="63" t="s">
        <v>749</v>
      </c>
      <c r="L1893" s="63" t="s">
        <v>5124</v>
      </c>
      <c r="M1893" s="63" t="s">
        <v>5125</v>
      </c>
      <c r="N1893" s="63" t="s">
        <v>2113</v>
      </c>
    </row>
    <row r="1894" spans="1:14" x14ac:dyDescent="0.2">
      <c r="A1894" s="51">
        <v>1893</v>
      </c>
      <c r="B1894" s="54" t="s">
        <v>749</v>
      </c>
      <c r="C1894" s="47" t="s">
        <v>5128</v>
      </c>
      <c r="D1894" s="47" t="s">
        <v>12477</v>
      </c>
      <c r="E1894" s="47" t="s">
        <v>2113</v>
      </c>
      <c r="F1894" s="55" t="b">
        <v>1</v>
      </c>
      <c r="G1894" s="54" t="b">
        <v>1</v>
      </c>
      <c r="H1894" s="54" t="b">
        <v>1</v>
      </c>
      <c r="I1894" s="65" t="b">
        <v>0</v>
      </c>
      <c r="J1894" s="54" t="b">
        <v>1</v>
      </c>
      <c r="K1894" s="63" t="s">
        <v>749</v>
      </c>
      <c r="L1894" s="63" t="s">
        <v>5128</v>
      </c>
      <c r="M1894" s="63" t="s">
        <v>5129</v>
      </c>
      <c r="N1894" s="63" t="s">
        <v>2113</v>
      </c>
    </row>
    <row r="1895" spans="1:14" x14ac:dyDescent="0.2">
      <c r="A1895" s="51">
        <v>1894</v>
      </c>
      <c r="B1895" s="54" t="s">
        <v>749</v>
      </c>
      <c r="C1895" s="47" t="s">
        <v>5130</v>
      </c>
      <c r="D1895" s="47" t="s">
        <v>5131</v>
      </c>
      <c r="E1895" s="47" t="s">
        <v>2113</v>
      </c>
      <c r="F1895" s="55" t="b">
        <v>1</v>
      </c>
      <c r="G1895" s="54" t="b">
        <v>1</v>
      </c>
      <c r="H1895" s="54" t="b">
        <v>1</v>
      </c>
      <c r="I1895" s="54" t="b">
        <v>1</v>
      </c>
      <c r="J1895" s="54" t="b">
        <v>1</v>
      </c>
      <c r="K1895" s="63" t="s">
        <v>749</v>
      </c>
      <c r="L1895" s="63" t="s">
        <v>5130</v>
      </c>
      <c r="M1895" s="63" t="s">
        <v>5131</v>
      </c>
      <c r="N1895" s="63" t="s">
        <v>2113</v>
      </c>
    </row>
    <row r="1896" spans="1:14" x14ac:dyDescent="0.2">
      <c r="A1896" s="51">
        <v>1895</v>
      </c>
      <c r="B1896" s="54" t="s">
        <v>749</v>
      </c>
      <c r="C1896" s="47" t="s">
        <v>5132</v>
      </c>
      <c r="D1896" s="47" t="s">
        <v>5133</v>
      </c>
      <c r="E1896" s="47" t="s">
        <v>12150</v>
      </c>
      <c r="F1896" s="55" t="b">
        <v>1</v>
      </c>
      <c r="G1896" s="54" t="b">
        <v>1</v>
      </c>
      <c r="H1896" s="54" t="b">
        <v>1</v>
      </c>
      <c r="I1896" s="54" t="b">
        <v>1</v>
      </c>
      <c r="J1896" s="65" t="b">
        <v>0</v>
      </c>
      <c r="K1896" s="63" t="s">
        <v>749</v>
      </c>
      <c r="L1896" s="63" t="s">
        <v>5132</v>
      </c>
      <c r="M1896" s="63" t="s">
        <v>5133</v>
      </c>
      <c r="N1896" s="63" t="s">
        <v>5097</v>
      </c>
    </row>
    <row r="1897" spans="1:14" x14ac:dyDescent="0.2">
      <c r="A1897" s="51">
        <v>1896</v>
      </c>
      <c r="B1897" s="54" t="s">
        <v>749</v>
      </c>
      <c r="C1897" s="47" t="s">
        <v>5134</v>
      </c>
      <c r="D1897" s="47" t="s">
        <v>12478</v>
      </c>
      <c r="E1897" s="47" t="s">
        <v>2113</v>
      </c>
      <c r="F1897" s="55" t="b">
        <v>1</v>
      </c>
      <c r="G1897" s="54" t="b">
        <v>1</v>
      </c>
      <c r="H1897" s="54" t="b">
        <v>1</v>
      </c>
      <c r="I1897" s="65" t="b">
        <v>0</v>
      </c>
      <c r="J1897" s="54" t="b">
        <v>1</v>
      </c>
      <c r="K1897" s="63" t="s">
        <v>749</v>
      </c>
      <c r="L1897" s="63" t="s">
        <v>5134</v>
      </c>
      <c r="M1897" s="63" t="s">
        <v>5133</v>
      </c>
      <c r="N1897" s="63" t="s">
        <v>2113</v>
      </c>
    </row>
    <row r="1898" spans="1:14" x14ac:dyDescent="0.2">
      <c r="A1898" s="51">
        <v>1897</v>
      </c>
      <c r="B1898" s="54" t="s">
        <v>749</v>
      </c>
      <c r="C1898" s="47" t="s">
        <v>5139</v>
      </c>
      <c r="D1898" s="47" t="s">
        <v>12479</v>
      </c>
      <c r="E1898" s="47" t="s">
        <v>2113</v>
      </c>
      <c r="F1898" s="55" t="b">
        <v>1</v>
      </c>
      <c r="G1898" s="54" t="b">
        <v>1</v>
      </c>
      <c r="H1898" s="54" t="b">
        <v>1</v>
      </c>
      <c r="I1898" s="65" t="b">
        <v>0</v>
      </c>
      <c r="J1898" s="54" t="b">
        <v>1</v>
      </c>
      <c r="K1898" s="63" t="s">
        <v>749</v>
      </c>
      <c r="L1898" s="63" t="s">
        <v>5139</v>
      </c>
      <c r="M1898" s="63" t="s">
        <v>5140</v>
      </c>
      <c r="N1898" s="63" t="s">
        <v>2113</v>
      </c>
    </row>
    <row r="1899" spans="1:14" x14ac:dyDescent="0.2">
      <c r="A1899" s="51">
        <v>1898</v>
      </c>
      <c r="B1899" s="54" t="s">
        <v>749</v>
      </c>
      <c r="C1899" s="47" t="s">
        <v>5137</v>
      </c>
      <c r="D1899" s="47" t="s">
        <v>5138</v>
      </c>
      <c r="E1899" s="47" t="s">
        <v>2113</v>
      </c>
      <c r="F1899" s="55" t="b">
        <v>1</v>
      </c>
      <c r="G1899" s="54" t="b">
        <v>1</v>
      </c>
      <c r="H1899" s="54" t="b">
        <v>1</v>
      </c>
      <c r="I1899" s="54" t="b">
        <v>1</v>
      </c>
      <c r="J1899" s="54" t="b">
        <v>1</v>
      </c>
      <c r="K1899" s="63" t="s">
        <v>749</v>
      </c>
      <c r="L1899" s="63" t="s">
        <v>5137</v>
      </c>
      <c r="M1899" s="63" t="s">
        <v>5138</v>
      </c>
      <c r="N1899" s="63" t="s">
        <v>2113</v>
      </c>
    </row>
    <row r="1900" spans="1:14" x14ac:dyDescent="0.2">
      <c r="A1900" s="51">
        <v>1899</v>
      </c>
      <c r="B1900" s="54" t="s">
        <v>749</v>
      </c>
      <c r="C1900" s="47" t="s">
        <v>5135</v>
      </c>
      <c r="D1900" s="47" t="s">
        <v>5136</v>
      </c>
      <c r="E1900" s="47" t="s">
        <v>2113</v>
      </c>
      <c r="F1900" s="55" t="b">
        <v>1</v>
      </c>
      <c r="G1900" s="54" t="b">
        <v>1</v>
      </c>
      <c r="H1900" s="54" t="b">
        <v>1</v>
      </c>
      <c r="I1900" s="54" t="b">
        <v>1</v>
      </c>
      <c r="J1900" s="54" t="b">
        <v>1</v>
      </c>
      <c r="K1900" s="63" t="s">
        <v>749</v>
      </c>
      <c r="L1900" s="63" t="s">
        <v>5135</v>
      </c>
      <c r="M1900" s="63" t="s">
        <v>5136</v>
      </c>
      <c r="N1900" s="63" t="s">
        <v>2113</v>
      </c>
    </row>
    <row r="1901" spans="1:14" x14ac:dyDescent="0.2">
      <c r="A1901" s="51">
        <v>1900</v>
      </c>
      <c r="B1901" s="54" t="s">
        <v>749</v>
      </c>
      <c r="C1901" s="47" t="s">
        <v>5141</v>
      </c>
      <c r="D1901" s="47" t="s">
        <v>5142</v>
      </c>
      <c r="E1901" s="47" t="s">
        <v>12150</v>
      </c>
      <c r="F1901" s="55" t="b">
        <v>1</v>
      </c>
      <c r="G1901" s="54" t="b">
        <v>1</v>
      </c>
      <c r="H1901" s="54" t="b">
        <v>1</v>
      </c>
      <c r="I1901" s="54" t="b">
        <v>1</v>
      </c>
      <c r="J1901" s="65" t="b">
        <v>0</v>
      </c>
      <c r="K1901" s="63" t="s">
        <v>749</v>
      </c>
      <c r="L1901" s="63" t="s">
        <v>5141</v>
      </c>
      <c r="M1901" s="63" t="s">
        <v>5142</v>
      </c>
      <c r="N1901" s="63" t="s">
        <v>2113</v>
      </c>
    </row>
    <row r="1902" spans="1:14" x14ac:dyDescent="0.2">
      <c r="A1902" s="51">
        <v>1901</v>
      </c>
      <c r="B1902" s="54" t="s">
        <v>749</v>
      </c>
      <c r="C1902" s="47" t="s">
        <v>5143</v>
      </c>
      <c r="D1902" s="47" t="s">
        <v>12480</v>
      </c>
      <c r="E1902" s="47" t="s">
        <v>2113</v>
      </c>
      <c r="F1902" s="55" t="b">
        <v>1</v>
      </c>
      <c r="G1902" s="54" t="b">
        <v>1</v>
      </c>
      <c r="H1902" s="54" t="b">
        <v>1</v>
      </c>
      <c r="I1902" s="65" t="b">
        <v>0</v>
      </c>
      <c r="J1902" s="54" t="b">
        <v>1</v>
      </c>
      <c r="K1902" s="63" t="s">
        <v>749</v>
      </c>
      <c r="L1902" s="63" t="s">
        <v>5143</v>
      </c>
      <c r="M1902" s="63" t="s">
        <v>5144</v>
      </c>
      <c r="N1902" s="63" t="s">
        <v>2113</v>
      </c>
    </row>
    <row r="1903" spans="1:14" x14ac:dyDescent="0.2">
      <c r="A1903" s="51">
        <v>1902</v>
      </c>
      <c r="B1903" s="54" t="s">
        <v>749</v>
      </c>
      <c r="C1903" s="47" t="s">
        <v>5145</v>
      </c>
      <c r="D1903" s="47" t="s">
        <v>12481</v>
      </c>
      <c r="E1903" s="47" t="s">
        <v>2113</v>
      </c>
      <c r="F1903" s="55" t="b">
        <v>1</v>
      </c>
      <c r="G1903" s="54" t="b">
        <v>1</v>
      </c>
      <c r="H1903" s="54" t="b">
        <v>1</v>
      </c>
      <c r="I1903" s="65" t="b">
        <v>0</v>
      </c>
      <c r="J1903" s="54" t="b">
        <v>1</v>
      </c>
      <c r="K1903" s="63" t="s">
        <v>749</v>
      </c>
      <c r="L1903" s="63" t="s">
        <v>5145</v>
      </c>
      <c r="M1903" s="63" t="s">
        <v>5146</v>
      </c>
      <c r="N1903" s="63" t="s">
        <v>2113</v>
      </c>
    </row>
    <row r="1904" spans="1:14" x14ac:dyDescent="0.2">
      <c r="A1904" s="51">
        <v>1903</v>
      </c>
      <c r="B1904" s="54" t="s">
        <v>749</v>
      </c>
      <c r="C1904" s="47" t="s">
        <v>5149</v>
      </c>
      <c r="D1904" s="47" t="s">
        <v>5150</v>
      </c>
      <c r="E1904" s="47" t="s">
        <v>2113</v>
      </c>
      <c r="F1904" s="55" t="b">
        <v>1</v>
      </c>
      <c r="G1904" s="54" t="b">
        <v>1</v>
      </c>
      <c r="H1904" s="54" t="b">
        <v>1</v>
      </c>
      <c r="I1904" s="54" t="b">
        <v>1</v>
      </c>
      <c r="J1904" s="54" t="b">
        <v>1</v>
      </c>
      <c r="K1904" s="63" t="s">
        <v>749</v>
      </c>
      <c r="L1904" s="63" t="s">
        <v>5149</v>
      </c>
      <c r="M1904" s="63" t="s">
        <v>5150</v>
      </c>
      <c r="N1904" s="63" t="s">
        <v>2113</v>
      </c>
    </row>
    <row r="1905" spans="1:14" x14ac:dyDescent="0.2">
      <c r="A1905" s="51">
        <v>1904</v>
      </c>
      <c r="B1905" s="54" t="s">
        <v>749</v>
      </c>
      <c r="C1905" s="47" t="s">
        <v>5147</v>
      </c>
      <c r="D1905" s="47" t="s">
        <v>12482</v>
      </c>
      <c r="E1905" s="47" t="s">
        <v>12150</v>
      </c>
      <c r="F1905" s="55" t="b">
        <v>1</v>
      </c>
      <c r="G1905" s="54" t="b">
        <v>1</v>
      </c>
      <c r="H1905" s="54" t="b">
        <v>1</v>
      </c>
      <c r="I1905" s="65" t="b">
        <v>0</v>
      </c>
      <c r="J1905" s="65" t="b">
        <v>0</v>
      </c>
      <c r="K1905" s="63" t="s">
        <v>749</v>
      </c>
      <c r="L1905" s="63" t="s">
        <v>5147</v>
      </c>
      <c r="M1905" s="63" t="s">
        <v>5148</v>
      </c>
      <c r="N1905" s="63" t="s">
        <v>5097</v>
      </c>
    </row>
    <row r="1906" spans="1:14" x14ac:dyDescent="0.2">
      <c r="A1906" s="51">
        <v>1905</v>
      </c>
      <c r="B1906" s="54" t="s">
        <v>749</v>
      </c>
      <c r="C1906" s="47" t="s">
        <v>5151</v>
      </c>
      <c r="D1906" s="47" t="s">
        <v>12483</v>
      </c>
      <c r="E1906" s="47" t="s">
        <v>2113</v>
      </c>
      <c r="F1906" s="55" t="b">
        <v>1</v>
      </c>
      <c r="G1906" s="54" t="b">
        <v>1</v>
      </c>
      <c r="H1906" s="54" t="b">
        <v>1</v>
      </c>
      <c r="I1906" s="65" t="b">
        <v>0</v>
      </c>
      <c r="J1906" s="54" t="b">
        <v>1</v>
      </c>
      <c r="K1906" s="63" t="s">
        <v>749</v>
      </c>
      <c r="L1906" s="63" t="s">
        <v>5151</v>
      </c>
      <c r="M1906" s="63" t="s">
        <v>5152</v>
      </c>
      <c r="N1906" s="63" t="s">
        <v>2113</v>
      </c>
    </row>
    <row r="1907" spans="1:14" x14ac:dyDescent="0.2">
      <c r="A1907" s="51">
        <v>1906</v>
      </c>
      <c r="B1907" s="54" t="s">
        <v>749</v>
      </c>
      <c r="C1907" s="47" t="s">
        <v>5153</v>
      </c>
      <c r="D1907" s="47" t="s">
        <v>5154</v>
      </c>
      <c r="E1907" s="47" t="s">
        <v>2113</v>
      </c>
      <c r="F1907" s="55" t="b">
        <v>1</v>
      </c>
      <c r="G1907" s="54" t="b">
        <v>1</v>
      </c>
      <c r="H1907" s="54" t="b">
        <v>1</v>
      </c>
      <c r="I1907" s="54" t="b">
        <v>1</v>
      </c>
      <c r="J1907" s="54" t="b">
        <v>1</v>
      </c>
      <c r="K1907" s="63" t="s">
        <v>749</v>
      </c>
      <c r="L1907" s="63" t="s">
        <v>5153</v>
      </c>
      <c r="M1907" s="63" t="s">
        <v>5154</v>
      </c>
      <c r="N1907" s="63" t="s">
        <v>2113</v>
      </c>
    </row>
    <row r="1908" spans="1:14" x14ac:dyDescent="0.2">
      <c r="A1908" s="51">
        <v>1907</v>
      </c>
      <c r="B1908" s="54" t="s">
        <v>749</v>
      </c>
      <c r="C1908" s="47" t="s">
        <v>12485</v>
      </c>
      <c r="D1908" s="47" t="s">
        <v>12486</v>
      </c>
      <c r="E1908" s="47" t="s">
        <v>2113</v>
      </c>
      <c r="F1908" s="55" t="b">
        <v>1</v>
      </c>
      <c r="G1908" s="65" t="b">
        <v>0</v>
      </c>
      <c r="H1908" s="65" t="b">
        <v>0</v>
      </c>
      <c r="I1908" s="65" t="b">
        <v>0</v>
      </c>
      <c r="J1908" s="65" t="b">
        <v>0</v>
      </c>
    </row>
    <row r="1909" spans="1:14" x14ac:dyDescent="0.2">
      <c r="A1909" s="51">
        <v>1908</v>
      </c>
      <c r="B1909" s="54" t="s">
        <v>749</v>
      </c>
      <c r="C1909" s="47" t="s">
        <v>5155</v>
      </c>
      <c r="D1909" s="47" t="s">
        <v>12484</v>
      </c>
      <c r="E1909" s="47" t="s">
        <v>2113</v>
      </c>
      <c r="F1909" s="55" t="b">
        <v>1</v>
      </c>
      <c r="G1909" s="54" t="b">
        <v>1</v>
      </c>
      <c r="H1909" s="54" t="b">
        <v>1</v>
      </c>
      <c r="I1909" s="65" t="b">
        <v>0</v>
      </c>
      <c r="J1909" s="54" t="b">
        <v>1</v>
      </c>
      <c r="K1909" s="63" t="s">
        <v>749</v>
      </c>
      <c r="L1909" s="63" t="s">
        <v>5155</v>
      </c>
      <c r="M1909" s="63" t="s">
        <v>5156</v>
      </c>
      <c r="N1909" s="63" t="s">
        <v>2113</v>
      </c>
    </row>
    <row r="1910" spans="1:14" x14ac:dyDescent="0.2">
      <c r="A1910" s="51">
        <v>1909</v>
      </c>
      <c r="B1910" s="54" t="s">
        <v>749</v>
      </c>
      <c r="C1910" s="47" t="s">
        <v>5157</v>
      </c>
      <c r="D1910" s="47" t="s">
        <v>5158</v>
      </c>
      <c r="E1910" s="47" t="s">
        <v>2113</v>
      </c>
      <c r="F1910" s="55" t="b">
        <v>1</v>
      </c>
      <c r="G1910" s="54" t="b">
        <v>1</v>
      </c>
      <c r="H1910" s="54" t="b">
        <v>1</v>
      </c>
      <c r="I1910" s="54" t="b">
        <v>1</v>
      </c>
      <c r="J1910" s="54" t="b">
        <v>1</v>
      </c>
      <c r="K1910" s="63" t="s">
        <v>749</v>
      </c>
      <c r="L1910" s="63" t="s">
        <v>5157</v>
      </c>
      <c r="M1910" s="63" t="s">
        <v>5158</v>
      </c>
      <c r="N1910" s="63" t="s">
        <v>2113</v>
      </c>
    </row>
    <row r="1911" spans="1:14" x14ac:dyDescent="0.2">
      <c r="A1911" s="51">
        <v>1910</v>
      </c>
      <c r="B1911" s="54" t="s">
        <v>749</v>
      </c>
      <c r="C1911" s="47" t="s">
        <v>5159</v>
      </c>
      <c r="D1911" s="47" t="s">
        <v>5160</v>
      </c>
      <c r="E1911" s="47" t="s">
        <v>2113</v>
      </c>
      <c r="F1911" s="55" t="b">
        <v>1</v>
      </c>
      <c r="G1911" s="54" t="b">
        <v>1</v>
      </c>
      <c r="H1911" s="54" t="b">
        <v>1</v>
      </c>
      <c r="I1911" s="54" t="b">
        <v>1</v>
      </c>
      <c r="J1911" s="54" t="b">
        <v>1</v>
      </c>
      <c r="K1911" s="63" t="s">
        <v>749</v>
      </c>
      <c r="L1911" s="63" t="s">
        <v>5159</v>
      </c>
      <c r="M1911" s="63" t="s">
        <v>5160</v>
      </c>
      <c r="N1911" s="63" t="s">
        <v>2113</v>
      </c>
    </row>
    <row r="1912" spans="1:14" x14ac:dyDescent="0.2">
      <c r="A1912" s="51">
        <v>1911</v>
      </c>
      <c r="B1912" s="54" t="s">
        <v>749</v>
      </c>
      <c r="C1912" s="47" t="s">
        <v>12487</v>
      </c>
      <c r="D1912" s="47" t="s">
        <v>12488</v>
      </c>
      <c r="E1912" s="47" t="s">
        <v>2113</v>
      </c>
      <c r="F1912" s="55" t="b">
        <v>1</v>
      </c>
      <c r="G1912" s="65" t="b">
        <v>0</v>
      </c>
      <c r="H1912" s="65" t="b">
        <v>0</v>
      </c>
      <c r="I1912" s="65" t="b">
        <v>0</v>
      </c>
      <c r="J1912" s="65" t="b">
        <v>0</v>
      </c>
    </row>
    <row r="1913" spans="1:14" x14ac:dyDescent="0.2">
      <c r="A1913" s="51">
        <v>1912</v>
      </c>
      <c r="B1913" s="54" t="s">
        <v>749</v>
      </c>
      <c r="C1913" s="47" t="s">
        <v>5161</v>
      </c>
      <c r="D1913" s="47" t="s">
        <v>5162</v>
      </c>
      <c r="E1913" s="47" t="s">
        <v>2113</v>
      </c>
      <c r="F1913" s="55" t="b">
        <v>1</v>
      </c>
      <c r="G1913" s="54" t="b">
        <v>1</v>
      </c>
      <c r="H1913" s="54" t="b">
        <v>1</v>
      </c>
      <c r="I1913" s="54" t="b">
        <v>1</v>
      </c>
      <c r="J1913" s="54" t="b">
        <v>1</v>
      </c>
      <c r="K1913" s="63" t="s">
        <v>749</v>
      </c>
      <c r="L1913" s="63" t="s">
        <v>5161</v>
      </c>
      <c r="M1913" s="63" t="s">
        <v>5162</v>
      </c>
      <c r="N1913" s="63" t="s">
        <v>2113</v>
      </c>
    </row>
    <row r="1914" spans="1:14" x14ac:dyDescent="0.2">
      <c r="A1914" s="51">
        <v>1913</v>
      </c>
      <c r="B1914" s="54" t="s">
        <v>751</v>
      </c>
      <c r="C1914" s="47" t="s">
        <v>5163</v>
      </c>
      <c r="D1914" s="47" t="s">
        <v>5164</v>
      </c>
      <c r="E1914" s="47" t="s">
        <v>5244</v>
      </c>
      <c r="F1914" s="55" t="b">
        <v>1</v>
      </c>
      <c r="G1914" s="54" t="b">
        <v>1</v>
      </c>
      <c r="H1914" s="54" t="b">
        <v>1</v>
      </c>
      <c r="I1914" s="54" t="b">
        <v>1</v>
      </c>
      <c r="J1914" s="65" t="b">
        <v>0</v>
      </c>
      <c r="K1914" s="63" t="s">
        <v>751</v>
      </c>
      <c r="L1914" s="63" t="s">
        <v>5163</v>
      </c>
      <c r="M1914" s="63" t="s">
        <v>5164</v>
      </c>
      <c r="N1914" s="63" t="s">
        <v>5165</v>
      </c>
    </row>
    <row r="1915" spans="1:14" x14ac:dyDescent="0.2">
      <c r="A1915" s="51">
        <v>1914</v>
      </c>
      <c r="B1915" s="54" t="s">
        <v>751</v>
      </c>
      <c r="C1915" s="47" t="s">
        <v>5166</v>
      </c>
      <c r="D1915" s="47" t="s">
        <v>5167</v>
      </c>
      <c r="E1915" s="47" t="s">
        <v>1719</v>
      </c>
      <c r="F1915" s="55" t="b">
        <v>1</v>
      </c>
      <c r="G1915" s="54" t="b">
        <v>1</v>
      </c>
      <c r="H1915" s="54" t="b">
        <v>1</v>
      </c>
      <c r="I1915" s="54" t="b">
        <v>1</v>
      </c>
      <c r="J1915" s="54" t="b">
        <v>1</v>
      </c>
      <c r="K1915" s="63" t="s">
        <v>751</v>
      </c>
      <c r="L1915" s="63" t="s">
        <v>5166</v>
      </c>
      <c r="M1915" s="63" t="s">
        <v>5167</v>
      </c>
      <c r="N1915" s="63" t="s">
        <v>1719</v>
      </c>
    </row>
    <row r="1916" spans="1:14" x14ac:dyDescent="0.2">
      <c r="A1916" s="51">
        <v>1915</v>
      </c>
      <c r="B1916" s="54" t="s">
        <v>751</v>
      </c>
      <c r="C1916" s="47" t="s">
        <v>5168</v>
      </c>
      <c r="D1916" s="47" t="s">
        <v>12492</v>
      </c>
      <c r="E1916" s="47" t="s">
        <v>1719</v>
      </c>
      <c r="F1916" s="55" t="b">
        <v>1</v>
      </c>
      <c r="G1916" s="54" t="b">
        <v>1</v>
      </c>
      <c r="H1916" s="54" t="b">
        <v>1</v>
      </c>
      <c r="I1916" s="65" t="b">
        <v>0</v>
      </c>
      <c r="J1916" s="54" t="b">
        <v>1</v>
      </c>
      <c r="K1916" s="63" t="s">
        <v>751</v>
      </c>
      <c r="L1916" s="63" t="s">
        <v>5168</v>
      </c>
      <c r="M1916" s="63" t="s">
        <v>5169</v>
      </c>
      <c r="N1916" s="63" t="s">
        <v>1719</v>
      </c>
    </row>
    <row r="1917" spans="1:14" x14ac:dyDescent="0.2">
      <c r="A1917" s="51">
        <v>1916</v>
      </c>
      <c r="B1917" s="54" t="s">
        <v>751</v>
      </c>
      <c r="C1917" s="47" t="s">
        <v>5172</v>
      </c>
      <c r="D1917" s="47" t="s">
        <v>5173</v>
      </c>
      <c r="E1917" s="47" t="s">
        <v>1719</v>
      </c>
      <c r="F1917" s="55" t="b">
        <v>1</v>
      </c>
      <c r="G1917" s="54" t="b">
        <v>1</v>
      </c>
      <c r="H1917" s="54" t="b">
        <v>1</v>
      </c>
      <c r="I1917" s="54" t="b">
        <v>1</v>
      </c>
      <c r="J1917" s="54" t="b">
        <v>1</v>
      </c>
      <c r="K1917" s="63" t="s">
        <v>751</v>
      </c>
      <c r="L1917" s="63" t="s">
        <v>5172</v>
      </c>
      <c r="M1917" s="63" t="s">
        <v>5173</v>
      </c>
      <c r="N1917" s="63" t="s">
        <v>1719</v>
      </c>
    </row>
    <row r="1918" spans="1:14" x14ac:dyDescent="0.2">
      <c r="A1918" s="51">
        <v>1917</v>
      </c>
      <c r="B1918" s="54" t="s">
        <v>751</v>
      </c>
      <c r="C1918" s="47" t="s">
        <v>5170</v>
      </c>
      <c r="D1918" s="47" t="s">
        <v>5171</v>
      </c>
      <c r="E1918" s="47" t="s">
        <v>1719</v>
      </c>
      <c r="F1918" s="55" t="b">
        <v>1</v>
      </c>
      <c r="G1918" s="54" t="b">
        <v>1</v>
      </c>
      <c r="H1918" s="54" t="b">
        <v>1</v>
      </c>
      <c r="I1918" s="54" t="b">
        <v>1</v>
      </c>
      <c r="J1918" s="54" t="b">
        <v>1</v>
      </c>
      <c r="K1918" s="63" t="s">
        <v>751</v>
      </c>
      <c r="L1918" s="63" t="s">
        <v>5170</v>
      </c>
      <c r="M1918" s="63" t="s">
        <v>5171</v>
      </c>
      <c r="N1918" s="63" t="s">
        <v>1719</v>
      </c>
    </row>
    <row r="1919" spans="1:14" x14ac:dyDescent="0.2">
      <c r="A1919" s="51">
        <v>1918</v>
      </c>
      <c r="B1919" s="54" t="s">
        <v>751</v>
      </c>
      <c r="C1919" s="47" t="s">
        <v>5174</v>
      </c>
      <c r="D1919" s="47" t="s">
        <v>5175</v>
      </c>
      <c r="E1919" s="47" t="s">
        <v>1719</v>
      </c>
      <c r="F1919" s="55" t="b">
        <v>1</v>
      </c>
      <c r="G1919" s="54" t="b">
        <v>1</v>
      </c>
      <c r="H1919" s="54" t="b">
        <v>1</v>
      </c>
      <c r="I1919" s="54" t="b">
        <v>1</v>
      </c>
      <c r="J1919" s="54" t="b">
        <v>1</v>
      </c>
      <c r="K1919" s="63" t="s">
        <v>751</v>
      </c>
      <c r="L1919" s="63" t="s">
        <v>5174</v>
      </c>
      <c r="M1919" s="63" t="s">
        <v>5175</v>
      </c>
      <c r="N1919" s="63" t="s">
        <v>1719</v>
      </c>
    </row>
    <row r="1920" spans="1:14" x14ac:dyDescent="0.2">
      <c r="A1920" s="51">
        <v>1919</v>
      </c>
      <c r="G1920" s="65" t="b">
        <v>0</v>
      </c>
      <c r="H1920" s="65" t="b">
        <v>0</v>
      </c>
      <c r="I1920" s="65" t="b">
        <v>0</v>
      </c>
      <c r="J1920" s="65" t="b">
        <v>0</v>
      </c>
      <c r="K1920" s="63" t="s">
        <v>751</v>
      </c>
      <c r="L1920" s="63" t="s">
        <v>5215</v>
      </c>
      <c r="M1920" s="63" t="s">
        <v>5216</v>
      </c>
      <c r="N1920" s="63" t="s">
        <v>5183</v>
      </c>
    </row>
    <row r="1921" spans="1:14" x14ac:dyDescent="0.2">
      <c r="A1921" s="51">
        <v>1920</v>
      </c>
      <c r="B1921" s="54" t="s">
        <v>751</v>
      </c>
      <c r="C1921" s="47" t="s">
        <v>5179</v>
      </c>
      <c r="D1921" s="47" t="s">
        <v>5180</v>
      </c>
      <c r="E1921" s="47" t="s">
        <v>1719</v>
      </c>
      <c r="F1921" s="55" t="b">
        <v>1</v>
      </c>
      <c r="G1921" s="54" t="b">
        <v>1</v>
      </c>
      <c r="H1921" s="54" t="b">
        <v>1</v>
      </c>
      <c r="I1921" s="54" t="b">
        <v>1</v>
      </c>
      <c r="J1921" s="54" t="b">
        <v>1</v>
      </c>
      <c r="K1921" s="63" t="s">
        <v>751</v>
      </c>
      <c r="L1921" s="63" t="s">
        <v>5179</v>
      </c>
      <c r="M1921" s="63" t="s">
        <v>5180</v>
      </c>
      <c r="N1921" s="63" t="s">
        <v>1719</v>
      </c>
    </row>
    <row r="1922" spans="1:14" x14ac:dyDescent="0.2">
      <c r="A1922" s="51">
        <v>1921</v>
      </c>
      <c r="B1922" s="54" t="s">
        <v>751</v>
      </c>
      <c r="C1922" s="47" t="s">
        <v>5184</v>
      </c>
      <c r="D1922" s="47" t="s">
        <v>5185</v>
      </c>
      <c r="E1922" s="47" t="s">
        <v>1719</v>
      </c>
      <c r="F1922" s="55" t="b">
        <v>1</v>
      </c>
      <c r="G1922" s="54" t="b">
        <v>1</v>
      </c>
      <c r="H1922" s="54" t="b">
        <v>1</v>
      </c>
      <c r="I1922" s="54" t="b">
        <v>1</v>
      </c>
      <c r="J1922" s="54" t="b">
        <v>1</v>
      </c>
      <c r="K1922" s="63" t="s">
        <v>751</v>
      </c>
      <c r="L1922" s="63" t="s">
        <v>5184</v>
      </c>
      <c r="M1922" s="63" t="s">
        <v>5185</v>
      </c>
      <c r="N1922" s="63" t="s">
        <v>1719</v>
      </c>
    </row>
    <row r="1923" spans="1:14" x14ac:dyDescent="0.2">
      <c r="A1923" s="51">
        <v>1922</v>
      </c>
      <c r="B1923" s="54" t="s">
        <v>751</v>
      </c>
      <c r="C1923" s="47" t="s">
        <v>5188</v>
      </c>
      <c r="D1923" s="47" t="s">
        <v>5189</v>
      </c>
      <c r="E1923" s="47" t="s">
        <v>1719</v>
      </c>
      <c r="F1923" s="55" t="b">
        <v>1</v>
      </c>
      <c r="G1923" s="54" t="b">
        <v>1</v>
      </c>
      <c r="H1923" s="54" t="b">
        <v>1</v>
      </c>
      <c r="I1923" s="54" t="b">
        <v>1</v>
      </c>
      <c r="J1923" s="54" t="b">
        <v>1</v>
      </c>
      <c r="K1923" s="63" t="s">
        <v>751</v>
      </c>
      <c r="L1923" s="63" t="s">
        <v>5188</v>
      </c>
      <c r="M1923" s="63" t="s">
        <v>5189</v>
      </c>
      <c r="N1923" s="63" t="s">
        <v>1719</v>
      </c>
    </row>
    <row r="1924" spans="1:14" x14ac:dyDescent="0.2">
      <c r="A1924" s="51">
        <v>1923</v>
      </c>
      <c r="B1924" s="54" t="s">
        <v>751</v>
      </c>
      <c r="C1924" s="47" t="s">
        <v>5176</v>
      </c>
      <c r="D1924" s="47" t="s">
        <v>12489</v>
      </c>
      <c r="E1924" s="47" t="s">
        <v>5178</v>
      </c>
      <c r="F1924" s="55" t="b">
        <v>1</v>
      </c>
      <c r="G1924" s="54" t="b">
        <v>1</v>
      </c>
      <c r="H1924" s="54" t="b">
        <v>1</v>
      </c>
      <c r="I1924" s="65" t="b">
        <v>0</v>
      </c>
      <c r="J1924" s="54" t="b">
        <v>1</v>
      </c>
      <c r="K1924" s="63" t="s">
        <v>751</v>
      </c>
      <c r="L1924" s="63" t="s">
        <v>5176</v>
      </c>
      <c r="M1924" s="63" t="s">
        <v>5177</v>
      </c>
      <c r="N1924" s="63" t="s">
        <v>5178</v>
      </c>
    </row>
    <row r="1925" spans="1:14" x14ac:dyDescent="0.2">
      <c r="A1925" s="51">
        <v>1924</v>
      </c>
      <c r="B1925" s="54" t="s">
        <v>751</v>
      </c>
      <c r="C1925" s="47" t="s">
        <v>5186</v>
      </c>
      <c r="D1925" s="47" t="s">
        <v>5187</v>
      </c>
      <c r="E1925" s="47" t="s">
        <v>1719</v>
      </c>
      <c r="F1925" s="55" t="b">
        <v>1</v>
      </c>
      <c r="G1925" s="54" t="b">
        <v>1</v>
      </c>
      <c r="H1925" s="54" t="b">
        <v>1</v>
      </c>
      <c r="I1925" s="54" t="b">
        <v>1</v>
      </c>
      <c r="J1925" s="54" t="b">
        <v>1</v>
      </c>
      <c r="K1925" s="63" t="s">
        <v>751</v>
      </c>
      <c r="L1925" s="63" t="s">
        <v>5186</v>
      </c>
      <c r="M1925" s="63" t="s">
        <v>5187</v>
      </c>
      <c r="N1925" s="63" t="s">
        <v>1719</v>
      </c>
    </row>
    <row r="1926" spans="1:14" x14ac:dyDescent="0.2">
      <c r="A1926" s="51">
        <v>1925</v>
      </c>
      <c r="B1926" s="54" t="s">
        <v>751</v>
      </c>
      <c r="C1926" s="47" t="s">
        <v>5181</v>
      </c>
      <c r="D1926" s="47" t="s">
        <v>5182</v>
      </c>
      <c r="E1926" s="48" t="s">
        <v>5183</v>
      </c>
      <c r="F1926" s="66" t="b">
        <v>0</v>
      </c>
      <c r="G1926" s="54" t="b">
        <v>1</v>
      </c>
      <c r="H1926" s="54" t="b">
        <v>1</v>
      </c>
      <c r="I1926" s="54" t="b">
        <v>1</v>
      </c>
      <c r="J1926" s="54" t="b">
        <v>1</v>
      </c>
      <c r="K1926" s="63" t="s">
        <v>751</v>
      </c>
      <c r="L1926" s="63" t="s">
        <v>5181</v>
      </c>
      <c r="M1926" s="63" t="s">
        <v>5182</v>
      </c>
      <c r="N1926" s="63" t="s">
        <v>5183</v>
      </c>
    </row>
    <row r="1927" spans="1:14" x14ac:dyDescent="0.2">
      <c r="A1927" s="51">
        <v>1926</v>
      </c>
      <c r="B1927" s="54" t="s">
        <v>751</v>
      </c>
      <c r="C1927" s="47" t="s">
        <v>5190</v>
      </c>
      <c r="D1927" s="47" t="s">
        <v>5191</v>
      </c>
      <c r="E1927" s="48" t="s">
        <v>5183</v>
      </c>
      <c r="F1927" s="66" t="b">
        <v>0</v>
      </c>
      <c r="G1927" s="54" t="b">
        <v>1</v>
      </c>
      <c r="H1927" s="54" t="b">
        <v>1</v>
      </c>
      <c r="I1927" s="54" t="b">
        <v>1</v>
      </c>
      <c r="J1927" s="54" t="b">
        <v>1</v>
      </c>
      <c r="K1927" s="63" t="s">
        <v>751</v>
      </c>
      <c r="L1927" s="63" t="s">
        <v>5190</v>
      </c>
      <c r="M1927" s="63" t="s">
        <v>5191</v>
      </c>
      <c r="N1927" s="63" t="s">
        <v>5183</v>
      </c>
    </row>
    <row r="1928" spans="1:14" x14ac:dyDescent="0.2">
      <c r="A1928" s="51">
        <v>1927</v>
      </c>
      <c r="B1928" s="54" t="s">
        <v>751</v>
      </c>
      <c r="C1928" s="47" t="s">
        <v>5192</v>
      </c>
      <c r="D1928" s="47" t="s">
        <v>5193</v>
      </c>
      <c r="E1928" s="47" t="s">
        <v>1719</v>
      </c>
      <c r="F1928" s="55" t="b">
        <v>1</v>
      </c>
      <c r="G1928" s="54" t="b">
        <v>1</v>
      </c>
      <c r="H1928" s="54" t="b">
        <v>1</v>
      </c>
      <c r="I1928" s="54" t="b">
        <v>1</v>
      </c>
      <c r="J1928" s="54" t="b">
        <v>1</v>
      </c>
      <c r="K1928" s="63" t="s">
        <v>751</v>
      </c>
      <c r="L1928" s="63" t="s">
        <v>5192</v>
      </c>
      <c r="M1928" s="63" t="s">
        <v>5193</v>
      </c>
      <c r="N1928" s="63" t="s">
        <v>1719</v>
      </c>
    </row>
    <row r="1929" spans="1:14" x14ac:dyDescent="0.2">
      <c r="A1929" s="51">
        <v>1928</v>
      </c>
      <c r="B1929" s="54" t="s">
        <v>751</v>
      </c>
      <c r="C1929" s="47" t="s">
        <v>5198</v>
      </c>
      <c r="D1929" s="47" t="s">
        <v>5199</v>
      </c>
      <c r="E1929" s="47" t="s">
        <v>1719</v>
      </c>
      <c r="F1929" s="55" t="b">
        <v>1</v>
      </c>
      <c r="G1929" s="54" t="b">
        <v>1</v>
      </c>
      <c r="H1929" s="54" t="b">
        <v>1</v>
      </c>
      <c r="I1929" s="54" t="b">
        <v>1</v>
      </c>
      <c r="J1929" s="54" t="b">
        <v>1</v>
      </c>
      <c r="K1929" s="63" t="s">
        <v>751</v>
      </c>
      <c r="L1929" s="63" t="s">
        <v>5198</v>
      </c>
      <c r="M1929" s="63" t="s">
        <v>5199</v>
      </c>
      <c r="N1929" s="63" t="s">
        <v>1719</v>
      </c>
    </row>
    <row r="1930" spans="1:14" x14ac:dyDescent="0.2">
      <c r="A1930" s="51">
        <v>1929</v>
      </c>
      <c r="B1930" s="54" t="s">
        <v>751</v>
      </c>
      <c r="C1930" s="47" t="s">
        <v>5200</v>
      </c>
      <c r="D1930" s="47" t="s">
        <v>5201</v>
      </c>
      <c r="E1930" s="47" t="s">
        <v>1719</v>
      </c>
      <c r="F1930" s="55" t="b">
        <v>1</v>
      </c>
      <c r="G1930" s="54" t="b">
        <v>1</v>
      </c>
      <c r="H1930" s="54" t="b">
        <v>1</v>
      </c>
      <c r="I1930" s="54" t="b">
        <v>1</v>
      </c>
      <c r="J1930" s="54" t="b">
        <v>1</v>
      </c>
      <c r="K1930" s="63" t="s">
        <v>751</v>
      </c>
      <c r="L1930" s="63" t="s">
        <v>5200</v>
      </c>
      <c r="M1930" s="63" t="s">
        <v>5201</v>
      </c>
      <c r="N1930" s="63" t="s">
        <v>1719</v>
      </c>
    </row>
    <row r="1931" spans="1:14" x14ac:dyDescent="0.2">
      <c r="A1931" s="51">
        <v>1930</v>
      </c>
      <c r="B1931" s="54" t="s">
        <v>751</v>
      </c>
      <c r="C1931" s="47" t="s">
        <v>5194</v>
      </c>
      <c r="D1931" s="47" t="s">
        <v>5195</v>
      </c>
      <c r="E1931" s="47" t="s">
        <v>1719</v>
      </c>
      <c r="F1931" s="55" t="b">
        <v>1</v>
      </c>
      <c r="G1931" s="54" t="b">
        <v>1</v>
      </c>
      <c r="H1931" s="54" t="b">
        <v>1</v>
      </c>
      <c r="I1931" s="54" t="b">
        <v>1</v>
      </c>
      <c r="J1931" s="54" t="b">
        <v>1</v>
      </c>
      <c r="K1931" s="63" t="s">
        <v>751</v>
      </c>
      <c r="L1931" s="63" t="s">
        <v>5194</v>
      </c>
      <c r="M1931" s="63" t="s">
        <v>5195</v>
      </c>
      <c r="N1931" s="63" t="s">
        <v>1719</v>
      </c>
    </row>
    <row r="1932" spans="1:14" x14ac:dyDescent="0.2">
      <c r="A1932" s="51">
        <v>1931</v>
      </c>
      <c r="B1932" s="54" t="s">
        <v>751</v>
      </c>
      <c r="C1932" s="47" t="s">
        <v>5196</v>
      </c>
      <c r="D1932" s="47" t="s">
        <v>5197</v>
      </c>
      <c r="E1932" s="47" t="s">
        <v>1719</v>
      </c>
      <c r="F1932" s="55" t="b">
        <v>1</v>
      </c>
      <c r="G1932" s="54" t="b">
        <v>1</v>
      </c>
      <c r="H1932" s="54" t="b">
        <v>1</v>
      </c>
      <c r="I1932" s="54" t="b">
        <v>1</v>
      </c>
      <c r="J1932" s="54" t="b">
        <v>1</v>
      </c>
      <c r="K1932" s="63" t="s">
        <v>751</v>
      </c>
      <c r="L1932" s="63" t="s">
        <v>5196</v>
      </c>
      <c r="M1932" s="63" t="s">
        <v>5197</v>
      </c>
      <c r="N1932" s="63" t="s">
        <v>1719</v>
      </c>
    </row>
    <row r="1933" spans="1:14" x14ac:dyDescent="0.2">
      <c r="A1933" s="51">
        <v>1932</v>
      </c>
      <c r="B1933" s="54" t="s">
        <v>751</v>
      </c>
      <c r="C1933" s="47" t="s">
        <v>12490</v>
      </c>
      <c r="D1933" s="47" t="s">
        <v>12491</v>
      </c>
      <c r="E1933" s="47" t="s">
        <v>1719</v>
      </c>
      <c r="F1933" s="55" t="b">
        <v>1</v>
      </c>
      <c r="G1933" s="65" t="b">
        <v>0</v>
      </c>
      <c r="H1933" s="65" t="b">
        <v>0</v>
      </c>
      <c r="I1933" s="65" t="b">
        <v>0</v>
      </c>
      <c r="J1933" s="65" t="b">
        <v>0</v>
      </c>
    </row>
    <row r="1934" spans="1:14" x14ac:dyDescent="0.2">
      <c r="A1934" s="51">
        <v>1933</v>
      </c>
      <c r="B1934" s="54" t="s">
        <v>751</v>
      </c>
      <c r="C1934" s="47" t="s">
        <v>5202</v>
      </c>
      <c r="D1934" s="47" t="s">
        <v>5203</v>
      </c>
      <c r="E1934" s="47" t="s">
        <v>1719</v>
      </c>
      <c r="F1934" s="55" t="b">
        <v>1</v>
      </c>
      <c r="G1934" s="54" t="b">
        <v>1</v>
      </c>
      <c r="H1934" s="54" t="b">
        <v>1</v>
      </c>
      <c r="I1934" s="54" t="b">
        <v>1</v>
      </c>
      <c r="J1934" s="54" t="b">
        <v>1</v>
      </c>
      <c r="K1934" s="63" t="s">
        <v>751</v>
      </c>
      <c r="L1934" s="63" t="s">
        <v>5202</v>
      </c>
      <c r="M1934" s="63" t="s">
        <v>5203</v>
      </c>
      <c r="N1934" s="63" t="s">
        <v>1719</v>
      </c>
    </row>
    <row r="1935" spans="1:14" x14ac:dyDescent="0.2">
      <c r="A1935" s="51">
        <v>1934</v>
      </c>
      <c r="B1935" s="54" t="s">
        <v>751</v>
      </c>
      <c r="C1935" s="47" t="s">
        <v>5204</v>
      </c>
      <c r="D1935" s="47" t="s">
        <v>5205</v>
      </c>
      <c r="E1935" s="47" t="s">
        <v>1719</v>
      </c>
      <c r="F1935" s="55" t="b">
        <v>1</v>
      </c>
      <c r="G1935" s="54" t="b">
        <v>1</v>
      </c>
      <c r="H1935" s="54" t="b">
        <v>1</v>
      </c>
      <c r="I1935" s="54" t="b">
        <v>1</v>
      </c>
      <c r="J1935" s="54" t="b">
        <v>1</v>
      </c>
      <c r="K1935" s="63" t="s">
        <v>751</v>
      </c>
      <c r="L1935" s="63" t="s">
        <v>5204</v>
      </c>
      <c r="M1935" s="63" t="s">
        <v>5205</v>
      </c>
      <c r="N1935" s="63" t="s">
        <v>1719</v>
      </c>
    </row>
    <row r="1936" spans="1:14" x14ac:dyDescent="0.2">
      <c r="A1936" s="51">
        <v>1935</v>
      </c>
      <c r="B1936" s="54" t="s">
        <v>751</v>
      </c>
      <c r="C1936" s="47" t="s">
        <v>5206</v>
      </c>
      <c r="D1936" s="47" t="s">
        <v>5205</v>
      </c>
      <c r="E1936" s="48" t="s">
        <v>5183</v>
      </c>
      <c r="F1936" s="66" t="b">
        <v>0</v>
      </c>
      <c r="G1936" s="54" t="b">
        <v>1</v>
      </c>
      <c r="H1936" s="54" t="b">
        <v>1</v>
      </c>
      <c r="I1936" s="54" t="b">
        <v>1</v>
      </c>
      <c r="J1936" s="54" t="b">
        <v>1</v>
      </c>
      <c r="K1936" s="63" t="s">
        <v>751</v>
      </c>
      <c r="L1936" s="63" t="s">
        <v>5206</v>
      </c>
      <c r="M1936" s="63" t="s">
        <v>5205</v>
      </c>
      <c r="N1936" s="63" t="s">
        <v>5183</v>
      </c>
    </row>
    <row r="1937" spans="1:14" x14ac:dyDescent="0.2">
      <c r="A1937" s="51">
        <v>1936</v>
      </c>
      <c r="B1937" s="54" t="s">
        <v>751</v>
      </c>
      <c r="C1937" s="47" t="s">
        <v>5207</v>
      </c>
      <c r="D1937" s="47" t="s">
        <v>5208</v>
      </c>
      <c r="E1937" s="47" t="s">
        <v>1719</v>
      </c>
      <c r="F1937" s="55" t="b">
        <v>1</v>
      </c>
      <c r="G1937" s="54" t="b">
        <v>1</v>
      </c>
      <c r="H1937" s="54" t="b">
        <v>1</v>
      </c>
      <c r="I1937" s="54" t="b">
        <v>1</v>
      </c>
      <c r="J1937" s="54" t="b">
        <v>1</v>
      </c>
      <c r="K1937" s="63" t="s">
        <v>751</v>
      </c>
      <c r="L1937" s="63" t="s">
        <v>5207</v>
      </c>
      <c r="M1937" s="63" t="s">
        <v>5208</v>
      </c>
      <c r="N1937" s="63" t="s">
        <v>1719</v>
      </c>
    </row>
    <row r="1938" spans="1:14" x14ac:dyDescent="0.2">
      <c r="A1938" s="51">
        <v>1937</v>
      </c>
      <c r="B1938" s="54" t="s">
        <v>751</v>
      </c>
      <c r="C1938" s="47" t="s">
        <v>5211</v>
      </c>
      <c r="D1938" s="47" t="s">
        <v>5212</v>
      </c>
      <c r="E1938" s="47" t="s">
        <v>1719</v>
      </c>
      <c r="F1938" s="55" t="b">
        <v>1</v>
      </c>
      <c r="G1938" s="54" t="b">
        <v>1</v>
      </c>
      <c r="H1938" s="54" t="b">
        <v>1</v>
      </c>
      <c r="I1938" s="54" t="b">
        <v>1</v>
      </c>
      <c r="J1938" s="54" t="b">
        <v>1</v>
      </c>
      <c r="K1938" s="63" t="s">
        <v>751</v>
      </c>
      <c r="L1938" s="63" t="s">
        <v>5211</v>
      </c>
      <c r="M1938" s="63" t="s">
        <v>5212</v>
      </c>
      <c r="N1938" s="63" t="s">
        <v>1719</v>
      </c>
    </row>
    <row r="1939" spans="1:14" x14ac:dyDescent="0.2">
      <c r="A1939" s="51">
        <v>1938</v>
      </c>
      <c r="B1939" s="54" t="s">
        <v>751</v>
      </c>
      <c r="C1939" s="47" t="s">
        <v>5213</v>
      </c>
      <c r="D1939" s="47" t="s">
        <v>5214</v>
      </c>
      <c r="E1939" s="47" t="s">
        <v>1719</v>
      </c>
      <c r="F1939" s="55" t="b">
        <v>1</v>
      </c>
      <c r="G1939" s="54" t="b">
        <v>1</v>
      </c>
      <c r="H1939" s="54" t="b">
        <v>1</v>
      </c>
      <c r="I1939" s="54" t="b">
        <v>1</v>
      </c>
      <c r="J1939" s="54" t="b">
        <v>1</v>
      </c>
      <c r="K1939" s="63" t="s">
        <v>751</v>
      </c>
      <c r="L1939" s="63" t="s">
        <v>5213</v>
      </c>
      <c r="M1939" s="63" t="s">
        <v>5214</v>
      </c>
      <c r="N1939" s="63" t="s">
        <v>1719</v>
      </c>
    </row>
    <row r="1940" spans="1:14" x14ac:dyDescent="0.2">
      <c r="A1940" s="51">
        <v>1939</v>
      </c>
      <c r="B1940" s="54" t="s">
        <v>751</v>
      </c>
      <c r="C1940" s="47" t="s">
        <v>5209</v>
      </c>
      <c r="D1940" s="47" t="s">
        <v>5210</v>
      </c>
      <c r="E1940" s="48" t="s">
        <v>5183</v>
      </c>
      <c r="F1940" s="66" t="b">
        <v>0</v>
      </c>
      <c r="G1940" s="54" t="b">
        <v>1</v>
      </c>
      <c r="H1940" s="54" t="b">
        <v>1</v>
      </c>
      <c r="I1940" s="54" t="b">
        <v>1</v>
      </c>
      <c r="J1940" s="54" t="b">
        <v>1</v>
      </c>
      <c r="K1940" s="63" t="s">
        <v>751</v>
      </c>
      <c r="L1940" s="63" t="s">
        <v>5209</v>
      </c>
      <c r="M1940" s="63" t="s">
        <v>5210</v>
      </c>
      <c r="N1940" s="63" t="s">
        <v>5183</v>
      </c>
    </row>
    <row r="1941" spans="1:14" x14ac:dyDescent="0.2">
      <c r="A1941" s="51">
        <v>1940</v>
      </c>
      <c r="B1941" s="54" t="s">
        <v>751</v>
      </c>
      <c r="C1941" s="47" t="s">
        <v>5217</v>
      </c>
      <c r="D1941" s="47" t="s">
        <v>5216</v>
      </c>
      <c r="E1941" s="47" t="s">
        <v>1719</v>
      </c>
      <c r="F1941" s="55" t="b">
        <v>1</v>
      </c>
      <c r="G1941" s="54" t="b">
        <v>1</v>
      </c>
      <c r="H1941" s="54" t="b">
        <v>1</v>
      </c>
      <c r="I1941" s="54" t="b">
        <v>1</v>
      </c>
      <c r="J1941" s="54" t="b">
        <v>1</v>
      </c>
      <c r="K1941" s="63" t="s">
        <v>751</v>
      </c>
      <c r="L1941" s="63" t="s">
        <v>5217</v>
      </c>
      <c r="M1941" s="63" t="s">
        <v>5216</v>
      </c>
      <c r="N1941" s="63" t="s">
        <v>1719</v>
      </c>
    </row>
    <row r="1942" spans="1:14" x14ac:dyDescent="0.2">
      <c r="A1942" s="51">
        <v>1941</v>
      </c>
      <c r="B1942" s="54" t="s">
        <v>751</v>
      </c>
      <c r="C1942" s="47" t="s">
        <v>5218</v>
      </c>
      <c r="D1942" s="47" t="s">
        <v>5219</v>
      </c>
      <c r="E1942" s="47" t="s">
        <v>1719</v>
      </c>
      <c r="F1942" s="55" t="b">
        <v>1</v>
      </c>
      <c r="G1942" s="54" t="b">
        <v>1</v>
      </c>
      <c r="H1942" s="54" t="b">
        <v>1</v>
      </c>
      <c r="I1942" s="54" t="b">
        <v>1</v>
      </c>
      <c r="J1942" s="54" t="b">
        <v>1</v>
      </c>
      <c r="K1942" s="63" t="s">
        <v>751</v>
      </c>
      <c r="L1942" s="63" t="s">
        <v>5218</v>
      </c>
      <c r="M1942" s="63" t="s">
        <v>5219</v>
      </c>
      <c r="N1942" s="63" t="s">
        <v>1719</v>
      </c>
    </row>
    <row r="1943" spans="1:14" x14ac:dyDescent="0.2">
      <c r="A1943" s="51">
        <v>1942</v>
      </c>
      <c r="B1943" s="54" t="s">
        <v>751</v>
      </c>
      <c r="C1943" s="47" t="s">
        <v>12493</v>
      </c>
      <c r="D1943" s="47" t="s">
        <v>5216</v>
      </c>
      <c r="E1943" s="47" t="s">
        <v>5183</v>
      </c>
      <c r="F1943" s="55" t="b">
        <v>1</v>
      </c>
      <c r="G1943" s="65" t="b">
        <v>0</v>
      </c>
      <c r="H1943" s="65" t="b">
        <v>0</v>
      </c>
      <c r="I1943" s="65" t="b">
        <v>0</v>
      </c>
      <c r="J1943" s="65" t="b">
        <v>0</v>
      </c>
    </row>
    <row r="1944" spans="1:14" x14ac:dyDescent="0.2">
      <c r="A1944" s="51">
        <v>1943</v>
      </c>
      <c r="B1944" s="54" t="s">
        <v>751</v>
      </c>
      <c r="C1944" s="47" t="s">
        <v>5220</v>
      </c>
      <c r="D1944" s="47" t="s">
        <v>5221</v>
      </c>
      <c r="E1944" s="47" t="s">
        <v>1719</v>
      </c>
      <c r="F1944" s="55" t="b">
        <v>1</v>
      </c>
      <c r="G1944" s="54" t="b">
        <v>1</v>
      </c>
      <c r="H1944" s="54" t="b">
        <v>1</v>
      </c>
      <c r="I1944" s="54" t="b">
        <v>1</v>
      </c>
      <c r="J1944" s="54" t="b">
        <v>1</v>
      </c>
      <c r="K1944" s="63" t="s">
        <v>751</v>
      </c>
      <c r="L1944" s="63" t="s">
        <v>5220</v>
      </c>
      <c r="M1944" s="63" t="s">
        <v>5221</v>
      </c>
      <c r="N1944" s="63" t="s">
        <v>1719</v>
      </c>
    </row>
    <row r="1945" spans="1:14" x14ac:dyDescent="0.2">
      <c r="A1945" s="51">
        <v>1944</v>
      </c>
      <c r="B1945" s="54" t="s">
        <v>751</v>
      </c>
      <c r="C1945" s="47" t="s">
        <v>5232</v>
      </c>
      <c r="D1945" s="47" t="s">
        <v>5233</v>
      </c>
      <c r="E1945" s="47" t="s">
        <v>1719</v>
      </c>
      <c r="F1945" s="55" t="b">
        <v>1</v>
      </c>
      <c r="G1945" s="54" t="b">
        <v>1</v>
      </c>
      <c r="H1945" s="54" t="b">
        <v>1</v>
      </c>
      <c r="I1945" s="54" t="b">
        <v>1</v>
      </c>
      <c r="J1945" s="54" t="b">
        <v>1</v>
      </c>
      <c r="K1945" s="63" t="s">
        <v>751</v>
      </c>
      <c r="L1945" s="63" t="s">
        <v>5232</v>
      </c>
      <c r="M1945" s="63" t="s">
        <v>5233</v>
      </c>
      <c r="N1945" s="63" t="s">
        <v>1719</v>
      </c>
    </row>
    <row r="1946" spans="1:14" x14ac:dyDescent="0.2">
      <c r="A1946" s="51">
        <v>1945</v>
      </c>
      <c r="B1946" s="54" t="s">
        <v>751</v>
      </c>
      <c r="C1946" s="47" t="s">
        <v>5236</v>
      </c>
      <c r="D1946" s="47" t="s">
        <v>5237</v>
      </c>
      <c r="E1946" s="47" t="s">
        <v>1719</v>
      </c>
      <c r="F1946" s="55" t="b">
        <v>1</v>
      </c>
      <c r="G1946" s="54" t="b">
        <v>1</v>
      </c>
      <c r="H1946" s="54" t="b">
        <v>1</v>
      </c>
      <c r="I1946" s="54" t="b">
        <v>1</v>
      </c>
      <c r="J1946" s="54" t="b">
        <v>1</v>
      </c>
      <c r="K1946" s="63" t="s">
        <v>751</v>
      </c>
      <c r="L1946" s="63" t="s">
        <v>5236</v>
      </c>
      <c r="M1946" s="63" t="s">
        <v>5237</v>
      </c>
      <c r="N1946" s="63" t="s">
        <v>1719</v>
      </c>
    </row>
    <row r="1947" spans="1:14" x14ac:dyDescent="0.2">
      <c r="A1947" s="51">
        <v>1946</v>
      </c>
      <c r="B1947" s="54" t="s">
        <v>751</v>
      </c>
      <c r="C1947" s="47" t="s">
        <v>5230</v>
      </c>
      <c r="D1947" s="47" t="s">
        <v>5231</v>
      </c>
      <c r="E1947" s="47" t="s">
        <v>1719</v>
      </c>
      <c r="F1947" s="55" t="b">
        <v>1</v>
      </c>
      <c r="G1947" s="54" t="b">
        <v>1</v>
      </c>
      <c r="H1947" s="54" t="b">
        <v>1</v>
      </c>
      <c r="I1947" s="54" t="b">
        <v>1</v>
      </c>
      <c r="J1947" s="54" t="b">
        <v>1</v>
      </c>
      <c r="K1947" s="63" t="s">
        <v>751</v>
      </c>
      <c r="L1947" s="63" t="s">
        <v>5230</v>
      </c>
      <c r="M1947" s="63" t="s">
        <v>5231</v>
      </c>
      <c r="N1947" s="63" t="s">
        <v>1719</v>
      </c>
    </row>
    <row r="1948" spans="1:14" x14ac:dyDescent="0.2">
      <c r="A1948" s="51">
        <v>1947</v>
      </c>
      <c r="B1948" s="54" t="s">
        <v>751</v>
      </c>
      <c r="C1948" s="47" t="s">
        <v>5222</v>
      </c>
      <c r="D1948" s="47" t="s">
        <v>5223</v>
      </c>
      <c r="E1948" s="48" t="s">
        <v>5183</v>
      </c>
      <c r="F1948" s="66" t="b">
        <v>0</v>
      </c>
      <c r="G1948" s="54" t="b">
        <v>1</v>
      </c>
      <c r="H1948" s="54" t="b">
        <v>1</v>
      </c>
      <c r="I1948" s="54" t="b">
        <v>1</v>
      </c>
      <c r="J1948" s="54" t="b">
        <v>1</v>
      </c>
      <c r="K1948" s="63" t="s">
        <v>751</v>
      </c>
      <c r="L1948" s="63" t="s">
        <v>5222</v>
      </c>
      <c r="M1948" s="63" t="s">
        <v>5223</v>
      </c>
      <c r="N1948" s="63" t="s">
        <v>5183</v>
      </c>
    </row>
    <row r="1949" spans="1:14" x14ac:dyDescent="0.2">
      <c r="A1949" s="51">
        <v>1948</v>
      </c>
      <c r="B1949" s="54" t="s">
        <v>751</v>
      </c>
      <c r="C1949" s="47" t="s">
        <v>5234</v>
      </c>
      <c r="D1949" s="47" t="s">
        <v>5235</v>
      </c>
      <c r="E1949" s="48" t="s">
        <v>5183</v>
      </c>
      <c r="F1949" s="66" t="b">
        <v>0</v>
      </c>
      <c r="G1949" s="54" t="b">
        <v>1</v>
      </c>
      <c r="H1949" s="54" t="b">
        <v>1</v>
      </c>
      <c r="I1949" s="54" t="b">
        <v>1</v>
      </c>
      <c r="J1949" s="54" t="b">
        <v>1</v>
      </c>
      <c r="K1949" s="63" t="s">
        <v>751</v>
      </c>
      <c r="L1949" s="63" t="s">
        <v>5234</v>
      </c>
      <c r="M1949" s="63" t="s">
        <v>5235</v>
      </c>
      <c r="N1949" s="63" t="s">
        <v>5183</v>
      </c>
    </row>
    <row r="1950" spans="1:14" x14ac:dyDescent="0.2">
      <c r="A1950" s="51">
        <v>1949</v>
      </c>
      <c r="B1950" s="54" t="s">
        <v>751</v>
      </c>
      <c r="C1950" s="47" t="s">
        <v>5226</v>
      </c>
      <c r="D1950" s="47" t="s">
        <v>5227</v>
      </c>
      <c r="E1950" s="47" t="s">
        <v>1719</v>
      </c>
      <c r="F1950" s="55" t="b">
        <v>1</v>
      </c>
      <c r="G1950" s="54" t="b">
        <v>1</v>
      </c>
      <c r="H1950" s="54" t="b">
        <v>1</v>
      </c>
      <c r="I1950" s="54" t="b">
        <v>1</v>
      </c>
      <c r="J1950" s="54" t="b">
        <v>1</v>
      </c>
      <c r="K1950" s="63" t="s">
        <v>751</v>
      </c>
      <c r="L1950" s="63" t="s">
        <v>5226</v>
      </c>
      <c r="M1950" s="63" t="s">
        <v>5227</v>
      </c>
      <c r="N1950" s="63" t="s">
        <v>1719</v>
      </c>
    </row>
    <row r="1951" spans="1:14" x14ac:dyDescent="0.2">
      <c r="A1951" s="51">
        <v>1950</v>
      </c>
      <c r="B1951" s="54" t="s">
        <v>751</v>
      </c>
      <c r="C1951" s="47" t="s">
        <v>5224</v>
      </c>
      <c r="D1951" s="47" t="s">
        <v>5225</v>
      </c>
      <c r="E1951" s="47" t="s">
        <v>1719</v>
      </c>
      <c r="F1951" s="55" t="b">
        <v>1</v>
      </c>
      <c r="G1951" s="54" t="b">
        <v>1</v>
      </c>
      <c r="H1951" s="54" t="b">
        <v>1</v>
      </c>
      <c r="I1951" s="54" t="b">
        <v>1</v>
      </c>
      <c r="J1951" s="54" t="b">
        <v>1</v>
      </c>
      <c r="K1951" s="63" t="s">
        <v>751</v>
      </c>
      <c r="L1951" s="63" t="s">
        <v>5224</v>
      </c>
      <c r="M1951" s="63" t="s">
        <v>5225</v>
      </c>
      <c r="N1951" s="63" t="s">
        <v>1719</v>
      </c>
    </row>
    <row r="1952" spans="1:14" x14ac:dyDescent="0.2">
      <c r="A1952" s="51">
        <v>1951</v>
      </c>
      <c r="B1952" s="54" t="s">
        <v>751</v>
      </c>
      <c r="C1952" s="47" t="s">
        <v>5238</v>
      </c>
      <c r="D1952" s="47" t="s">
        <v>5239</v>
      </c>
      <c r="E1952" s="47" t="s">
        <v>1719</v>
      </c>
      <c r="F1952" s="55" t="b">
        <v>1</v>
      </c>
      <c r="G1952" s="54" t="b">
        <v>1</v>
      </c>
      <c r="H1952" s="54" t="b">
        <v>1</v>
      </c>
      <c r="I1952" s="54" t="b">
        <v>1</v>
      </c>
      <c r="J1952" s="54" t="b">
        <v>1</v>
      </c>
      <c r="K1952" s="63" t="s">
        <v>751</v>
      </c>
      <c r="L1952" s="63" t="s">
        <v>5238</v>
      </c>
      <c r="M1952" s="63" t="s">
        <v>5239</v>
      </c>
      <c r="N1952" s="63" t="s">
        <v>1719</v>
      </c>
    </row>
    <row r="1953" spans="1:14" x14ac:dyDescent="0.2">
      <c r="A1953" s="51">
        <v>1952</v>
      </c>
      <c r="B1953" s="54" t="s">
        <v>751</v>
      </c>
      <c r="C1953" s="47" t="s">
        <v>5228</v>
      </c>
      <c r="D1953" s="47" t="s">
        <v>5229</v>
      </c>
      <c r="E1953" s="47" t="s">
        <v>1719</v>
      </c>
      <c r="F1953" s="55" t="b">
        <v>1</v>
      </c>
      <c r="G1953" s="54" t="b">
        <v>1</v>
      </c>
      <c r="H1953" s="54" t="b">
        <v>1</v>
      </c>
      <c r="I1953" s="54" t="b">
        <v>1</v>
      </c>
      <c r="J1953" s="54" t="b">
        <v>1</v>
      </c>
      <c r="K1953" s="63" t="s">
        <v>751</v>
      </c>
      <c r="L1953" s="63" t="s">
        <v>5228</v>
      </c>
      <c r="M1953" s="63" t="s">
        <v>5229</v>
      </c>
      <c r="N1953" s="63" t="s">
        <v>1719</v>
      </c>
    </row>
    <row r="1954" spans="1:14" x14ac:dyDescent="0.2">
      <c r="A1954" s="51">
        <v>1953</v>
      </c>
      <c r="B1954" s="54" t="s">
        <v>751</v>
      </c>
      <c r="C1954" s="47" t="s">
        <v>5240</v>
      </c>
      <c r="D1954" s="47" t="s">
        <v>5241</v>
      </c>
      <c r="E1954" s="47" t="s">
        <v>1719</v>
      </c>
      <c r="F1954" s="55" t="b">
        <v>1</v>
      </c>
      <c r="G1954" s="54" t="b">
        <v>1</v>
      </c>
      <c r="H1954" s="54" t="b">
        <v>1</v>
      </c>
      <c r="I1954" s="54" t="b">
        <v>1</v>
      </c>
      <c r="J1954" s="54" t="b">
        <v>1</v>
      </c>
      <c r="K1954" s="63" t="s">
        <v>751</v>
      </c>
      <c r="L1954" s="63" t="s">
        <v>5240</v>
      </c>
      <c r="M1954" s="63" t="s">
        <v>5241</v>
      </c>
      <c r="N1954" s="63" t="s">
        <v>1719</v>
      </c>
    </row>
    <row r="1955" spans="1:14" x14ac:dyDescent="0.2">
      <c r="A1955" s="51">
        <v>1954</v>
      </c>
      <c r="B1955" s="54" t="s">
        <v>751</v>
      </c>
      <c r="C1955" s="47" t="s">
        <v>5242</v>
      </c>
      <c r="D1955" s="47" t="s">
        <v>5243</v>
      </c>
      <c r="E1955" s="47" t="s">
        <v>5244</v>
      </c>
      <c r="F1955" s="55" t="b">
        <v>1</v>
      </c>
      <c r="G1955" s="54" t="b">
        <v>1</v>
      </c>
      <c r="H1955" s="54" t="b">
        <v>1</v>
      </c>
      <c r="I1955" s="54" t="b">
        <v>1</v>
      </c>
      <c r="J1955" s="54" t="b">
        <v>1</v>
      </c>
      <c r="K1955" s="63" t="s">
        <v>751</v>
      </c>
      <c r="L1955" s="63" t="s">
        <v>5242</v>
      </c>
      <c r="M1955" s="63" t="s">
        <v>5243</v>
      </c>
      <c r="N1955" s="63" t="s">
        <v>5244</v>
      </c>
    </row>
    <row r="1956" spans="1:14" x14ac:dyDescent="0.2">
      <c r="A1956" s="51">
        <v>1955</v>
      </c>
      <c r="B1956" s="56" t="s">
        <v>753</v>
      </c>
      <c r="C1956" s="47" t="s">
        <v>5302</v>
      </c>
      <c r="D1956" s="47" t="s">
        <v>5303</v>
      </c>
      <c r="E1956" s="47" t="s">
        <v>1719</v>
      </c>
      <c r="F1956" s="55" t="b">
        <v>1</v>
      </c>
      <c r="G1956" s="65" t="b">
        <v>0</v>
      </c>
      <c r="H1956" s="54" t="b">
        <v>1</v>
      </c>
      <c r="I1956" s="54" t="b">
        <v>1</v>
      </c>
      <c r="J1956" s="54" t="b">
        <v>1</v>
      </c>
      <c r="K1956" s="63" t="s">
        <v>5245</v>
      </c>
      <c r="L1956" s="63" t="s">
        <v>5302</v>
      </c>
      <c r="M1956" s="63" t="s">
        <v>5303</v>
      </c>
      <c r="N1956" s="63" t="s">
        <v>1719</v>
      </c>
    </row>
    <row r="1957" spans="1:14" x14ac:dyDescent="0.2">
      <c r="A1957" s="51">
        <v>1956</v>
      </c>
      <c r="B1957" s="56" t="s">
        <v>753</v>
      </c>
      <c r="C1957" s="47" t="s">
        <v>5300</v>
      </c>
      <c r="D1957" s="47" t="s">
        <v>5301</v>
      </c>
      <c r="E1957" s="47" t="s">
        <v>1719</v>
      </c>
      <c r="F1957" s="55" t="b">
        <v>1</v>
      </c>
      <c r="G1957" s="65" t="b">
        <v>0</v>
      </c>
      <c r="H1957" s="54" t="b">
        <v>1</v>
      </c>
      <c r="I1957" s="54" t="b">
        <v>1</v>
      </c>
      <c r="J1957" s="54" t="b">
        <v>1</v>
      </c>
      <c r="K1957" s="63" t="s">
        <v>5245</v>
      </c>
      <c r="L1957" s="63" t="s">
        <v>5300</v>
      </c>
      <c r="M1957" s="63" t="s">
        <v>5301</v>
      </c>
      <c r="N1957" s="63" t="s">
        <v>1719</v>
      </c>
    </row>
    <row r="1958" spans="1:14" x14ac:dyDescent="0.2">
      <c r="A1958" s="51">
        <v>1957</v>
      </c>
      <c r="B1958" s="56" t="s">
        <v>753</v>
      </c>
      <c r="C1958" s="47" t="s">
        <v>5246</v>
      </c>
      <c r="D1958" s="47" t="s">
        <v>5247</v>
      </c>
      <c r="E1958" s="47" t="s">
        <v>1719</v>
      </c>
      <c r="F1958" s="55" t="b">
        <v>1</v>
      </c>
      <c r="G1958" s="65" t="b">
        <v>0</v>
      </c>
      <c r="H1958" s="54" t="b">
        <v>1</v>
      </c>
      <c r="I1958" s="54" t="b">
        <v>1</v>
      </c>
      <c r="J1958" s="54" t="b">
        <v>1</v>
      </c>
      <c r="K1958" s="63" t="s">
        <v>5245</v>
      </c>
      <c r="L1958" s="63" t="s">
        <v>5246</v>
      </c>
      <c r="M1958" s="63" t="s">
        <v>5247</v>
      </c>
      <c r="N1958" s="63" t="s">
        <v>1719</v>
      </c>
    </row>
    <row r="1959" spans="1:14" x14ac:dyDescent="0.2">
      <c r="A1959" s="51">
        <v>1958</v>
      </c>
      <c r="B1959" s="56" t="s">
        <v>753</v>
      </c>
      <c r="C1959" s="47" t="s">
        <v>5252</v>
      </c>
      <c r="D1959" s="47" t="s">
        <v>5253</v>
      </c>
      <c r="E1959" s="47" t="s">
        <v>1719</v>
      </c>
      <c r="F1959" s="55" t="b">
        <v>1</v>
      </c>
      <c r="G1959" s="65" t="b">
        <v>0</v>
      </c>
      <c r="H1959" s="54" t="b">
        <v>1</v>
      </c>
      <c r="I1959" s="54" t="b">
        <v>1</v>
      </c>
      <c r="J1959" s="54" t="b">
        <v>1</v>
      </c>
      <c r="K1959" s="63" t="s">
        <v>5245</v>
      </c>
      <c r="L1959" s="63" t="s">
        <v>5252</v>
      </c>
      <c r="M1959" s="63" t="s">
        <v>5253</v>
      </c>
      <c r="N1959" s="63" t="s">
        <v>1719</v>
      </c>
    </row>
    <row r="1960" spans="1:14" x14ac:dyDescent="0.2">
      <c r="A1960" s="51">
        <v>1959</v>
      </c>
      <c r="B1960" s="56" t="s">
        <v>753</v>
      </c>
      <c r="C1960" s="47" t="s">
        <v>5304</v>
      </c>
      <c r="D1960" s="47" t="s">
        <v>5305</v>
      </c>
      <c r="E1960" s="47" t="s">
        <v>1719</v>
      </c>
      <c r="F1960" s="55" t="b">
        <v>1</v>
      </c>
      <c r="G1960" s="65" t="b">
        <v>0</v>
      </c>
      <c r="H1960" s="54" t="b">
        <v>1</v>
      </c>
      <c r="I1960" s="54" t="b">
        <v>1</v>
      </c>
      <c r="J1960" s="54" t="b">
        <v>1</v>
      </c>
      <c r="K1960" s="63" t="s">
        <v>5245</v>
      </c>
      <c r="L1960" s="63" t="s">
        <v>5304</v>
      </c>
      <c r="M1960" s="63" t="s">
        <v>5305</v>
      </c>
      <c r="N1960" s="63" t="s">
        <v>1719</v>
      </c>
    </row>
    <row r="1961" spans="1:14" x14ac:dyDescent="0.2">
      <c r="A1961" s="51">
        <v>1960</v>
      </c>
      <c r="B1961" s="56" t="s">
        <v>753</v>
      </c>
      <c r="C1961" s="47" t="s">
        <v>5248</v>
      </c>
      <c r="D1961" s="47" t="s">
        <v>5249</v>
      </c>
      <c r="E1961" s="47" t="s">
        <v>1719</v>
      </c>
      <c r="F1961" s="55" t="b">
        <v>1</v>
      </c>
      <c r="G1961" s="65" t="b">
        <v>0</v>
      </c>
      <c r="H1961" s="54" t="b">
        <v>1</v>
      </c>
      <c r="I1961" s="54" t="b">
        <v>1</v>
      </c>
      <c r="J1961" s="54" t="b">
        <v>1</v>
      </c>
      <c r="K1961" s="63" t="s">
        <v>5245</v>
      </c>
      <c r="L1961" s="63" t="s">
        <v>5248</v>
      </c>
      <c r="M1961" s="63" t="s">
        <v>5249</v>
      </c>
      <c r="N1961" s="63" t="s">
        <v>1719</v>
      </c>
    </row>
    <row r="1962" spans="1:14" x14ac:dyDescent="0.2">
      <c r="A1962" s="51">
        <v>1961</v>
      </c>
      <c r="B1962" s="56" t="s">
        <v>753</v>
      </c>
      <c r="C1962" s="47" t="s">
        <v>5294</v>
      </c>
      <c r="D1962" s="47" t="s">
        <v>5295</v>
      </c>
      <c r="E1962" s="47" t="s">
        <v>1719</v>
      </c>
      <c r="F1962" s="55" t="b">
        <v>1</v>
      </c>
      <c r="G1962" s="65" t="b">
        <v>0</v>
      </c>
      <c r="H1962" s="54" t="b">
        <v>1</v>
      </c>
      <c r="I1962" s="54" t="b">
        <v>1</v>
      </c>
      <c r="J1962" s="54" t="b">
        <v>1</v>
      </c>
      <c r="K1962" s="63" t="s">
        <v>5245</v>
      </c>
      <c r="L1962" s="63" t="s">
        <v>5294</v>
      </c>
      <c r="M1962" s="63" t="s">
        <v>5295</v>
      </c>
      <c r="N1962" s="63" t="s">
        <v>1719</v>
      </c>
    </row>
    <row r="1963" spans="1:14" x14ac:dyDescent="0.2">
      <c r="A1963" s="51">
        <v>1962</v>
      </c>
      <c r="B1963" s="56" t="s">
        <v>753</v>
      </c>
      <c r="C1963" s="47" t="s">
        <v>5250</v>
      </c>
      <c r="D1963" s="47" t="s">
        <v>12496</v>
      </c>
      <c r="E1963" s="47" t="s">
        <v>1719</v>
      </c>
      <c r="F1963" s="55" t="b">
        <v>1</v>
      </c>
      <c r="G1963" s="65" t="b">
        <v>0</v>
      </c>
      <c r="H1963" s="54" t="b">
        <v>1</v>
      </c>
      <c r="I1963" s="65" t="b">
        <v>0</v>
      </c>
      <c r="J1963" s="54" t="b">
        <v>1</v>
      </c>
      <c r="K1963" s="63" t="s">
        <v>5245</v>
      </c>
      <c r="L1963" s="63" t="s">
        <v>5250</v>
      </c>
      <c r="M1963" s="63" t="s">
        <v>5251</v>
      </c>
      <c r="N1963" s="63" t="s">
        <v>1719</v>
      </c>
    </row>
    <row r="1964" spans="1:14" x14ac:dyDescent="0.2">
      <c r="A1964" s="51">
        <v>1963</v>
      </c>
      <c r="B1964" s="56" t="s">
        <v>753</v>
      </c>
      <c r="C1964" s="47" t="s">
        <v>5274</v>
      </c>
      <c r="D1964" s="47" t="s">
        <v>5275</v>
      </c>
      <c r="E1964" s="47" t="s">
        <v>1719</v>
      </c>
      <c r="F1964" s="55" t="b">
        <v>1</v>
      </c>
      <c r="G1964" s="65" t="b">
        <v>0</v>
      </c>
      <c r="H1964" s="54" t="b">
        <v>1</v>
      </c>
      <c r="I1964" s="54" t="b">
        <v>1</v>
      </c>
      <c r="J1964" s="54" t="b">
        <v>1</v>
      </c>
      <c r="K1964" s="63" t="s">
        <v>5245</v>
      </c>
      <c r="L1964" s="63" t="s">
        <v>5274</v>
      </c>
      <c r="M1964" s="63" t="s">
        <v>5275</v>
      </c>
      <c r="N1964" s="63" t="s">
        <v>1719</v>
      </c>
    </row>
    <row r="1965" spans="1:14" x14ac:dyDescent="0.2">
      <c r="A1965" s="51">
        <v>1964</v>
      </c>
      <c r="B1965" s="56" t="s">
        <v>753</v>
      </c>
      <c r="C1965" s="47" t="s">
        <v>5298</v>
      </c>
      <c r="D1965" s="47" t="s">
        <v>5299</v>
      </c>
      <c r="E1965" s="47" t="s">
        <v>1719</v>
      </c>
      <c r="F1965" s="55" t="b">
        <v>1</v>
      </c>
      <c r="G1965" s="65" t="b">
        <v>0</v>
      </c>
      <c r="H1965" s="54" t="b">
        <v>1</v>
      </c>
      <c r="I1965" s="54" t="b">
        <v>1</v>
      </c>
      <c r="J1965" s="54" t="b">
        <v>1</v>
      </c>
      <c r="K1965" s="63" t="s">
        <v>5245</v>
      </c>
      <c r="L1965" s="63" t="s">
        <v>5298</v>
      </c>
      <c r="M1965" s="63" t="s">
        <v>5299</v>
      </c>
      <c r="N1965" s="63" t="s">
        <v>1719</v>
      </c>
    </row>
    <row r="1966" spans="1:14" x14ac:dyDescent="0.2">
      <c r="A1966" s="51">
        <v>1965</v>
      </c>
      <c r="B1966" s="56" t="s">
        <v>753</v>
      </c>
      <c r="C1966" s="47" t="s">
        <v>5290</v>
      </c>
      <c r="D1966" s="47" t="s">
        <v>5291</v>
      </c>
      <c r="E1966" s="47" t="s">
        <v>1719</v>
      </c>
      <c r="F1966" s="55" t="b">
        <v>1</v>
      </c>
      <c r="G1966" s="65" t="b">
        <v>0</v>
      </c>
      <c r="H1966" s="54" t="b">
        <v>1</v>
      </c>
      <c r="I1966" s="54" t="b">
        <v>1</v>
      </c>
      <c r="J1966" s="54" t="b">
        <v>1</v>
      </c>
      <c r="K1966" s="63" t="s">
        <v>5245</v>
      </c>
      <c r="L1966" s="63" t="s">
        <v>5290</v>
      </c>
      <c r="M1966" s="63" t="s">
        <v>5291</v>
      </c>
      <c r="N1966" s="63" t="s">
        <v>1719</v>
      </c>
    </row>
    <row r="1967" spans="1:14" x14ac:dyDescent="0.2">
      <c r="A1967" s="51">
        <v>1966</v>
      </c>
      <c r="B1967" s="56" t="s">
        <v>753</v>
      </c>
      <c r="C1967" s="47" t="s">
        <v>5292</v>
      </c>
      <c r="D1967" s="47" t="s">
        <v>5293</v>
      </c>
      <c r="E1967" s="47" t="s">
        <v>1719</v>
      </c>
      <c r="F1967" s="55" t="b">
        <v>1</v>
      </c>
      <c r="G1967" s="65" t="b">
        <v>0</v>
      </c>
      <c r="H1967" s="54" t="b">
        <v>1</v>
      </c>
      <c r="I1967" s="54" t="b">
        <v>1</v>
      </c>
      <c r="J1967" s="54" t="b">
        <v>1</v>
      </c>
      <c r="K1967" s="63" t="s">
        <v>5245</v>
      </c>
      <c r="L1967" s="63" t="s">
        <v>5292</v>
      </c>
      <c r="M1967" s="63" t="s">
        <v>5293</v>
      </c>
      <c r="N1967" s="63" t="s">
        <v>1719</v>
      </c>
    </row>
    <row r="1968" spans="1:14" x14ac:dyDescent="0.2">
      <c r="A1968" s="51">
        <v>1967</v>
      </c>
      <c r="B1968" s="56" t="s">
        <v>753</v>
      </c>
      <c r="C1968" s="47" t="s">
        <v>5254</v>
      </c>
      <c r="D1968" s="47" t="s">
        <v>5255</v>
      </c>
      <c r="E1968" s="47" t="s">
        <v>1719</v>
      </c>
      <c r="F1968" s="55" t="b">
        <v>1</v>
      </c>
      <c r="G1968" s="65" t="b">
        <v>0</v>
      </c>
      <c r="H1968" s="54" t="b">
        <v>1</v>
      </c>
      <c r="I1968" s="54" t="b">
        <v>1</v>
      </c>
      <c r="J1968" s="54" t="b">
        <v>1</v>
      </c>
      <c r="K1968" s="63" t="s">
        <v>5245</v>
      </c>
      <c r="L1968" s="63" t="s">
        <v>5254</v>
      </c>
      <c r="M1968" s="63" t="s">
        <v>5255</v>
      </c>
      <c r="N1968" s="63" t="s">
        <v>1719</v>
      </c>
    </row>
    <row r="1969" spans="1:14" x14ac:dyDescent="0.2">
      <c r="A1969" s="51">
        <v>1968</v>
      </c>
      <c r="B1969" s="56" t="s">
        <v>753</v>
      </c>
      <c r="C1969" s="47" t="s">
        <v>5264</v>
      </c>
      <c r="D1969" s="47" t="s">
        <v>5265</v>
      </c>
      <c r="E1969" s="47" t="s">
        <v>1719</v>
      </c>
      <c r="F1969" s="55" t="b">
        <v>1</v>
      </c>
      <c r="G1969" s="65" t="b">
        <v>0</v>
      </c>
      <c r="H1969" s="54" t="b">
        <v>1</v>
      </c>
      <c r="I1969" s="54" t="b">
        <v>1</v>
      </c>
      <c r="J1969" s="54" t="b">
        <v>1</v>
      </c>
      <c r="K1969" s="63" t="s">
        <v>5245</v>
      </c>
      <c r="L1969" s="63" t="s">
        <v>5264</v>
      </c>
      <c r="M1969" s="63" t="s">
        <v>5265</v>
      </c>
      <c r="N1969" s="63" t="s">
        <v>1719</v>
      </c>
    </row>
    <row r="1970" spans="1:14" x14ac:dyDescent="0.2">
      <c r="A1970" s="51">
        <v>1969</v>
      </c>
      <c r="B1970" s="56" t="s">
        <v>753</v>
      </c>
      <c r="C1970" s="47" t="s">
        <v>5278</v>
      </c>
      <c r="D1970" s="47" t="s">
        <v>5279</v>
      </c>
      <c r="E1970" s="47" t="s">
        <v>1719</v>
      </c>
      <c r="F1970" s="55" t="b">
        <v>1</v>
      </c>
      <c r="G1970" s="65" t="b">
        <v>0</v>
      </c>
      <c r="H1970" s="54" t="b">
        <v>1</v>
      </c>
      <c r="I1970" s="54" t="b">
        <v>1</v>
      </c>
      <c r="J1970" s="54" t="b">
        <v>1</v>
      </c>
      <c r="K1970" s="63" t="s">
        <v>5245</v>
      </c>
      <c r="L1970" s="63" t="s">
        <v>5278</v>
      </c>
      <c r="M1970" s="63" t="s">
        <v>5279</v>
      </c>
      <c r="N1970" s="63" t="s">
        <v>1719</v>
      </c>
    </row>
    <row r="1971" spans="1:14" x14ac:dyDescent="0.2">
      <c r="A1971" s="51">
        <v>1970</v>
      </c>
      <c r="B1971" s="56" t="s">
        <v>753</v>
      </c>
      <c r="C1971" s="47" t="s">
        <v>5266</v>
      </c>
      <c r="D1971" s="47" t="s">
        <v>5267</v>
      </c>
      <c r="E1971" s="47" t="s">
        <v>1719</v>
      </c>
      <c r="F1971" s="55" t="b">
        <v>1</v>
      </c>
      <c r="G1971" s="65" t="b">
        <v>0</v>
      </c>
      <c r="H1971" s="54" t="b">
        <v>1</v>
      </c>
      <c r="I1971" s="54" t="b">
        <v>1</v>
      </c>
      <c r="J1971" s="54" t="b">
        <v>1</v>
      </c>
      <c r="K1971" s="63" t="s">
        <v>5245</v>
      </c>
      <c r="L1971" s="63" t="s">
        <v>5266</v>
      </c>
      <c r="M1971" s="63" t="s">
        <v>5267</v>
      </c>
      <c r="N1971" s="63" t="s">
        <v>1719</v>
      </c>
    </row>
    <row r="1972" spans="1:14" x14ac:dyDescent="0.2">
      <c r="A1972" s="51">
        <v>1971</v>
      </c>
      <c r="B1972" s="56" t="s">
        <v>753</v>
      </c>
      <c r="C1972" s="47" t="s">
        <v>5276</v>
      </c>
      <c r="D1972" s="47" t="s">
        <v>12500</v>
      </c>
      <c r="E1972" s="47" t="s">
        <v>1719</v>
      </c>
      <c r="F1972" s="55" t="b">
        <v>1</v>
      </c>
      <c r="G1972" s="65" t="b">
        <v>0</v>
      </c>
      <c r="H1972" s="54" t="b">
        <v>1</v>
      </c>
      <c r="I1972" s="65" t="b">
        <v>0</v>
      </c>
      <c r="J1972" s="54" t="b">
        <v>1</v>
      </c>
      <c r="K1972" s="63" t="s">
        <v>5245</v>
      </c>
      <c r="L1972" s="63" t="s">
        <v>5276</v>
      </c>
      <c r="M1972" s="63" t="s">
        <v>5277</v>
      </c>
      <c r="N1972" s="63" t="s">
        <v>1719</v>
      </c>
    </row>
    <row r="1973" spans="1:14" x14ac:dyDescent="0.2">
      <c r="A1973" s="51">
        <v>1972</v>
      </c>
      <c r="B1973" s="56" t="s">
        <v>753</v>
      </c>
      <c r="C1973" s="47" t="s">
        <v>5258</v>
      </c>
      <c r="D1973" s="47" t="s">
        <v>5259</v>
      </c>
      <c r="E1973" s="47" t="s">
        <v>1719</v>
      </c>
      <c r="F1973" s="55" t="b">
        <v>1</v>
      </c>
      <c r="G1973" s="65" t="b">
        <v>0</v>
      </c>
      <c r="H1973" s="54" t="b">
        <v>1</v>
      </c>
      <c r="I1973" s="54" t="b">
        <v>1</v>
      </c>
      <c r="J1973" s="54" t="b">
        <v>1</v>
      </c>
      <c r="K1973" s="63" t="s">
        <v>5245</v>
      </c>
      <c r="L1973" s="63" t="s">
        <v>5258</v>
      </c>
      <c r="M1973" s="63" t="s">
        <v>5259</v>
      </c>
      <c r="N1973" s="63" t="s">
        <v>1719</v>
      </c>
    </row>
    <row r="1974" spans="1:14" x14ac:dyDescent="0.2">
      <c r="A1974" s="51">
        <v>1973</v>
      </c>
      <c r="B1974" s="56" t="s">
        <v>753</v>
      </c>
      <c r="C1974" s="47" t="s">
        <v>5280</v>
      </c>
      <c r="D1974" s="47" t="s">
        <v>5281</v>
      </c>
      <c r="E1974" s="47" t="s">
        <v>1719</v>
      </c>
      <c r="F1974" s="55" t="b">
        <v>1</v>
      </c>
      <c r="G1974" s="65" t="b">
        <v>0</v>
      </c>
      <c r="H1974" s="54" t="b">
        <v>1</v>
      </c>
      <c r="I1974" s="54" t="b">
        <v>1</v>
      </c>
      <c r="J1974" s="54" t="b">
        <v>1</v>
      </c>
      <c r="K1974" s="63" t="s">
        <v>5245</v>
      </c>
      <c r="L1974" s="63" t="s">
        <v>5280</v>
      </c>
      <c r="M1974" s="63" t="s">
        <v>5281</v>
      </c>
      <c r="N1974" s="63" t="s">
        <v>1719</v>
      </c>
    </row>
    <row r="1975" spans="1:14" x14ac:dyDescent="0.2">
      <c r="A1975" s="51">
        <v>1974</v>
      </c>
      <c r="B1975" s="56" t="s">
        <v>753</v>
      </c>
      <c r="C1975" s="47" t="s">
        <v>5284</v>
      </c>
      <c r="D1975" s="47" t="s">
        <v>5285</v>
      </c>
      <c r="E1975" s="47" t="s">
        <v>1719</v>
      </c>
      <c r="F1975" s="55" t="b">
        <v>1</v>
      </c>
      <c r="G1975" s="65" t="b">
        <v>0</v>
      </c>
      <c r="H1975" s="54" t="b">
        <v>1</v>
      </c>
      <c r="I1975" s="54" t="b">
        <v>1</v>
      </c>
      <c r="J1975" s="54" t="b">
        <v>1</v>
      </c>
      <c r="K1975" s="63" t="s">
        <v>5245</v>
      </c>
      <c r="L1975" s="63" t="s">
        <v>5284</v>
      </c>
      <c r="M1975" s="63" t="s">
        <v>5285</v>
      </c>
      <c r="N1975" s="63" t="s">
        <v>1719</v>
      </c>
    </row>
    <row r="1976" spans="1:14" x14ac:dyDescent="0.2">
      <c r="A1976" s="51">
        <v>1975</v>
      </c>
      <c r="B1976" s="56" t="s">
        <v>753</v>
      </c>
      <c r="C1976" s="47" t="s">
        <v>5282</v>
      </c>
      <c r="D1976" s="47" t="s">
        <v>5283</v>
      </c>
      <c r="E1976" s="47" t="s">
        <v>1719</v>
      </c>
      <c r="F1976" s="55" t="b">
        <v>1</v>
      </c>
      <c r="G1976" s="65" t="b">
        <v>0</v>
      </c>
      <c r="H1976" s="54" t="b">
        <v>1</v>
      </c>
      <c r="I1976" s="54" t="b">
        <v>1</v>
      </c>
      <c r="J1976" s="54" t="b">
        <v>1</v>
      </c>
      <c r="K1976" s="63" t="s">
        <v>5245</v>
      </c>
      <c r="L1976" s="63" t="s">
        <v>5282</v>
      </c>
      <c r="M1976" s="63" t="s">
        <v>5283</v>
      </c>
      <c r="N1976" s="63" t="s">
        <v>1719</v>
      </c>
    </row>
    <row r="1977" spans="1:14" x14ac:dyDescent="0.2">
      <c r="A1977" s="51">
        <v>1976</v>
      </c>
      <c r="B1977" s="56" t="s">
        <v>753</v>
      </c>
      <c r="C1977" s="47" t="s">
        <v>5262</v>
      </c>
      <c r="D1977" s="47" t="s">
        <v>5263</v>
      </c>
      <c r="E1977" s="47" t="s">
        <v>1719</v>
      </c>
      <c r="F1977" s="55" t="b">
        <v>1</v>
      </c>
      <c r="G1977" s="65" t="b">
        <v>0</v>
      </c>
      <c r="H1977" s="54" t="b">
        <v>1</v>
      </c>
      <c r="I1977" s="54" t="b">
        <v>1</v>
      </c>
      <c r="J1977" s="54" t="b">
        <v>1</v>
      </c>
      <c r="K1977" s="63" t="s">
        <v>5245</v>
      </c>
      <c r="L1977" s="63" t="s">
        <v>5262</v>
      </c>
      <c r="M1977" s="63" t="s">
        <v>5263</v>
      </c>
      <c r="N1977" s="63" t="s">
        <v>1719</v>
      </c>
    </row>
    <row r="1978" spans="1:14" x14ac:dyDescent="0.2">
      <c r="A1978" s="51">
        <v>1977</v>
      </c>
      <c r="B1978" s="56" t="s">
        <v>753</v>
      </c>
      <c r="C1978" s="47" t="s">
        <v>5260</v>
      </c>
      <c r="D1978" s="47" t="s">
        <v>5261</v>
      </c>
      <c r="E1978" s="47" t="s">
        <v>1719</v>
      </c>
      <c r="F1978" s="55" t="b">
        <v>1</v>
      </c>
      <c r="G1978" s="65" t="b">
        <v>0</v>
      </c>
      <c r="H1978" s="54" t="b">
        <v>1</v>
      </c>
      <c r="I1978" s="54" t="b">
        <v>1</v>
      </c>
      <c r="J1978" s="54" t="b">
        <v>1</v>
      </c>
      <c r="K1978" s="63" t="s">
        <v>5245</v>
      </c>
      <c r="L1978" s="63" t="s">
        <v>5260</v>
      </c>
      <c r="M1978" s="63" t="s">
        <v>5261</v>
      </c>
      <c r="N1978" s="63" t="s">
        <v>1719</v>
      </c>
    </row>
    <row r="1979" spans="1:14" x14ac:dyDescent="0.2">
      <c r="A1979" s="51">
        <v>1978</v>
      </c>
      <c r="B1979" s="56" t="s">
        <v>753</v>
      </c>
      <c r="C1979" s="47" t="s">
        <v>5296</v>
      </c>
      <c r="D1979" s="47" t="s">
        <v>5297</v>
      </c>
      <c r="E1979" s="47" t="s">
        <v>1719</v>
      </c>
      <c r="F1979" s="55" t="b">
        <v>1</v>
      </c>
      <c r="G1979" s="65" t="b">
        <v>0</v>
      </c>
      <c r="H1979" s="54" t="b">
        <v>1</v>
      </c>
      <c r="I1979" s="54" t="b">
        <v>1</v>
      </c>
      <c r="J1979" s="54" t="b">
        <v>1</v>
      </c>
      <c r="K1979" s="63" t="s">
        <v>5245</v>
      </c>
      <c r="L1979" s="63" t="s">
        <v>5296</v>
      </c>
      <c r="M1979" s="63" t="s">
        <v>5297</v>
      </c>
      <c r="N1979" s="63" t="s">
        <v>1719</v>
      </c>
    </row>
    <row r="1980" spans="1:14" x14ac:dyDescent="0.2">
      <c r="A1980" s="51">
        <v>1979</v>
      </c>
      <c r="B1980" s="56" t="s">
        <v>753</v>
      </c>
      <c r="C1980" s="47" t="s">
        <v>5288</v>
      </c>
      <c r="D1980" s="47" t="s">
        <v>5289</v>
      </c>
      <c r="E1980" s="47" t="s">
        <v>1719</v>
      </c>
      <c r="F1980" s="55" t="b">
        <v>1</v>
      </c>
      <c r="G1980" s="65" t="b">
        <v>0</v>
      </c>
      <c r="H1980" s="54" t="b">
        <v>1</v>
      </c>
      <c r="I1980" s="54" t="b">
        <v>1</v>
      </c>
      <c r="J1980" s="54" t="b">
        <v>1</v>
      </c>
      <c r="K1980" s="63" t="s">
        <v>5245</v>
      </c>
      <c r="L1980" s="63" t="s">
        <v>5288</v>
      </c>
      <c r="M1980" s="63" t="s">
        <v>5289</v>
      </c>
      <c r="N1980" s="63" t="s">
        <v>1719</v>
      </c>
    </row>
    <row r="1981" spans="1:14" x14ac:dyDescent="0.2">
      <c r="A1981" s="51">
        <v>1980</v>
      </c>
      <c r="B1981" s="56" t="s">
        <v>753</v>
      </c>
      <c r="C1981" s="47" t="s">
        <v>5256</v>
      </c>
      <c r="D1981" s="47" t="s">
        <v>5257</v>
      </c>
      <c r="E1981" s="47" t="s">
        <v>1719</v>
      </c>
      <c r="F1981" s="55" t="b">
        <v>1</v>
      </c>
      <c r="G1981" s="65" t="b">
        <v>0</v>
      </c>
      <c r="H1981" s="54" t="b">
        <v>1</v>
      </c>
      <c r="I1981" s="54" t="b">
        <v>1</v>
      </c>
      <c r="J1981" s="54" t="b">
        <v>1</v>
      </c>
      <c r="K1981" s="63" t="s">
        <v>5245</v>
      </c>
      <c r="L1981" s="63" t="s">
        <v>5256</v>
      </c>
      <c r="M1981" s="63" t="s">
        <v>5257</v>
      </c>
      <c r="N1981" s="63" t="s">
        <v>1719</v>
      </c>
    </row>
    <row r="1982" spans="1:14" x14ac:dyDescent="0.2">
      <c r="A1982" s="51">
        <v>1981</v>
      </c>
      <c r="B1982" s="56" t="s">
        <v>753</v>
      </c>
      <c r="C1982" s="47" t="s">
        <v>5286</v>
      </c>
      <c r="D1982" s="47" t="s">
        <v>5287</v>
      </c>
      <c r="E1982" s="47" t="s">
        <v>1719</v>
      </c>
      <c r="F1982" s="55" t="b">
        <v>1</v>
      </c>
      <c r="G1982" s="65" t="b">
        <v>0</v>
      </c>
      <c r="H1982" s="54" t="b">
        <v>1</v>
      </c>
      <c r="I1982" s="54" t="b">
        <v>1</v>
      </c>
      <c r="J1982" s="54" t="b">
        <v>1</v>
      </c>
      <c r="K1982" s="63" t="s">
        <v>5245</v>
      </c>
      <c r="L1982" s="63" t="s">
        <v>5286</v>
      </c>
      <c r="M1982" s="63" t="s">
        <v>5287</v>
      </c>
      <c r="N1982" s="63" t="s">
        <v>1719</v>
      </c>
    </row>
    <row r="1983" spans="1:14" x14ac:dyDescent="0.2">
      <c r="A1983" s="51">
        <v>1982</v>
      </c>
      <c r="B1983" s="56" t="s">
        <v>753</v>
      </c>
      <c r="C1983" s="47" t="s">
        <v>5268</v>
      </c>
      <c r="D1983" s="47" t="s">
        <v>12497</v>
      </c>
      <c r="E1983" s="47" t="s">
        <v>1719</v>
      </c>
      <c r="F1983" s="55" t="b">
        <v>1</v>
      </c>
      <c r="G1983" s="65" t="b">
        <v>0</v>
      </c>
      <c r="H1983" s="54" t="b">
        <v>1</v>
      </c>
      <c r="I1983" s="65" t="b">
        <v>0</v>
      </c>
      <c r="J1983" s="54" t="b">
        <v>1</v>
      </c>
      <c r="K1983" s="63" t="s">
        <v>5245</v>
      </c>
      <c r="L1983" s="63" t="s">
        <v>5268</v>
      </c>
      <c r="M1983" s="63" t="s">
        <v>5269</v>
      </c>
      <c r="N1983" s="63" t="s">
        <v>1719</v>
      </c>
    </row>
    <row r="1984" spans="1:14" x14ac:dyDescent="0.2">
      <c r="A1984" s="51">
        <v>1983</v>
      </c>
      <c r="B1984" s="56" t="s">
        <v>753</v>
      </c>
      <c r="C1984" s="47" t="s">
        <v>5270</v>
      </c>
      <c r="D1984" s="47" t="s">
        <v>12498</v>
      </c>
      <c r="E1984" s="47" t="s">
        <v>1719</v>
      </c>
      <c r="F1984" s="55" t="b">
        <v>1</v>
      </c>
      <c r="G1984" s="65" t="b">
        <v>0</v>
      </c>
      <c r="H1984" s="54" t="b">
        <v>1</v>
      </c>
      <c r="I1984" s="65" t="b">
        <v>0</v>
      </c>
      <c r="J1984" s="54" t="b">
        <v>1</v>
      </c>
      <c r="K1984" s="63" t="s">
        <v>5245</v>
      </c>
      <c r="L1984" s="63" t="s">
        <v>5270</v>
      </c>
      <c r="M1984" s="63" t="s">
        <v>5271</v>
      </c>
      <c r="N1984" s="63" t="s">
        <v>1719</v>
      </c>
    </row>
    <row r="1985" spans="1:14" x14ac:dyDescent="0.2">
      <c r="A1985" s="51">
        <v>1984</v>
      </c>
      <c r="B1985" s="56" t="s">
        <v>753</v>
      </c>
      <c r="C1985" s="47" t="s">
        <v>5272</v>
      </c>
      <c r="D1985" s="47" t="s">
        <v>12499</v>
      </c>
      <c r="E1985" s="47" t="s">
        <v>1719</v>
      </c>
      <c r="F1985" s="55" t="b">
        <v>1</v>
      </c>
      <c r="G1985" s="65" t="b">
        <v>0</v>
      </c>
      <c r="H1985" s="54" t="b">
        <v>1</v>
      </c>
      <c r="I1985" s="65" t="b">
        <v>0</v>
      </c>
      <c r="J1985" s="54" t="b">
        <v>1</v>
      </c>
      <c r="K1985" s="63" t="s">
        <v>5245</v>
      </c>
      <c r="L1985" s="63" t="s">
        <v>5272</v>
      </c>
      <c r="M1985" s="63" t="s">
        <v>5273</v>
      </c>
      <c r="N1985" s="63" t="s">
        <v>1719</v>
      </c>
    </row>
    <row r="1986" spans="1:14" x14ac:dyDescent="0.2">
      <c r="A1986" s="51">
        <v>1985</v>
      </c>
      <c r="B1986" s="56" t="s">
        <v>753</v>
      </c>
      <c r="C1986" s="47" t="s">
        <v>12494</v>
      </c>
      <c r="D1986" s="47" t="s">
        <v>12495</v>
      </c>
      <c r="E1986" s="47" t="s">
        <v>1719</v>
      </c>
      <c r="F1986" s="55" t="b">
        <v>1</v>
      </c>
      <c r="G1986" s="65" t="b">
        <v>0</v>
      </c>
      <c r="H1986" s="65" t="b">
        <v>0</v>
      </c>
      <c r="I1986" s="65" t="b">
        <v>0</v>
      </c>
      <c r="J1986" s="65" t="b">
        <v>0</v>
      </c>
    </row>
    <row r="1987" spans="1:14" x14ac:dyDescent="0.2">
      <c r="A1987" s="51">
        <v>1986</v>
      </c>
      <c r="B1987" s="54" t="s">
        <v>755</v>
      </c>
      <c r="C1987" s="47" t="s">
        <v>5306</v>
      </c>
      <c r="D1987" s="47" t="s">
        <v>5307</v>
      </c>
      <c r="E1987" s="47" t="s">
        <v>2365</v>
      </c>
      <c r="F1987" s="55" t="b">
        <v>1</v>
      </c>
      <c r="G1987" s="54" t="b">
        <v>1</v>
      </c>
      <c r="H1987" s="54" t="b">
        <v>1</v>
      </c>
      <c r="I1987" s="54" t="b">
        <v>1</v>
      </c>
      <c r="J1987" s="54" t="b">
        <v>1</v>
      </c>
      <c r="K1987" s="63" t="s">
        <v>755</v>
      </c>
      <c r="L1987" s="63" t="s">
        <v>5306</v>
      </c>
      <c r="M1987" s="63" t="s">
        <v>5307</v>
      </c>
      <c r="N1987" s="63" t="s">
        <v>2365</v>
      </c>
    </row>
    <row r="1988" spans="1:14" x14ac:dyDescent="0.2">
      <c r="A1988" s="51">
        <v>1987</v>
      </c>
      <c r="B1988" s="54" t="s">
        <v>755</v>
      </c>
      <c r="C1988" s="47" t="s">
        <v>5316</v>
      </c>
      <c r="D1988" s="47" t="s">
        <v>5317</v>
      </c>
      <c r="E1988" s="47" t="s">
        <v>2365</v>
      </c>
      <c r="F1988" s="55" t="b">
        <v>1</v>
      </c>
      <c r="G1988" s="54" t="b">
        <v>1</v>
      </c>
      <c r="H1988" s="54" t="b">
        <v>1</v>
      </c>
      <c r="I1988" s="54" t="b">
        <v>1</v>
      </c>
      <c r="J1988" s="54" t="b">
        <v>1</v>
      </c>
      <c r="K1988" s="63" t="s">
        <v>755</v>
      </c>
      <c r="L1988" s="63" t="s">
        <v>5316</v>
      </c>
      <c r="M1988" s="63" t="s">
        <v>5317</v>
      </c>
      <c r="N1988" s="63" t="s">
        <v>2365</v>
      </c>
    </row>
    <row r="1989" spans="1:14" x14ac:dyDescent="0.2">
      <c r="A1989" s="51">
        <v>1988</v>
      </c>
      <c r="B1989" s="54" t="s">
        <v>755</v>
      </c>
      <c r="C1989" s="47" t="s">
        <v>5308</v>
      </c>
      <c r="D1989" s="47" t="s">
        <v>5309</v>
      </c>
      <c r="E1989" s="47" t="s">
        <v>2365</v>
      </c>
      <c r="F1989" s="55" t="b">
        <v>1</v>
      </c>
      <c r="G1989" s="54" t="b">
        <v>1</v>
      </c>
      <c r="H1989" s="54" t="b">
        <v>1</v>
      </c>
      <c r="I1989" s="54" t="b">
        <v>1</v>
      </c>
      <c r="J1989" s="54" t="b">
        <v>1</v>
      </c>
      <c r="K1989" s="63" t="s">
        <v>755</v>
      </c>
      <c r="L1989" s="63" t="s">
        <v>5308</v>
      </c>
      <c r="M1989" s="63" t="s">
        <v>5309</v>
      </c>
      <c r="N1989" s="63" t="s">
        <v>2365</v>
      </c>
    </row>
    <row r="1990" spans="1:14" x14ac:dyDescent="0.2">
      <c r="A1990" s="51">
        <v>1989</v>
      </c>
      <c r="B1990" s="54" t="s">
        <v>755</v>
      </c>
      <c r="C1990" s="47" t="s">
        <v>5324</v>
      </c>
      <c r="D1990" s="47" t="s">
        <v>5325</v>
      </c>
      <c r="E1990" s="47" t="s">
        <v>2365</v>
      </c>
      <c r="F1990" s="55" t="b">
        <v>1</v>
      </c>
      <c r="G1990" s="54" t="b">
        <v>1</v>
      </c>
      <c r="H1990" s="54" t="b">
        <v>1</v>
      </c>
      <c r="I1990" s="54" t="b">
        <v>1</v>
      </c>
      <c r="J1990" s="54" t="b">
        <v>1</v>
      </c>
      <c r="K1990" s="63" t="s">
        <v>755</v>
      </c>
      <c r="L1990" s="63" t="s">
        <v>5324</v>
      </c>
      <c r="M1990" s="63" t="s">
        <v>5325</v>
      </c>
      <c r="N1990" s="63" t="s">
        <v>2365</v>
      </c>
    </row>
    <row r="1991" spans="1:14" x14ac:dyDescent="0.2">
      <c r="A1991" s="51">
        <v>1990</v>
      </c>
      <c r="B1991" s="54" t="s">
        <v>755</v>
      </c>
      <c r="C1991" s="47" t="s">
        <v>5322</v>
      </c>
      <c r="D1991" s="47" t="s">
        <v>5323</v>
      </c>
      <c r="E1991" s="47" t="s">
        <v>2365</v>
      </c>
      <c r="F1991" s="55" t="b">
        <v>1</v>
      </c>
      <c r="G1991" s="54" t="b">
        <v>1</v>
      </c>
      <c r="H1991" s="54" t="b">
        <v>1</v>
      </c>
      <c r="I1991" s="54" t="b">
        <v>1</v>
      </c>
      <c r="J1991" s="54" t="b">
        <v>1</v>
      </c>
      <c r="K1991" s="63" t="s">
        <v>755</v>
      </c>
      <c r="L1991" s="63" t="s">
        <v>5322</v>
      </c>
      <c r="M1991" s="63" t="s">
        <v>5323</v>
      </c>
      <c r="N1991" s="63" t="s">
        <v>2365</v>
      </c>
    </row>
    <row r="1992" spans="1:14" x14ac:dyDescent="0.2">
      <c r="A1992" s="51">
        <v>1991</v>
      </c>
      <c r="B1992" s="54" t="s">
        <v>755</v>
      </c>
      <c r="C1992" s="47" t="s">
        <v>5326</v>
      </c>
      <c r="D1992" s="47" t="s">
        <v>5327</v>
      </c>
      <c r="E1992" s="47" t="s">
        <v>2365</v>
      </c>
      <c r="F1992" s="55" t="b">
        <v>1</v>
      </c>
      <c r="G1992" s="54" t="b">
        <v>1</v>
      </c>
      <c r="H1992" s="54" t="b">
        <v>1</v>
      </c>
      <c r="I1992" s="54" t="b">
        <v>1</v>
      </c>
      <c r="J1992" s="54" t="b">
        <v>1</v>
      </c>
      <c r="K1992" s="63" t="s">
        <v>755</v>
      </c>
      <c r="L1992" s="63" t="s">
        <v>5326</v>
      </c>
      <c r="M1992" s="63" t="s">
        <v>5327</v>
      </c>
      <c r="N1992" s="63" t="s">
        <v>2365</v>
      </c>
    </row>
    <row r="1993" spans="1:14" x14ac:dyDescent="0.2">
      <c r="A1993" s="51">
        <v>1992</v>
      </c>
      <c r="B1993" s="54" t="s">
        <v>755</v>
      </c>
      <c r="C1993" s="47" t="s">
        <v>5330</v>
      </c>
      <c r="D1993" s="47" t="s">
        <v>5331</v>
      </c>
      <c r="E1993" s="47" t="s">
        <v>2365</v>
      </c>
      <c r="F1993" s="55" t="b">
        <v>1</v>
      </c>
      <c r="G1993" s="54" t="b">
        <v>1</v>
      </c>
      <c r="H1993" s="54" t="b">
        <v>1</v>
      </c>
      <c r="I1993" s="54" t="b">
        <v>1</v>
      </c>
      <c r="J1993" s="54" t="b">
        <v>1</v>
      </c>
      <c r="K1993" s="63" t="s">
        <v>755</v>
      </c>
      <c r="L1993" s="63" t="s">
        <v>5330</v>
      </c>
      <c r="M1993" s="63" t="s">
        <v>5331</v>
      </c>
      <c r="N1993" s="63" t="s">
        <v>2365</v>
      </c>
    </row>
    <row r="1994" spans="1:14" x14ac:dyDescent="0.2">
      <c r="A1994" s="51">
        <v>1993</v>
      </c>
      <c r="B1994" s="54" t="s">
        <v>755</v>
      </c>
      <c r="C1994" s="47" t="s">
        <v>5328</v>
      </c>
      <c r="D1994" s="47" t="s">
        <v>5329</v>
      </c>
      <c r="E1994" s="47" t="s">
        <v>2365</v>
      </c>
      <c r="F1994" s="55" t="b">
        <v>1</v>
      </c>
      <c r="G1994" s="54" t="b">
        <v>1</v>
      </c>
      <c r="H1994" s="54" t="b">
        <v>1</v>
      </c>
      <c r="I1994" s="54" t="b">
        <v>1</v>
      </c>
      <c r="J1994" s="54" t="b">
        <v>1</v>
      </c>
      <c r="K1994" s="63" t="s">
        <v>755</v>
      </c>
      <c r="L1994" s="63" t="s">
        <v>5328</v>
      </c>
      <c r="M1994" s="63" t="s">
        <v>5329</v>
      </c>
      <c r="N1994" s="63" t="s">
        <v>2365</v>
      </c>
    </row>
    <row r="1995" spans="1:14" x14ac:dyDescent="0.2">
      <c r="A1995" s="51">
        <v>1994</v>
      </c>
      <c r="B1995" s="54" t="s">
        <v>755</v>
      </c>
      <c r="C1995" s="47" t="s">
        <v>5332</v>
      </c>
      <c r="D1995" s="47" t="s">
        <v>12501</v>
      </c>
      <c r="E1995" s="47" t="s">
        <v>2365</v>
      </c>
      <c r="F1995" s="55" t="b">
        <v>1</v>
      </c>
      <c r="G1995" s="54" t="b">
        <v>1</v>
      </c>
      <c r="H1995" s="54" t="b">
        <v>1</v>
      </c>
      <c r="I1995" s="65" t="b">
        <v>0</v>
      </c>
      <c r="J1995" s="54" t="b">
        <v>1</v>
      </c>
      <c r="K1995" s="63" t="s">
        <v>755</v>
      </c>
      <c r="L1995" s="63" t="s">
        <v>5332</v>
      </c>
      <c r="M1995" s="63" t="s">
        <v>5333</v>
      </c>
      <c r="N1995" s="63" t="s">
        <v>2365</v>
      </c>
    </row>
    <row r="1996" spans="1:14" x14ac:dyDescent="0.2">
      <c r="A1996" s="51">
        <v>1995</v>
      </c>
      <c r="B1996" s="54" t="s">
        <v>755</v>
      </c>
      <c r="C1996" s="47" t="s">
        <v>12502</v>
      </c>
      <c r="D1996" s="47" t="s">
        <v>12503</v>
      </c>
      <c r="E1996" s="47" t="s">
        <v>2365</v>
      </c>
      <c r="F1996" s="55" t="b">
        <v>1</v>
      </c>
      <c r="G1996" s="65" t="b">
        <v>0</v>
      </c>
      <c r="H1996" s="65" t="b">
        <v>0</v>
      </c>
      <c r="I1996" s="65" t="b">
        <v>0</v>
      </c>
      <c r="J1996" s="65" t="b">
        <v>0</v>
      </c>
    </row>
    <row r="1997" spans="1:14" x14ac:dyDescent="0.2">
      <c r="A1997" s="51">
        <v>1996</v>
      </c>
      <c r="B1997" s="54" t="s">
        <v>755</v>
      </c>
      <c r="C1997" s="47" t="s">
        <v>5334</v>
      </c>
      <c r="D1997" s="47" t="s">
        <v>5335</v>
      </c>
      <c r="E1997" s="47" t="s">
        <v>2365</v>
      </c>
      <c r="F1997" s="55" t="b">
        <v>1</v>
      </c>
      <c r="G1997" s="54" t="b">
        <v>1</v>
      </c>
      <c r="H1997" s="54" t="b">
        <v>1</v>
      </c>
      <c r="I1997" s="54" t="b">
        <v>1</v>
      </c>
      <c r="J1997" s="54" t="b">
        <v>1</v>
      </c>
      <c r="K1997" s="63" t="s">
        <v>755</v>
      </c>
      <c r="L1997" s="63" t="s">
        <v>5334</v>
      </c>
      <c r="M1997" s="63" t="s">
        <v>5335</v>
      </c>
      <c r="N1997" s="63" t="s">
        <v>2365</v>
      </c>
    </row>
    <row r="1998" spans="1:14" x14ac:dyDescent="0.2">
      <c r="A1998" s="51">
        <v>1997</v>
      </c>
      <c r="B1998" s="54" t="s">
        <v>755</v>
      </c>
      <c r="C1998" s="47" t="s">
        <v>5310</v>
      </c>
      <c r="D1998" s="47" t="s">
        <v>5311</v>
      </c>
      <c r="E1998" s="47" t="s">
        <v>2365</v>
      </c>
      <c r="F1998" s="55" t="b">
        <v>1</v>
      </c>
      <c r="G1998" s="54" t="b">
        <v>1</v>
      </c>
      <c r="H1998" s="54" t="b">
        <v>1</v>
      </c>
      <c r="I1998" s="54" t="b">
        <v>1</v>
      </c>
      <c r="J1998" s="54" t="b">
        <v>1</v>
      </c>
      <c r="K1998" s="63" t="s">
        <v>755</v>
      </c>
      <c r="L1998" s="63" t="s">
        <v>5310</v>
      </c>
      <c r="M1998" s="63" t="s">
        <v>5311</v>
      </c>
      <c r="N1998" s="63" t="s">
        <v>2365</v>
      </c>
    </row>
    <row r="1999" spans="1:14" x14ac:dyDescent="0.2">
      <c r="A1999" s="51">
        <v>1998</v>
      </c>
      <c r="B1999" s="54" t="s">
        <v>755</v>
      </c>
      <c r="C1999" s="47" t="s">
        <v>5314</v>
      </c>
      <c r="D1999" s="47" t="s">
        <v>5315</v>
      </c>
      <c r="E1999" s="47" t="s">
        <v>2365</v>
      </c>
      <c r="F1999" s="55" t="b">
        <v>1</v>
      </c>
      <c r="G1999" s="54" t="b">
        <v>1</v>
      </c>
      <c r="H1999" s="54" t="b">
        <v>1</v>
      </c>
      <c r="I1999" s="54" t="b">
        <v>1</v>
      </c>
      <c r="J1999" s="54" t="b">
        <v>1</v>
      </c>
      <c r="K1999" s="63" t="s">
        <v>755</v>
      </c>
      <c r="L1999" s="63" t="s">
        <v>5314</v>
      </c>
      <c r="M1999" s="63" t="s">
        <v>5315</v>
      </c>
      <c r="N1999" s="63" t="s">
        <v>2365</v>
      </c>
    </row>
    <row r="2000" spans="1:14" x14ac:dyDescent="0.2">
      <c r="A2000" s="51">
        <v>1999</v>
      </c>
      <c r="B2000" s="54" t="s">
        <v>755</v>
      </c>
      <c r="C2000" s="47" t="s">
        <v>5336</v>
      </c>
      <c r="D2000" s="47" t="s">
        <v>5337</v>
      </c>
      <c r="E2000" s="47" t="s">
        <v>2365</v>
      </c>
      <c r="F2000" s="55" t="b">
        <v>1</v>
      </c>
      <c r="G2000" s="54" t="b">
        <v>1</v>
      </c>
      <c r="H2000" s="54" t="b">
        <v>1</v>
      </c>
      <c r="I2000" s="54" t="b">
        <v>1</v>
      </c>
      <c r="J2000" s="54" t="b">
        <v>1</v>
      </c>
      <c r="K2000" s="63" t="s">
        <v>755</v>
      </c>
      <c r="L2000" s="63" t="s">
        <v>5336</v>
      </c>
      <c r="M2000" s="63" t="s">
        <v>5337</v>
      </c>
      <c r="N2000" s="63" t="s">
        <v>2365</v>
      </c>
    </row>
    <row r="2001" spans="1:14" x14ac:dyDescent="0.2">
      <c r="A2001" s="51">
        <v>2000</v>
      </c>
      <c r="B2001" s="54" t="s">
        <v>755</v>
      </c>
      <c r="C2001" s="47" t="s">
        <v>5312</v>
      </c>
      <c r="D2001" s="47" t="s">
        <v>5313</v>
      </c>
      <c r="E2001" s="47" t="s">
        <v>2365</v>
      </c>
      <c r="F2001" s="55" t="b">
        <v>1</v>
      </c>
      <c r="G2001" s="54" t="b">
        <v>1</v>
      </c>
      <c r="H2001" s="54" t="b">
        <v>1</v>
      </c>
      <c r="I2001" s="54" t="b">
        <v>1</v>
      </c>
      <c r="J2001" s="54" t="b">
        <v>1</v>
      </c>
      <c r="K2001" s="63" t="s">
        <v>755</v>
      </c>
      <c r="L2001" s="63" t="s">
        <v>5312</v>
      </c>
      <c r="M2001" s="63" t="s">
        <v>5313</v>
      </c>
      <c r="N2001" s="63" t="s">
        <v>2365</v>
      </c>
    </row>
    <row r="2002" spans="1:14" x14ac:dyDescent="0.2">
      <c r="A2002" s="51">
        <v>2001</v>
      </c>
      <c r="B2002" s="54" t="s">
        <v>755</v>
      </c>
      <c r="C2002" s="47" t="s">
        <v>5340</v>
      </c>
      <c r="D2002" s="47" t="s">
        <v>5341</v>
      </c>
      <c r="E2002" s="47" t="s">
        <v>2365</v>
      </c>
      <c r="F2002" s="55" t="b">
        <v>1</v>
      </c>
      <c r="G2002" s="54" t="b">
        <v>1</v>
      </c>
      <c r="H2002" s="54" t="b">
        <v>1</v>
      </c>
      <c r="I2002" s="54" t="b">
        <v>1</v>
      </c>
      <c r="J2002" s="54" t="b">
        <v>1</v>
      </c>
      <c r="K2002" s="63" t="s">
        <v>755</v>
      </c>
      <c r="L2002" s="63" t="s">
        <v>5340</v>
      </c>
      <c r="M2002" s="63" t="s">
        <v>5341</v>
      </c>
      <c r="N2002" s="63" t="s">
        <v>2365</v>
      </c>
    </row>
    <row r="2003" spans="1:14" x14ac:dyDescent="0.2">
      <c r="A2003" s="51">
        <v>2002</v>
      </c>
      <c r="B2003" s="54" t="s">
        <v>755</v>
      </c>
      <c r="C2003" s="47" t="s">
        <v>5318</v>
      </c>
      <c r="D2003" s="47" t="s">
        <v>5319</v>
      </c>
      <c r="E2003" s="47" t="s">
        <v>2365</v>
      </c>
      <c r="F2003" s="55" t="b">
        <v>1</v>
      </c>
      <c r="G2003" s="54" t="b">
        <v>1</v>
      </c>
      <c r="H2003" s="54" t="b">
        <v>1</v>
      </c>
      <c r="I2003" s="54" t="b">
        <v>1</v>
      </c>
      <c r="J2003" s="54" t="b">
        <v>1</v>
      </c>
      <c r="K2003" s="63" t="s">
        <v>755</v>
      </c>
      <c r="L2003" s="63" t="s">
        <v>5318</v>
      </c>
      <c r="M2003" s="63" t="s">
        <v>5319</v>
      </c>
      <c r="N2003" s="63" t="s">
        <v>2365</v>
      </c>
    </row>
    <row r="2004" spans="1:14" x14ac:dyDescent="0.2">
      <c r="A2004" s="51">
        <v>2003</v>
      </c>
      <c r="G2004" s="65" t="b">
        <v>0</v>
      </c>
      <c r="H2004" s="65" t="b">
        <v>0</v>
      </c>
      <c r="I2004" s="65" t="b">
        <v>0</v>
      </c>
      <c r="J2004" s="65" t="b">
        <v>0</v>
      </c>
      <c r="K2004" s="63" t="s">
        <v>755</v>
      </c>
      <c r="L2004" s="63" t="s">
        <v>5320</v>
      </c>
      <c r="M2004" s="63" t="s">
        <v>5321</v>
      </c>
      <c r="N2004" s="63" t="s">
        <v>2365</v>
      </c>
    </row>
    <row r="2005" spans="1:14" x14ac:dyDescent="0.2">
      <c r="A2005" s="51">
        <v>2004</v>
      </c>
      <c r="B2005" s="54" t="s">
        <v>755</v>
      </c>
      <c r="C2005" s="47" t="s">
        <v>5338</v>
      </c>
      <c r="D2005" s="47" t="s">
        <v>5339</v>
      </c>
      <c r="E2005" s="47" t="s">
        <v>2365</v>
      </c>
      <c r="F2005" s="55" t="b">
        <v>1</v>
      </c>
      <c r="G2005" s="54" t="b">
        <v>1</v>
      </c>
      <c r="H2005" s="54" t="b">
        <v>1</v>
      </c>
      <c r="I2005" s="54" t="b">
        <v>1</v>
      </c>
      <c r="J2005" s="54" t="b">
        <v>1</v>
      </c>
      <c r="K2005" s="63" t="s">
        <v>755</v>
      </c>
      <c r="L2005" s="63" t="s">
        <v>5338</v>
      </c>
      <c r="M2005" s="63" t="s">
        <v>5339</v>
      </c>
      <c r="N2005" s="63" t="s">
        <v>2365</v>
      </c>
    </row>
    <row r="2006" spans="1:14" x14ac:dyDescent="0.2">
      <c r="A2006" s="51">
        <v>2005</v>
      </c>
      <c r="G2006" s="65" t="b">
        <v>0</v>
      </c>
      <c r="H2006" s="65" t="b">
        <v>0</v>
      </c>
      <c r="I2006" s="65" t="b">
        <v>0</v>
      </c>
      <c r="J2006" s="65" t="b">
        <v>0</v>
      </c>
      <c r="K2006" s="63" t="s">
        <v>757</v>
      </c>
      <c r="L2006" s="63" t="s">
        <v>5369</v>
      </c>
      <c r="M2006" s="63" t="s">
        <v>5370</v>
      </c>
      <c r="N2006" s="63" t="s">
        <v>1719</v>
      </c>
    </row>
    <row r="2007" spans="1:14" x14ac:dyDescent="0.2">
      <c r="A2007" s="51">
        <v>2006</v>
      </c>
      <c r="B2007" s="54" t="s">
        <v>757</v>
      </c>
      <c r="C2007" s="47" t="s">
        <v>5369</v>
      </c>
      <c r="D2007" s="47" t="s">
        <v>5371</v>
      </c>
      <c r="E2007" s="48" t="s">
        <v>1719</v>
      </c>
      <c r="F2007" s="66" t="b">
        <v>0</v>
      </c>
      <c r="G2007" s="54" t="b">
        <v>1</v>
      </c>
      <c r="H2007" s="54" t="b">
        <v>1</v>
      </c>
      <c r="I2007" s="54" t="b">
        <v>1</v>
      </c>
      <c r="J2007" s="54" t="b">
        <v>1</v>
      </c>
      <c r="K2007" s="63" t="s">
        <v>757</v>
      </c>
      <c r="L2007" s="63" t="s">
        <v>5369</v>
      </c>
      <c r="M2007" s="63" t="s">
        <v>5371</v>
      </c>
      <c r="N2007" s="63" t="s">
        <v>1719</v>
      </c>
    </row>
    <row r="2008" spans="1:14" x14ac:dyDescent="0.2">
      <c r="A2008" s="51">
        <v>2007</v>
      </c>
      <c r="E2008" s="48"/>
      <c r="G2008" s="65" t="b">
        <v>0</v>
      </c>
      <c r="H2008" s="65" t="b">
        <v>0</v>
      </c>
      <c r="I2008" s="65" t="b">
        <v>0</v>
      </c>
      <c r="J2008" s="65" t="b">
        <v>0</v>
      </c>
      <c r="K2008" s="63" t="s">
        <v>757</v>
      </c>
      <c r="L2008" s="63" t="s">
        <v>5344</v>
      </c>
      <c r="M2008" s="63" t="s">
        <v>5345</v>
      </c>
      <c r="N2008" s="63" t="s">
        <v>1788</v>
      </c>
    </row>
    <row r="2009" spans="1:14" x14ac:dyDescent="0.2">
      <c r="A2009" s="51">
        <v>2008</v>
      </c>
      <c r="B2009" s="54" t="s">
        <v>757</v>
      </c>
      <c r="C2009" s="47" t="s">
        <v>5344</v>
      </c>
      <c r="D2009" s="47" t="s">
        <v>5368</v>
      </c>
      <c r="E2009" s="47" t="s">
        <v>1788</v>
      </c>
      <c r="F2009" s="55" t="b">
        <v>1</v>
      </c>
      <c r="G2009" s="54" t="b">
        <v>1</v>
      </c>
      <c r="H2009" s="54" t="b">
        <v>1</v>
      </c>
      <c r="I2009" s="54" t="b">
        <v>1</v>
      </c>
      <c r="J2009" s="54" t="b">
        <v>1</v>
      </c>
      <c r="K2009" s="63" t="s">
        <v>757</v>
      </c>
      <c r="L2009" s="63" t="s">
        <v>5344</v>
      </c>
      <c r="M2009" s="63" t="s">
        <v>5368</v>
      </c>
      <c r="N2009" s="63" t="s">
        <v>1788</v>
      </c>
    </row>
    <row r="2010" spans="1:14" x14ac:dyDescent="0.2">
      <c r="A2010" s="51">
        <v>2009</v>
      </c>
      <c r="G2010" s="65" t="b">
        <v>0</v>
      </c>
      <c r="H2010" s="65" t="b">
        <v>0</v>
      </c>
      <c r="I2010" s="65" t="b">
        <v>0</v>
      </c>
      <c r="J2010" s="65" t="b">
        <v>0</v>
      </c>
      <c r="K2010" s="63" t="s">
        <v>757</v>
      </c>
      <c r="L2010" s="63" t="s">
        <v>5342</v>
      </c>
      <c r="M2010" s="63" t="s">
        <v>5343</v>
      </c>
      <c r="N2010" s="63" t="s">
        <v>1788</v>
      </c>
    </row>
    <row r="2011" spans="1:14" x14ac:dyDescent="0.2">
      <c r="A2011" s="51">
        <v>2010</v>
      </c>
      <c r="B2011" s="54" t="s">
        <v>757</v>
      </c>
      <c r="C2011" s="47" t="s">
        <v>5342</v>
      </c>
      <c r="D2011" s="47" t="s">
        <v>5358</v>
      </c>
      <c r="E2011" s="47" t="s">
        <v>1788</v>
      </c>
      <c r="F2011" s="55" t="b">
        <v>1</v>
      </c>
      <c r="G2011" s="54" t="b">
        <v>1</v>
      </c>
      <c r="H2011" s="54" t="b">
        <v>1</v>
      </c>
      <c r="I2011" s="54" t="b">
        <v>1</v>
      </c>
      <c r="J2011" s="54" t="b">
        <v>1</v>
      </c>
      <c r="K2011" s="63" t="s">
        <v>757</v>
      </c>
      <c r="L2011" s="63" t="s">
        <v>5342</v>
      </c>
      <c r="M2011" s="63" t="s">
        <v>5358</v>
      </c>
      <c r="N2011" s="63" t="s">
        <v>1788</v>
      </c>
    </row>
    <row r="2012" spans="1:14" x14ac:dyDescent="0.2">
      <c r="A2012" s="51">
        <v>2011</v>
      </c>
      <c r="G2012" s="65" t="b">
        <v>0</v>
      </c>
      <c r="H2012" s="65" t="b">
        <v>0</v>
      </c>
      <c r="I2012" s="65" t="b">
        <v>0</v>
      </c>
      <c r="J2012" s="65" t="b">
        <v>0</v>
      </c>
      <c r="K2012" s="63" t="s">
        <v>757</v>
      </c>
      <c r="L2012" s="63" t="s">
        <v>5372</v>
      </c>
      <c r="M2012" s="63" t="s">
        <v>5373</v>
      </c>
      <c r="N2012" s="63" t="s">
        <v>1788</v>
      </c>
    </row>
    <row r="2013" spans="1:14" x14ac:dyDescent="0.2">
      <c r="A2013" s="51">
        <v>2012</v>
      </c>
      <c r="B2013" s="54" t="s">
        <v>757</v>
      </c>
      <c r="C2013" s="47" t="s">
        <v>5372</v>
      </c>
      <c r="D2013" s="47" t="s">
        <v>5374</v>
      </c>
      <c r="E2013" s="47" t="s">
        <v>1788</v>
      </c>
      <c r="F2013" s="55" t="b">
        <v>1</v>
      </c>
      <c r="G2013" s="54" t="b">
        <v>1</v>
      </c>
      <c r="H2013" s="54" t="b">
        <v>1</v>
      </c>
      <c r="I2013" s="54" t="b">
        <v>1</v>
      </c>
      <c r="J2013" s="54" t="b">
        <v>1</v>
      </c>
      <c r="K2013" s="63" t="s">
        <v>757</v>
      </c>
      <c r="L2013" s="63" t="s">
        <v>5372</v>
      </c>
      <c r="M2013" s="63" t="s">
        <v>5374</v>
      </c>
      <c r="N2013" s="63" t="s">
        <v>1788</v>
      </c>
    </row>
    <row r="2014" spans="1:14" x14ac:dyDescent="0.2">
      <c r="A2014" s="51">
        <v>2013</v>
      </c>
      <c r="B2014" s="54" t="s">
        <v>757</v>
      </c>
      <c r="C2014" s="47" t="s">
        <v>12504</v>
      </c>
      <c r="D2014" s="47" t="s">
        <v>5374</v>
      </c>
      <c r="E2014" s="47" t="s">
        <v>2046</v>
      </c>
      <c r="F2014" s="55" t="b">
        <v>1</v>
      </c>
      <c r="G2014" s="65" t="b">
        <v>0</v>
      </c>
      <c r="H2014" s="65" t="b">
        <v>0</v>
      </c>
      <c r="I2014" s="65" t="b">
        <v>0</v>
      </c>
      <c r="J2014" s="65" t="b">
        <v>0</v>
      </c>
    </row>
    <row r="2015" spans="1:14" x14ac:dyDescent="0.2">
      <c r="A2015" s="51">
        <v>2014</v>
      </c>
      <c r="B2015" s="54" t="s">
        <v>757</v>
      </c>
      <c r="C2015" s="47" t="s">
        <v>5356</v>
      </c>
      <c r="D2015" s="47" t="s">
        <v>5357</v>
      </c>
      <c r="E2015" s="47" t="s">
        <v>1788</v>
      </c>
      <c r="F2015" s="55" t="b">
        <v>1</v>
      </c>
      <c r="G2015" s="54" t="b">
        <v>1</v>
      </c>
      <c r="H2015" s="54" t="b">
        <v>1</v>
      </c>
      <c r="I2015" s="54" t="b">
        <v>1</v>
      </c>
      <c r="J2015" s="54" t="b">
        <v>1</v>
      </c>
      <c r="K2015" s="63" t="s">
        <v>757</v>
      </c>
      <c r="L2015" s="63" t="s">
        <v>5356</v>
      </c>
      <c r="M2015" s="63" t="s">
        <v>5357</v>
      </c>
      <c r="N2015" s="63" t="s">
        <v>1788</v>
      </c>
    </row>
    <row r="2016" spans="1:14" x14ac:dyDescent="0.2">
      <c r="A2016" s="51">
        <v>2015</v>
      </c>
      <c r="G2016" s="65" t="b">
        <v>0</v>
      </c>
      <c r="H2016" s="65" t="b">
        <v>0</v>
      </c>
      <c r="I2016" s="65" t="b">
        <v>0</v>
      </c>
      <c r="J2016" s="65" t="b">
        <v>0</v>
      </c>
      <c r="K2016" s="63" t="s">
        <v>757</v>
      </c>
      <c r="L2016" s="63" t="s">
        <v>5356</v>
      </c>
      <c r="M2016" s="63" t="s">
        <v>5359</v>
      </c>
      <c r="N2016" s="63" t="s">
        <v>1788</v>
      </c>
    </row>
    <row r="2017" spans="1:14" x14ac:dyDescent="0.2">
      <c r="A2017" s="51">
        <v>2016</v>
      </c>
      <c r="G2017" s="65" t="b">
        <v>0</v>
      </c>
      <c r="H2017" s="65" t="b">
        <v>0</v>
      </c>
      <c r="I2017" s="65" t="b">
        <v>0</v>
      </c>
      <c r="J2017" s="65" t="b">
        <v>0</v>
      </c>
      <c r="K2017" s="63" t="s">
        <v>757</v>
      </c>
      <c r="L2017" s="63" t="s">
        <v>5354</v>
      </c>
      <c r="M2017" s="63" t="s">
        <v>5355</v>
      </c>
      <c r="N2017" s="63" t="s">
        <v>1788</v>
      </c>
    </row>
    <row r="2018" spans="1:14" x14ac:dyDescent="0.2">
      <c r="A2018" s="51">
        <v>2017</v>
      </c>
      <c r="G2018" s="65" t="b">
        <v>0</v>
      </c>
      <c r="H2018" s="65" t="b">
        <v>0</v>
      </c>
      <c r="I2018" s="65" t="b">
        <v>0</v>
      </c>
      <c r="J2018" s="65" t="b">
        <v>0</v>
      </c>
      <c r="K2018" s="63" t="s">
        <v>757</v>
      </c>
      <c r="L2018" s="63" t="s">
        <v>5354</v>
      </c>
      <c r="M2018" s="63" t="s">
        <v>5377</v>
      </c>
      <c r="N2018" s="63" t="s">
        <v>1788</v>
      </c>
    </row>
    <row r="2019" spans="1:14" x14ac:dyDescent="0.2">
      <c r="A2019" s="51">
        <v>2018</v>
      </c>
      <c r="B2019" s="54" t="s">
        <v>757</v>
      </c>
      <c r="C2019" s="47" t="s">
        <v>5375</v>
      </c>
      <c r="D2019" s="47" t="s">
        <v>5376</v>
      </c>
      <c r="E2019" s="47" t="s">
        <v>1788</v>
      </c>
      <c r="F2019" s="55" t="b">
        <v>1</v>
      </c>
      <c r="G2019" s="54" t="b">
        <v>1</v>
      </c>
      <c r="H2019" s="54" t="b">
        <v>1</v>
      </c>
      <c r="I2019" s="54" t="b">
        <v>1</v>
      </c>
      <c r="J2019" s="54" t="b">
        <v>1</v>
      </c>
      <c r="K2019" s="63" t="s">
        <v>757</v>
      </c>
      <c r="L2019" s="63" t="s">
        <v>5375</v>
      </c>
      <c r="M2019" s="63" t="s">
        <v>5376</v>
      </c>
      <c r="N2019" s="63" t="s">
        <v>1788</v>
      </c>
    </row>
    <row r="2020" spans="1:14" x14ac:dyDescent="0.2">
      <c r="A2020" s="51">
        <v>2019</v>
      </c>
      <c r="G2020" s="65" t="b">
        <v>0</v>
      </c>
      <c r="H2020" s="65" t="b">
        <v>0</v>
      </c>
      <c r="I2020" s="65" t="b">
        <v>0</v>
      </c>
      <c r="J2020" s="65" t="b">
        <v>0</v>
      </c>
      <c r="K2020" s="63" t="s">
        <v>757</v>
      </c>
      <c r="L2020" s="63" t="s">
        <v>5375</v>
      </c>
      <c r="M2020" s="63" t="s">
        <v>5378</v>
      </c>
      <c r="N2020" s="63" t="s">
        <v>1788</v>
      </c>
    </row>
    <row r="2021" spans="1:14" x14ac:dyDescent="0.2">
      <c r="A2021" s="51">
        <v>2020</v>
      </c>
      <c r="B2021" s="54" t="s">
        <v>757</v>
      </c>
      <c r="C2021" s="47" t="s">
        <v>12506</v>
      </c>
      <c r="D2021" s="47" t="s">
        <v>12507</v>
      </c>
      <c r="E2021" s="47" t="s">
        <v>1788</v>
      </c>
      <c r="F2021" s="55" t="b">
        <v>1</v>
      </c>
      <c r="G2021" s="65" t="b">
        <v>0</v>
      </c>
      <c r="H2021" s="65" t="b">
        <v>0</v>
      </c>
      <c r="I2021" s="65" t="b">
        <v>0</v>
      </c>
      <c r="J2021" s="65" t="b">
        <v>0</v>
      </c>
    </row>
    <row r="2022" spans="1:14" x14ac:dyDescent="0.2">
      <c r="A2022" s="51">
        <v>2021</v>
      </c>
      <c r="B2022" s="54" t="s">
        <v>757</v>
      </c>
      <c r="C2022" s="47" t="s">
        <v>12505</v>
      </c>
      <c r="D2022" s="47" t="s">
        <v>5377</v>
      </c>
      <c r="E2022" s="47" t="s">
        <v>2046</v>
      </c>
      <c r="F2022" s="55" t="b">
        <v>1</v>
      </c>
      <c r="G2022" s="65" t="b">
        <v>0</v>
      </c>
      <c r="H2022" s="65" t="b">
        <v>0</v>
      </c>
      <c r="I2022" s="65" t="b">
        <v>0</v>
      </c>
      <c r="J2022" s="65" t="b">
        <v>0</v>
      </c>
    </row>
    <row r="2023" spans="1:14" x14ac:dyDescent="0.2">
      <c r="A2023" s="51">
        <v>2022</v>
      </c>
      <c r="B2023" s="54" t="s">
        <v>757</v>
      </c>
      <c r="C2023" s="47" t="s">
        <v>12508</v>
      </c>
      <c r="D2023" s="47" t="s">
        <v>12509</v>
      </c>
      <c r="E2023" s="47" t="s">
        <v>1788</v>
      </c>
      <c r="F2023" s="55" t="b">
        <v>1</v>
      </c>
      <c r="G2023" s="65" t="b">
        <v>0</v>
      </c>
      <c r="H2023" s="65" t="b">
        <v>0</v>
      </c>
      <c r="I2023" s="65" t="b">
        <v>0</v>
      </c>
      <c r="J2023" s="65" t="b">
        <v>0</v>
      </c>
    </row>
    <row r="2024" spans="1:14" x14ac:dyDescent="0.2">
      <c r="A2024" s="51">
        <v>2023</v>
      </c>
      <c r="B2024" s="54" t="s">
        <v>757</v>
      </c>
      <c r="C2024" s="47" t="s">
        <v>5379</v>
      </c>
      <c r="D2024" s="47" t="s">
        <v>5381</v>
      </c>
      <c r="E2024" s="47" t="s">
        <v>1788</v>
      </c>
      <c r="F2024" s="55" t="b">
        <v>1</v>
      </c>
      <c r="G2024" s="54" t="b">
        <v>1</v>
      </c>
      <c r="H2024" s="54" t="b">
        <v>1</v>
      </c>
      <c r="I2024" s="65" t="b">
        <v>0</v>
      </c>
      <c r="J2024" s="54" t="b">
        <v>1</v>
      </c>
      <c r="K2024" s="63" t="s">
        <v>757</v>
      </c>
      <c r="L2024" s="63" t="s">
        <v>5379</v>
      </c>
      <c r="M2024" s="63" t="s">
        <v>5380</v>
      </c>
      <c r="N2024" s="63" t="s">
        <v>1788</v>
      </c>
    </row>
    <row r="2025" spans="1:14" x14ac:dyDescent="0.2">
      <c r="A2025" s="51">
        <v>2024</v>
      </c>
      <c r="G2025" s="65" t="b">
        <v>0</v>
      </c>
      <c r="H2025" s="65" t="b">
        <v>0</v>
      </c>
      <c r="I2025" s="65" t="b">
        <v>0</v>
      </c>
      <c r="J2025" s="65" t="b">
        <v>0</v>
      </c>
      <c r="K2025" s="63" t="s">
        <v>757</v>
      </c>
      <c r="L2025" s="63" t="s">
        <v>5379</v>
      </c>
      <c r="M2025" s="63" t="s">
        <v>5381</v>
      </c>
      <c r="N2025" s="63" t="s">
        <v>1788</v>
      </c>
    </row>
    <row r="2026" spans="1:14" x14ac:dyDescent="0.2">
      <c r="A2026" s="51">
        <v>2025</v>
      </c>
      <c r="B2026" s="54" t="s">
        <v>757</v>
      </c>
      <c r="C2026" s="47" t="s">
        <v>12510</v>
      </c>
      <c r="D2026" s="47" t="s">
        <v>5381</v>
      </c>
      <c r="E2026" s="47" t="s">
        <v>2046</v>
      </c>
      <c r="F2026" s="55" t="b">
        <v>1</v>
      </c>
      <c r="G2026" s="65" t="b">
        <v>0</v>
      </c>
      <c r="H2026" s="65" t="b">
        <v>0</v>
      </c>
      <c r="I2026" s="65" t="b">
        <v>0</v>
      </c>
      <c r="J2026" s="65" t="b">
        <v>0</v>
      </c>
    </row>
    <row r="2027" spans="1:14" x14ac:dyDescent="0.2">
      <c r="A2027" s="51">
        <v>2026</v>
      </c>
      <c r="G2027" s="65" t="b">
        <v>0</v>
      </c>
      <c r="H2027" s="65" t="b">
        <v>0</v>
      </c>
      <c r="I2027" s="65" t="b">
        <v>0</v>
      </c>
      <c r="J2027" s="65" t="b">
        <v>0</v>
      </c>
      <c r="K2027" s="63" t="s">
        <v>757</v>
      </c>
      <c r="L2027" s="63" t="s">
        <v>5364</v>
      </c>
      <c r="M2027" s="63" t="s">
        <v>5365</v>
      </c>
      <c r="N2027" s="63" t="s">
        <v>1788</v>
      </c>
    </row>
    <row r="2028" spans="1:14" x14ac:dyDescent="0.2">
      <c r="A2028" s="51">
        <v>2027</v>
      </c>
      <c r="B2028" s="54" t="s">
        <v>757</v>
      </c>
      <c r="C2028" s="47" t="s">
        <v>5364</v>
      </c>
      <c r="D2028" s="47" t="s">
        <v>5383</v>
      </c>
      <c r="E2028" s="47" t="s">
        <v>1788</v>
      </c>
      <c r="F2028" s="55" t="b">
        <v>1</v>
      </c>
      <c r="G2028" s="54" t="b">
        <v>1</v>
      </c>
      <c r="H2028" s="54" t="b">
        <v>1</v>
      </c>
      <c r="I2028" s="54" t="b">
        <v>1</v>
      </c>
      <c r="J2028" s="54" t="b">
        <v>1</v>
      </c>
      <c r="K2028" s="63" t="s">
        <v>757</v>
      </c>
      <c r="L2028" s="63" t="s">
        <v>5364</v>
      </c>
      <c r="M2028" s="63" t="s">
        <v>5383</v>
      </c>
      <c r="N2028" s="63" t="s">
        <v>1788</v>
      </c>
    </row>
    <row r="2029" spans="1:14" x14ac:dyDescent="0.2">
      <c r="A2029" s="51">
        <v>2028</v>
      </c>
      <c r="G2029" s="65" t="b">
        <v>0</v>
      </c>
      <c r="H2029" s="65" t="b">
        <v>0</v>
      </c>
      <c r="I2029" s="65" t="b">
        <v>0</v>
      </c>
      <c r="J2029" s="65" t="b">
        <v>0</v>
      </c>
      <c r="K2029" s="63" t="s">
        <v>757</v>
      </c>
      <c r="L2029" s="63" t="s">
        <v>5362</v>
      </c>
      <c r="M2029" s="63" t="s">
        <v>5363</v>
      </c>
      <c r="N2029" s="63" t="s">
        <v>1788</v>
      </c>
    </row>
    <row r="2030" spans="1:14" x14ac:dyDescent="0.2">
      <c r="A2030" s="51">
        <v>2029</v>
      </c>
      <c r="B2030" s="54" t="s">
        <v>757</v>
      </c>
      <c r="C2030" s="47" t="s">
        <v>5362</v>
      </c>
      <c r="D2030" s="47" t="s">
        <v>5384</v>
      </c>
      <c r="E2030" s="47" t="s">
        <v>1788</v>
      </c>
      <c r="F2030" s="55" t="b">
        <v>1</v>
      </c>
      <c r="G2030" s="54" t="b">
        <v>1</v>
      </c>
      <c r="H2030" s="54" t="b">
        <v>1</v>
      </c>
      <c r="I2030" s="54" t="b">
        <v>1</v>
      </c>
      <c r="J2030" s="54" t="b">
        <v>1</v>
      </c>
      <c r="K2030" s="63" t="s">
        <v>757</v>
      </c>
      <c r="L2030" s="63" t="s">
        <v>5362</v>
      </c>
      <c r="M2030" s="63" t="s">
        <v>5384</v>
      </c>
      <c r="N2030" s="63" t="s">
        <v>1788</v>
      </c>
    </row>
    <row r="2031" spans="1:14" x14ac:dyDescent="0.2">
      <c r="A2031" s="51">
        <v>2030</v>
      </c>
      <c r="G2031" s="65" t="b">
        <v>0</v>
      </c>
      <c r="H2031" s="65" t="b">
        <v>0</v>
      </c>
      <c r="I2031" s="65" t="b">
        <v>0</v>
      </c>
      <c r="J2031" s="65" t="b">
        <v>0</v>
      </c>
      <c r="K2031" s="63" t="s">
        <v>757</v>
      </c>
      <c r="L2031" s="63" t="s">
        <v>5360</v>
      </c>
      <c r="M2031" s="63" t="s">
        <v>5361</v>
      </c>
      <c r="N2031" s="63" t="s">
        <v>1788</v>
      </c>
    </row>
    <row r="2032" spans="1:14" x14ac:dyDescent="0.2">
      <c r="A2032" s="51">
        <v>2031</v>
      </c>
      <c r="B2032" s="54" t="s">
        <v>757</v>
      </c>
      <c r="C2032" s="47" t="s">
        <v>5360</v>
      </c>
      <c r="D2032" s="47" t="s">
        <v>5382</v>
      </c>
      <c r="E2032" s="47" t="s">
        <v>1788</v>
      </c>
      <c r="F2032" s="55" t="b">
        <v>1</v>
      </c>
      <c r="G2032" s="54" t="b">
        <v>1</v>
      </c>
      <c r="H2032" s="54" t="b">
        <v>1</v>
      </c>
      <c r="I2032" s="54" t="b">
        <v>1</v>
      </c>
      <c r="J2032" s="54" t="b">
        <v>1</v>
      </c>
      <c r="K2032" s="63" t="s">
        <v>757</v>
      </c>
      <c r="L2032" s="63" t="s">
        <v>5360</v>
      </c>
      <c r="M2032" s="63" t="s">
        <v>5382</v>
      </c>
      <c r="N2032" s="63" t="s">
        <v>1788</v>
      </c>
    </row>
    <row r="2033" spans="1:14" x14ac:dyDescent="0.2">
      <c r="A2033" s="51">
        <v>2032</v>
      </c>
      <c r="G2033" s="65" t="b">
        <v>0</v>
      </c>
      <c r="H2033" s="65" t="b">
        <v>0</v>
      </c>
      <c r="I2033" s="65" t="b">
        <v>0</v>
      </c>
      <c r="J2033" s="65" t="b">
        <v>0</v>
      </c>
      <c r="K2033" s="63" t="s">
        <v>757</v>
      </c>
      <c r="L2033" s="63" t="s">
        <v>5385</v>
      </c>
      <c r="M2033" s="63" t="s">
        <v>5386</v>
      </c>
      <c r="N2033" s="63" t="s">
        <v>1719</v>
      </c>
    </row>
    <row r="2034" spans="1:14" x14ac:dyDescent="0.2">
      <c r="A2034" s="51">
        <v>2033</v>
      </c>
      <c r="B2034" s="54" t="s">
        <v>757</v>
      </c>
      <c r="C2034" s="47" t="s">
        <v>5385</v>
      </c>
      <c r="D2034" s="47" t="s">
        <v>5389</v>
      </c>
      <c r="E2034" s="48" t="s">
        <v>1719</v>
      </c>
      <c r="F2034" s="66" t="b">
        <v>0</v>
      </c>
      <c r="G2034" s="54" t="b">
        <v>1</v>
      </c>
      <c r="H2034" s="54" t="b">
        <v>1</v>
      </c>
      <c r="I2034" s="54" t="b">
        <v>1</v>
      </c>
      <c r="J2034" s="54" t="b">
        <v>1</v>
      </c>
      <c r="K2034" s="63" t="s">
        <v>757</v>
      </c>
      <c r="L2034" s="63" t="s">
        <v>5385</v>
      </c>
      <c r="M2034" s="63" t="s">
        <v>5389</v>
      </c>
      <c r="N2034" s="63" t="s">
        <v>1719</v>
      </c>
    </row>
    <row r="2035" spans="1:14" x14ac:dyDescent="0.2">
      <c r="A2035" s="51">
        <v>2034</v>
      </c>
      <c r="B2035" s="54" t="s">
        <v>757</v>
      </c>
      <c r="C2035" s="47" t="s">
        <v>12511</v>
      </c>
      <c r="D2035" s="47" t="s">
        <v>5394</v>
      </c>
      <c r="E2035" s="47" t="s">
        <v>12512</v>
      </c>
      <c r="F2035" s="55" t="b">
        <v>1</v>
      </c>
      <c r="G2035" s="65" t="b">
        <v>0</v>
      </c>
      <c r="H2035" s="65" t="b">
        <v>0</v>
      </c>
      <c r="I2035" s="65" t="b">
        <v>0</v>
      </c>
      <c r="J2035" s="65" t="b">
        <v>0</v>
      </c>
    </row>
    <row r="2036" spans="1:14" x14ac:dyDescent="0.2">
      <c r="A2036" s="51">
        <v>2035</v>
      </c>
      <c r="B2036" s="54" t="s">
        <v>757</v>
      </c>
      <c r="C2036" s="47" t="s">
        <v>5348</v>
      </c>
      <c r="D2036" s="47" t="s">
        <v>5397</v>
      </c>
      <c r="E2036" s="47" t="s">
        <v>1788</v>
      </c>
      <c r="F2036" s="55" t="b">
        <v>1</v>
      </c>
      <c r="G2036" s="54" t="b">
        <v>1</v>
      </c>
      <c r="H2036" s="54" t="b">
        <v>1</v>
      </c>
      <c r="I2036" s="65" t="b">
        <v>0</v>
      </c>
      <c r="J2036" s="54" t="b">
        <v>1</v>
      </c>
      <c r="K2036" s="63" t="s">
        <v>757</v>
      </c>
      <c r="L2036" s="63" t="s">
        <v>5348</v>
      </c>
      <c r="M2036" s="63" t="s">
        <v>5349</v>
      </c>
      <c r="N2036" s="63" t="s">
        <v>1788</v>
      </c>
    </row>
    <row r="2037" spans="1:14" x14ac:dyDescent="0.2">
      <c r="A2037" s="51">
        <v>2036</v>
      </c>
      <c r="G2037" s="65" t="b">
        <v>0</v>
      </c>
      <c r="H2037" s="65" t="b">
        <v>0</v>
      </c>
      <c r="I2037" s="65" t="b">
        <v>0</v>
      </c>
      <c r="J2037" s="65" t="b">
        <v>0</v>
      </c>
      <c r="K2037" s="63" t="s">
        <v>757</v>
      </c>
      <c r="L2037" s="63" t="s">
        <v>5348</v>
      </c>
      <c r="M2037" s="63" t="s">
        <v>5397</v>
      </c>
      <c r="N2037" s="63" t="s">
        <v>1788</v>
      </c>
    </row>
    <row r="2038" spans="1:14" x14ac:dyDescent="0.2">
      <c r="A2038" s="51">
        <v>2037</v>
      </c>
      <c r="B2038" s="54" t="s">
        <v>757</v>
      </c>
      <c r="C2038" s="47" t="s">
        <v>5398</v>
      </c>
      <c r="D2038" s="47" t="s">
        <v>5399</v>
      </c>
      <c r="E2038" s="47" t="s">
        <v>1788</v>
      </c>
      <c r="F2038" s="55" t="b">
        <v>1</v>
      </c>
      <c r="G2038" s="54" t="b">
        <v>1</v>
      </c>
      <c r="H2038" s="54" t="b">
        <v>1</v>
      </c>
      <c r="I2038" s="54" t="b">
        <v>1</v>
      </c>
      <c r="J2038" s="54" t="b">
        <v>1</v>
      </c>
      <c r="K2038" s="63" t="s">
        <v>757</v>
      </c>
      <c r="L2038" s="63" t="s">
        <v>5398</v>
      </c>
      <c r="M2038" s="63" t="s">
        <v>5399</v>
      </c>
      <c r="N2038" s="63" t="s">
        <v>1788</v>
      </c>
    </row>
    <row r="2039" spans="1:14" x14ac:dyDescent="0.2">
      <c r="A2039" s="51">
        <v>2038</v>
      </c>
      <c r="G2039" s="65" t="b">
        <v>0</v>
      </c>
      <c r="H2039" s="65" t="b">
        <v>0</v>
      </c>
      <c r="I2039" s="65" t="b">
        <v>0</v>
      </c>
      <c r="J2039" s="65" t="b">
        <v>0</v>
      </c>
      <c r="K2039" s="63" t="s">
        <v>757</v>
      </c>
      <c r="L2039" s="63" t="s">
        <v>5398</v>
      </c>
      <c r="M2039" s="63" t="s">
        <v>5401</v>
      </c>
      <c r="N2039" s="63" t="s">
        <v>1788</v>
      </c>
    </row>
    <row r="2040" spans="1:14" x14ac:dyDescent="0.2">
      <c r="A2040" s="51">
        <v>2039</v>
      </c>
      <c r="G2040" s="65" t="b">
        <v>0</v>
      </c>
      <c r="H2040" s="65" t="b">
        <v>0</v>
      </c>
      <c r="I2040" s="65" t="b">
        <v>0</v>
      </c>
      <c r="J2040" s="65" t="b">
        <v>0</v>
      </c>
      <c r="K2040" s="63" t="s">
        <v>757</v>
      </c>
      <c r="L2040" s="63" t="s">
        <v>5393</v>
      </c>
      <c r="M2040" s="63" t="s">
        <v>5394</v>
      </c>
      <c r="N2040" s="63" t="s">
        <v>1788</v>
      </c>
    </row>
    <row r="2041" spans="1:14" x14ac:dyDescent="0.2">
      <c r="A2041" s="51">
        <v>2040</v>
      </c>
      <c r="G2041" s="65" t="b">
        <v>0</v>
      </c>
      <c r="H2041" s="65" t="b">
        <v>0</v>
      </c>
      <c r="I2041" s="65" t="b">
        <v>0</v>
      </c>
      <c r="J2041" s="65" t="b">
        <v>0</v>
      </c>
      <c r="K2041" s="63" t="s">
        <v>757</v>
      </c>
      <c r="L2041" s="63" t="s">
        <v>5393</v>
      </c>
      <c r="M2041" s="63" t="s">
        <v>5400</v>
      </c>
      <c r="N2041" s="63" t="s">
        <v>1788</v>
      </c>
    </row>
    <row r="2042" spans="1:14" x14ac:dyDescent="0.2">
      <c r="A2042" s="51">
        <v>2041</v>
      </c>
      <c r="B2042" s="54" t="s">
        <v>757</v>
      </c>
      <c r="C2042" s="47" t="s">
        <v>5390</v>
      </c>
      <c r="D2042" s="47" t="s">
        <v>5391</v>
      </c>
      <c r="E2042" s="47" t="s">
        <v>1788</v>
      </c>
      <c r="F2042" s="55" t="b">
        <v>1</v>
      </c>
      <c r="G2042" s="54" t="b">
        <v>1</v>
      </c>
      <c r="H2042" s="54" t="b">
        <v>1</v>
      </c>
      <c r="I2042" s="54" t="b">
        <v>1</v>
      </c>
      <c r="J2042" s="54" t="b">
        <v>1</v>
      </c>
      <c r="K2042" s="63" t="s">
        <v>757</v>
      </c>
      <c r="L2042" s="63" t="s">
        <v>5390</v>
      </c>
      <c r="M2042" s="63" t="s">
        <v>5391</v>
      </c>
      <c r="N2042" s="63" t="s">
        <v>1788</v>
      </c>
    </row>
    <row r="2043" spans="1:14" x14ac:dyDescent="0.2">
      <c r="A2043" s="51">
        <v>2042</v>
      </c>
      <c r="G2043" s="65" t="b">
        <v>0</v>
      </c>
      <c r="H2043" s="65" t="b">
        <v>0</v>
      </c>
      <c r="I2043" s="65" t="b">
        <v>0</v>
      </c>
      <c r="J2043" s="65" t="b">
        <v>0</v>
      </c>
      <c r="K2043" s="63" t="s">
        <v>757</v>
      </c>
      <c r="L2043" s="63" t="s">
        <v>5390</v>
      </c>
      <c r="M2043" s="63" t="s">
        <v>5392</v>
      </c>
      <c r="N2043" s="63" t="s">
        <v>1788</v>
      </c>
    </row>
    <row r="2044" spans="1:14" x14ac:dyDescent="0.2">
      <c r="A2044" s="51">
        <v>2043</v>
      </c>
      <c r="B2044" s="54" t="s">
        <v>757</v>
      </c>
      <c r="C2044" s="47" t="s">
        <v>5387</v>
      </c>
      <c r="D2044" s="47" t="s">
        <v>5388</v>
      </c>
      <c r="E2044" s="47" t="s">
        <v>1788</v>
      </c>
      <c r="F2044" s="55" t="b">
        <v>1</v>
      </c>
      <c r="G2044" s="54" t="b">
        <v>1</v>
      </c>
      <c r="H2044" s="54" t="b">
        <v>1</v>
      </c>
      <c r="I2044" s="54" t="b">
        <v>1</v>
      </c>
      <c r="J2044" s="54" t="b">
        <v>1</v>
      </c>
      <c r="K2044" s="63" t="s">
        <v>757</v>
      </c>
      <c r="L2044" s="63" t="s">
        <v>5387</v>
      </c>
      <c r="M2044" s="63" t="s">
        <v>5388</v>
      </c>
      <c r="N2044" s="63" t="s">
        <v>1788</v>
      </c>
    </row>
    <row r="2045" spans="1:14" x14ac:dyDescent="0.2">
      <c r="A2045" s="51">
        <v>2044</v>
      </c>
      <c r="G2045" s="65" t="b">
        <v>0</v>
      </c>
      <c r="H2045" s="65" t="b">
        <v>0</v>
      </c>
      <c r="I2045" s="65" t="b">
        <v>0</v>
      </c>
      <c r="J2045" s="65" t="b">
        <v>0</v>
      </c>
      <c r="K2045" s="63" t="s">
        <v>757</v>
      </c>
      <c r="L2045" s="63" t="s">
        <v>5350</v>
      </c>
      <c r="M2045" s="63" t="s">
        <v>5351</v>
      </c>
      <c r="N2045" s="63" t="s">
        <v>1719</v>
      </c>
    </row>
    <row r="2046" spans="1:14" x14ac:dyDescent="0.2">
      <c r="A2046" s="51">
        <v>2045</v>
      </c>
      <c r="B2046" s="54" t="s">
        <v>757</v>
      </c>
      <c r="C2046" s="47" t="s">
        <v>5350</v>
      </c>
      <c r="D2046" s="47" t="s">
        <v>5409</v>
      </c>
      <c r="E2046" s="48" t="s">
        <v>1719</v>
      </c>
      <c r="F2046" s="66" t="b">
        <v>0</v>
      </c>
      <c r="G2046" s="54" t="b">
        <v>1</v>
      </c>
      <c r="H2046" s="54" t="b">
        <v>1</v>
      </c>
      <c r="I2046" s="54" t="b">
        <v>1</v>
      </c>
      <c r="J2046" s="54" t="b">
        <v>1</v>
      </c>
      <c r="K2046" s="63" t="s">
        <v>757</v>
      </c>
      <c r="L2046" s="63" t="s">
        <v>5350</v>
      </c>
      <c r="M2046" s="63" t="s">
        <v>5409</v>
      </c>
      <c r="N2046" s="63" t="s">
        <v>1719</v>
      </c>
    </row>
    <row r="2047" spans="1:14" x14ac:dyDescent="0.2">
      <c r="A2047" s="51">
        <v>2046</v>
      </c>
      <c r="B2047" s="54" t="s">
        <v>757</v>
      </c>
      <c r="C2047" s="47" t="s">
        <v>5352</v>
      </c>
      <c r="D2047" s="47" t="s">
        <v>5405</v>
      </c>
      <c r="E2047" s="47" t="s">
        <v>1788</v>
      </c>
      <c r="F2047" s="55" t="b">
        <v>1</v>
      </c>
      <c r="G2047" s="54" t="b">
        <v>1</v>
      </c>
      <c r="H2047" s="54" t="b">
        <v>1</v>
      </c>
      <c r="I2047" s="65" t="b">
        <v>0</v>
      </c>
      <c r="J2047" s="54" t="b">
        <v>1</v>
      </c>
      <c r="K2047" s="63" t="s">
        <v>757</v>
      </c>
      <c r="L2047" s="63" t="s">
        <v>5352</v>
      </c>
      <c r="M2047" s="63" t="s">
        <v>5353</v>
      </c>
      <c r="N2047" s="63" t="s">
        <v>1788</v>
      </c>
    </row>
    <row r="2048" spans="1:14" x14ac:dyDescent="0.2">
      <c r="A2048" s="51">
        <v>2047</v>
      </c>
      <c r="G2048" s="65" t="b">
        <v>0</v>
      </c>
      <c r="H2048" s="65" t="b">
        <v>0</v>
      </c>
      <c r="I2048" s="65" t="b">
        <v>0</v>
      </c>
      <c r="J2048" s="65" t="b">
        <v>0</v>
      </c>
      <c r="K2048" s="63" t="s">
        <v>757</v>
      </c>
      <c r="L2048" s="63" t="s">
        <v>5352</v>
      </c>
      <c r="M2048" s="63" t="s">
        <v>5405</v>
      </c>
      <c r="N2048" s="63" t="s">
        <v>1788</v>
      </c>
    </row>
    <row r="2049" spans="1:14" x14ac:dyDescent="0.2">
      <c r="A2049" s="51">
        <v>2048</v>
      </c>
      <c r="B2049" s="54" t="s">
        <v>757</v>
      </c>
      <c r="C2049" s="47" t="s">
        <v>5406</v>
      </c>
      <c r="D2049" s="47" t="s">
        <v>5407</v>
      </c>
      <c r="E2049" s="47" t="s">
        <v>1788</v>
      </c>
      <c r="F2049" s="55" t="b">
        <v>1</v>
      </c>
      <c r="G2049" s="54" t="b">
        <v>1</v>
      </c>
      <c r="H2049" s="54" t="b">
        <v>1</v>
      </c>
      <c r="I2049" s="54" t="b">
        <v>1</v>
      </c>
      <c r="J2049" s="54" t="b">
        <v>1</v>
      </c>
      <c r="K2049" s="63" t="s">
        <v>757</v>
      </c>
      <c r="L2049" s="63" t="s">
        <v>5406</v>
      </c>
      <c r="M2049" s="63" t="s">
        <v>5407</v>
      </c>
      <c r="N2049" s="63" t="s">
        <v>1788</v>
      </c>
    </row>
    <row r="2050" spans="1:14" x14ac:dyDescent="0.2">
      <c r="A2050" s="51">
        <v>2049</v>
      </c>
      <c r="G2050" s="65" t="b">
        <v>0</v>
      </c>
      <c r="H2050" s="65" t="b">
        <v>0</v>
      </c>
      <c r="I2050" s="65" t="b">
        <v>0</v>
      </c>
      <c r="J2050" s="65" t="b">
        <v>0</v>
      </c>
      <c r="K2050" s="63" t="s">
        <v>757</v>
      </c>
      <c r="L2050" s="63" t="s">
        <v>5406</v>
      </c>
      <c r="M2050" s="63" t="s">
        <v>5408</v>
      </c>
      <c r="N2050" s="63" t="s">
        <v>1788</v>
      </c>
    </row>
    <row r="2051" spans="1:14" x14ac:dyDescent="0.2">
      <c r="A2051" s="51">
        <v>2050</v>
      </c>
      <c r="B2051" s="54" t="s">
        <v>757</v>
      </c>
      <c r="C2051" s="47" t="s">
        <v>5402</v>
      </c>
      <c r="D2051" s="47" t="s">
        <v>5404</v>
      </c>
      <c r="E2051" s="47" t="s">
        <v>1788</v>
      </c>
      <c r="F2051" s="55" t="b">
        <v>1</v>
      </c>
      <c r="G2051" s="54" t="b">
        <v>1</v>
      </c>
      <c r="H2051" s="54" t="b">
        <v>1</v>
      </c>
      <c r="I2051" s="65" t="b">
        <v>0</v>
      </c>
      <c r="J2051" s="54" t="b">
        <v>1</v>
      </c>
      <c r="K2051" s="63" t="s">
        <v>757</v>
      </c>
      <c r="L2051" s="63" t="s">
        <v>5402</v>
      </c>
      <c r="M2051" s="63" t="s">
        <v>5403</v>
      </c>
      <c r="N2051" s="63" t="s">
        <v>1788</v>
      </c>
    </row>
    <row r="2052" spans="1:14" x14ac:dyDescent="0.2">
      <c r="A2052" s="51">
        <v>2051</v>
      </c>
      <c r="G2052" s="65" t="b">
        <v>0</v>
      </c>
      <c r="H2052" s="65" t="b">
        <v>0</v>
      </c>
      <c r="I2052" s="65" t="b">
        <v>0</v>
      </c>
      <c r="J2052" s="65" t="b">
        <v>0</v>
      </c>
      <c r="K2052" s="63" t="s">
        <v>757</v>
      </c>
      <c r="L2052" s="63" t="s">
        <v>5402</v>
      </c>
      <c r="M2052" s="63" t="s">
        <v>5404</v>
      </c>
      <c r="N2052" s="63" t="s">
        <v>1788</v>
      </c>
    </row>
    <row r="2053" spans="1:14" x14ac:dyDescent="0.2">
      <c r="A2053" s="51">
        <v>2052</v>
      </c>
      <c r="B2053" s="54" t="s">
        <v>757</v>
      </c>
      <c r="C2053" s="47" t="s">
        <v>5410</v>
      </c>
      <c r="D2053" s="47" t="s">
        <v>5411</v>
      </c>
      <c r="E2053" s="47" t="s">
        <v>1788</v>
      </c>
      <c r="F2053" s="55" t="b">
        <v>1</v>
      </c>
      <c r="G2053" s="54" t="b">
        <v>1</v>
      </c>
      <c r="H2053" s="54" t="b">
        <v>1</v>
      </c>
      <c r="I2053" s="54" t="b">
        <v>1</v>
      </c>
      <c r="J2053" s="54" t="b">
        <v>1</v>
      </c>
      <c r="K2053" s="63" t="s">
        <v>757</v>
      </c>
      <c r="L2053" s="63" t="s">
        <v>5410</v>
      </c>
      <c r="M2053" s="63" t="s">
        <v>5411</v>
      </c>
      <c r="N2053" s="63" t="s">
        <v>1788</v>
      </c>
    </row>
    <row r="2054" spans="1:14" x14ac:dyDescent="0.2">
      <c r="A2054" s="51">
        <v>2053</v>
      </c>
      <c r="G2054" s="65" t="b">
        <v>0</v>
      </c>
      <c r="H2054" s="65" t="b">
        <v>0</v>
      </c>
      <c r="I2054" s="65" t="b">
        <v>0</v>
      </c>
      <c r="J2054" s="65" t="b">
        <v>0</v>
      </c>
      <c r="K2054" s="63" t="s">
        <v>757</v>
      </c>
      <c r="L2054" s="63" t="s">
        <v>5410</v>
      </c>
      <c r="M2054" s="63" t="s">
        <v>5426</v>
      </c>
      <c r="N2054" s="63" t="s">
        <v>1788</v>
      </c>
    </row>
    <row r="2055" spans="1:14" x14ac:dyDescent="0.2">
      <c r="A2055" s="51">
        <v>2054</v>
      </c>
      <c r="B2055" s="54" t="s">
        <v>757</v>
      </c>
      <c r="C2055" s="47" t="s">
        <v>5414</v>
      </c>
      <c r="D2055" s="47" t="s">
        <v>5416</v>
      </c>
      <c r="E2055" s="47" t="s">
        <v>1788</v>
      </c>
      <c r="F2055" s="55" t="b">
        <v>1</v>
      </c>
      <c r="G2055" s="54" t="b">
        <v>1</v>
      </c>
      <c r="H2055" s="54" t="b">
        <v>1</v>
      </c>
      <c r="I2055" s="65" t="b">
        <v>0</v>
      </c>
      <c r="J2055" s="54" t="b">
        <v>1</v>
      </c>
      <c r="K2055" s="63" t="s">
        <v>757</v>
      </c>
      <c r="L2055" s="63" t="s">
        <v>5414</v>
      </c>
      <c r="M2055" s="63" t="s">
        <v>5415</v>
      </c>
      <c r="N2055" s="63" t="s">
        <v>1788</v>
      </c>
    </row>
    <row r="2056" spans="1:14" x14ac:dyDescent="0.2">
      <c r="A2056" s="51">
        <v>2055</v>
      </c>
      <c r="G2056" s="65" t="b">
        <v>0</v>
      </c>
      <c r="H2056" s="65" t="b">
        <v>0</v>
      </c>
      <c r="I2056" s="65" t="b">
        <v>0</v>
      </c>
      <c r="J2056" s="65" t="b">
        <v>0</v>
      </c>
      <c r="K2056" s="63" t="s">
        <v>757</v>
      </c>
      <c r="L2056" s="63" t="s">
        <v>5414</v>
      </c>
      <c r="M2056" s="63" t="s">
        <v>5416</v>
      </c>
      <c r="N2056" s="63" t="s">
        <v>1788</v>
      </c>
    </row>
    <row r="2057" spans="1:14" x14ac:dyDescent="0.2">
      <c r="A2057" s="51">
        <v>2056</v>
      </c>
      <c r="B2057" s="54" t="s">
        <v>757</v>
      </c>
      <c r="C2057" s="47" t="s">
        <v>12513</v>
      </c>
      <c r="D2057" s="47" t="s">
        <v>12514</v>
      </c>
      <c r="E2057" s="47" t="s">
        <v>1788</v>
      </c>
      <c r="F2057" s="55" t="b">
        <v>1</v>
      </c>
      <c r="G2057" s="65" t="b">
        <v>0</v>
      </c>
      <c r="H2057" s="65" t="b">
        <v>0</v>
      </c>
      <c r="I2057" s="65" t="b">
        <v>0</v>
      </c>
      <c r="J2057" s="65" t="b">
        <v>0</v>
      </c>
    </row>
    <row r="2058" spans="1:14" x14ac:dyDescent="0.2">
      <c r="A2058" s="51">
        <v>2057</v>
      </c>
      <c r="G2058" s="65" t="b">
        <v>0</v>
      </c>
      <c r="H2058" s="65" t="b">
        <v>0</v>
      </c>
      <c r="I2058" s="65" t="b">
        <v>0</v>
      </c>
      <c r="J2058" s="65" t="b">
        <v>0</v>
      </c>
      <c r="K2058" s="63" t="s">
        <v>757</v>
      </c>
      <c r="L2058" s="63" t="s">
        <v>5417</v>
      </c>
      <c r="M2058" s="63" t="s">
        <v>5418</v>
      </c>
      <c r="N2058" s="63" t="s">
        <v>1788</v>
      </c>
    </row>
    <row r="2059" spans="1:14" x14ac:dyDescent="0.2">
      <c r="A2059" s="51">
        <v>2058</v>
      </c>
      <c r="B2059" s="54" t="s">
        <v>757</v>
      </c>
      <c r="C2059" s="47" t="s">
        <v>5417</v>
      </c>
      <c r="D2059" s="47" t="s">
        <v>5419</v>
      </c>
      <c r="E2059" s="47" t="s">
        <v>1788</v>
      </c>
      <c r="F2059" s="55" t="b">
        <v>1</v>
      </c>
      <c r="G2059" s="54" t="b">
        <v>1</v>
      </c>
      <c r="H2059" s="54" t="b">
        <v>1</v>
      </c>
      <c r="I2059" s="54" t="b">
        <v>1</v>
      </c>
      <c r="J2059" s="54" t="b">
        <v>1</v>
      </c>
      <c r="K2059" s="63" t="s">
        <v>757</v>
      </c>
      <c r="L2059" s="63" t="s">
        <v>5417</v>
      </c>
      <c r="M2059" s="63" t="s">
        <v>5419</v>
      </c>
      <c r="N2059" s="63" t="s">
        <v>1788</v>
      </c>
    </row>
    <row r="2060" spans="1:14" x14ac:dyDescent="0.2">
      <c r="A2060" s="51">
        <v>2059</v>
      </c>
      <c r="G2060" s="65" t="b">
        <v>0</v>
      </c>
      <c r="H2060" s="65" t="b">
        <v>0</v>
      </c>
      <c r="I2060" s="65" t="b">
        <v>0</v>
      </c>
      <c r="J2060" s="65" t="b">
        <v>0</v>
      </c>
      <c r="K2060" s="63" t="s">
        <v>757</v>
      </c>
      <c r="L2060" s="63" t="s">
        <v>5420</v>
      </c>
      <c r="M2060" s="63" t="s">
        <v>5421</v>
      </c>
      <c r="N2060" s="63" t="s">
        <v>1788</v>
      </c>
    </row>
    <row r="2061" spans="1:14" x14ac:dyDescent="0.2">
      <c r="A2061" s="51">
        <v>2060</v>
      </c>
      <c r="B2061" s="54" t="s">
        <v>757</v>
      </c>
      <c r="C2061" s="47" t="s">
        <v>5420</v>
      </c>
      <c r="D2061" s="47" t="s">
        <v>5422</v>
      </c>
      <c r="E2061" s="47" t="s">
        <v>1788</v>
      </c>
      <c r="F2061" s="55" t="b">
        <v>1</v>
      </c>
      <c r="G2061" s="54" t="b">
        <v>1</v>
      </c>
      <c r="H2061" s="54" t="b">
        <v>1</v>
      </c>
      <c r="I2061" s="54" t="b">
        <v>1</v>
      </c>
      <c r="J2061" s="54" t="b">
        <v>1</v>
      </c>
      <c r="K2061" s="63" t="s">
        <v>757</v>
      </c>
      <c r="L2061" s="63" t="s">
        <v>5420</v>
      </c>
      <c r="M2061" s="63" t="s">
        <v>5422</v>
      </c>
      <c r="N2061" s="63" t="s">
        <v>1788</v>
      </c>
    </row>
    <row r="2062" spans="1:14" x14ac:dyDescent="0.2">
      <c r="A2062" s="51">
        <v>2061</v>
      </c>
      <c r="G2062" s="65" t="b">
        <v>0</v>
      </c>
      <c r="H2062" s="65" t="b">
        <v>0</v>
      </c>
      <c r="I2062" s="65" t="b">
        <v>0</v>
      </c>
      <c r="J2062" s="65" t="b">
        <v>0</v>
      </c>
      <c r="K2062" s="63" t="s">
        <v>757</v>
      </c>
      <c r="L2062" s="63" t="s">
        <v>5423</v>
      </c>
      <c r="M2062" s="63" t="s">
        <v>5424</v>
      </c>
      <c r="N2062" s="63" t="s">
        <v>1719</v>
      </c>
    </row>
    <row r="2063" spans="1:14" x14ac:dyDescent="0.2">
      <c r="A2063" s="51">
        <v>2062</v>
      </c>
      <c r="B2063" s="54" t="s">
        <v>757</v>
      </c>
      <c r="C2063" s="47" t="s">
        <v>5423</v>
      </c>
      <c r="D2063" s="47" t="s">
        <v>5425</v>
      </c>
      <c r="E2063" s="48" t="s">
        <v>1719</v>
      </c>
      <c r="F2063" s="66" t="b">
        <v>0</v>
      </c>
      <c r="G2063" s="54" t="b">
        <v>1</v>
      </c>
      <c r="H2063" s="54" t="b">
        <v>1</v>
      </c>
      <c r="I2063" s="54" t="b">
        <v>1</v>
      </c>
      <c r="J2063" s="54" t="b">
        <v>1</v>
      </c>
      <c r="K2063" s="63" t="s">
        <v>757</v>
      </c>
      <c r="L2063" s="63" t="s">
        <v>5423</v>
      </c>
      <c r="M2063" s="63" t="s">
        <v>5425</v>
      </c>
      <c r="N2063" s="63" t="s">
        <v>1719</v>
      </c>
    </row>
    <row r="2064" spans="1:14" x14ac:dyDescent="0.2">
      <c r="A2064" s="51">
        <v>2063</v>
      </c>
      <c r="E2064" s="48"/>
      <c r="G2064" s="65" t="b">
        <v>0</v>
      </c>
      <c r="H2064" s="65" t="b">
        <v>0</v>
      </c>
      <c r="I2064" s="65" t="b">
        <v>0</v>
      </c>
      <c r="J2064" s="65" t="b">
        <v>0</v>
      </c>
      <c r="K2064" s="63" t="s">
        <v>757</v>
      </c>
      <c r="L2064" s="63" t="s">
        <v>5412</v>
      </c>
      <c r="M2064" s="63" t="s">
        <v>5413</v>
      </c>
      <c r="N2064" s="63" t="s">
        <v>1788</v>
      </c>
    </row>
    <row r="2065" spans="1:14" x14ac:dyDescent="0.2">
      <c r="A2065" s="51">
        <v>2064</v>
      </c>
      <c r="B2065" s="63"/>
      <c r="C2065" s="63"/>
      <c r="D2065" s="63"/>
      <c r="E2065" s="63"/>
      <c r="F2065" s="63"/>
      <c r="G2065" s="65" t="b">
        <v>0</v>
      </c>
      <c r="H2065" s="65" t="b">
        <v>0</v>
      </c>
      <c r="I2065" s="65" t="b">
        <v>0</v>
      </c>
      <c r="J2065" s="65" t="b">
        <v>0</v>
      </c>
      <c r="K2065" s="63" t="s">
        <v>757</v>
      </c>
      <c r="L2065" s="63" t="s">
        <v>5412</v>
      </c>
      <c r="M2065" s="63" t="s">
        <v>5427</v>
      </c>
      <c r="N2065" s="63" t="s">
        <v>1788</v>
      </c>
    </row>
    <row r="2066" spans="1:14" x14ac:dyDescent="0.2">
      <c r="A2066" s="51">
        <v>2065</v>
      </c>
      <c r="B2066" s="54" t="s">
        <v>757</v>
      </c>
      <c r="C2066" s="47" t="s">
        <v>12515</v>
      </c>
      <c r="D2066" s="47" t="s">
        <v>5427</v>
      </c>
      <c r="E2066" s="47" t="s">
        <v>12512</v>
      </c>
      <c r="F2066" s="55" t="b">
        <v>1</v>
      </c>
      <c r="G2066" s="65" t="b">
        <v>0</v>
      </c>
      <c r="H2066" s="65" t="b">
        <v>0</v>
      </c>
      <c r="I2066" s="65" t="b">
        <v>0</v>
      </c>
      <c r="J2066" s="65" t="b">
        <v>0</v>
      </c>
    </row>
    <row r="2067" spans="1:14" x14ac:dyDescent="0.2">
      <c r="A2067" s="51">
        <v>2066</v>
      </c>
      <c r="G2067" s="65" t="b">
        <v>0</v>
      </c>
      <c r="H2067" s="65" t="b">
        <v>0</v>
      </c>
      <c r="I2067" s="65" t="b">
        <v>0</v>
      </c>
      <c r="J2067" s="65" t="b">
        <v>0</v>
      </c>
      <c r="K2067" s="63" t="s">
        <v>757</v>
      </c>
      <c r="L2067" s="63" t="s">
        <v>5346</v>
      </c>
      <c r="M2067" s="63" t="s">
        <v>5347</v>
      </c>
      <c r="N2067" s="63" t="s">
        <v>1788</v>
      </c>
    </row>
    <row r="2068" spans="1:14" x14ac:dyDescent="0.2">
      <c r="A2068" s="51">
        <v>2067</v>
      </c>
      <c r="B2068" s="54" t="s">
        <v>757</v>
      </c>
      <c r="C2068" s="47" t="s">
        <v>5346</v>
      </c>
      <c r="D2068" s="47" t="s">
        <v>5428</v>
      </c>
      <c r="E2068" s="47" t="s">
        <v>1788</v>
      </c>
      <c r="F2068" s="55" t="b">
        <v>1</v>
      </c>
      <c r="G2068" s="54" t="b">
        <v>1</v>
      </c>
      <c r="H2068" s="54" t="b">
        <v>1</v>
      </c>
      <c r="I2068" s="54" t="b">
        <v>1</v>
      </c>
      <c r="J2068" s="54" t="b">
        <v>1</v>
      </c>
      <c r="K2068" s="63" t="s">
        <v>757</v>
      </c>
      <c r="L2068" s="63" t="s">
        <v>5346</v>
      </c>
      <c r="M2068" s="63" t="s">
        <v>5428</v>
      </c>
      <c r="N2068" s="63" t="s">
        <v>1788</v>
      </c>
    </row>
    <row r="2069" spans="1:14" x14ac:dyDescent="0.2">
      <c r="A2069" s="51">
        <v>2068</v>
      </c>
      <c r="G2069" s="65" t="b">
        <v>0</v>
      </c>
      <c r="H2069" s="65" t="b">
        <v>0</v>
      </c>
      <c r="I2069" s="65" t="b">
        <v>0</v>
      </c>
      <c r="J2069" s="65" t="b">
        <v>0</v>
      </c>
      <c r="K2069" s="63" t="s">
        <v>757</v>
      </c>
      <c r="L2069" s="63" t="s">
        <v>5366</v>
      </c>
      <c r="M2069" s="63" t="s">
        <v>5367</v>
      </c>
      <c r="N2069" s="63" t="s">
        <v>1788</v>
      </c>
    </row>
    <row r="2070" spans="1:14" x14ac:dyDescent="0.2">
      <c r="A2070" s="51">
        <v>2069</v>
      </c>
      <c r="B2070" s="54" t="s">
        <v>757</v>
      </c>
      <c r="C2070" s="47" t="s">
        <v>5366</v>
      </c>
      <c r="D2070" s="47" t="s">
        <v>5430</v>
      </c>
      <c r="E2070" s="47" t="s">
        <v>1788</v>
      </c>
      <c r="F2070" s="55" t="b">
        <v>1</v>
      </c>
      <c r="G2070" s="54" t="b">
        <v>1</v>
      </c>
      <c r="H2070" s="54" t="b">
        <v>1</v>
      </c>
      <c r="I2070" s="54" t="b">
        <v>1</v>
      </c>
      <c r="J2070" s="54" t="b">
        <v>1</v>
      </c>
      <c r="K2070" s="63" t="s">
        <v>757</v>
      </c>
      <c r="L2070" s="63" t="s">
        <v>5366</v>
      </c>
      <c r="M2070" s="63" t="s">
        <v>5430</v>
      </c>
      <c r="N2070" s="63" t="s">
        <v>1788</v>
      </c>
    </row>
    <row r="2071" spans="1:14" x14ac:dyDescent="0.2">
      <c r="A2071" s="51">
        <v>2070</v>
      </c>
      <c r="G2071" s="65" t="b">
        <v>0</v>
      </c>
      <c r="H2071" s="65" t="b">
        <v>0</v>
      </c>
      <c r="I2071" s="65" t="b">
        <v>0</v>
      </c>
      <c r="J2071" s="65" t="b">
        <v>0</v>
      </c>
      <c r="K2071" s="63" t="s">
        <v>757</v>
      </c>
      <c r="L2071" s="63" t="s">
        <v>5395</v>
      </c>
      <c r="M2071" s="63" t="s">
        <v>5396</v>
      </c>
      <c r="N2071" s="63" t="s">
        <v>1788</v>
      </c>
    </row>
    <row r="2072" spans="1:14" x14ac:dyDescent="0.2">
      <c r="A2072" s="51">
        <v>2071</v>
      </c>
      <c r="B2072" s="54" t="s">
        <v>757</v>
      </c>
      <c r="C2072" s="47" t="s">
        <v>5395</v>
      </c>
      <c r="D2072" s="47" t="s">
        <v>5429</v>
      </c>
      <c r="E2072" s="47" t="s">
        <v>1788</v>
      </c>
      <c r="F2072" s="55" t="b">
        <v>1</v>
      </c>
      <c r="G2072" s="54" t="b">
        <v>1</v>
      </c>
      <c r="H2072" s="54" t="b">
        <v>1</v>
      </c>
      <c r="I2072" s="54" t="b">
        <v>1</v>
      </c>
      <c r="J2072" s="54" t="b">
        <v>1</v>
      </c>
      <c r="K2072" s="63" t="s">
        <v>757</v>
      </c>
      <c r="L2072" s="63" t="s">
        <v>5395</v>
      </c>
      <c r="M2072" s="63" t="s">
        <v>5429</v>
      </c>
      <c r="N2072" s="63" t="s">
        <v>1788</v>
      </c>
    </row>
    <row r="2073" spans="1:14" x14ac:dyDescent="0.2">
      <c r="A2073" s="51">
        <v>2072</v>
      </c>
      <c r="B2073" s="54" t="s">
        <v>761</v>
      </c>
      <c r="C2073" s="47" t="s">
        <v>5435</v>
      </c>
      <c r="D2073" s="47" t="s">
        <v>2736</v>
      </c>
      <c r="E2073" s="47" t="s">
        <v>1790</v>
      </c>
      <c r="F2073" s="55" t="b">
        <v>1</v>
      </c>
      <c r="G2073" s="54" t="b">
        <v>1</v>
      </c>
      <c r="H2073" s="54" t="b">
        <v>1</v>
      </c>
      <c r="I2073" s="65" t="b">
        <v>0</v>
      </c>
      <c r="J2073" s="54" t="b">
        <v>1</v>
      </c>
      <c r="K2073" s="63" t="s">
        <v>761</v>
      </c>
      <c r="L2073" s="63" t="s">
        <v>5435</v>
      </c>
      <c r="M2073" s="63" t="s">
        <v>5436</v>
      </c>
      <c r="N2073" s="63" t="s">
        <v>1790</v>
      </c>
    </row>
    <row r="2074" spans="1:14" x14ac:dyDescent="0.2">
      <c r="A2074" s="51">
        <v>2073</v>
      </c>
      <c r="G2074" s="65" t="b">
        <v>0</v>
      </c>
      <c r="H2074" s="65" t="b">
        <v>0</v>
      </c>
      <c r="I2074" s="65" t="b">
        <v>0</v>
      </c>
      <c r="J2074" s="65" t="b">
        <v>0</v>
      </c>
      <c r="K2074" s="63" t="s">
        <v>761</v>
      </c>
      <c r="L2074" s="63" t="s">
        <v>5435</v>
      </c>
      <c r="M2074" s="63" t="s">
        <v>5440</v>
      </c>
      <c r="N2074" s="63" t="s">
        <v>1790</v>
      </c>
    </row>
    <row r="2075" spans="1:14" x14ac:dyDescent="0.2">
      <c r="A2075" s="51">
        <v>2074</v>
      </c>
      <c r="G2075" s="65" t="b">
        <v>0</v>
      </c>
      <c r="H2075" s="65" t="b">
        <v>0</v>
      </c>
      <c r="I2075" s="65" t="b">
        <v>0</v>
      </c>
      <c r="J2075" s="65" t="b">
        <v>0</v>
      </c>
      <c r="K2075" s="63" t="s">
        <v>761</v>
      </c>
      <c r="L2075" s="63" t="s">
        <v>5442</v>
      </c>
      <c r="M2075" s="63" t="s">
        <v>5443</v>
      </c>
      <c r="N2075" s="63" t="s">
        <v>1790</v>
      </c>
    </row>
    <row r="2076" spans="1:14" x14ac:dyDescent="0.2">
      <c r="A2076" s="51">
        <v>2075</v>
      </c>
      <c r="B2076" s="54" t="s">
        <v>761</v>
      </c>
      <c r="C2076" s="47" t="s">
        <v>5442</v>
      </c>
      <c r="D2076" s="47" t="s">
        <v>12516</v>
      </c>
      <c r="E2076" s="47" t="s">
        <v>1790</v>
      </c>
      <c r="F2076" s="55" t="b">
        <v>1</v>
      </c>
      <c r="G2076" s="54" t="b">
        <v>1</v>
      </c>
      <c r="H2076" s="54" t="b">
        <v>1</v>
      </c>
      <c r="I2076" s="65" t="b">
        <v>0</v>
      </c>
      <c r="J2076" s="54" t="b">
        <v>1</v>
      </c>
      <c r="K2076" s="63" t="s">
        <v>761</v>
      </c>
      <c r="L2076" s="63" t="s">
        <v>5442</v>
      </c>
      <c r="M2076" s="63" t="s">
        <v>5448</v>
      </c>
      <c r="N2076" s="63" t="s">
        <v>1790</v>
      </c>
    </row>
    <row r="2077" spans="1:14" x14ac:dyDescent="0.2">
      <c r="A2077" s="51">
        <v>2076</v>
      </c>
      <c r="G2077" s="65" t="b">
        <v>0</v>
      </c>
      <c r="H2077" s="65" t="b">
        <v>0</v>
      </c>
      <c r="I2077" s="65" t="b">
        <v>0</v>
      </c>
      <c r="J2077" s="65" t="b">
        <v>0</v>
      </c>
      <c r="K2077" s="63" t="s">
        <v>761</v>
      </c>
      <c r="L2077" s="63" t="s">
        <v>5431</v>
      </c>
      <c r="M2077" s="63" t="s">
        <v>5432</v>
      </c>
      <c r="N2077" s="63" t="s">
        <v>1790</v>
      </c>
    </row>
    <row r="2078" spans="1:14" x14ac:dyDescent="0.2">
      <c r="A2078" s="51">
        <v>2077</v>
      </c>
      <c r="B2078" s="54" t="s">
        <v>761</v>
      </c>
      <c r="C2078" s="47" t="s">
        <v>5431</v>
      </c>
      <c r="D2078" s="47" t="s">
        <v>8036</v>
      </c>
      <c r="E2078" s="47" t="s">
        <v>1790</v>
      </c>
      <c r="F2078" s="55" t="b">
        <v>1</v>
      </c>
      <c r="G2078" s="54" t="b">
        <v>1</v>
      </c>
      <c r="H2078" s="54" t="b">
        <v>1</v>
      </c>
      <c r="I2078" s="65" t="b">
        <v>0</v>
      </c>
      <c r="J2078" s="54" t="b">
        <v>1</v>
      </c>
      <c r="K2078" s="63" t="s">
        <v>761</v>
      </c>
      <c r="L2078" s="63" t="s">
        <v>5431</v>
      </c>
      <c r="M2078" s="63" t="s">
        <v>5447</v>
      </c>
      <c r="N2078" s="63" t="s">
        <v>1790</v>
      </c>
    </row>
    <row r="2079" spans="1:14" x14ac:dyDescent="0.2">
      <c r="A2079" s="51">
        <v>2078</v>
      </c>
      <c r="B2079" s="54" t="s">
        <v>761</v>
      </c>
      <c r="C2079" s="47" t="s">
        <v>5433</v>
      </c>
      <c r="D2079" s="47" t="s">
        <v>2720</v>
      </c>
      <c r="E2079" s="47" t="s">
        <v>1790</v>
      </c>
      <c r="F2079" s="55" t="b">
        <v>1</v>
      </c>
      <c r="G2079" s="54" t="b">
        <v>1</v>
      </c>
      <c r="H2079" s="54" t="b">
        <v>1</v>
      </c>
      <c r="I2079" s="65" t="b">
        <v>0</v>
      </c>
      <c r="J2079" s="54" t="b">
        <v>1</v>
      </c>
      <c r="K2079" s="63" t="s">
        <v>761</v>
      </c>
      <c r="L2079" s="63" t="s">
        <v>5433</v>
      </c>
      <c r="M2079" s="63" t="s">
        <v>5434</v>
      </c>
      <c r="N2079" s="63" t="s">
        <v>1790</v>
      </c>
    </row>
    <row r="2080" spans="1:14" x14ac:dyDescent="0.2">
      <c r="A2080" s="51">
        <v>2079</v>
      </c>
      <c r="G2080" s="65" t="b">
        <v>0</v>
      </c>
      <c r="H2080" s="65" t="b">
        <v>0</v>
      </c>
      <c r="I2080" s="65" t="b">
        <v>0</v>
      </c>
      <c r="J2080" s="65" t="b">
        <v>0</v>
      </c>
      <c r="K2080" s="63" t="s">
        <v>761</v>
      </c>
      <c r="L2080" s="63" t="s">
        <v>5433</v>
      </c>
      <c r="M2080" s="63" t="s">
        <v>5441</v>
      </c>
      <c r="N2080" s="63" t="s">
        <v>1790</v>
      </c>
    </row>
    <row r="2081" spans="1:14" x14ac:dyDescent="0.2">
      <c r="A2081" s="51">
        <v>2080</v>
      </c>
      <c r="B2081" s="54" t="s">
        <v>761</v>
      </c>
      <c r="C2081" s="47" t="s">
        <v>5444</v>
      </c>
      <c r="D2081" s="47" t="s">
        <v>12517</v>
      </c>
      <c r="E2081" s="47" t="s">
        <v>1790</v>
      </c>
      <c r="F2081" s="55" t="b">
        <v>1</v>
      </c>
      <c r="G2081" s="54" t="b">
        <v>1</v>
      </c>
      <c r="H2081" s="54" t="b">
        <v>1</v>
      </c>
      <c r="I2081" s="65" t="b">
        <v>0</v>
      </c>
      <c r="J2081" s="54" t="b">
        <v>1</v>
      </c>
      <c r="K2081" s="63" t="s">
        <v>761</v>
      </c>
      <c r="L2081" s="63" t="s">
        <v>5444</v>
      </c>
      <c r="M2081" s="63" t="s">
        <v>5445</v>
      </c>
      <c r="N2081" s="63" t="s">
        <v>1790</v>
      </c>
    </row>
    <row r="2082" spans="1:14" x14ac:dyDescent="0.2">
      <c r="A2082" s="51">
        <v>2081</v>
      </c>
      <c r="G2082" s="65" t="b">
        <v>0</v>
      </c>
      <c r="H2082" s="65" t="b">
        <v>0</v>
      </c>
      <c r="I2082" s="65" t="b">
        <v>0</v>
      </c>
      <c r="J2082" s="65" t="b">
        <v>0</v>
      </c>
      <c r="K2082" s="63" t="s">
        <v>761</v>
      </c>
      <c r="L2082" s="63" t="s">
        <v>5444</v>
      </c>
      <c r="M2082" s="63" t="s">
        <v>5446</v>
      </c>
      <c r="N2082" s="63" t="s">
        <v>1790</v>
      </c>
    </row>
    <row r="2083" spans="1:14" x14ac:dyDescent="0.2">
      <c r="A2083" s="51">
        <v>2082</v>
      </c>
      <c r="B2083" s="54" t="s">
        <v>761</v>
      </c>
      <c r="C2083" s="47" t="s">
        <v>5437</v>
      </c>
      <c r="D2083" s="47" t="s">
        <v>4193</v>
      </c>
      <c r="E2083" s="47" t="s">
        <v>1790</v>
      </c>
      <c r="F2083" s="55" t="b">
        <v>1</v>
      </c>
      <c r="G2083" s="54" t="b">
        <v>1</v>
      </c>
      <c r="H2083" s="54" t="b">
        <v>1</v>
      </c>
      <c r="I2083" s="65" t="b">
        <v>0</v>
      </c>
      <c r="J2083" s="54" t="b">
        <v>1</v>
      </c>
      <c r="K2083" s="63" t="s">
        <v>761</v>
      </c>
      <c r="L2083" s="63" t="s">
        <v>5437</v>
      </c>
      <c r="M2083" s="63" t="s">
        <v>5438</v>
      </c>
      <c r="N2083" s="63" t="s">
        <v>1790</v>
      </c>
    </row>
    <row r="2084" spans="1:14" x14ac:dyDescent="0.2">
      <c r="A2084" s="51">
        <v>2083</v>
      </c>
      <c r="G2084" s="65" t="b">
        <v>0</v>
      </c>
      <c r="H2084" s="65" t="b">
        <v>0</v>
      </c>
      <c r="I2084" s="65" t="b">
        <v>0</v>
      </c>
      <c r="J2084" s="65" t="b">
        <v>0</v>
      </c>
      <c r="K2084" s="63" t="s">
        <v>761</v>
      </c>
      <c r="L2084" s="63" t="s">
        <v>5437</v>
      </c>
      <c r="M2084" s="63" t="s">
        <v>5439</v>
      </c>
      <c r="N2084" s="63" t="s">
        <v>1790</v>
      </c>
    </row>
    <row r="2085" spans="1:14" x14ac:dyDescent="0.2">
      <c r="A2085" s="51">
        <v>2084</v>
      </c>
      <c r="B2085" s="54" t="s">
        <v>763</v>
      </c>
      <c r="C2085" s="47" t="s">
        <v>5621</v>
      </c>
      <c r="D2085" s="47" t="s">
        <v>12521</v>
      </c>
      <c r="E2085" s="47" t="s">
        <v>2087</v>
      </c>
      <c r="F2085" s="55" t="b">
        <v>1</v>
      </c>
      <c r="G2085" s="54" t="b">
        <v>1</v>
      </c>
      <c r="H2085" s="54" t="b">
        <v>1</v>
      </c>
      <c r="I2085" s="65" t="b">
        <v>0</v>
      </c>
      <c r="J2085" s="54" t="b">
        <v>1</v>
      </c>
      <c r="K2085" s="63" t="s">
        <v>763</v>
      </c>
      <c r="L2085" s="63" t="s">
        <v>5621</v>
      </c>
      <c r="M2085" s="63" t="s">
        <v>5622</v>
      </c>
      <c r="N2085" s="63" t="s">
        <v>2087</v>
      </c>
    </row>
    <row r="2086" spans="1:14" x14ac:dyDescent="0.2">
      <c r="A2086" s="51">
        <v>2085</v>
      </c>
      <c r="B2086" s="54" t="s">
        <v>763</v>
      </c>
      <c r="C2086" s="47" t="s">
        <v>5692</v>
      </c>
      <c r="D2086" s="47" t="s">
        <v>12524</v>
      </c>
      <c r="E2086" s="47" t="s">
        <v>3322</v>
      </c>
      <c r="F2086" s="55" t="b">
        <v>1</v>
      </c>
      <c r="G2086" s="54" t="b">
        <v>1</v>
      </c>
      <c r="H2086" s="54" t="b">
        <v>1</v>
      </c>
      <c r="I2086" s="65" t="b">
        <v>0</v>
      </c>
      <c r="J2086" s="65" t="b">
        <v>0</v>
      </c>
      <c r="K2086" s="63" t="s">
        <v>763</v>
      </c>
      <c r="L2086" s="63" t="s">
        <v>5692</v>
      </c>
      <c r="M2086" s="63" t="s">
        <v>5693</v>
      </c>
      <c r="N2086" s="63" t="s">
        <v>2087</v>
      </c>
    </row>
    <row r="2087" spans="1:14" x14ac:dyDescent="0.2">
      <c r="A2087" s="51">
        <v>2086</v>
      </c>
      <c r="G2087" s="65" t="b">
        <v>0</v>
      </c>
      <c r="H2087" s="65" t="b">
        <v>0</v>
      </c>
      <c r="I2087" s="65" t="b">
        <v>0</v>
      </c>
      <c r="J2087" s="65" t="b">
        <v>0</v>
      </c>
      <c r="K2087" s="63" t="s">
        <v>763</v>
      </c>
      <c r="L2087" s="63" t="s">
        <v>5692</v>
      </c>
      <c r="M2087" s="63" t="s">
        <v>5694</v>
      </c>
      <c r="N2087" s="63" t="s">
        <v>2087</v>
      </c>
    </row>
    <row r="2088" spans="1:14" x14ac:dyDescent="0.2">
      <c r="A2088" s="51">
        <v>2087</v>
      </c>
      <c r="B2088" s="54" t="s">
        <v>763</v>
      </c>
      <c r="C2088" s="47" t="s">
        <v>5567</v>
      </c>
      <c r="D2088" s="47" t="s">
        <v>12520</v>
      </c>
      <c r="E2088" s="47" t="s">
        <v>2087</v>
      </c>
      <c r="F2088" s="55" t="b">
        <v>1</v>
      </c>
      <c r="G2088" s="54" t="b">
        <v>1</v>
      </c>
      <c r="H2088" s="54" t="b">
        <v>1</v>
      </c>
      <c r="I2088" s="65" t="b">
        <v>0</v>
      </c>
      <c r="J2088" s="54" t="b">
        <v>1</v>
      </c>
      <c r="K2088" s="63" t="s">
        <v>763</v>
      </c>
      <c r="L2088" s="63" t="s">
        <v>5567</v>
      </c>
      <c r="M2088" s="63" t="s">
        <v>5568</v>
      </c>
      <c r="N2088" s="63" t="s">
        <v>2087</v>
      </c>
    </row>
    <row r="2089" spans="1:14" x14ac:dyDescent="0.2">
      <c r="A2089" s="51">
        <v>2088</v>
      </c>
      <c r="B2089" s="54" t="s">
        <v>763</v>
      </c>
      <c r="C2089" s="47" t="s">
        <v>5679</v>
      </c>
      <c r="D2089" s="47" t="s">
        <v>5680</v>
      </c>
      <c r="E2089" s="47" t="s">
        <v>3322</v>
      </c>
      <c r="F2089" s="55" t="b">
        <v>1</v>
      </c>
      <c r="G2089" s="54" t="b">
        <v>1</v>
      </c>
      <c r="H2089" s="54" t="b">
        <v>1</v>
      </c>
      <c r="I2089" s="54" t="b">
        <v>1</v>
      </c>
      <c r="J2089" s="65" t="b">
        <v>0</v>
      </c>
      <c r="K2089" s="63" t="s">
        <v>763</v>
      </c>
      <c r="L2089" s="63" t="s">
        <v>5679</v>
      </c>
      <c r="M2089" s="63" t="s">
        <v>5680</v>
      </c>
      <c r="N2089" s="63" t="s">
        <v>2087</v>
      </c>
    </row>
    <row r="2090" spans="1:14" x14ac:dyDescent="0.2">
      <c r="A2090" s="51">
        <v>2089</v>
      </c>
      <c r="G2090" s="65" t="b">
        <v>0</v>
      </c>
      <c r="H2090" s="65" t="b">
        <v>0</v>
      </c>
      <c r="I2090" s="65" t="b">
        <v>0</v>
      </c>
      <c r="J2090" s="65" t="b">
        <v>0</v>
      </c>
      <c r="K2090" s="63" t="s">
        <v>763</v>
      </c>
      <c r="L2090" s="63" t="s">
        <v>5679</v>
      </c>
      <c r="M2090" s="63" t="s">
        <v>5681</v>
      </c>
      <c r="N2090" s="63" t="s">
        <v>2087</v>
      </c>
    </row>
    <row r="2091" spans="1:14" x14ac:dyDescent="0.2">
      <c r="A2091" s="51">
        <v>2090</v>
      </c>
      <c r="B2091" s="54" t="s">
        <v>763</v>
      </c>
      <c r="C2091" s="47" t="s">
        <v>5697</v>
      </c>
      <c r="D2091" s="47" t="s">
        <v>5698</v>
      </c>
      <c r="E2091" s="47" t="s">
        <v>2087</v>
      </c>
      <c r="F2091" s="55" t="b">
        <v>1</v>
      </c>
      <c r="G2091" s="54" t="b">
        <v>1</v>
      </c>
      <c r="H2091" s="54" t="b">
        <v>1</v>
      </c>
      <c r="I2091" s="54" t="b">
        <v>1</v>
      </c>
      <c r="J2091" s="54" t="b">
        <v>1</v>
      </c>
      <c r="K2091" s="63" t="s">
        <v>763</v>
      </c>
      <c r="L2091" s="63" t="s">
        <v>5697</v>
      </c>
      <c r="M2091" s="63" t="s">
        <v>5698</v>
      </c>
      <c r="N2091" s="63" t="s">
        <v>2087</v>
      </c>
    </row>
    <row r="2092" spans="1:14" x14ac:dyDescent="0.2">
      <c r="A2092" s="51">
        <v>2091</v>
      </c>
      <c r="B2092" s="54" t="s">
        <v>763</v>
      </c>
      <c r="C2092" s="47" t="s">
        <v>5535</v>
      </c>
      <c r="D2092" s="47" t="s">
        <v>5536</v>
      </c>
      <c r="E2092" s="47" t="s">
        <v>2087</v>
      </c>
      <c r="F2092" s="55" t="b">
        <v>1</v>
      </c>
      <c r="G2092" s="54" t="b">
        <v>1</v>
      </c>
      <c r="H2092" s="54" t="b">
        <v>1</v>
      </c>
      <c r="I2092" s="54" t="b">
        <v>1</v>
      </c>
      <c r="J2092" s="54" t="b">
        <v>1</v>
      </c>
      <c r="K2092" s="63" t="s">
        <v>763</v>
      </c>
      <c r="L2092" s="63" t="s">
        <v>5535</v>
      </c>
      <c r="M2092" s="63" t="s">
        <v>5536</v>
      </c>
      <c r="N2092" s="63" t="s">
        <v>2087</v>
      </c>
    </row>
    <row r="2093" spans="1:14" x14ac:dyDescent="0.2">
      <c r="A2093" s="51">
        <v>2092</v>
      </c>
      <c r="B2093" s="54" t="s">
        <v>763</v>
      </c>
      <c r="C2093" s="47" t="s">
        <v>5561</v>
      </c>
      <c r="D2093" s="47" t="s">
        <v>5562</v>
      </c>
      <c r="E2093" s="47" t="s">
        <v>2087</v>
      </c>
      <c r="F2093" s="55" t="b">
        <v>1</v>
      </c>
      <c r="G2093" s="54" t="b">
        <v>1</v>
      </c>
      <c r="H2093" s="54" t="b">
        <v>1</v>
      </c>
      <c r="I2093" s="54" t="b">
        <v>1</v>
      </c>
      <c r="J2093" s="54" t="b">
        <v>1</v>
      </c>
      <c r="K2093" s="63" t="s">
        <v>763</v>
      </c>
      <c r="L2093" s="63" t="s">
        <v>5561</v>
      </c>
      <c r="M2093" s="63" t="s">
        <v>5562</v>
      </c>
      <c r="N2093" s="63" t="s">
        <v>2087</v>
      </c>
    </row>
    <row r="2094" spans="1:14" x14ac:dyDescent="0.2">
      <c r="A2094" s="51">
        <v>2093</v>
      </c>
      <c r="B2094" s="54" t="s">
        <v>763</v>
      </c>
      <c r="C2094" s="47" t="s">
        <v>5521</v>
      </c>
      <c r="D2094" s="47" t="s">
        <v>5522</v>
      </c>
      <c r="E2094" s="47" t="s">
        <v>2087</v>
      </c>
      <c r="F2094" s="55" t="b">
        <v>1</v>
      </c>
      <c r="G2094" s="54" t="b">
        <v>1</v>
      </c>
      <c r="H2094" s="54" t="b">
        <v>1</v>
      </c>
      <c r="I2094" s="54" t="b">
        <v>1</v>
      </c>
      <c r="J2094" s="54" t="b">
        <v>1</v>
      </c>
      <c r="K2094" s="63" t="s">
        <v>763</v>
      </c>
      <c r="L2094" s="63" t="s">
        <v>5521</v>
      </c>
      <c r="M2094" s="63" t="s">
        <v>5522</v>
      </c>
      <c r="N2094" s="63" t="s">
        <v>2087</v>
      </c>
    </row>
    <row r="2095" spans="1:14" x14ac:dyDescent="0.2">
      <c r="A2095" s="51">
        <v>2094</v>
      </c>
      <c r="B2095" s="54" t="s">
        <v>763</v>
      </c>
      <c r="C2095" s="47" t="s">
        <v>5675</v>
      </c>
      <c r="D2095" s="47" t="s">
        <v>12523</v>
      </c>
      <c r="E2095" s="47" t="s">
        <v>2087</v>
      </c>
      <c r="F2095" s="55" t="b">
        <v>1</v>
      </c>
      <c r="G2095" s="54" t="b">
        <v>1</v>
      </c>
      <c r="H2095" s="54" t="b">
        <v>1</v>
      </c>
      <c r="I2095" s="65" t="b">
        <v>0</v>
      </c>
      <c r="J2095" s="54" t="b">
        <v>1</v>
      </c>
      <c r="K2095" s="63" t="s">
        <v>763</v>
      </c>
      <c r="L2095" s="63" t="s">
        <v>5675</v>
      </c>
      <c r="M2095" s="63" t="s">
        <v>5676</v>
      </c>
      <c r="N2095" s="63" t="s">
        <v>2087</v>
      </c>
    </row>
    <row r="2096" spans="1:14" x14ac:dyDescent="0.2">
      <c r="A2096" s="51">
        <v>2095</v>
      </c>
      <c r="B2096" s="54" t="s">
        <v>763</v>
      </c>
      <c r="C2096" s="47" t="s">
        <v>5690</v>
      </c>
      <c r="D2096" s="47" t="s">
        <v>5691</v>
      </c>
      <c r="E2096" s="47" t="s">
        <v>2087</v>
      </c>
      <c r="F2096" s="55" t="b">
        <v>1</v>
      </c>
      <c r="G2096" s="54" t="b">
        <v>1</v>
      </c>
      <c r="H2096" s="54" t="b">
        <v>1</v>
      </c>
      <c r="I2096" s="54" t="b">
        <v>1</v>
      </c>
      <c r="J2096" s="54" t="b">
        <v>1</v>
      </c>
      <c r="K2096" s="63" t="s">
        <v>763</v>
      </c>
      <c r="L2096" s="63" t="s">
        <v>5690</v>
      </c>
      <c r="M2096" s="63" t="s">
        <v>5691</v>
      </c>
      <c r="N2096" s="63" t="s">
        <v>2087</v>
      </c>
    </row>
    <row r="2097" spans="1:14" x14ac:dyDescent="0.2">
      <c r="A2097" s="51">
        <v>2096</v>
      </c>
      <c r="B2097" s="54" t="s">
        <v>763</v>
      </c>
      <c r="C2097" s="47" t="s">
        <v>5575</v>
      </c>
      <c r="D2097" s="47" t="s">
        <v>5576</v>
      </c>
      <c r="E2097" s="47" t="s">
        <v>2087</v>
      </c>
      <c r="F2097" s="55" t="b">
        <v>1</v>
      </c>
      <c r="G2097" s="54" t="b">
        <v>1</v>
      </c>
      <c r="H2097" s="54" t="b">
        <v>1</v>
      </c>
      <c r="I2097" s="54" t="b">
        <v>1</v>
      </c>
      <c r="J2097" s="54" t="b">
        <v>1</v>
      </c>
      <c r="K2097" s="63" t="s">
        <v>763</v>
      </c>
      <c r="L2097" s="63" t="s">
        <v>5575</v>
      </c>
      <c r="M2097" s="63" t="s">
        <v>5576</v>
      </c>
      <c r="N2097" s="63" t="s">
        <v>2087</v>
      </c>
    </row>
    <row r="2098" spans="1:14" x14ac:dyDescent="0.2">
      <c r="A2098" s="51">
        <v>2097</v>
      </c>
      <c r="B2098" s="54" t="s">
        <v>763</v>
      </c>
      <c r="C2098" s="47" t="s">
        <v>5555</v>
      </c>
      <c r="D2098" s="47" t="s">
        <v>5556</v>
      </c>
      <c r="E2098" s="47" t="s">
        <v>2087</v>
      </c>
      <c r="F2098" s="55" t="b">
        <v>1</v>
      </c>
      <c r="G2098" s="54" t="b">
        <v>1</v>
      </c>
      <c r="H2098" s="54" t="b">
        <v>1</v>
      </c>
      <c r="I2098" s="54" t="b">
        <v>1</v>
      </c>
      <c r="J2098" s="54" t="b">
        <v>1</v>
      </c>
      <c r="K2098" s="63" t="s">
        <v>763</v>
      </c>
      <c r="L2098" s="63" t="s">
        <v>5555</v>
      </c>
      <c r="M2098" s="63" t="s">
        <v>5556</v>
      </c>
      <c r="N2098" s="63" t="s">
        <v>2087</v>
      </c>
    </row>
    <row r="2099" spans="1:14" x14ac:dyDescent="0.2">
      <c r="A2099" s="51">
        <v>2098</v>
      </c>
      <c r="B2099" s="54" t="s">
        <v>763</v>
      </c>
      <c r="C2099" s="47" t="s">
        <v>5449</v>
      </c>
      <c r="D2099" s="47" t="s">
        <v>5450</v>
      </c>
      <c r="E2099" s="47" t="s">
        <v>2087</v>
      </c>
      <c r="F2099" s="55" t="b">
        <v>1</v>
      </c>
      <c r="G2099" s="54" t="b">
        <v>1</v>
      </c>
      <c r="H2099" s="54" t="b">
        <v>1</v>
      </c>
      <c r="I2099" s="54" t="b">
        <v>1</v>
      </c>
      <c r="J2099" s="54" t="b">
        <v>1</v>
      </c>
      <c r="K2099" s="63" t="s">
        <v>763</v>
      </c>
      <c r="L2099" s="63" t="s">
        <v>5449</v>
      </c>
      <c r="M2099" s="63" t="s">
        <v>5450</v>
      </c>
      <c r="N2099" s="63" t="s">
        <v>2087</v>
      </c>
    </row>
    <row r="2100" spans="1:14" x14ac:dyDescent="0.2">
      <c r="A2100" s="51">
        <v>2099</v>
      </c>
      <c r="B2100" s="54" t="s">
        <v>763</v>
      </c>
      <c r="C2100" s="47" t="s">
        <v>5589</v>
      </c>
      <c r="D2100" s="47" t="s">
        <v>5590</v>
      </c>
      <c r="E2100" s="47" t="s">
        <v>2087</v>
      </c>
      <c r="F2100" s="55" t="b">
        <v>1</v>
      </c>
      <c r="G2100" s="54" t="b">
        <v>1</v>
      </c>
      <c r="H2100" s="54" t="b">
        <v>1</v>
      </c>
      <c r="I2100" s="54" t="b">
        <v>1</v>
      </c>
      <c r="J2100" s="54" t="b">
        <v>1</v>
      </c>
      <c r="K2100" s="63" t="s">
        <v>763</v>
      </c>
      <c r="L2100" s="63" t="s">
        <v>5589</v>
      </c>
      <c r="M2100" s="63" t="s">
        <v>5590</v>
      </c>
      <c r="N2100" s="63" t="s">
        <v>2087</v>
      </c>
    </row>
    <row r="2101" spans="1:14" x14ac:dyDescent="0.2">
      <c r="A2101" s="51">
        <v>2100</v>
      </c>
      <c r="B2101" s="54" t="s">
        <v>763</v>
      </c>
      <c r="C2101" s="47" t="s">
        <v>5497</v>
      </c>
      <c r="D2101" s="47" t="s">
        <v>5498</v>
      </c>
      <c r="E2101" s="47" t="s">
        <v>2087</v>
      </c>
      <c r="F2101" s="55" t="b">
        <v>1</v>
      </c>
      <c r="G2101" s="54" t="b">
        <v>1</v>
      </c>
      <c r="H2101" s="54" t="b">
        <v>1</v>
      </c>
      <c r="I2101" s="54" t="b">
        <v>1</v>
      </c>
      <c r="J2101" s="54" t="b">
        <v>1</v>
      </c>
      <c r="K2101" s="63" t="s">
        <v>763</v>
      </c>
      <c r="L2101" s="63" t="s">
        <v>5497</v>
      </c>
      <c r="M2101" s="63" t="s">
        <v>5498</v>
      </c>
      <c r="N2101" s="63" t="s">
        <v>2087</v>
      </c>
    </row>
    <row r="2102" spans="1:14" x14ac:dyDescent="0.2">
      <c r="A2102" s="51">
        <v>2101</v>
      </c>
      <c r="B2102" s="54" t="s">
        <v>763</v>
      </c>
      <c r="C2102" s="47" t="s">
        <v>5633</v>
      </c>
      <c r="D2102" s="47" t="s">
        <v>5634</v>
      </c>
      <c r="E2102" s="47" t="s">
        <v>2087</v>
      </c>
      <c r="F2102" s="55" t="b">
        <v>1</v>
      </c>
      <c r="G2102" s="54" t="b">
        <v>1</v>
      </c>
      <c r="H2102" s="54" t="b">
        <v>1</v>
      </c>
      <c r="I2102" s="54" t="b">
        <v>1</v>
      </c>
      <c r="J2102" s="54" t="b">
        <v>1</v>
      </c>
      <c r="K2102" s="63" t="s">
        <v>763</v>
      </c>
      <c r="L2102" s="63" t="s">
        <v>5633</v>
      </c>
      <c r="M2102" s="63" t="s">
        <v>5634</v>
      </c>
      <c r="N2102" s="63" t="s">
        <v>2087</v>
      </c>
    </row>
    <row r="2103" spans="1:14" x14ac:dyDescent="0.2">
      <c r="A2103" s="51">
        <v>2102</v>
      </c>
      <c r="B2103" s="54" t="s">
        <v>763</v>
      </c>
      <c r="C2103" s="47" t="s">
        <v>5472</v>
      </c>
      <c r="D2103" s="47" t="s">
        <v>5473</v>
      </c>
      <c r="E2103" s="47" t="s">
        <v>2087</v>
      </c>
      <c r="F2103" s="55" t="b">
        <v>1</v>
      </c>
      <c r="G2103" s="54" t="b">
        <v>1</v>
      </c>
      <c r="H2103" s="54" t="b">
        <v>1</v>
      </c>
      <c r="I2103" s="54" t="b">
        <v>1</v>
      </c>
      <c r="J2103" s="54" t="b">
        <v>1</v>
      </c>
      <c r="K2103" s="63" t="s">
        <v>763</v>
      </c>
      <c r="L2103" s="63" t="s">
        <v>5472</v>
      </c>
      <c r="M2103" s="63" t="s">
        <v>5473</v>
      </c>
      <c r="N2103" s="63" t="s">
        <v>2087</v>
      </c>
    </row>
    <row r="2104" spans="1:14" x14ac:dyDescent="0.2">
      <c r="A2104" s="51">
        <v>2103</v>
      </c>
      <c r="B2104" s="54" t="s">
        <v>763</v>
      </c>
      <c r="C2104" s="47" t="s">
        <v>5493</v>
      </c>
      <c r="D2104" s="47" t="s">
        <v>5494</v>
      </c>
      <c r="E2104" s="47" t="s">
        <v>2087</v>
      </c>
      <c r="F2104" s="55" t="b">
        <v>1</v>
      </c>
      <c r="G2104" s="54" t="b">
        <v>1</v>
      </c>
      <c r="H2104" s="54" t="b">
        <v>1</v>
      </c>
      <c r="I2104" s="54" t="b">
        <v>1</v>
      </c>
      <c r="J2104" s="54" t="b">
        <v>1</v>
      </c>
      <c r="K2104" s="63" t="s">
        <v>763</v>
      </c>
      <c r="L2104" s="63" t="s">
        <v>5493</v>
      </c>
      <c r="M2104" s="63" t="s">
        <v>5494</v>
      </c>
      <c r="N2104" s="63" t="s">
        <v>2087</v>
      </c>
    </row>
    <row r="2105" spans="1:14" x14ac:dyDescent="0.2">
      <c r="A2105" s="51">
        <v>2104</v>
      </c>
      <c r="B2105" s="54" t="s">
        <v>763</v>
      </c>
      <c r="C2105" s="47" t="s">
        <v>5659</v>
      </c>
      <c r="D2105" s="47" t="s">
        <v>5660</v>
      </c>
      <c r="E2105" s="47" t="s">
        <v>3322</v>
      </c>
      <c r="F2105" s="55" t="b">
        <v>1</v>
      </c>
      <c r="G2105" s="54" t="b">
        <v>1</v>
      </c>
      <c r="H2105" s="54" t="b">
        <v>1</v>
      </c>
      <c r="I2105" s="54" t="b">
        <v>1</v>
      </c>
      <c r="J2105" s="65" t="b">
        <v>0</v>
      </c>
      <c r="K2105" s="63" t="s">
        <v>763</v>
      </c>
      <c r="L2105" s="63" t="s">
        <v>5659</v>
      </c>
      <c r="M2105" s="63" t="s">
        <v>5660</v>
      </c>
      <c r="N2105" s="63" t="s">
        <v>2087</v>
      </c>
    </row>
    <row r="2106" spans="1:14" x14ac:dyDescent="0.2">
      <c r="A2106" s="51">
        <v>2105</v>
      </c>
      <c r="B2106" s="54" t="s">
        <v>763</v>
      </c>
      <c r="C2106" s="47" t="s">
        <v>5653</v>
      </c>
      <c r="D2106" s="47" t="s">
        <v>5654</v>
      </c>
      <c r="E2106" s="47" t="s">
        <v>2087</v>
      </c>
      <c r="F2106" s="55" t="b">
        <v>1</v>
      </c>
      <c r="G2106" s="54" t="b">
        <v>1</v>
      </c>
      <c r="H2106" s="54" t="b">
        <v>1</v>
      </c>
      <c r="I2106" s="54" t="b">
        <v>1</v>
      </c>
      <c r="J2106" s="54" t="b">
        <v>1</v>
      </c>
      <c r="K2106" s="63" t="s">
        <v>763</v>
      </c>
      <c r="L2106" s="63" t="s">
        <v>5653</v>
      </c>
      <c r="M2106" s="63" t="s">
        <v>5654</v>
      </c>
      <c r="N2106" s="63" t="s">
        <v>2087</v>
      </c>
    </row>
    <row r="2107" spans="1:14" x14ac:dyDescent="0.2">
      <c r="A2107" s="51">
        <v>2106</v>
      </c>
      <c r="B2107" s="54" t="s">
        <v>763</v>
      </c>
      <c r="C2107" s="47" t="s">
        <v>5451</v>
      </c>
      <c r="D2107" s="47" t="s">
        <v>5452</v>
      </c>
      <c r="E2107" s="48" t="s">
        <v>1719</v>
      </c>
      <c r="F2107" s="66" t="b">
        <v>0</v>
      </c>
      <c r="G2107" s="54" t="b">
        <v>1</v>
      </c>
      <c r="H2107" s="54" t="b">
        <v>1</v>
      </c>
      <c r="I2107" s="54" t="b">
        <v>1</v>
      </c>
      <c r="J2107" s="54" t="b">
        <v>1</v>
      </c>
      <c r="K2107" s="63" t="s">
        <v>763</v>
      </c>
      <c r="L2107" s="63" t="s">
        <v>5451</v>
      </c>
      <c r="M2107" s="63" t="s">
        <v>5452</v>
      </c>
      <c r="N2107" s="63" t="s">
        <v>1719</v>
      </c>
    </row>
    <row r="2108" spans="1:14" x14ac:dyDescent="0.2">
      <c r="A2108" s="51">
        <v>2107</v>
      </c>
      <c r="B2108" s="54" t="s">
        <v>763</v>
      </c>
      <c r="C2108" s="47" t="s">
        <v>5453</v>
      </c>
      <c r="D2108" s="47" t="s">
        <v>5454</v>
      </c>
      <c r="E2108" s="48" t="s">
        <v>1719</v>
      </c>
      <c r="F2108" s="66" t="b">
        <v>0</v>
      </c>
      <c r="G2108" s="54" t="b">
        <v>1</v>
      </c>
      <c r="H2108" s="54" t="b">
        <v>1</v>
      </c>
      <c r="I2108" s="54" t="b">
        <v>1</v>
      </c>
      <c r="J2108" s="54" t="b">
        <v>1</v>
      </c>
      <c r="K2108" s="63" t="s">
        <v>763</v>
      </c>
      <c r="L2108" s="63" t="s">
        <v>5453</v>
      </c>
      <c r="M2108" s="63" t="s">
        <v>5454</v>
      </c>
      <c r="N2108" s="63" t="s">
        <v>1719</v>
      </c>
    </row>
    <row r="2109" spans="1:14" x14ac:dyDescent="0.2">
      <c r="A2109" s="51">
        <v>2108</v>
      </c>
      <c r="B2109" s="54" t="s">
        <v>763</v>
      </c>
      <c r="C2109" s="47" t="s">
        <v>5455</v>
      </c>
      <c r="D2109" s="47" t="s">
        <v>5456</v>
      </c>
      <c r="E2109" s="48" t="s">
        <v>1719</v>
      </c>
      <c r="F2109" s="66" t="b">
        <v>0</v>
      </c>
      <c r="G2109" s="54" t="b">
        <v>1</v>
      </c>
      <c r="H2109" s="54" t="b">
        <v>1</v>
      </c>
      <c r="I2109" s="54" t="b">
        <v>1</v>
      </c>
      <c r="J2109" s="54" t="b">
        <v>1</v>
      </c>
      <c r="K2109" s="63" t="s">
        <v>763</v>
      </c>
      <c r="L2109" s="63" t="s">
        <v>5455</v>
      </c>
      <c r="M2109" s="63" t="s">
        <v>5456</v>
      </c>
      <c r="N2109" s="63" t="s">
        <v>1719</v>
      </c>
    </row>
    <row r="2110" spans="1:14" x14ac:dyDescent="0.2">
      <c r="A2110" s="51">
        <v>2109</v>
      </c>
      <c r="B2110" s="54" t="s">
        <v>763</v>
      </c>
      <c r="C2110" s="47" t="s">
        <v>5457</v>
      </c>
      <c r="D2110" s="47" t="s">
        <v>5458</v>
      </c>
      <c r="E2110" s="48" t="s">
        <v>1719</v>
      </c>
      <c r="F2110" s="66" t="b">
        <v>0</v>
      </c>
      <c r="G2110" s="54" t="b">
        <v>1</v>
      </c>
      <c r="H2110" s="54" t="b">
        <v>1</v>
      </c>
      <c r="I2110" s="54" t="b">
        <v>1</v>
      </c>
      <c r="J2110" s="54" t="b">
        <v>1</v>
      </c>
      <c r="K2110" s="63" t="s">
        <v>763</v>
      </c>
      <c r="L2110" s="63" t="s">
        <v>5457</v>
      </c>
      <c r="M2110" s="63" t="s">
        <v>5458</v>
      </c>
      <c r="N2110" s="63" t="s">
        <v>1719</v>
      </c>
    </row>
    <row r="2111" spans="1:14" x14ac:dyDescent="0.2">
      <c r="A2111" s="51">
        <v>2110</v>
      </c>
      <c r="E2111" s="48"/>
      <c r="G2111" s="65" t="b">
        <v>0</v>
      </c>
      <c r="H2111" s="65" t="b">
        <v>0</v>
      </c>
      <c r="I2111" s="65" t="b">
        <v>0</v>
      </c>
      <c r="J2111" s="65" t="b">
        <v>0</v>
      </c>
      <c r="K2111" s="63" t="s">
        <v>763</v>
      </c>
      <c r="L2111" s="63" t="s">
        <v>5457</v>
      </c>
      <c r="M2111" s="63" t="s">
        <v>5459</v>
      </c>
      <c r="N2111" s="63" t="s">
        <v>1719</v>
      </c>
    </row>
    <row r="2112" spans="1:14" x14ac:dyDescent="0.2">
      <c r="A2112" s="51">
        <v>2111</v>
      </c>
      <c r="B2112" s="54" t="s">
        <v>763</v>
      </c>
      <c r="C2112" s="47" t="s">
        <v>5462</v>
      </c>
      <c r="D2112" s="47" t="s">
        <v>5463</v>
      </c>
      <c r="E2112" s="48" t="s">
        <v>1719</v>
      </c>
      <c r="F2112" s="66" t="b">
        <v>0</v>
      </c>
      <c r="G2112" s="54" t="b">
        <v>1</v>
      </c>
      <c r="H2112" s="54" t="b">
        <v>1</v>
      </c>
      <c r="I2112" s="54" t="b">
        <v>1</v>
      </c>
      <c r="J2112" s="54" t="b">
        <v>1</v>
      </c>
      <c r="K2112" s="63" t="s">
        <v>763</v>
      </c>
      <c r="L2112" s="63" t="s">
        <v>5462</v>
      </c>
      <c r="M2112" s="63" t="s">
        <v>5463</v>
      </c>
      <c r="N2112" s="63" t="s">
        <v>1719</v>
      </c>
    </row>
    <row r="2113" spans="1:14" x14ac:dyDescent="0.2">
      <c r="A2113" s="51">
        <v>2112</v>
      </c>
      <c r="B2113" s="54" t="s">
        <v>763</v>
      </c>
      <c r="C2113" s="47" t="s">
        <v>5549</v>
      </c>
      <c r="D2113" s="47" t="s">
        <v>12519</v>
      </c>
      <c r="E2113" s="48" t="s">
        <v>1719</v>
      </c>
      <c r="F2113" s="66" t="b">
        <v>0</v>
      </c>
      <c r="G2113" s="54" t="b">
        <v>1</v>
      </c>
      <c r="H2113" s="54" t="b">
        <v>1</v>
      </c>
      <c r="I2113" s="65" t="b">
        <v>0</v>
      </c>
      <c r="J2113" s="54" t="b">
        <v>1</v>
      </c>
      <c r="K2113" s="63" t="s">
        <v>763</v>
      </c>
      <c r="L2113" s="63" t="s">
        <v>5549</v>
      </c>
      <c r="M2113" s="63" t="s">
        <v>5550</v>
      </c>
      <c r="N2113" s="63" t="s">
        <v>1719</v>
      </c>
    </row>
    <row r="2114" spans="1:14" x14ac:dyDescent="0.2">
      <c r="A2114" s="51">
        <v>2113</v>
      </c>
      <c r="B2114" s="54" t="s">
        <v>763</v>
      </c>
      <c r="C2114" s="47" t="s">
        <v>5460</v>
      </c>
      <c r="D2114" s="47" t="s">
        <v>5461</v>
      </c>
      <c r="E2114" s="48" t="s">
        <v>1719</v>
      </c>
      <c r="F2114" s="66" t="b">
        <v>0</v>
      </c>
      <c r="G2114" s="54" t="b">
        <v>1</v>
      </c>
      <c r="H2114" s="54" t="b">
        <v>1</v>
      </c>
      <c r="I2114" s="54" t="b">
        <v>1</v>
      </c>
      <c r="J2114" s="54" t="b">
        <v>1</v>
      </c>
      <c r="K2114" s="63" t="s">
        <v>763</v>
      </c>
      <c r="L2114" s="63" t="s">
        <v>5460</v>
      </c>
      <c r="M2114" s="63" t="s">
        <v>5461</v>
      </c>
      <c r="N2114" s="63" t="s">
        <v>1719</v>
      </c>
    </row>
    <row r="2115" spans="1:14" x14ac:dyDescent="0.2">
      <c r="A2115" s="51">
        <v>2114</v>
      </c>
      <c r="B2115" s="54" t="s">
        <v>763</v>
      </c>
      <c r="C2115" s="47" t="s">
        <v>5464</v>
      </c>
      <c r="D2115" s="47" t="s">
        <v>5465</v>
      </c>
      <c r="E2115" s="48" t="s">
        <v>1719</v>
      </c>
      <c r="F2115" s="66" t="b">
        <v>0</v>
      </c>
      <c r="G2115" s="54" t="b">
        <v>1</v>
      </c>
      <c r="H2115" s="54" t="b">
        <v>1</v>
      </c>
      <c r="I2115" s="54" t="b">
        <v>1</v>
      </c>
      <c r="J2115" s="54" t="b">
        <v>1</v>
      </c>
      <c r="K2115" s="63" t="s">
        <v>763</v>
      </c>
      <c r="L2115" s="63" t="s">
        <v>5464</v>
      </c>
      <c r="M2115" s="63" t="s">
        <v>5465</v>
      </c>
      <c r="N2115" s="63" t="s">
        <v>1719</v>
      </c>
    </row>
    <row r="2116" spans="1:14" x14ac:dyDescent="0.2">
      <c r="A2116" s="51">
        <v>2115</v>
      </c>
      <c r="B2116" s="54" t="s">
        <v>763</v>
      </c>
      <c r="C2116" s="47" t="s">
        <v>5466</v>
      </c>
      <c r="D2116" s="47" t="s">
        <v>5467</v>
      </c>
      <c r="E2116" s="48" t="s">
        <v>1719</v>
      </c>
      <c r="F2116" s="66" t="b">
        <v>0</v>
      </c>
      <c r="G2116" s="54" t="b">
        <v>1</v>
      </c>
      <c r="H2116" s="54" t="b">
        <v>1</v>
      </c>
      <c r="I2116" s="54" t="b">
        <v>1</v>
      </c>
      <c r="J2116" s="54" t="b">
        <v>1</v>
      </c>
      <c r="K2116" s="63" t="s">
        <v>763</v>
      </c>
      <c r="L2116" s="63" t="s">
        <v>5466</v>
      </c>
      <c r="M2116" s="63" t="s">
        <v>5467</v>
      </c>
      <c r="N2116" s="63" t="s">
        <v>1719</v>
      </c>
    </row>
    <row r="2117" spans="1:14" x14ac:dyDescent="0.2">
      <c r="A2117" s="51">
        <v>2116</v>
      </c>
      <c r="B2117" s="54" t="s">
        <v>763</v>
      </c>
      <c r="C2117" s="47" t="s">
        <v>5468</v>
      </c>
      <c r="D2117" s="47" t="s">
        <v>5469</v>
      </c>
      <c r="E2117" s="48" t="s">
        <v>1719</v>
      </c>
      <c r="F2117" s="66" t="b">
        <v>0</v>
      </c>
      <c r="G2117" s="54" t="b">
        <v>1</v>
      </c>
      <c r="H2117" s="54" t="b">
        <v>1</v>
      </c>
      <c r="I2117" s="54" t="b">
        <v>1</v>
      </c>
      <c r="J2117" s="54" t="b">
        <v>1</v>
      </c>
      <c r="K2117" s="63" t="s">
        <v>763</v>
      </c>
      <c r="L2117" s="63" t="s">
        <v>5468</v>
      </c>
      <c r="M2117" s="63" t="s">
        <v>5469</v>
      </c>
      <c r="N2117" s="63" t="s">
        <v>1719</v>
      </c>
    </row>
    <row r="2118" spans="1:14" x14ac:dyDescent="0.2">
      <c r="A2118" s="51">
        <v>2117</v>
      </c>
      <c r="B2118" s="54" t="s">
        <v>763</v>
      </c>
      <c r="C2118" s="47" t="s">
        <v>5478</v>
      </c>
      <c r="D2118" s="47" t="s">
        <v>5479</v>
      </c>
      <c r="E2118" s="48" t="s">
        <v>1719</v>
      </c>
      <c r="F2118" s="66" t="b">
        <v>0</v>
      </c>
      <c r="G2118" s="54" t="b">
        <v>1</v>
      </c>
      <c r="H2118" s="54" t="b">
        <v>1</v>
      </c>
      <c r="I2118" s="54" t="b">
        <v>1</v>
      </c>
      <c r="J2118" s="54" t="b">
        <v>1</v>
      </c>
      <c r="K2118" s="63" t="s">
        <v>763</v>
      </c>
      <c r="L2118" s="63" t="s">
        <v>5478</v>
      </c>
      <c r="M2118" s="63" t="s">
        <v>5479</v>
      </c>
      <c r="N2118" s="63" t="s">
        <v>1719</v>
      </c>
    </row>
    <row r="2119" spans="1:14" x14ac:dyDescent="0.2">
      <c r="A2119" s="51">
        <v>2118</v>
      </c>
      <c r="B2119" s="54" t="s">
        <v>763</v>
      </c>
      <c r="C2119" s="47" t="s">
        <v>5480</v>
      </c>
      <c r="D2119" s="47" t="s">
        <v>5481</v>
      </c>
      <c r="E2119" s="48" t="s">
        <v>1719</v>
      </c>
      <c r="F2119" s="66" t="b">
        <v>0</v>
      </c>
      <c r="G2119" s="54" t="b">
        <v>1</v>
      </c>
      <c r="H2119" s="54" t="b">
        <v>1</v>
      </c>
      <c r="I2119" s="54" t="b">
        <v>1</v>
      </c>
      <c r="J2119" s="54" t="b">
        <v>1</v>
      </c>
      <c r="K2119" s="63" t="s">
        <v>763</v>
      </c>
      <c r="L2119" s="63" t="s">
        <v>5480</v>
      </c>
      <c r="M2119" s="63" t="s">
        <v>5481</v>
      </c>
      <c r="N2119" s="63" t="s">
        <v>1719</v>
      </c>
    </row>
    <row r="2120" spans="1:14" x14ac:dyDescent="0.2">
      <c r="A2120" s="51">
        <v>2119</v>
      </c>
      <c r="B2120" s="54" t="s">
        <v>763</v>
      </c>
      <c r="C2120" s="47" t="s">
        <v>5474</v>
      </c>
      <c r="D2120" s="47" t="s">
        <v>5475</v>
      </c>
      <c r="E2120" s="48" t="s">
        <v>1719</v>
      </c>
      <c r="F2120" s="66" t="b">
        <v>0</v>
      </c>
      <c r="G2120" s="54" t="b">
        <v>1</v>
      </c>
      <c r="H2120" s="54" t="b">
        <v>1</v>
      </c>
      <c r="I2120" s="54" t="b">
        <v>1</v>
      </c>
      <c r="J2120" s="54" t="b">
        <v>1</v>
      </c>
      <c r="K2120" s="63" t="s">
        <v>763</v>
      </c>
      <c r="L2120" s="63" t="s">
        <v>5474</v>
      </c>
      <c r="M2120" s="63" t="s">
        <v>5475</v>
      </c>
      <c r="N2120" s="63" t="s">
        <v>1719</v>
      </c>
    </row>
    <row r="2121" spans="1:14" x14ac:dyDescent="0.2">
      <c r="A2121" s="51">
        <v>2120</v>
      </c>
      <c r="B2121" s="54" t="s">
        <v>763</v>
      </c>
      <c r="C2121" s="47" t="s">
        <v>5476</v>
      </c>
      <c r="D2121" s="47" t="s">
        <v>5477</v>
      </c>
      <c r="E2121" s="48" t="s">
        <v>1719</v>
      </c>
      <c r="F2121" s="66" t="b">
        <v>0</v>
      </c>
      <c r="G2121" s="54" t="b">
        <v>1</v>
      </c>
      <c r="H2121" s="54" t="b">
        <v>1</v>
      </c>
      <c r="I2121" s="54" t="b">
        <v>1</v>
      </c>
      <c r="J2121" s="54" t="b">
        <v>1</v>
      </c>
      <c r="K2121" s="63" t="s">
        <v>763</v>
      </c>
      <c r="L2121" s="63" t="s">
        <v>5476</v>
      </c>
      <c r="M2121" s="63" t="s">
        <v>5477</v>
      </c>
      <c r="N2121" s="63" t="s">
        <v>1719</v>
      </c>
    </row>
    <row r="2122" spans="1:14" x14ac:dyDescent="0.2">
      <c r="A2122" s="51">
        <v>2121</v>
      </c>
      <c r="B2122" s="54" t="s">
        <v>763</v>
      </c>
      <c r="C2122" s="47" t="s">
        <v>5482</v>
      </c>
      <c r="D2122" s="47" t="s">
        <v>5483</v>
      </c>
      <c r="E2122" s="48" t="s">
        <v>1719</v>
      </c>
      <c r="F2122" s="66" t="b">
        <v>0</v>
      </c>
      <c r="G2122" s="54" t="b">
        <v>1</v>
      </c>
      <c r="H2122" s="54" t="b">
        <v>1</v>
      </c>
      <c r="I2122" s="54" t="b">
        <v>1</v>
      </c>
      <c r="J2122" s="54" t="b">
        <v>1</v>
      </c>
      <c r="K2122" s="63" t="s">
        <v>763</v>
      </c>
      <c r="L2122" s="63" t="s">
        <v>5482</v>
      </c>
      <c r="M2122" s="63" t="s">
        <v>5483</v>
      </c>
      <c r="N2122" s="63" t="s">
        <v>1719</v>
      </c>
    </row>
    <row r="2123" spans="1:14" x14ac:dyDescent="0.2">
      <c r="A2123" s="51">
        <v>2122</v>
      </c>
      <c r="B2123" s="54" t="s">
        <v>763</v>
      </c>
      <c r="C2123" s="47" t="s">
        <v>5489</v>
      </c>
      <c r="D2123" s="47" t="s">
        <v>5490</v>
      </c>
      <c r="E2123" s="48" t="s">
        <v>1719</v>
      </c>
      <c r="F2123" s="66" t="b">
        <v>0</v>
      </c>
      <c r="G2123" s="54" t="b">
        <v>1</v>
      </c>
      <c r="H2123" s="54" t="b">
        <v>1</v>
      </c>
      <c r="I2123" s="54" t="b">
        <v>1</v>
      </c>
      <c r="J2123" s="54" t="b">
        <v>1</v>
      </c>
      <c r="K2123" s="63" t="s">
        <v>763</v>
      </c>
      <c r="L2123" s="63" t="s">
        <v>5489</v>
      </c>
      <c r="M2123" s="63" t="s">
        <v>5490</v>
      </c>
      <c r="N2123" s="63" t="s">
        <v>1719</v>
      </c>
    </row>
    <row r="2124" spans="1:14" x14ac:dyDescent="0.2">
      <c r="A2124" s="51">
        <v>2123</v>
      </c>
      <c r="B2124" s="54" t="s">
        <v>763</v>
      </c>
      <c r="C2124" s="47" t="s">
        <v>5487</v>
      </c>
      <c r="D2124" s="47" t="s">
        <v>5488</v>
      </c>
      <c r="E2124" s="48" t="s">
        <v>1719</v>
      </c>
      <c r="F2124" s="66" t="b">
        <v>0</v>
      </c>
      <c r="G2124" s="54" t="b">
        <v>1</v>
      </c>
      <c r="H2124" s="54" t="b">
        <v>1</v>
      </c>
      <c r="I2124" s="54" t="b">
        <v>1</v>
      </c>
      <c r="J2124" s="54" t="b">
        <v>1</v>
      </c>
      <c r="K2124" s="63" t="s">
        <v>763</v>
      </c>
      <c r="L2124" s="63" t="s">
        <v>5487</v>
      </c>
      <c r="M2124" s="63" t="s">
        <v>5488</v>
      </c>
      <c r="N2124" s="63" t="s">
        <v>1719</v>
      </c>
    </row>
    <row r="2125" spans="1:14" x14ac:dyDescent="0.2">
      <c r="A2125" s="51">
        <v>2124</v>
      </c>
      <c r="B2125" s="54" t="s">
        <v>763</v>
      </c>
      <c r="C2125" s="47" t="s">
        <v>5470</v>
      </c>
      <c r="D2125" s="47" t="s">
        <v>5471</v>
      </c>
      <c r="E2125" s="48" t="s">
        <v>1719</v>
      </c>
      <c r="F2125" s="66" t="b">
        <v>0</v>
      </c>
      <c r="G2125" s="54" t="b">
        <v>1</v>
      </c>
      <c r="H2125" s="54" t="b">
        <v>1</v>
      </c>
      <c r="I2125" s="54" t="b">
        <v>1</v>
      </c>
      <c r="J2125" s="54" t="b">
        <v>1</v>
      </c>
      <c r="K2125" s="63" t="s">
        <v>763</v>
      </c>
      <c r="L2125" s="63" t="s">
        <v>5470</v>
      </c>
      <c r="M2125" s="63" t="s">
        <v>5471</v>
      </c>
      <c r="N2125" s="63" t="s">
        <v>1719</v>
      </c>
    </row>
    <row r="2126" spans="1:14" x14ac:dyDescent="0.2">
      <c r="A2126" s="51">
        <v>2125</v>
      </c>
      <c r="B2126" s="54" t="s">
        <v>763</v>
      </c>
      <c r="C2126" s="47" t="s">
        <v>5484</v>
      </c>
      <c r="D2126" s="47" t="s">
        <v>5485</v>
      </c>
      <c r="E2126" s="48" t="s">
        <v>1719</v>
      </c>
      <c r="F2126" s="66" t="b">
        <v>0</v>
      </c>
      <c r="G2126" s="54" t="b">
        <v>1</v>
      </c>
      <c r="H2126" s="54" t="b">
        <v>1</v>
      </c>
      <c r="I2126" s="54" t="b">
        <v>1</v>
      </c>
      <c r="J2126" s="54" t="b">
        <v>1</v>
      </c>
      <c r="K2126" s="63" t="s">
        <v>763</v>
      </c>
      <c r="L2126" s="63" t="s">
        <v>5484</v>
      </c>
      <c r="M2126" s="63" t="s">
        <v>5485</v>
      </c>
      <c r="N2126" s="63" t="s">
        <v>1719</v>
      </c>
    </row>
    <row r="2127" spans="1:14" x14ac:dyDescent="0.2">
      <c r="A2127" s="51">
        <v>2126</v>
      </c>
      <c r="E2127" s="48"/>
      <c r="G2127" s="65" t="b">
        <v>0</v>
      </c>
      <c r="H2127" s="65" t="b">
        <v>0</v>
      </c>
      <c r="I2127" s="65" t="b">
        <v>0</v>
      </c>
      <c r="J2127" s="65" t="b">
        <v>0</v>
      </c>
      <c r="K2127" s="63" t="s">
        <v>763</v>
      </c>
      <c r="L2127" s="63" t="s">
        <v>5484</v>
      </c>
      <c r="M2127" s="63" t="s">
        <v>5486</v>
      </c>
      <c r="N2127" s="63" t="s">
        <v>1719</v>
      </c>
    </row>
    <row r="2128" spans="1:14" x14ac:dyDescent="0.2">
      <c r="A2128" s="51">
        <v>2127</v>
      </c>
      <c r="B2128" s="54" t="s">
        <v>763</v>
      </c>
      <c r="C2128" s="47" t="s">
        <v>5491</v>
      </c>
      <c r="D2128" s="47" t="s">
        <v>5492</v>
      </c>
      <c r="E2128" s="48" t="s">
        <v>1719</v>
      </c>
      <c r="F2128" s="66" t="b">
        <v>0</v>
      </c>
      <c r="G2128" s="54" t="b">
        <v>1</v>
      </c>
      <c r="H2128" s="54" t="b">
        <v>1</v>
      </c>
      <c r="I2128" s="54" t="b">
        <v>1</v>
      </c>
      <c r="J2128" s="54" t="b">
        <v>1</v>
      </c>
      <c r="K2128" s="63" t="s">
        <v>763</v>
      </c>
      <c r="L2128" s="63" t="s">
        <v>5491</v>
      </c>
      <c r="M2128" s="63" t="s">
        <v>5492</v>
      </c>
      <c r="N2128" s="63" t="s">
        <v>1719</v>
      </c>
    </row>
    <row r="2129" spans="1:14" x14ac:dyDescent="0.2">
      <c r="A2129" s="51">
        <v>2128</v>
      </c>
      <c r="B2129" s="54" t="s">
        <v>763</v>
      </c>
      <c r="C2129" s="47" t="s">
        <v>5499</v>
      </c>
      <c r="D2129" s="47" t="s">
        <v>5500</v>
      </c>
      <c r="E2129" s="48" t="s">
        <v>1719</v>
      </c>
      <c r="F2129" s="66" t="b">
        <v>0</v>
      </c>
      <c r="G2129" s="54" t="b">
        <v>1</v>
      </c>
      <c r="H2129" s="54" t="b">
        <v>1</v>
      </c>
      <c r="I2129" s="54" t="b">
        <v>1</v>
      </c>
      <c r="J2129" s="54" t="b">
        <v>1</v>
      </c>
      <c r="K2129" s="63" t="s">
        <v>763</v>
      </c>
      <c r="L2129" s="63" t="s">
        <v>5499</v>
      </c>
      <c r="M2129" s="63" t="s">
        <v>5500</v>
      </c>
      <c r="N2129" s="63" t="s">
        <v>1719</v>
      </c>
    </row>
    <row r="2130" spans="1:14" x14ac:dyDescent="0.2">
      <c r="A2130" s="51">
        <v>2129</v>
      </c>
      <c r="B2130" s="54" t="s">
        <v>763</v>
      </c>
      <c r="C2130" s="47" t="s">
        <v>5503</v>
      </c>
      <c r="D2130" s="47" t="s">
        <v>5504</v>
      </c>
      <c r="E2130" s="48" t="s">
        <v>1719</v>
      </c>
      <c r="F2130" s="66" t="b">
        <v>0</v>
      </c>
      <c r="G2130" s="54" t="b">
        <v>1</v>
      </c>
      <c r="H2130" s="54" t="b">
        <v>1</v>
      </c>
      <c r="I2130" s="54" t="b">
        <v>1</v>
      </c>
      <c r="J2130" s="54" t="b">
        <v>1</v>
      </c>
      <c r="K2130" s="63" t="s">
        <v>763</v>
      </c>
      <c r="L2130" s="63" t="s">
        <v>5503</v>
      </c>
      <c r="M2130" s="63" t="s">
        <v>5504</v>
      </c>
      <c r="N2130" s="63" t="s">
        <v>1719</v>
      </c>
    </row>
    <row r="2131" spans="1:14" x14ac:dyDescent="0.2">
      <c r="A2131" s="51">
        <v>2130</v>
      </c>
      <c r="B2131" s="54" t="s">
        <v>763</v>
      </c>
      <c r="C2131" s="47" t="s">
        <v>5509</v>
      </c>
      <c r="D2131" s="47" t="s">
        <v>5510</v>
      </c>
      <c r="E2131" s="48" t="s">
        <v>1719</v>
      </c>
      <c r="F2131" s="66" t="b">
        <v>0</v>
      </c>
      <c r="G2131" s="54" t="b">
        <v>1</v>
      </c>
      <c r="H2131" s="54" t="b">
        <v>1</v>
      </c>
      <c r="I2131" s="54" t="b">
        <v>1</v>
      </c>
      <c r="J2131" s="54" t="b">
        <v>1</v>
      </c>
      <c r="K2131" s="63" t="s">
        <v>763</v>
      </c>
      <c r="L2131" s="63" t="s">
        <v>5509</v>
      </c>
      <c r="M2131" s="63" t="s">
        <v>5510</v>
      </c>
      <c r="N2131" s="63" t="s">
        <v>1719</v>
      </c>
    </row>
    <row r="2132" spans="1:14" x14ac:dyDescent="0.2">
      <c r="A2132" s="51">
        <v>2131</v>
      </c>
      <c r="B2132" s="54" t="s">
        <v>763</v>
      </c>
      <c r="C2132" s="47" t="s">
        <v>5501</v>
      </c>
      <c r="D2132" s="47" t="s">
        <v>5502</v>
      </c>
      <c r="E2132" s="48" t="s">
        <v>1719</v>
      </c>
      <c r="F2132" s="66" t="b">
        <v>0</v>
      </c>
      <c r="G2132" s="54" t="b">
        <v>1</v>
      </c>
      <c r="H2132" s="54" t="b">
        <v>1</v>
      </c>
      <c r="I2132" s="54" t="b">
        <v>1</v>
      </c>
      <c r="J2132" s="54" t="b">
        <v>1</v>
      </c>
      <c r="K2132" s="63" t="s">
        <v>763</v>
      </c>
      <c r="L2132" s="63" t="s">
        <v>5501</v>
      </c>
      <c r="M2132" s="63" t="s">
        <v>5502</v>
      </c>
      <c r="N2132" s="63" t="s">
        <v>1719</v>
      </c>
    </row>
    <row r="2133" spans="1:14" x14ac:dyDescent="0.2">
      <c r="A2133" s="51">
        <v>2132</v>
      </c>
      <c r="B2133" s="54" t="s">
        <v>763</v>
      </c>
      <c r="C2133" s="47" t="s">
        <v>5495</v>
      </c>
      <c r="D2133" s="47" t="s">
        <v>5496</v>
      </c>
      <c r="E2133" s="48" t="s">
        <v>1719</v>
      </c>
      <c r="F2133" s="66" t="b">
        <v>0</v>
      </c>
      <c r="G2133" s="54" t="b">
        <v>1</v>
      </c>
      <c r="H2133" s="54" t="b">
        <v>1</v>
      </c>
      <c r="I2133" s="54" t="b">
        <v>1</v>
      </c>
      <c r="J2133" s="54" t="b">
        <v>1</v>
      </c>
      <c r="K2133" s="63" t="s">
        <v>763</v>
      </c>
      <c r="L2133" s="63" t="s">
        <v>5495</v>
      </c>
      <c r="M2133" s="63" t="s">
        <v>5496</v>
      </c>
      <c r="N2133" s="63" t="s">
        <v>1719</v>
      </c>
    </row>
    <row r="2134" spans="1:14" x14ac:dyDescent="0.2">
      <c r="A2134" s="51">
        <v>2133</v>
      </c>
      <c r="B2134" s="54" t="s">
        <v>763</v>
      </c>
      <c r="C2134" s="47" t="s">
        <v>5519</v>
      </c>
      <c r="D2134" s="47" t="s">
        <v>5520</v>
      </c>
      <c r="E2134" s="48" t="s">
        <v>1719</v>
      </c>
      <c r="F2134" s="66" t="b">
        <v>0</v>
      </c>
      <c r="G2134" s="54" t="b">
        <v>1</v>
      </c>
      <c r="H2134" s="54" t="b">
        <v>1</v>
      </c>
      <c r="I2134" s="54" t="b">
        <v>1</v>
      </c>
      <c r="J2134" s="54" t="b">
        <v>1</v>
      </c>
      <c r="K2134" s="63" t="s">
        <v>763</v>
      </c>
      <c r="L2134" s="63" t="s">
        <v>5519</v>
      </c>
      <c r="M2134" s="63" t="s">
        <v>5520</v>
      </c>
      <c r="N2134" s="63" t="s">
        <v>1719</v>
      </c>
    </row>
    <row r="2135" spans="1:14" x14ac:dyDescent="0.2">
      <c r="A2135" s="51">
        <v>2134</v>
      </c>
      <c r="B2135" s="54" t="s">
        <v>763</v>
      </c>
      <c r="C2135" s="47" t="s">
        <v>5511</v>
      </c>
      <c r="D2135" s="47" t="s">
        <v>5512</v>
      </c>
      <c r="E2135" s="48" t="s">
        <v>1719</v>
      </c>
      <c r="F2135" s="66" t="b">
        <v>0</v>
      </c>
      <c r="G2135" s="54" t="b">
        <v>1</v>
      </c>
      <c r="H2135" s="54" t="b">
        <v>1</v>
      </c>
      <c r="I2135" s="54" t="b">
        <v>1</v>
      </c>
      <c r="J2135" s="54" t="b">
        <v>1</v>
      </c>
      <c r="K2135" s="63" t="s">
        <v>763</v>
      </c>
      <c r="L2135" s="63" t="s">
        <v>5511</v>
      </c>
      <c r="M2135" s="63" t="s">
        <v>5512</v>
      </c>
      <c r="N2135" s="63" t="s">
        <v>1719</v>
      </c>
    </row>
    <row r="2136" spans="1:14" x14ac:dyDescent="0.2">
      <c r="A2136" s="51">
        <v>2135</v>
      </c>
      <c r="B2136" s="54" t="s">
        <v>763</v>
      </c>
      <c r="C2136" s="47" t="s">
        <v>5515</v>
      </c>
      <c r="D2136" s="47" t="s">
        <v>5516</v>
      </c>
      <c r="E2136" s="48" t="s">
        <v>1719</v>
      </c>
      <c r="F2136" s="66" t="b">
        <v>0</v>
      </c>
      <c r="G2136" s="54" t="b">
        <v>1</v>
      </c>
      <c r="H2136" s="54" t="b">
        <v>1</v>
      </c>
      <c r="I2136" s="54" t="b">
        <v>1</v>
      </c>
      <c r="J2136" s="54" t="b">
        <v>1</v>
      </c>
      <c r="K2136" s="63" t="s">
        <v>763</v>
      </c>
      <c r="L2136" s="63" t="s">
        <v>5515</v>
      </c>
      <c r="M2136" s="63" t="s">
        <v>5516</v>
      </c>
      <c r="N2136" s="63" t="s">
        <v>1719</v>
      </c>
    </row>
    <row r="2137" spans="1:14" x14ac:dyDescent="0.2">
      <c r="A2137" s="51">
        <v>2136</v>
      </c>
      <c r="B2137" s="54" t="s">
        <v>763</v>
      </c>
      <c r="C2137" s="47" t="s">
        <v>5513</v>
      </c>
      <c r="D2137" s="47" t="s">
        <v>5514</v>
      </c>
      <c r="E2137" s="48" t="s">
        <v>1719</v>
      </c>
      <c r="F2137" s="66" t="b">
        <v>0</v>
      </c>
      <c r="G2137" s="54" t="b">
        <v>1</v>
      </c>
      <c r="H2137" s="54" t="b">
        <v>1</v>
      </c>
      <c r="I2137" s="54" t="b">
        <v>1</v>
      </c>
      <c r="J2137" s="54" t="b">
        <v>1</v>
      </c>
      <c r="K2137" s="63" t="s">
        <v>763</v>
      </c>
      <c r="L2137" s="63" t="s">
        <v>5513</v>
      </c>
      <c r="M2137" s="63" t="s">
        <v>5514</v>
      </c>
      <c r="N2137" s="63" t="s">
        <v>1719</v>
      </c>
    </row>
    <row r="2138" spans="1:14" x14ac:dyDescent="0.2">
      <c r="A2138" s="51">
        <v>2137</v>
      </c>
      <c r="B2138" s="54" t="s">
        <v>763</v>
      </c>
      <c r="C2138" s="47" t="s">
        <v>5505</v>
      </c>
      <c r="D2138" s="47" t="s">
        <v>5506</v>
      </c>
      <c r="E2138" s="48" t="s">
        <v>1719</v>
      </c>
      <c r="F2138" s="66" t="b">
        <v>0</v>
      </c>
      <c r="G2138" s="54" t="b">
        <v>1</v>
      </c>
      <c r="H2138" s="54" t="b">
        <v>1</v>
      </c>
      <c r="I2138" s="54" t="b">
        <v>1</v>
      </c>
      <c r="J2138" s="54" t="b">
        <v>1</v>
      </c>
      <c r="K2138" s="63" t="s">
        <v>763</v>
      </c>
      <c r="L2138" s="63" t="s">
        <v>5505</v>
      </c>
      <c r="M2138" s="63" t="s">
        <v>5506</v>
      </c>
      <c r="N2138" s="63" t="s">
        <v>1719</v>
      </c>
    </row>
    <row r="2139" spans="1:14" x14ac:dyDescent="0.2">
      <c r="A2139" s="51">
        <v>2138</v>
      </c>
      <c r="B2139" s="54" t="s">
        <v>763</v>
      </c>
      <c r="C2139" s="47" t="s">
        <v>5507</v>
      </c>
      <c r="D2139" s="47" t="s">
        <v>5508</v>
      </c>
      <c r="E2139" s="48" t="s">
        <v>1719</v>
      </c>
      <c r="F2139" s="66" t="b">
        <v>0</v>
      </c>
      <c r="G2139" s="54" t="b">
        <v>1</v>
      </c>
      <c r="H2139" s="54" t="b">
        <v>1</v>
      </c>
      <c r="I2139" s="54" t="b">
        <v>1</v>
      </c>
      <c r="J2139" s="54" t="b">
        <v>1</v>
      </c>
      <c r="K2139" s="63" t="s">
        <v>763</v>
      </c>
      <c r="L2139" s="63" t="s">
        <v>5507</v>
      </c>
      <c r="M2139" s="63" t="s">
        <v>5508</v>
      </c>
      <c r="N2139" s="63" t="s">
        <v>1719</v>
      </c>
    </row>
    <row r="2140" spans="1:14" x14ac:dyDescent="0.2">
      <c r="A2140" s="51">
        <v>2139</v>
      </c>
      <c r="B2140" s="54" t="s">
        <v>763</v>
      </c>
      <c r="C2140" s="47" t="s">
        <v>5523</v>
      </c>
      <c r="D2140" s="47" t="s">
        <v>5524</v>
      </c>
      <c r="E2140" s="48" t="s">
        <v>1719</v>
      </c>
      <c r="F2140" s="66" t="b">
        <v>0</v>
      </c>
      <c r="G2140" s="54" t="b">
        <v>1</v>
      </c>
      <c r="H2140" s="54" t="b">
        <v>1</v>
      </c>
      <c r="I2140" s="54" t="b">
        <v>1</v>
      </c>
      <c r="J2140" s="54" t="b">
        <v>1</v>
      </c>
      <c r="K2140" s="63" t="s">
        <v>763</v>
      </c>
      <c r="L2140" s="63" t="s">
        <v>5523</v>
      </c>
      <c r="M2140" s="63" t="s">
        <v>5524</v>
      </c>
      <c r="N2140" s="63" t="s">
        <v>1719</v>
      </c>
    </row>
    <row r="2141" spans="1:14" x14ac:dyDescent="0.2">
      <c r="A2141" s="51">
        <v>2140</v>
      </c>
      <c r="B2141" s="54" t="s">
        <v>763</v>
      </c>
      <c r="C2141" s="47" t="s">
        <v>5533</v>
      </c>
      <c r="D2141" s="47" t="s">
        <v>12518</v>
      </c>
      <c r="E2141" s="48" t="s">
        <v>1719</v>
      </c>
      <c r="F2141" s="66" t="b">
        <v>0</v>
      </c>
      <c r="G2141" s="54" t="b">
        <v>1</v>
      </c>
      <c r="H2141" s="54" t="b">
        <v>1</v>
      </c>
      <c r="I2141" s="65" t="b">
        <v>0</v>
      </c>
      <c r="J2141" s="54" t="b">
        <v>1</v>
      </c>
      <c r="K2141" s="63" t="s">
        <v>763</v>
      </c>
      <c r="L2141" s="63" t="s">
        <v>5533</v>
      </c>
      <c r="M2141" s="63" t="s">
        <v>5534</v>
      </c>
      <c r="N2141" s="63" t="s">
        <v>1719</v>
      </c>
    </row>
    <row r="2142" spans="1:14" x14ac:dyDescent="0.2">
      <c r="A2142" s="51">
        <v>2141</v>
      </c>
      <c r="B2142" s="54" t="s">
        <v>763</v>
      </c>
      <c r="C2142" s="47" t="s">
        <v>5527</v>
      </c>
      <c r="D2142" s="47" t="s">
        <v>5528</v>
      </c>
      <c r="E2142" s="48" t="s">
        <v>1719</v>
      </c>
      <c r="F2142" s="66" t="b">
        <v>0</v>
      </c>
      <c r="G2142" s="54" t="b">
        <v>1</v>
      </c>
      <c r="H2142" s="54" t="b">
        <v>1</v>
      </c>
      <c r="I2142" s="54" t="b">
        <v>1</v>
      </c>
      <c r="J2142" s="54" t="b">
        <v>1</v>
      </c>
      <c r="K2142" s="63" t="s">
        <v>763</v>
      </c>
      <c r="L2142" s="63" t="s">
        <v>5527</v>
      </c>
      <c r="M2142" s="63" t="s">
        <v>5528</v>
      </c>
      <c r="N2142" s="63" t="s">
        <v>1719</v>
      </c>
    </row>
    <row r="2143" spans="1:14" x14ac:dyDescent="0.2">
      <c r="A2143" s="51">
        <v>2142</v>
      </c>
      <c r="B2143" s="54" t="s">
        <v>763</v>
      </c>
      <c r="C2143" s="47" t="s">
        <v>5531</v>
      </c>
      <c r="D2143" s="47" t="s">
        <v>5532</v>
      </c>
      <c r="E2143" s="48" t="s">
        <v>1719</v>
      </c>
      <c r="F2143" s="66" t="b">
        <v>0</v>
      </c>
      <c r="G2143" s="54" t="b">
        <v>1</v>
      </c>
      <c r="H2143" s="54" t="b">
        <v>1</v>
      </c>
      <c r="I2143" s="54" t="b">
        <v>1</v>
      </c>
      <c r="J2143" s="54" t="b">
        <v>1</v>
      </c>
      <c r="K2143" s="63" t="s">
        <v>763</v>
      </c>
      <c r="L2143" s="63" t="s">
        <v>5531</v>
      </c>
      <c r="M2143" s="63" t="s">
        <v>5532</v>
      </c>
      <c r="N2143" s="63" t="s">
        <v>1719</v>
      </c>
    </row>
    <row r="2144" spans="1:14" x14ac:dyDescent="0.2">
      <c r="A2144" s="51">
        <v>2143</v>
      </c>
      <c r="B2144" s="54" t="s">
        <v>763</v>
      </c>
      <c r="C2144" s="47" t="s">
        <v>5529</v>
      </c>
      <c r="D2144" s="47" t="s">
        <v>5530</v>
      </c>
      <c r="E2144" s="48" t="s">
        <v>1719</v>
      </c>
      <c r="F2144" s="66" t="b">
        <v>0</v>
      </c>
      <c r="G2144" s="54" t="b">
        <v>1</v>
      </c>
      <c r="H2144" s="54" t="b">
        <v>1</v>
      </c>
      <c r="I2144" s="54" t="b">
        <v>1</v>
      </c>
      <c r="J2144" s="54" t="b">
        <v>1</v>
      </c>
      <c r="K2144" s="63" t="s">
        <v>763</v>
      </c>
      <c r="L2144" s="63" t="s">
        <v>5529</v>
      </c>
      <c r="M2144" s="63" t="s">
        <v>5530</v>
      </c>
      <c r="N2144" s="63" t="s">
        <v>1719</v>
      </c>
    </row>
    <row r="2145" spans="1:14" x14ac:dyDescent="0.2">
      <c r="A2145" s="51">
        <v>2144</v>
      </c>
      <c r="B2145" s="54" t="s">
        <v>763</v>
      </c>
      <c r="C2145" s="47" t="s">
        <v>5525</v>
      </c>
      <c r="D2145" s="47" t="s">
        <v>5526</v>
      </c>
      <c r="E2145" s="48" t="s">
        <v>1719</v>
      </c>
      <c r="F2145" s="66" t="b">
        <v>0</v>
      </c>
      <c r="G2145" s="54" t="b">
        <v>1</v>
      </c>
      <c r="H2145" s="54" t="b">
        <v>1</v>
      </c>
      <c r="I2145" s="54" t="b">
        <v>1</v>
      </c>
      <c r="J2145" s="54" t="b">
        <v>1</v>
      </c>
      <c r="K2145" s="63" t="s">
        <v>763</v>
      </c>
      <c r="L2145" s="63" t="s">
        <v>5525</v>
      </c>
      <c r="M2145" s="63" t="s">
        <v>5526</v>
      </c>
      <c r="N2145" s="63" t="s">
        <v>1719</v>
      </c>
    </row>
    <row r="2146" spans="1:14" x14ac:dyDescent="0.2">
      <c r="A2146" s="51">
        <v>2145</v>
      </c>
      <c r="B2146" s="54" t="s">
        <v>763</v>
      </c>
      <c r="C2146" s="47" t="s">
        <v>5537</v>
      </c>
      <c r="D2146" s="47" t="s">
        <v>5538</v>
      </c>
      <c r="E2146" s="48" t="s">
        <v>1719</v>
      </c>
      <c r="F2146" s="66" t="b">
        <v>0</v>
      </c>
      <c r="G2146" s="54" t="b">
        <v>1</v>
      </c>
      <c r="H2146" s="54" t="b">
        <v>1</v>
      </c>
      <c r="I2146" s="54" t="b">
        <v>1</v>
      </c>
      <c r="J2146" s="54" t="b">
        <v>1</v>
      </c>
      <c r="K2146" s="63" t="s">
        <v>763</v>
      </c>
      <c r="L2146" s="63" t="s">
        <v>5537</v>
      </c>
      <c r="M2146" s="63" t="s">
        <v>5538</v>
      </c>
      <c r="N2146" s="63" t="s">
        <v>1719</v>
      </c>
    </row>
    <row r="2147" spans="1:14" x14ac:dyDescent="0.2">
      <c r="A2147" s="51">
        <v>2146</v>
      </c>
      <c r="B2147" s="54" t="s">
        <v>763</v>
      </c>
      <c r="C2147" s="47" t="s">
        <v>5539</v>
      </c>
      <c r="D2147" s="47" t="s">
        <v>5540</v>
      </c>
      <c r="E2147" s="48" t="s">
        <v>1719</v>
      </c>
      <c r="F2147" s="66" t="b">
        <v>0</v>
      </c>
      <c r="G2147" s="54" t="b">
        <v>1</v>
      </c>
      <c r="H2147" s="54" t="b">
        <v>1</v>
      </c>
      <c r="I2147" s="54" t="b">
        <v>1</v>
      </c>
      <c r="J2147" s="54" t="b">
        <v>1</v>
      </c>
      <c r="K2147" s="63" t="s">
        <v>763</v>
      </c>
      <c r="L2147" s="63" t="s">
        <v>5539</v>
      </c>
      <c r="M2147" s="63" t="s">
        <v>5540</v>
      </c>
      <c r="N2147" s="63" t="s">
        <v>1719</v>
      </c>
    </row>
    <row r="2148" spans="1:14" x14ac:dyDescent="0.2">
      <c r="A2148" s="51">
        <v>2147</v>
      </c>
      <c r="B2148" s="54" t="s">
        <v>763</v>
      </c>
      <c r="C2148" s="47" t="s">
        <v>5541</v>
      </c>
      <c r="D2148" s="47" t="s">
        <v>5542</v>
      </c>
      <c r="E2148" s="48" t="s">
        <v>1719</v>
      </c>
      <c r="F2148" s="66" t="b">
        <v>0</v>
      </c>
      <c r="G2148" s="54" t="b">
        <v>1</v>
      </c>
      <c r="H2148" s="54" t="b">
        <v>1</v>
      </c>
      <c r="I2148" s="54" t="b">
        <v>1</v>
      </c>
      <c r="J2148" s="54" t="b">
        <v>1</v>
      </c>
      <c r="K2148" s="63" t="s">
        <v>763</v>
      </c>
      <c r="L2148" s="63" t="s">
        <v>5541</v>
      </c>
      <c r="M2148" s="63" t="s">
        <v>5542</v>
      </c>
      <c r="N2148" s="63" t="s">
        <v>1719</v>
      </c>
    </row>
    <row r="2149" spans="1:14" x14ac:dyDescent="0.2">
      <c r="A2149" s="51">
        <v>2148</v>
      </c>
      <c r="B2149" s="54" t="s">
        <v>763</v>
      </c>
      <c r="C2149" s="47" t="s">
        <v>5543</v>
      </c>
      <c r="D2149" s="47" t="s">
        <v>5544</v>
      </c>
      <c r="E2149" s="48" t="s">
        <v>1719</v>
      </c>
      <c r="F2149" s="66" t="b">
        <v>0</v>
      </c>
      <c r="G2149" s="54" t="b">
        <v>1</v>
      </c>
      <c r="H2149" s="54" t="b">
        <v>1</v>
      </c>
      <c r="I2149" s="54" t="b">
        <v>1</v>
      </c>
      <c r="J2149" s="54" t="b">
        <v>1</v>
      </c>
      <c r="K2149" s="63" t="s">
        <v>763</v>
      </c>
      <c r="L2149" s="63" t="s">
        <v>5543</v>
      </c>
      <c r="M2149" s="63" t="s">
        <v>5544</v>
      </c>
      <c r="N2149" s="63" t="s">
        <v>1719</v>
      </c>
    </row>
    <row r="2150" spans="1:14" x14ac:dyDescent="0.2">
      <c r="A2150" s="51">
        <v>2149</v>
      </c>
      <c r="B2150" s="54" t="s">
        <v>763</v>
      </c>
      <c r="C2150" s="47" t="s">
        <v>5545</v>
      </c>
      <c r="D2150" s="47" t="s">
        <v>5546</v>
      </c>
      <c r="E2150" s="48" t="s">
        <v>1719</v>
      </c>
      <c r="F2150" s="66" t="b">
        <v>0</v>
      </c>
      <c r="G2150" s="54" t="b">
        <v>1</v>
      </c>
      <c r="H2150" s="54" t="b">
        <v>1</v>
      </c>
      <c r="I2150" s="54" t="b">
        <v>1</v>
      </c>
      <c r="J2150" s="54" t="b">
        <v>1</v>
      </c>
      <c r="K2150" s="63" t="s">
        <v>763</v>
      </c>
      <c r="L2150" s="63" t="s">
        <v>5545</v>
      </c>
      <c r="M2150" s="63" t="s">
        <v>5546</v>
      </c>
      <c r="N2150" s="63" t="s">
        <v>1719</v>
      </c>
    </row>
    <row r="2151" spans="1:14" x14ac:dyDescent="0.2">
      <c r="A2151" s="51">
        <v>2150</v>
      </c>
      <c r="B2151" s="54" t="s">
        <v>763</v>
      </c>
      <c r="C2151" s="47" t="s">
        <v>5547</v>
      </c>
      <c r="D2151" s="47" t="s">
        <v>5548</v>
      </c>
      <c r="E2151" s="48" t="s">
        <v>1719</v>
      </c>
      <c r="F2151" s="66" t="b">
        <v>0</v>
      </c>
      <c r="G2151" s="54" t="b">
        <v>1</v>
      </c>
      <c r="H2151" s="54" t="b">
        <v>1</v>
      </c>
      <c r="I2151" s="54" t="b">
        <v>1</v>
      </c>
      <c r="J2151" s="54" t="b">
        <v>1</v>
      </c>
      <c r="K2151" s="63" t="s">
        <v>763</v>
      </c>
      <c r="L2151" s="63" t="s">
        <v>5547</v>
      </c>
      <c r="M2151" s="63" t="s">
        <v>5548</v>
      </c>
      <c r="N2151" s="63" t="s">
        <v>1719</v>
      </c>
    </row>
    <row r="2152" spans="1:14" x14ac:dyDescent="0.2">
      <c r="A2152" s="51">
        <v>2151</v>
      </c>
      <c r="B2152" s="54" t="s">
        <v>763</v>
      </c>
      <c r="C2152" s="47" t="s">
        <v>5517</v>
      </c>
      <c r="D2152" s="47" t="s">
        <v>5518</v>
      </c>
      <c r="E2152" s="48" t="s">
        <v>1719</v>
      </c>
      <c r="F2152" s="66" t="b">
        <v>0</v>
      </c>
      <c r="G2152" s="54" t="b">
        <v>1</v>
      </c>
      <c r="H2152" s="54" t="b">
        <v>1</v>
      </c>
      <c r="I2152" s="54" t="b">
        <v>1</v>
      </c>
      <c r="J2152" s="54" t="b">
        <v>1</v>
      </c>
      <c r="K2152" s="63" t="s">
        <v>763</v>
      </c>
      <c r="L2152" s="63" t="s">
        <v>5517</v>
      </c>
      <c r="M2152" s="63" t="s">
        <v>5518</v>
      </c>
      <c r="N2152" s="63" t="s">
        <v>1719</v>
      </c>
    </row>
    <row r="2153" spans="1:14" x14ac:dyDescent="0.2">
      <c r="A2153" s="51">
        <v>2152</v>
      </c>
      <c r="B2153" s="54" t="s">
        <v>763</v>
      </c>
      <c r="C2153" s="47" t="s">
        <v>5559</v>
      </c>
      <c r="D2153" s="47" t="s">
        <v>5560</v>
      </c>
      <c r="E2153" s="48" t="s">
        <v>1719</v>
      </c>
      <c r="F2153" s="66" t="b">
        <v>0</v>
      </c>
      <c r="G2153" s="54" t="b">
        <v>1</v>
      </c>
      <c r="H2153" s="54" t="b">
        <v>1</v>
      </c>
      <c r="I2153" s="54" t="b">
        <v>1</v>
      </c>
      <c r="J2153" s="54" t="b">
        <v>1</v>
      </c>
      <c r="K2153" s="63" t="s">
        <v>763</v>
      </c>
      <c r="L2153" s="63" t="s">
        <v>5559</v>
      </c>
      <c r="M2153" s="63" t="s">
        <v>5560</v>
      </c>
      <c r="N2153" s="63" t="s">
        <v>1719</v>
      </c>
    </row>
    <row r="2154" spans="1:14" x14ac:dyDescent="0.2">
      <c r="A2154" s="51">
        <v>2153</v>
      </c>
      <c r="B2154" s="54" t="s">
        <v>763</v>
      </c>
      <c r="C2154" s="47" t="s">
        <v>5557</v>
      </c>
      <c r="D2154" s="47" t="s">
        <v>5558</v>
      </c>
      <c r="E2154" s="48" t="s">
        <v>1719</v>
      </c>
      <c r="F2154" s="66" t="b">
        <v>0</v>
      </c>
      <c r="G2154" s="54" t="b">
        <v>1</v>
      </c>
      <c r="H2154" s="54" t="b">
        <v>1</v>
      </c>
      <c r="I2154" s="54" t="b">
        <v>1</v>
      </c>
      <c r="J2154" s="54" t="b">
        <v>1</v>
      </c>
      <c r="K2154" s="63" t="s">
        <v>763</v>
      </c>
      <c r="L2154" s="63" t="s">
        <v>5557</v>
      </c>
      <c r="M2154" s="63" t="s">
        <v>5558</v>
      </c>
      <c r="N2154" s="63" t="s">
        <v>1719</v>
      </c>
    </row>
    <row r="2155" spans="1:14" x14ac:dyDescent="0.2">
      <c r="A2155" s="51">
        <v>2154</v>
      </c>
      <c r="B2155" s="54" t="s">
        <v>763</v>
      </c>
      <c r="C2155" s="47" t="s">
        <v>5563</v>
      </c>
      <c r="D2155" s="47" t="s">
        <v>5564</v>
      </c>
      <c r="E2155" s="48" t="s">
        <v>1719</v>
      </c>
      <c r="F2155" s="66" t="b">
        <v>0</v>
      </c>
      <c r="G2155" s="54" t="b">
        <v>1</v>
      </c>
      <c r="H2155" s="54" t="b">
        <v>1</v>
      </c>
      <c r="I2155" s="54" t="b">
        <v>1</v>
      </c>
      <c r="J2155" s="54" t="b">
        <v>1</v>
      </c>
      <c r="K2155" s="63" t="s">
        <v>763</v>
      </c>
      <c r="L2155" s="63" t="s">
        <v>5563</v>
      </c>
      <c r="M2155" s="63" t="s">
        <v>5564</v>
      </c>
      <c r="N2155" s="63" t="s">
        <v>1719</v>
      </c>
    </row>
    <row r="2156" spans="1:14" x14ac:dyDescent="0.2">
      <c r="A2156" s="51">
        <v>2155</v>
      </c>
      <c r="B2156" s="54" t="s">
        <v>763</v>
      </c>
      <c r="C2156" s="47" t="s">
        <v>5565</v>
      </c>
      <c r="D2156" s="47" t="s">
        <v>5566</v>
      </c>
      <c r="E2156" s="48" t="s">
        <v>1719</v>
      </c>
      <c r="F2156" s="66" t="b">
        <v>0</v>
      </c>
      <c r="G2156" s="54" t="b">
        <v>1</v>
      </c>
      <c r="H2156" s="54" t="b">
        <v>1</v>
      </c>
      <c r="I2156" s="54" t="b">
        <v>1</v>
      </c>
      <c r="J2156" s="54" t="b">
        <v>1</v>
      </c>
      <c r="K2156" s="63" t="s">
        <v>763</v>
      </c>
      <c r="L2156" s="63" t="s">
        <v>5565</v>
      </c>
      <c r="M2156" s="63" t="s">
        <v>5566</v>
      </c>
      <c r="N2156" s="63" t="s">
        <v>1719</v>
      </c>
    </row>
    <row r="2157" spans="1:14" x14ac:dyDescent="0.2">
      <c r="A2157" s="51">
        <v>2156</v>
      </c>
      <c r="B2157" s="54" t="s">
        <v>763</v>
      </c>
      <c r="C2157" s="47" t="s">
        <v>5553</v>
      </c>
      <c r="D2157" s="47" t="s">
        <v>5554</v>
      </c>
      <c r="E2157" s="48" t="s">
        <v>1719</v>
      </c>
      <c r="F2157" s="66" t="b">
        <v>0</v>
      </c>
      <c r="G2157" s="54" t="b">
        <v>1</v>
      </c>
      <c r="H2157" s="54" t="b">
        <v>1</v>
      </c>
      <c r="I2157" s="54" t="b">
        <v>1</v>
      </c>
      <c r="J2157" s="54" t="b">
        <v>1</v>
      </c>
      <c r="K2157" s="63" t="s">
        <v>763</v>
      </c>
      <c r="L2157" s="63" t="s">
        <v>5553</v>
      </c>
      <c r="M2157" s="63" t="s">
        <v>5554</v>
      </c>
      <c r="N2157" s="63" t="s">
        <v>1719</v>
      </c>
    </row>
    <row r="2158" spans="1:14" x14ac:dyDescent="0.2">
      <c r="A2158" s="51">
        <v>2157</v>
      </c>
      <c r="B2158" s="54" t="s">
        <v>763</v>
      </c>
      <c r="C2158" s="47" t="s">
        <v>5569</v>
      </c>
      <c r="D2158" s="47" t="s">
        <v>5570</v>
      </c>
      <c r="E2158" s="48" t="s">
        <v>1719</v>
      </c>
      <c r="F2158" s="66" t="b">
        <v>0</v>
      </c>
      <c r="G2158" s="54" t="b">
        <v>1</v>
      </c>
      <c r="H2158" s="54" t="b">
        <v>1</v>
      </c>
      <c r="I2158" s="54" t="b">
        <v>1</v>
      </c>
      <c r="J2158" s="54" t="b">
        <v>1</v>
      </c>
      <c r="K2158" s="63" t="s">
        <v>763</v>
      </c>
      <c r="L2158" s="63" t="s">
        <v>5569</v>
      </c>
      <c r="M2158" s="63" t="s">
        <v>5570</v>
      </c>
      <c r="N2158" s="63" t="s">
        <v>1719</v>
      </c>
    </row>
    <row r="2159" spans="1:14" x14ac:dyDescent="0.2">
      <c r="A2159" s="51">
        <v>2158</v>
      </c>
      <c r="B2159" s="54" t="s">
        <v>763</v>
      </c>
      <c r="C2159" s="47" t="s">
        <v>5591</v>
      </c>
      <c r="D2159" s="47" t="s">
        <v>5592</v>
      </c>
      <c r="E2159" s="48" t="s">
        <v>1719</v>
      </c>
      <c r="F2159" s="66" t="b">
        <v>0</v>
      </c>
      <c r="G2159" s="54" t="b">
        <v>1</v>
      </c>
      <c r="H2159" s="54" t="b">
        <v>1</v>
      </c>
      <c r="I2159" s="54" t="b">
        <v>1</v>
      </c>
      <c r="J2159" s="54" t="b">
        <v>1</v>
      </c>
      <c r="K2159" s="63" t="s">
        <v>763</v>
      </c>
      <c r="L2159" s="63" t="s">
        <v>5591</v>
      </c>
      <c r="M2159" s="63" t="s">
        <v>5592</v>
      </c>
      <c r="N2159" s="63" t="s">
        <v>1719</v>
      </c>
    </row>
    <row r="2160" spans="1:14" x14ac:dyDescent="0.2">
      <c r="A2160" s="51">
        <v>2159</v>
      </c>
      <c r="B2160" s="54" t="s">
        <v>763</v>
      </c>
      <c r="C2160" s="47" t="s">
        <v>5571</v>
      </c>
      <c r="D2160" s="47" t="s">
        <v>5572</v>
      </c>
      <c r="E2160" s="48" t="s">
        <v>1719</v>
      </c>
      <c r="F2160" s="66" t="b">
        <v>0</v>
      </c>
      <c r="G2160" s="54" t="b">
        <v>1</v>
      </c>
      <c r="H2160" s="54" t="b">
        <v>1</v>
      </c>
      <c r="I2160" s="54" t="b">
        <v>1</v>
      </c>
      <c r="J2160" s="54" t="b">
        <v>1</v>
      </c>
      <c r="K2160" s="63" t="s">
        <v>763</v>
      </c>
      <c r="L2160" s="63" t="s">
        <v>5571</v>
      </c>
      <c r="M2160" s="63" t="s">
        <v>5572</v>
      </c>
      <c r="N2160" s="63" t="s">
        <v>1719</v>
      </c>
    </row>
    <row r="2161" spans="1:14" x14ac:dyDescent="0.2">
      <c r="A2161" s="51">
        <v>2160</v>
      </c>
      <c r="B2161" s="54" t="s">
        <v>763</v>
      </c>
      <c r="C2161" s="47" t="s">
        <v>5583</v>
      </c>
      <c r="D2161" s="47" t="s">
        <v>5584</v>
      </c>
      <c r="E2161" s="48" t="s">
        <v>1719</v>
      </c>
      <c r="F2161" s="66" t="b">
        <v>0</v>
      </c>
      <c r="G2161" s="54" t="b">
        <v>1</v>
      </c>
      <c r="H2161" s="54" t="b">
        <v>1</v>
      </c>
      <c r="I2161" s="54" t="b">
        <v>1</v>
      </c>
      <c r="J2161" s="54" t="b">
        <v>1</v>
      </c>
      <c r="K2161" s="63" t="s">
        <v>763</v>
      </c>
      <c r="L2161" s="63" t="s">
        <v>5583</v>
      </c>
      <c r="M2161" s="63" t="s">
        <v>5584</v>
      </c>
      <c r="N2161" s="63" t="s">
        <v>1719</v>
      </c>
    </row>
    <row r="2162" spans="1:14" x14ac:dyDescent="0.2">
      <c r="A2162" s="51">
        <v>2161</v>
      </c>
      <c r="B2162" s="54" t="s">
        <v>763</v>
      </c>
      <c r="C2162" s="47" t="s">
        <v>5585</v>
      </c>
      <c r="D2162" s="47" t="s">
        <v>5586</v>
      </c>
      <c r="E2162" s="48" t="s">
        <v>1719</v>
      </c>
      <c r="F2162" s="66" t="b">
        <v>0</v>
      </c>
      <c r="G2162" s="54" t="b">
        <v>1</v>
      </c>
      <c r="H2162" s="54" t="b">
        <v>1</v>
      </c>
      <c r="I2162" s="54" t="b">
        <v>1</v>
      </c>
      <c r="J2162" s="54" t="b">
        <v>1</v>
      </c>
      <c r="K2162" s="63" t="s">
        <v>763</v>
      </c>
      <c r="L2162" s="63" t="s">
        <v>5585</v>
      </c>
      <c r="M2162" s="63" t="s">
        <v>5586</v>
      </c>
      <c r="N2162" s="63" t="s">
        <v>1719</v>
      </c>
    </row>
    <row r="2163" spans="1:14" x14ac:dyDescent="0.2">
      <c r="A2163" s="51">
        <v>2162</v>
      </c>
      <c r="B2163" s="54" t="s">
        <v>763</v>
      </c>
      <c r="C2163" s="47" t="s">
        <v>5573</v>
      </c>
      <c r="D2163" s="47" t="s">
        <v>5574</v>
      </c>
      <c r="E2163" s="48" t="s">
        <v>1719</v>
      </c>
      <c r="F2163" s="66" t="b">
        <v>0</v>
      </c>
      <c r="G2163" s="54" t="b">
        <v>1</v>
      </c>
      <c r="H2163" s="54" t="b">
        <v>1</v>
      </c>
      <c r="I2163" s="54" t="b">
        <v>1</v>
      </c>
      <c r="J2163" s="54" t="b">
        <v>1</v>
      </c>
      <c r="K2163" s="63" t="s">
        <v>763</v>
      </c>
      <c r="L2163" s="63" t="s">
        <v>5573</v>
      </c>
      <c r="M2163" s="63" t="s">
        <v>5574</v>
      </c>
      <c r="N2163" s="63" t="s">
        <v>1719</v>
      </c>
    </row>
    <row r="2164" spans="1:14" x14ac:dyDescent="0.2">
      <c r="A2164" s="51">
        <v>2163</v>
      </c>
      <c r="B2164" s="54" t="s">
        <v>763</v>
      </c>
      <c r="C2164" s="47" t="s">
        <v>5587</v>
      </c>
      <c r="D2164" s="47" t="s">
        <v>5588</v>
      </c>
      <c r="E2164" s="48" t="s">
        <v>1719</v>
      </c>
      <c r="F2164" s="66" t="b">
        <v>0</v>
      </c>
      <c r="G2164" s="54" t="b">
        <v>1</v>
      </c>
      <c r="H2164" s="54" t="b">
        <v>1</v>
      </c>
      <c r="I2164" s="54" t="b">
        <v>1</v>
      </c>
      <c r="J2164" s="54" t="b">
        <v>1</v>
      </c>
      <c r="K2164" s="63" t="s">
        <v>763</v>
      </c>
      <c r="L2164" s="63" t="s">
        <v>5587</v>
      </c>
      <c r="M2164" s="63" t="s">
        <v>5588</v>
      </c>
      <c r="N2164" s="63" t="s">
        <v>1719</v>
      </c>
    </row>
    <row r="2165" spans="1:14" x14ac:dyDescent="0.2">
      <c r="A2165" s="51">
        <v>2164</v>
      </c>
      <c r="B2165" s="54" t="s">
        <v>763</v>
      </c>
      <c r="C2165" s="47" t="s">
        <v>5577</v>
      </c>
      <c r="D2165" s="47" t="s">
        <v>5578</v>
      </c>
      <c r="E2165" s="48" t="s">
        <v>1719</v>
      </c>
      <c r="F2165" s="66" t="b">
        <v>0</v>
      </c>
      <c r="G2165" s="54" t="b">
        <v>1</v>
      </c>
      <c r="H2165" s="54" t="b">
        <v>1</v>
      </c>
      <c r="I2165" s="54" t="b">
        <v>1</v>
      </c>
      <c r="J2165" s="54" t="b">
        <v>1</v>
      </c>
      <c r="K2165" s="63" t="s">
        <v>763</v>
      </c>
      <c r="L2165" s="63" t="s">
        <v>5577</v>
      </c>
      <c r="M2165" s="63" t="s">
        <v>5578</v>
      </c>
      <c r="N2165" s="63" t="s">
        <v>1719</v>
      </c>
    </row>
    <row r="2166" spans="1:14" x14ac:dyDescent="0.2">
      <c r="A2166" s="51">
        <v>2165</v>
      </c>
      <c r="B2166" s="54" t="s">
        <v>763</v>
      </c>
      <c r="C2166" s="47" t="s">
        <v>5579</v>
      </c>
      <c r="D2166" s="47" t="s">
        <v>5580</v>
      </c>
      <c r="E2166" s="48" t="s">
        <v>1719</v>
      </c>
      <c r="F2166" s="66" t="b">
        <v>0</v>
      </c>
      <c r="G2166" s="54" t="b">
        <v>1</v>
      </c>
      <c r="H2166" s="54" t="b">
        <v>1</v>
      </c>
      <c r="I2166" s="54" t="b">
        <v>1</v>
      </c>
      <c r="J2166" s="54" t="b">
        <v>1</v>
      </c>
      <c r="K2166" s="63" t="s">
        <v>763</v>
      </c>
      <c r="L2166" s="63" t="s">
        <v>5579</v>
      </c>
      <c r="M2166" s="63" t="s">
        <v>5580</v>
      </c>
      <c r="N2166" s="63" t="s">
        <v>1719</v>
      </c>
    </row>
    <row r="2167" spans="1:14" x14ac:dyDescent="0.2">
      <c r="A2167" s="51">
        <v>2166</v>
      </c>
      <c r="B2167" s="54" t="s">
        <v>763</v>
      </c>
      <c r="C2167" s="47" t="s">
        <v>5593</v>
      </c>
      <c r="D2167" s="47" t="s">
        <v>5594</v>
      </c>
      <c r="E2167" s="48" t="s">
        <v>1719</v>
      </c>
      <c r="F2167" s="66" t="b">
        <v>0</v>
      </c>
      <c r="G2167" s="54" t="b">
        <v>1</v>
      </c>
      <c r="H2167" s="54" t="b">
        <v>1</v>
      </c>
      <c r="I2167" s="54" t="b">
        <v>1</v>
      </c>
      <c r="J2167" s="54" t="b">
        <v>1</v>
      </c>
      <c r="K2167" s="63" t="s">
        <v>763</v>
      </c>
      <c r="L2167" s="63" t="s">
        <v>5593</v>
      </c>
      <c r="M2167" s="63" t="s">
        <v>5594</v>
      </c>
      <c r="N2167" s="63" t="s">
        <v>1719</v>
      </c>
    </row>
    <row r="2168" spans="1:14" x14ac:dyDescent="0.2">
      <c r="A2168" s="51">
        <v>2167</v>
      </c>
      <c r="B2168" s="54" t="s">
        <v>763</v>
      </c>
      <c r="C2168" s="47" t="s">
        <v>5595</v>
      </c>
      <c r="D2168" s="47" t="s">
        <v>5596</v>
      </c>
      <c r="E2168" s="48" t="s">
        <v>1719</v>
      </c>
      <c r="F2168" s="66" t="b">
        <v>0</v>
      </c>
      <c r="G2168" s="54" t="b">
        <v>1</v>
      </c>
      <c r="H2168" s="54" t="b">
        <v>1</v>
      </c>
      <c r="I2168" s="54" t="b">
        <v>1</v>
      </c>
      <c r="J2168" s="54" t="b">
        <v>1</v>
      </c>
      <c r="K2168" s="63" t="s">
        <v>763</v>
      </c>
      <c r="L2168" s="63" t="s">
        <v>5595</v>
      </c>
      <c r="M2168" s="63" t="s">
        <v>5596</v>
      </c>
      <c r="N2168" s="63" t="s">
        <v>1719</v>
      </c>
    </row>
    <row r="2169" spans="1:14" x14ac:dyDescent="0.2">
      <c r="A2169" s="51">
        <v>2168</v>
      </c>
      <c r="B2169" s="54" t="s">
        <v>763</v>
      </c>
      <c r="C2169" s="47" t="s">
        <v>5597</v>
      </c>
      <c r="D2169" s="47" t="s">
        <v>5598</v>
      </c>
      <c r="E2169" s="48" t="s">
        <v>1719</v>
      </c>
      <c r="F2169" s="66" t="b">
        <v>0</v>
      </c>
      <c r="G2169" s="54" t="b">
        <v>1</v>
      </c>
      <c r="H2169" s="54" t="b">
        <v>1</v>
      </c>
      <c r="I2169" s="54" t="b">
        <v>1</v>
      </c>
      <c r="J2169" s="54" t="b">
        <v>1</v>
      </c>
      <c r="K2169" s="63" t="s">
        <v>763</v>
      </c>
      <c r="L2169" s="63" t="s">
        <v>5597</v>
      </c>
      <c r="M2169" s="63" t="s">
        <v>5598</v>
      </c>
      <c r="N2169" s="63" t="s">
        <v>1719</v>
      </c>
    </row>
    <row r="2170" spans="1:14" x14ac:dyDescent="0.2">
      <c r="A2170" s="51">
        <v>2169</v>
      </c>
      <c r="B2170" s="54" t="s">
        <v>763</v>
      </c>
      <c r="C2170" s="47" t="s">
        <v>5599</v>
      </c>
      <c r="D2170" s="47" t="s">
        <v>5600</v>
      </c>
      <c r="E2170" s="48" t="s">
        <v>1719</v>
      </c>
      <c r="F2170" s="66" t="b">
        <v>0</v>
      </c>
      <c r="G2170" s="54" t="b">
        <v>1</v>
      </c>
      <c r="H2170" s="54" t="b">
        <v>1</v>
      </c>
      <c r="I2170" s="54" t="b">
        <v>1</v>
      </c>
      <c r="J2170" s="54" t="b">
        <v>1</v>
      </c>
      <c r="K2170" s="63" t="s">
        <v>763</v>
      </c>
      <c r="L2170" s="63" t="s">
        <v>5599</v>
      </c>
      <c r="M2170" s="63" t="s">
        <v>5600</v>
      </c>
      <c r="N2170" s="63" t="s">
        <v>1719</v>
      </c>
    </row>
    <row r="2171" spans="1:14" x14ac:dyDescent="0.2">
      <c r="A2171" s="51">
        <v>2170</v>
      </c>
      <c r="B2171" s="54" t="s">
        <v>763</v>
      </c>
      <c r="C2171" s="47" t="s">
        <v>5603</v>
      </c>
      <c r="D2171" s="47" t="s">
        <v>5604</v>
      </c>
      <c r="E2171" s="48" t="s">
        <v>1719</v>
      </c>
      <c r="F2171" s="66" t="b">
        <v>0</v>
      </c>
      <c r="G2171" s="54" t="b">
        <v>1</v>
      </c>
      <c r="H2171" s="54" t="b">
        <v>1</v>
      </c>
      <c r="I2171" s="54" t="b">
        <v>1</v>
      </c>
      <c r="J2171" s="54" t="b">
        <v>1</v>
      </c>
      <c r="K2171" s="63" t="s">
        <v>763</v>
      </c>
      <c r="L2171" s="63" t="s">
        <v>5603</v>
      </c>
      <c r="M2171" s="63" t="s">
        <v>5604</v>
      </c>
      <c r="N2171" s="63" t="s">
        <v>1719</v>
      </c>
    </row>
    <row r="2172" spans="1:14" x14ac:dyDescent="0.2">
      <c r="A2172" s="51">
        <v>2171</v>
      </c>
      <c r="B2172" s="54" t="s">
        <v>763</v>
      </c>
      <c r="C2172" s="47" t="s">
        <v>5601</v>
      </c>
      <c r="D2172" s="47" t="s">
        <v>5602</v>
      </c>
      <c r="E2172" s="48" t="s">
        <v>1719</v>
      </c>
      <c r="F2172" s="66" t="b">
        <v>0</v>
      </c>
      <c r="G2172" s="54" t="b">
        <v>1</v>
      </c>
      <c r="H2172" s="54" t="b">
        <v>1</v>
      </c>
      <c r="I2172" s="54" t="b">
        <v>1</v>
      </c>
      <c r="J2172" s="54" t="b">
        <v>1</v>
      </c>
      <c r="K2172" s="63" t="s">
        <v>763</v>
      </c>
      <c r="L2172" s="63" t="s">
        <v>5601</v>
      </c>
      <c r="M2172" s="63" t="s">
        <v>5602</v>
      </c>
      <c r="N2172" s="63" t="s">
        <v>1719</v>
      </c>
    </row>
    <row r="2173" spans="1:14" x14ac:dyDescent="0.2">
      <c r="A2173" s="51">
        <v>2172</v>
      </c>
      <c r="B2173" s="54" t="s">
        <v>763</v>
      </c>
      <c r="C2173" s="47" t="s">
        <v>5607</v>
      </c>
      <c r="D2173" s="47" t="s">
        <v>5608</v>
      </c>
      <c r="E2173" s="48" t="s">
        <v>1719</v>
      </c>
      <c r="F2173" s="66" t="b">
        <v>0</v>
      </c>
      <c r="G2173" s="54" t="b">
        <v>1</v>
      </c>
      <c r="H2173" s="54" t="b">
        <v>1</v>
      </c>
      <c r="I2173" s="54" t="b">
        <v>1</v>
      </c>
      <c r="J2173" s="54" t="b">
        <v>1</v>
      </c>
      <c r="K2173" s="63" t="s">
        <v>763</v>
      </c>
      <c r="L2173" s="63" t="s">
        <v>5607</v>
      </c>
      <c r="M2173" s="63" t="s">
        <v>5608</v>
      </c>
      <c r="N2173" s="63" t="s">
        <v>1719</v>
      </c>
    </row>
    <row r="2174" spans="1:14" x14ac:dyDescent="0.2">
      <c r="A2174" s="51">
        <v>2173</v>
      </c>
      <c r="B2174" s="54" t="s">
        <v>763</v>
      </c>
      <c r="C2174" s="47" t="s">
        <v>5619</v>
      </c>
      <c r="D2174" s="47" t="s">
        <v>5620</v>
      </c>
      <c r="E2174" s="48" t="s">
        <v>1719</v>
      </c>
      <c r="F2174" s="66" t="b">
        <v>0</v>
      </c>
      <c r="G2174" s="54" t="b">
        <v>1</v>
      </c>
      <c r="H2174" s="54" t="b">
        <v>1</v>
      </c>
      <c r="I2174" s="54" t="b">
        <v>1</v>
      </c>
      <c r="J2174" s="54" t="b">
        <v>1</v>
      </c>
      <c r="K2174" s="63" t="s">
        <v>763</v>
      </c>
      <c r="L2174" s="63" t="s">
        <v>5619</v>
      </c>
      <c r="M2174" s="63" t="s">
        <v>5620</v>
      </c>
      <c r="N2174" s="63" t="s">
        <v>1719</v>
      </c>
    </row>
    <row r="2175" spans="1:14" x14ac:dyDescent="0.2">
      <c r="A2175" s="51">
        <v>2174</v>
      </c>
      <c r="B2175" s="54" t="s">
        <v>763</v>
      </c>
      <c r="C2175" s="47" t="s">
        <v>5605</v>
      </c>
      <c r="D2175" s="47" t="s">
        <v>5606</v>
      </c>
      <c r="E2175" s="48" t="s">
        <v>1719</v>
      </c>
      <c r="F2175" s="66" t="b">
        <v>0</v>
      </c>
      <c r="G2175" s="54" t="b">
        <v>1</v>
      </c>
      <c r="H2175" s="54" t="b">
        <v>1</v>
      </c>
      <c r="I2175" s="54" t="b">
        <v>1</v>
      </c>
      <c r="J2175" s="54" t="b">
        <v>1</v>
      </c>
      <c r="K2175" s="63" t="s">
        <v>763</v>
      </c>
      <c r="L2175" s="63" t="s">
        <v>5605</v>
      </c>
      <c r="M2175" s="63" t="s">
        <v>5606</v>
      </c>
      <c r="N2175" s="63" t="s">
        <v>1719</v>
      </c>
    </row>
    <row r="2176" spans="1:14" x14ac:dyDescent="0.2">
      <c r="A2176" s="51">
        <v>2175</v>
      </c>
      <c r="B2176" s="54" t="s">
        <v>763</v>
      </c>
      <c r="C2176" s="47" t="s">
        <v>5617</v>
      </c>
      <c r="D2176" s="47" t="s">
        <v>5618</v>
      </c>
      <c r="E2176" s="48" t="s">
        <v>1719</v>
      </c>
      <c r="F2176" s="66" t="b">
        <v>0</v>
      </c>
      <c r="G2176" s="54" t="b">
        <v>1</v>
      </c>
      <c r="H2176" s="54" t="b">
        <v>1</v>
      </c>
      <c r="I2176" s="54" t="b">
        <v>1</v>
      </c>
      <c r="J2176" s="54" t="b">
        <v>1</v>
      </c>
      <c r="K2176" s="63" t="s">
        <v>763</v>
      </c>
      <c r="L2176" s="63" t="s">
        <v>5617</v>
      </c>
      <c r="M2176" s="63" t="s">
        <v>5618</v>
      </c>
      <c r="N2176" s="63" t="s">
        <v>1719</v>
      </c>
    </row>
    <row r="2177" spans="1:14" x14ac:dyDescent="0.2">
      <c r="A2177" s="51">
        <v>2176</v>
      </c>
      <c r="B2177" s="54" t="s">
        <v>763</v>
      </c>
      <c r="C2177" s="47" t="s">
        <v>5613</v>
      </c>
      <c r="D2177" s="47" t="s">
        <v>5614</v>
      </c>
      <c r="E2177" s="48" t="s">
        <v>1719</v>
      </c>
      <c r="F2177" s="66" t="b">
        <v>0</v>
      </c>
      <c r="G2177" s="54" t="b">
        <v>1</v>
      </c>
      <c r="H2177" s="54" t="b">
        <v>1</v>
      </c>
      <c r="I2177" s="54" t="b">
        <v>1</v>
      </c>
      <c r="J2177" s="54" t="b">
        <v>1</v>
      </c>
      <c r="K2177" s="63" t="s">
        <v>763</v>
      </c>
      <c r="L2177" s="63" t="s">
        <v>5613</v>
      </c>
      <c r="M2177" s="63" t="s">
        <v>5614</v>
      </c>
      <c r="N2177" s="63" t="s">
        <v>1719</v>
      </c>
    </row>
    <row r="2178" spans="1:14" x14ac:dyDescent="0.2">
      <c r="A2178" s="51">
        <v>2177</v>
      </c>
      <c r="B2178" s="54" t="s">
        <v>763</v>
      </c>
      <c r="C2178" s="47" t="s">
        <v>5623</v>
      </c>
      <c r="D2178" s="47" t="s">
        <v>5624</v>
      </c>
      <c r="E2178" s="48" t="s">
        <v>1719</v>
      </c>
      <c r="F2178" s="66" t="b">
        <v>0</v>
      </c>
      <c r="G2178" s="54" t="b">
        <v>1</v>
      </c>
      <c r="H2178" s="54" t="b">
        <v>1</v>
      </c>
      <c r="I2178" s="54" t="b">
        <v>1</v>
      </c>
      <c r="J2178" s="54" t="b">
        <v>1</v>
      </c>
      <c r="K2178" s="63" t="s">
        <v>763</v>
      </c>
      <c r="L2178" s="63" t="s">
        <v>5623</v>
      </c>
      <c r="M2178" s="63" t="s">
        <v>5624</v>
      </c>
      <c r="N2178" s="63" t="s">
        <v>1719</v>
      </c>
    </row>
    <row r="2179" spans="1:14" x14ac:dyDescent="0.2">
      <c r="A2179" s="51">
        <v>2178</v>
      </c>
      <c r="B2179" s="54" t="s">
        <v>763</v>
      </c>
      <c r="C2179" s="47" t="s">
        <v>5627</v>
      </c>
      <c r="D2179" s="47" t="s">
        <v>5628</v>
      </c>
      <c r="E2179" s="48" t="s">
        <v>1719</v>
      </c>
      <c r="F2179" s="66" t="b">
        <v>0</v>
      </c>
      <c r="G2179" s="54" t="b">
        <v>1</v>
      </c>
      <c r="H2179" s="54" t="b">
        <v>1</v>
      </c>
      <c r="I2179" s="54" t="b">
        <v>1</v>
      </c>
      <c r="J2179" s="54" t="b">
        <v>1</v>
      </c>
      <c r="K2179" s="63" t="s">
        <v>763</v>
      </c>
      <c r="L2179" s="63" t="s">
        <v>5627</v>
      </c>
      <c r="M2179" s="63" t="s">
        <v>5628</v>
      </c>
      <c r="N2179" s="63" t="s">
        <v>1719</v>
      </c>
    </row>
    <row r="2180" spans="1:14" x14ac:dyDescent="0.2">
      <c r="A2180" s="51">
        <v>2179</v>
      </c>
      <c r="B2180" s="54" t="s">
        <v>763</v>
      </c>
      <c r="C2180" s="47" t="s">
        <v>5631</v>
      </c>
      <c r="D2180" s="47" t="s">
        <v>5632</v>
      </c>
      <c r="E2180" s="48" t="s">
        <v>1719</v>
      </c>
      <c r="F2180" s="66" t="b">
        <v>0</v>
      </c>
      <c r="G2180" s="54" t="b">
        <v>1</v>
      </c>
      <c r="H2180" s="54" t="b">
        <v>1</v>
      </c>
      <c r="I2180" s="54" t="b">
        <v>1</v>
      </c>
      <c r="J2180" s="54" t="b">
        <v>1</v>
      </c>
      <c r="K2180" s="63" t="s">
        <v>763</v>
      </c>
      <c r="L2180" s="63" t="s">
        <v>5631</v>
      </c>
      <c r="M2180" s="63" t="s">
        <v>5632</v>
      </c>
      <c r="N2180" s="63" t="s">
        <v>1719</v>
      </c>
    </row>
    <row r="2181" spans="1:14" x14ac:dyDescent="0.2">
      <c r="A2181" s="51">
        <v>2180</v>
      </c>
      <c r="B2181" s="54" t="s">
        <v>763</v>
      </c>
      <c r="C2181" s="47" t="s">
        <v>5609</v>
      </c>
      <c r="D2181" s="47" t="s">
        <v>5610</v>
      </c>
      <c r="E2181" s="48" t="s">
        <v>1719</v>
      </c>
      <c r="F2181" s="66" t="b">
        <v>0</v>
      </c>
      <c r="G2181" s="54" t="b">
        <v>1</v>
      </c>
      <c r="H2181" s="54" t="b">
        <v>1</v>
      </c>
      <c r="I2181" s="54" t="b">
        <v>1</v>
      </c>
      <c r="J2181" s="54" t="b">
        <v>1</v>
      </c>
      <c r="K2181" s="63" t="s">
        <v>763</v>
      </c>
      <c r="L2181" s="63" t="s">
        <v>5609</v>
      </c>
      <c r="M2181" s="63" t="s">
        <v>5610</v>
      </c>
      <c r="N2181" s="63" t="s">
        <v>1719</v>
      </c>
    </row>
    <row r="2182" spans="1:14" x14ac:dyDescent="0.2">
      <c r="A2182" s="51">
        <v>2181</v>
      </c>
      <c r="B2182" s="54" t="s">
        <v>763</v>
      </c>
      <c r="C2182" s="47" t="s">
        <v>5625</v>
      </c>
      <c r="D2182" s="47" t="s">
        <v>5626</v>
      </c>
      <c r="E2182" s="48" t="s">
        <v>1719</v>
      </c>
      <c r="F2182" s="66" t="b">
        <v>0</v>
      </c>
      <c r="G2182" s="54" t="b">
        <v>1</v>
      </c>
      <c r="H2182" s="54" t="b">
        <v>1</v>
      </c>
      <c r="I2182" s="54" t="b">
        <v>1</v>
      </c>
      <c r="J2182" s="54" t="b">
        <v>1</v>
      </c>
      <c r="K2182" s="63" t="s">
        <v>763</v>
      </c>
      <c r="L2182" s="63" t="s">
        <v>5625</v>
      </c>
      <c r="M2182" s="63" t="s">
        <v>5626</v>
      </c>
      <c r="N2182" s="63" t="s">
        <v>1719</v>
      </c>
    </row>
    <row r="2183" spans="1:14" x14ac:dyDescent="0.2">
      <c r="A2183" s="51">
        <v>2182</v>
      </c>
      <c r="B2183" s="54" t="s">
        <v>763</v>
      </c>
      <c r="C2183" s="47" t="s">
        <v>5615</v>
      </c>
      <c r="D2183" s="47" t="s">
        <v>5616</v>
      </c>
      <c r="E2183" s="48" t="s">
        <v>1719</v>
      </c>
      <c r="F2183" s="66" t="b">
        <v>0</v>
      </c>
      <c r="G2183" s="54" t="b">
        <v>1</v>
      </c>
      <c r="H2183" s="54" t="b">
        <v>1</v>
      </c>
      <c r="I2183" s="54" t="b">
        <v>1</v>
      </c>
      <c r="J2183" s="54" t="b">
        <v>1</v>
      </c>
      <c r="K2183" s="63" t="s">
        <v>763</v>
      </c>
      <c r="L2183" s="63" t="s">
        <v>5615</v>
      </c>
      <c r="M2183" s="63" t="s">
        <v>5616</v>
      </c>
      <c r="N2183" s="63" t="s">
        <v>1719</v>
      </c>
    </row>
    <row r="2184" spans="1:14" x14ac:dyDescent="0.2">
      <c r="A2184" s="51">
        <v>2183</v>
      </c>
      <c r="B2184" s="54" t="s">
        <v>763</v>
      </c>
      <c r="C2184" s="47" t="s">
        <v>5611</v>
      </c>
      <c r="D2184" s="47" t="s">
        <v>5612</v>
      </c>
      <c r="E2184" s="48" t="s">
        <v>1719</v>
      </c>
      <c r="F2184" s="66" t="b">
        <v>0</v>
      </c>
      <c r="G2184" s="54" t="b">
        <v>1</v>
      </c>
      <c r="H2184" s="54" t="b">
        <v>1</v>
      </c>
      <c r="I2184" s="54" t="b">
        <v>1</v>
      </c>
      <c r="J2184" s="54" t="b">
        <v>1</v>
      </c>
      <c r="K2184" s="63" t="s">
        <v>763</v>
      </c>
      <c r="L2184" s="63" t="s">
        <v>5611</v>
      </c>
      <c r="M2184" s="63" t="s">
        <v>5612</v>
      </c>
      <c r="N2184" s="63" t="s">
        <v>1719</v>
      </c>
    </row>
    <row r="2185" spans="1:14" x14ac:dyDescent="0.2">
      <c r="A2185" s="51">
        <v>2184</v>
      </c>
      <c r="B2185" s="54" t="s">
        <v>763</v>
      </c>
      <c r="C2185" s="47" t="s">
        <v>5629</v>
      </c>
      <c r="D2185" s="47" t="s">
        <v>5630</v>
      </c>
      <c r="E2185" s="48" t="s">
        <v>1719</v>
      </c>
      <c r="F2185" s="66" t="b">
        <v>0</v>
      </c>
      <c r="G2185" s="54" t="b">
        <v>1</v>
      </c>
      <c r="H2185" s="54" t="b">
        <v>1</v>
      </c>
      <c r="I2185" s="54" t="b">
        <v>1</v>
      </c>
      <c r="J2185" s="54" t="b">
        <v>1</v>
      </c>
      <c r="K2185" s="63" t="s">
        <v>763</v>
      </c>
      <c r="L2185" s="63" t="s">
        <v>5629</v>
      </c>
      <c r="M2185" s="63" t="s">
        <v>5630</v>
      </c>
      <c r="N2185" s="63" t="s">
        <v>1719</v>
      </c>
    </row>
    <row r="2186" spans="1:14" x14ac:dyDescent="0.2">
      <c r="A2186" s="51">
        <v>2185</v>
      </c>
      <c r="B2186" s="54" t="s">
        <v>763</v>
      </c>
      <c r="C2186" s="47" t="s">
        <v>5637</v>
      </c>
      <c r="D2186" s="47" t="s">
        <v>5638</v>
      </c>
      <c r="E2186" s="48" t="s">
        <v>1719</v>
      </c>
      <c r="F2186" s="66" t="b">
        <v>0</v>
      </c>
      <c r="G2186" s="54" t="b">
        <v>1</v>
      </c>
      <c r="H2186" s="54" t="b">
        <v>1</v>
      </c>
      <c r="I2186" s="54" t="b">
        <v>1</v>
      </c>
      <c r="J2186" s="54" t="b">
        <v>1</v>
      </c>
      <c r="K2186" s="63" t="s">
        <v>763</v>
      </c>
      <c r="L2186" s="63" t="s">
        <v>5637</v>
      </c>
      <c r="M2186" s="63" t="s">
        <v>5638</v>
      </c>
      <c r="N2186" s="63" t="s">
        <v>1719</v>
      </c>
    </row>
    <row r="2187" spans="1:14" x14ac:dyDescent="0.2">
      <c r="A2187" s="51">
        <v>2186</v>
      </c>
      <c r="B2187" s="54" t="s">
        <v>763</v>
      </c>
      <c r="C2187" s="47" t="s">
        <v>5639</v>
      </c>
      <c r="D2187" s="47" t="s">
        <v>12522</v>
      </c>
      <c r="E2187" s="48" t="s">
        <v>1719</v>
      </c>
      <c r="F2187" s="66" t="b">
        <v>0</v>
      </c>
      <c r="G2187" s="54" t="b">
        <v>1</v>
      </c>
      <c r="H2187" s="54" t="b">
        <v>1</v>
      </c>
      <c r="I2187" s="65" t="b">
        <v>0</v>
      </c>
      <c r="J2187" s="54" t="b">
        <v>1</v>
      </c>
      <c r="K2187" s="63" t="s">
        <v>763</v>
      </c>
      <c r="L2187" s="63" t="s">
        <v>5639</v>
      </c>
      <c r="M2187" s="63" t="s">
        <v>5640</v>
      </c>
      <c r="N2187" s="63" t="s">
        <v>1719</v>
      </c>
    </row>
    <row r="2188" spans="1:14" x14ac:dyDescent="0.2">
      <c r="A2188" s="51">
        <v>2187</v>
      </c>
      <c r="B2188" s="54" t="s">
        <v>763</v>
      </c>
      <c r="C2188" s="47" t="s">
        <v>5641</v>
      </c>
      <c r="D2188" s="47" t="s">
        <v>5642</v>
      </c>
      <c r="E2188" s="48" t="s">
        <v>1719</v>
      </c>
      <c r="F2188" s="66" t="b">
        <v>0</v>
      </c>
      <c r="G2188" s="54" t="b">
        <v>1</v>
      </c>
      <c r="H2188" s="54" t="b">
        <v>1</v>
      </c>
      <c r="I2188" s="54" t="b">
        <v>1</v>
      </c>
      <c r="J2188" s="54" t="b">
        <v>1</v>
      </c>
      <c r="K2188" s="63" t="s">
        <v>763</v>
      </c>
      <c r="L2188" s="63" t="s">
        <v>5641</v>
      </c>
      <c r="M2188" s="63" t="s">
        <v>5642</v>
      </c>
      <c r="N2188" s="63" t="s">
        <v>1719</v>
      </c>
    </row>
    <row r="2189" spans="1:14" x14ac:dyDescent="0.2">
      <c r="A2189" s="51">
        <v>2188</v>
      </c>
      <c r="B2189" s="54" t="s">
        <v>763</v>
      </c>
      <c r="C2189" s="47" t="s">
        <v>5635</v>
      </c>
      <c r="D2189" s="47" t="s">
        <v>5636</v>
      </c>
      <c r="E2189" s="48" t="s">
        <v>1719</v>
      </c>
      <c r="F2189" s="66" t="b">
        <v>0</v>
      </c>
      <c r="G2189" s="54" t="b">
        <v>1</v>
      </c>
      <c r="H2189" s="54" t="b">
        <v>1</v>
      </c>
      <c r="I2189" s="54" t="b">
        <v>1</v>
      </c>
      <c r="J2189" s="54" t="b">
        <v>1</v>
      </c>
      <c r="K2189" s="63" t="s">
        <v>763</v>
      </c>
      <c r="L2189" s="63" t="s">
        <v>5635</v>
      </c>
      <c r="M2189" s="63" t="s">
        <v>5636</v>
      </c>
      <c r="N2189" s="63" t="s">
        <v>1719</v>
      </c>
    </row>
    <row r="2190" spans="1:14" x14ac:dyDescent="0.2">
      <c r="A2190" s="51">
        <v>2189</v>
      </c>
      <c r="B2190" s="54" t="s">
        <v>763</v>
      </c>
      <c r="C2190" s="47" t="s">
        <v>5643</v>
      </c>
      <c r="D2190" s="47" t="s">
        <v>5644</v>
      </c>
      <c r="E2190" s="48" t="s">
        <v>1719</v>
      </c>
      <c r="F2190" s="66" t="b">
        <v>0</v>
      </c>
      <c r="G2190" s="54" t="b">
        <v>1</v>
      </c>
      <c r="H2190" s="54" t="b">
        <v>1</v>
      </c>
      <c r="I2190" s="54" t="b">
        <v>1</v>
      </c>
      <c r="J2190" s="54" t="b">
        <v>1</v>
      </c>
      <c r="K2190" s="63" t="s">
        <v>763</v>
      </c>
      <c r="L2190" s="63" t="s">
        <v>5643</v>
      </c>
      <c r="M2190" s="63" t="s">
        <v>5644</v>
      </c>
      <c r="N2190" s="63" t="s">
        <v>1719</v>
      </c>
    </row>
    <row r="2191" spans="1:14" x14ac:dyDescent="0.2">
      <c r="A2191" s="51">
        <v>2190</v>
      </c>
      <c r="B2191" s="54" t="s">
        <v>763</v>
      </c>
      <c r="C2191" s="47" t="s">
        <v>5647</v>
      </c>
      <c r="D2191" s="47" t="s">
        <v>5648</v>
      </c>
      <c r="E2191" s="48" t="s">
        <v>1719</v>
      </c>
      <c r="F2191" s="66" t="b">
        <v>0</v>
      </c>
      <c r="G2191" s="54" t="b">
        <v>1</v>
      </c>
      <c r="H2191" s="54" t="b">
        <v>1</v>
      </c>
      <c r="I2191" s="54" t="b">
        <v>1</v>
      </c>
      <c r="J2191" s="54" t="b">
        <v>1</v>
      </c>
      <c r="K2191" s="63" t="s">
        <v>763</v>
      </c>
      <c r="L2191" s="63" t="s">
        <v>5647</v>
      </c>
      <c r="M2191" s="63" t="s">
        <v>5648</v>
      </c>
      <c r="N2191" s="63" t="s">
        <v>1719</v>
      </c>
    </row>
    <row r="2192" spans="1:14" x14ac:dyDescent="0.2">
      <c r="A2192" s="51">
        <v>2191</v>
      </c>
      <c r="B2192" s="54" t="s">
        <v>763</v>
      </c>
      <c r="C2192" s="47" t="s">
        <v>5645</v>
      </c>
      <c r="D2192" s="47" t="s">
        <v>5646</v>
      </c>
      <c r="E2192" s="48" t="s">
        <v>1719</v>
      </c>
      <c r="F2192" s="66" t="b">
        <v>0</v>
      </c>
      <c r="G2192" s="54" t="b">
        <v>1</v>
      </c>
      <c r="H2192" s="54" t="b">
        <v>1</v>
      </c>
      <c r="I2192" s="54" t="b">
        <v>1</v>
      </c>
      <c r="J2192" s="54" t="b">
        <v>1</v>
      </c>
      <c r="K2192" s="63" t="s">
        <v>763</v>
      </c>
      <c r="L2192" s="63" t="s">
        <v>5645</v>
      </c>
      <c r="M2192" s="63" t="s">
        <v>5646</v>
      </c>
      <c r="N2192" s="63" t="s">
        <v>1719</v>
      </c>
    </row>
    <row r="2193" spans="1:14" x14ac:dyDescent="0.2">
      <c r="A2193" s="51">
        <v>2192</v>
      </c>
      <c r="B2193" s="54" t="s">
        <v>763</v>
      </c>
      <c r="C2193" s="47" t="s">
        <v>5649</v>
      </c>
      <c r="D2193" s="47" t="s">
        <v>5650</v>
      </c>
      <c r="E2193" s="48" t="s">
        <v>1719</v>
      </c>
      <c r="F2193" s="66" t="b">
        <v>0</v>
      </c>
      <c r="G2193" s="54" t="b">
        <v>1</v>
      </c>
      <c r="H2193" s="54" t="b">
        <v>1</v>
      </c>
      <c r="I2193" s="54" t="b">
        <v>1</v>
      </c>
      <c r="J2193" s="54" t="b">
        <v>1</v>
      </c>
      <c r="K2193" s="63" t="s">
        <v>763</v>
      </c>
      <c r="L2193" s="63" t="s">
        <v>5649</v>
      </c>
      <c r="M2193" s="63" t="s">
        <v>5650</v>
      </c>
      <c r="N2193" s="63" t="s">
        <v>1719</v>
      </c>
    </row>
    <row r="2194" spans="1:14" x14ac:dyDescent="0.2">
      <c r="A2194" s="51">
        <v>2193</v>
      </c>
      <c r="B2194" s="54" t="s">
        <v>763</v>
      </c>
      <c r="C2194" s="47" t="s">
        <v>5651</v>
      </c>
      <c r="D2194" s="47" t="s">
        <v>5652</v>
      </c>
      <c r="E2194" s="48" t="s">
        <v>1719</v>
      </c>
      <c r="F2194" s="66" t="b">
        <v>0</v>
      </c>
      <c r="G2194" s="54" t="b">
        <v>1</v>
      </c>
      <c r="H2194" s="54" t="b">
        <v>1</v>
      </c>
      <c r="I2194" s="54" t="b">
        <v>1</v>
      </c>
      <c r="J2194" s="54" t="b">
        <v>1</v>
      </c>
      <c r="K2194" s="63" t="s">
        <v>763</v>
      </c>
      <c r="L2194" s="63" t="s">
        <v>5651</v>
      </c>
      <c r="M2194" s="63" t="s">
        <v>5652</v>
      </c>
      <c r="N2194" s="63" t="s">
        <v>1719</v>
      </c>
    </row>
    <row r="2195" spans="1:14" x14ac:dyDescent="0.2">
      <c r="A2195" s="51">
        <v>2194</v>
      </c>
      <c r="B2195" s="54" t="s">
        <v>763</v>
      </c>
      <c r="C2195" s="47" t="s">
        <v>5661</v>
      </c>
      <c r="D2195" s="47" t="s">
        <v>5662</v>
      </c>
      <c r="E2195" s="48" t="s">
        <v>1719</v>
      </c>
      <c r="F2195" s="66" t="b">
        <v>0</v>
      </c>
      <c r="G2195" s="54" t="b">
        <v>1</v>
      </c>
      <c r="H2195" s="54" t="b">
        <v>1</v>
      </c>
      <c r="I2195" s="54" t="b">
        <v>1</v>
      </c>
      <c r="J2195" s="54" t="b">
        <v>1</v>
      </c>
      <c r="K2195" s="63" t="s">
        <v>763</v>
      </c>
      <c r="L2195" s="63" t="s">
        <v>5661</v>
      </c>
      <c r="M2195" s="63" t="s">
        <v>5662</v>
      </c>
      <c r="N2195" s="63" t="s">
        <v>1719</v>
      </c>
    </row>
    <row r="2196" spans="1:14" x14ac:dyDescent="0.2">
      <c r="A2196" s="51">
        <v>2195</v>
      </c>
      <c r="B2196" s="54" t="s">
        <v>763</v>
      </c>
      <c r="C2196" s="47" t="s">
        <v>5665</v>
      </c>
      <c r="D2196" s="47" t="s">
        <v>5666</v>
      </c>
      <c r="E2196" s="48" t="s">
        <v>1719</v>
      </c>
      <c r="F2196" s="66" t="b">
        <v>0</v>
      </c>
      <c r="G2196" s="54" t="b">
        <v>1</v>
      </c>
      <c r="H2196" s="54" t="b">
        <v>1</v>
      </c>
      <c r="I2196" s="54" t="b">
        <v>1</v>
      </c>
      <c r="J2196" s="54" t="b">
        <v>1</v>
      </c>
      <c r="K2196" s="63" t="s">
        <v>763</v>
      </c>
      <c r="L2196" s="63" t="s">
        <v>5665</v>
      </c>
      <c r="M2196" s="63" t="s">
        <v>5666</v>
      </c>
      <c r="N2196" s="63" t="s">
        <v>1719</v>
      </c>
    </row>
    <row r="2197" spans="1:14" x14ac:dyDescent="0.2">
      <c r="A2197" s="51">
        <v>2196</v>
      </c>
      <c r="B2197" s="54" t="s">
        <v>763</v>
      </c>
      <c r="C2197" s="47" t="s">
        <v>5551</v>
      </c>
      <c r="D2197" s="47" t="s">
        <v>5552</v>
      </c>
      <c r="E2197" s="48" t="s">
        <v>1719</v>
      </c>
      <c r="F2197" s="66" t="b">
        <v>0</v>
      </c>
      <c r="G2197" s="54" t="b">
        <v>1</v>
      </c>
      <c r="H2197" s="54" t="b">
        <v>1</v>
      </c>
      <c r="I2197" s="54" t="b">
        <v>1</v>
      </c>
      <c r="J2197" s="54" t="b">
        <v>1</v>
      </c>
      <c r="K2197" s="63" t="s">
        <v>763</v>
      </c>
      <c r="L2197" s="63" t="s">
        <v>5551</v>
      </c>
      <c r="M2197" s="63" t="s">
        <v>5552</v>
      </c>
      <c r="N2197" s="63" t="s">
        <v>1719</v>
      </c>
    </row>
    <row r="2198" spans="1:14" x14ac:dyDescent="0.2">
      <c r="A2198" s="51">
        <v>2197</v>
      </c>
      <c r="B2198" s="54" t="s">
        <v>763</v>
      </c>
      <c r="C2198" s="47" t="s">
        <v>5663</v>
      </c>
      <c r="D2198" s="47" t="s">
        <v>5664</v>
      </c>
      <c r="E2198" s="48" t="s">
        <v>1719</v>
      </c>
      <c r="F2198" s="66" t="b">
        <v>0</v>
      </c>
      <c r="G2198" s="54" t="b">
        <v>1</v>
      </c>
      <c r="H2198" s="54" t="b">
        <v>1</v>
      </c>
      <c r="I2198" s="54" t="b">
        <v>1</v>
      </c>
      <c r="J2198" s="54" t="b">
        <v>1</v>
      </c>
      <c r="K2198" s="63" t="s">
        <v>763</v>
      </c>
      <c r="L2198" s="63" t="s">
        <v>5663</v>
      </c>
      <c r="M2198" s="63" t="s">
        <v>5664</v>
      </c>
      <c r="N2198" s="63" t="s">
        <v>1719</v>
      </c>
    </row>
    <row r="2199" spans="1:14" x14ac:dyDescent="0.2">
      <c r="A2199" s="51">
        <v>2198</v>
      </c>
      <c r="B2199" s="54" t="s">
        <v>763</v>
      </c>
      <c r="C2199" s="47" t="s">
        <v>5655</v>
      </c>
      <c r="D2199" s="47" t="s">
        <v>5656</v>
      </c>
      <c r="E2199" s="48" t="s">
        <v>1719</v>
      </c>
      <c r="F2199" s="66" t="b">
        <v>0</v>
      </c>
      <c r="G2199" s="54" t="b">
        <v>1</v>
      </c>
      <c r="H2199" s="54" t="b">
        <v>1</v>
      </c>
      <c r="I2199" s="54" t="b">
        <v>1</v>
      </c>
      <c r="J2199" s="54" t="b">
        <v>1</v>
      </c>
      <c r="K2199" s="63" t="s">
        <v>763</v>
      </c>
      <c r="L2199" s="63" t="s">
        <v>5655</v>
      </c>
      <c r="M2199" s="63" t="s">
        <v>5656</v>
      </c>
      <c r="N2199" s="63" t="s">
        <v>1719</v>
      </c>
    </row>
    <row r="2200" spans="1:14" x14ac:dyDescent="0.2">
      <c r="A2200" s="51">
        <v>2199</v>
      </c>
      <c r="B2200" s="54" t="s">
        <v>763</v>
      </c>
      <c r="C2200" s="47" t="s">
        <v>5657</v>
      </c>
      <c r="D2200" s="47" t="s">
        <v>5658</v>
      </c>
      <c r="E2200" s="48" t="s">
        <v>1719</v>
      </c>
      <c r="F2200" s="66" t="b">
        <v>0</v>
      </c>
      <c r="G2200" s="54" t="b">
        <v>1</v>
      </c>
      <c r="H2200" s="54" t="b">
        <v>1</v>
      </c>
      <c r="I2200" s="54" t="b">
        <v>1</v>
      </c>
      <c r="J2200" s="54" t="b">
        <v>1</v>
      </c>
      <c r="K2200" s="63" t="s">
        <v>763</v>
      </c>
      <c r="L2200" s="63" t="s">
        <v>5657</v>
      </c>
      <c r="M2200" s="63" t="s">
        <v>5658</v>
      </c>
      <c r="N2200" s="63" t="s">
        <v>1719</v>
      </c>
    </row>
    <row r="2201" spans="1:14" x14ac:dyDescent="0.2">
      <c r="A2201" s="51">
        <v>2200</v>
      </c>
      <c r="B2201" s="54" t="s">
        <v>763</v>
      </c>
      <c r="C2201" s="47" t="s">
        <v>5667</v>
      </c>
      <c r="D2201" s="47" t="s">
        <v>5668</v>
      </c>
      <c r="E2201" s="48" t="s">
        <v>1719</v>
      </c>
      <c r="F2201" s="66" t="b">
        <v>0</v>
      </c>
      <c r="G2201" s="54" t="b">
        <v>1</v>
      </c>
      <c r="H2201" s="54" t="b">
        <v>1</v>
      </c>
      <c r="I2201" s="54" t="b">
        <v>1</v>
      </c>
      <c r="J2201" s="54" t="b">
        <v>1</v>
      </c>
      <c r="K2201" s="63" t="s">
        <v>763</v>
      </c>
      <c r="L2201" s="63" t="s">
        <v>5667</v>
      </c>
      <c r="M2201" s="63" t="s">
        <v>5668</v>
      </c>
      <c r="N2201" s="63" t="s">
        <v>1719</v>
      </c>
    </row>
    <row r="2202" spans="1:14" x14ac:dyDescent="0.2">
      <c r="A2202" s="51">
        <v>2201</v>
      </c>
      <c r="B2202" s="54" t="s">
        <v>763</v>
      </c>
      <c r="C2202" s="47" t="s">
        <v>5669</v>
      </c>
      <c r="D2202" s="47" t="s">
        <v>5670</v>
      </c>
      <c r="E2202" s="48" t="s">
        <v>1719</v>
      </c>
      <c r="F2202" s="66" t="b">
        <v>0</v>
      </c>
      <c r="G2202" s="54" t="b">
        <v>1</v>
      </c>
      <c r="H2202" s="54" t="b">
        <v>1</v>
      </c>
      <c r="I2202" s="54" t="b">
        <v>1</v>
      </c>
      <c r="J2202" s="54" t="b">
        <v>1</v>
      </c>
      <c r="K2202" s="63" t="s">
        <v>763</v>
      </c>
      <c r="L2202" s="63" t="s">
        <v>5669</v>
      </c>
      <c r="M2202" s="63" t="s">
        <v>5670</v>
      </c>
      <c r="N2202" s="63" t="s">
        <v>1719</v>
      </c>
    </row>
    <row r="2203" spans="1:14" x14ac:dyDescent="0.2">
      <c r="A2203" s="51">
        <v>2202</v>
      </c>
      <c r="B2203" s="54" t="s">
        <v>763</v>
      </c>
      <c r="C2203" s="47" t="s">
        <v>5682</v>
      </c>
      <c r="D2203" s="47" t="s">
        <v>5683</v>
      </c>
      <c r="E2203" s="48" t="s">
        <v>1719</v>
      </c>
      <c r="F2203" s="66" t="b">
        <v>0</v>
      </c>
      <c r="G2203" s="54" t="b">
        <v>1</v>
      </c>
      <c r="H2203" s="54" t="b">
        <v>1</v>
      </c>
      <c r="I2203" s="54" t="b">
        <v>1</v>
      </c>
      <c r="J2203" s="54" t="b">
        <v>1</v>
      </c>
      <c r="K2203" s="63" t="s">
        <v>763</v>
      </c>
      <c r="L2203" s="63" t="s">
        <v>5682</v>
      </c>
      <c r="M2203" s="63" t="s">
        <v>5683</v>
      </c>
      <c r="N2203" s="63" t="s">
        <v>1719</v>
      </c>
    </row>
    <row r="2204" spans="1:14" x14ac:dyDescent="0.2">
      <c r="A2204" s="51">
        <v>2203</v>
      </c>
      <c r="B2204" s="54" t="s">
        <v>763</v>
      </c>
      <c r="C2204" s="47" t="s">
        <v>5673</v>
      </c>
      <c r="D2204" s="47" t="s">
        <v>5674</v>
      </c>
      <c r="E2204" s="48" t="s">
        <v>1719</v>
      </c>
      <c r="F2204" s="66" t="b">
        <v>0</v>
      </c>
      <c r="G2204" s="54" t="b">
        <v>1</v>
      </c>
      <c r="H2204" s="54" t="b">
        <v>1</v>
      </c>
      <c r="I2204" s="54" t="b">
        <v>1</v>
      </c>
      <c r="J2204" s="54" t="b">
        <v>1</v>
      </c>
      <c r="K2204" s="63" t="s">
        <v>763</v>
      </c>
      <c r="L2204" s="63" t="s">
        <v>5673</v>
      </c>
      <c r="M2204" s="63" t="s">
        <v>5674</v>
      </c>
      <c r="N2204" s="63" t="s">
        <v>1719</v>
      </c>
    </row>
    <row r="2205" spans="1:14" x14ac:dyDescent="0.2">
      <c r="A2205" s="51">
        <v>2204</v>
      </c>
      <c r="B2205" s="54" t="s">
        <v>763</v>
      </c>
      <c r="C2205" s="47" t="s">
        <v>5677</v>
      </c>
      <c r="D2205" s="47" t="s">
        <v>5678</v>
      </c>
      <c r="E2205" s="48" t="s">
        <v>1719</v>
      </c>
      <c r="F2205" s="66" t="b">
        <v>0</v>
      </c>
      <c r="G2205" s="54" t="b">
        <v>1</v>
      </c>
      <c r="H2205" s="54" t="b">
        <v>1</v>
      </c>
      <c r="I2205" s="54" t="b">
        <v>1</v>
      </c>
      <c r="J2205" s="54" t="b">
        <v>1</v>
      </c>
      <c r="K2205" s="63" t="s">
        <v>763</v>
      </c>
      <c r="L2205" s="63" t="s">
        <v>5677</v>
      </c>
      <c r="M2205" s="63" t="s">
        <v>5678</v>
      </c>
      <c r="N2205" s="63" t="s">
        <v>1719</v>
      </c>
    </row>
    <row r="2206" spans="1:14" x14ac:dyDescent="0.2">
      <c r="A2206" s="51">
        <v>2205</v>
      </c>
      <c r="B2206" s="54" t="s">
        <v>763</v>
      </c>
      <c r="C2206" s="47" t="s">
        <v>5671</v>
      </c>
      <c r="D2206" s="47" t="s">
        <v>5672</v>
      </c>
      <c r="E2206" s="48" t="s">
        <v>1719</v>
      </c>
      <c r="F2206" s="66" t="b">
        <v>0</v>
      </c>
      <c r="G2206" s="54" t="b">
        <v>1</v>
      </c>
      <c r="H2206" s="54" t="b">
        <v>1</v>
      </c>
      <c r="I2206" s="54" t="b">
        <v>1</v>
      </c>
      <c r="J2206" s="54" t="b">
        <v>1</v>
      </c>
      <c r="K2206" s="63" t="s">
        <v>763</v>
      </c>
      <c r="L2206" s="63" t="s">
        <v>5671</v>
      </c>
      <c r="M2206" s="63" t="s">
        <v>5672</v>
      </c>
      <c r="N2206" s="63" t="s">
        <v>1719</v>
      </c>
    </row>
    <row r="2207" spans="1:14" x14ac:dyDescent="0.2">
      <c r="A2207" s="51">
        <v>2206</v>
      </c>
      <c r="B2207" s="54" t="s">
        <v>763</v>
      </c>
      <c r="C2207" s="47" t="s">
        <v>5686</v>
      </c>
      <c r="D2207" s="47" t="s">
        <v>5687</v>
      </c>
      <c r="E2207" s="48" t="s">
        <v>1719</v>
      </c>
      <c r="F2207" s="66" t="b">
        <v>0</v>
      </c>
      <c r="G2207" s="54" t="b">
        <v>1</v>
      </c>
      <c r="H2207" s="54" t="b">
        <v>1</v>
      </c>
      <c r="I2207" s="54" t="b">
        <v>1</v>
      </c>
      <c r="J2207" s="54" t="b">
        <v>1</v>
      </c>
      <c r="K2207" s="63" t="s">
        <v>763</v>
      </c>
      <c r="L2207" s="63" t="s">
        <v>5686</v>
      </c>
      <c r="M2207" s="63" t="s">
        <v>5687</v>
      </c>
      <c r="N2207" s="63" t="s">
        <v>1719</v>
      </c>
    </row>
    <row r="2208" spans="1:14" x14ac:dyDescent="0.2">
      <c r="A2208" s="51">
        <v>2207</v>
      </c>
      <c r="B2208" s="54" t="s">
        <v>763</v>
      </c>
      <c r="C2208" s="47" t="s">
        <v>5684</v>
      </c>
      <c r="D2208" s="47" t="s">
        <v>5685</v>
      </c>
      <c r="E2208" s="48" t="s">
        <v>1719</v>
      </c>
      <c r="F2208" s="66" t="b">
        <v>0</v>
      </c>
      <c r="G2208" s="54" t="b">
        <v>1</v>
      </c>
      <c r="H2208" s="54" t="b">
        <v>1</v>
      </c>
      <c r="I2208" s="54" t="b">
        <v>1</v>
      </c>
      <c r="J2208" s="54" t="b">
        <v>1</v>
      </c>
      <c r="K2208" s="63" t="s">
        <v>763</v>
      </c>
      <c r="L2208" s="63" t="s">
        <v>5684</v>
      </c>
      <c r="M2208" s="63" t="s">
        <v>5685</v>
      </c>
      <c r="N2208" s="63" t="s">
        <v>1719</v>
      </c>
    </row>
    <row r="2209" spans="1:14" x14ac:dyDescent="0.2">
      <c r="A2209" s="51">
        <v>2208</v>
      </c>
      <c r="B2209" s="54" t="s">
        <v>763</v>
      </c>
      <c r="C2209" s="47" t="s">
        <v>5688</v>
      </c>
      <c r="D2209" s="47" t="s">
        <v>5689</v>
      </c>
      <c r="E2209" s="48" t="s">
        <v>1719</v>
      </c>
      <c r="F2209" s="66" t="b">
        <v>0</v>
      </c>
      <c r="G2209" s="54" t="b">
        <v>1</v>
      </c>
      <c r="H2209" s="54" t="b">
        <v>1</v>
      </c>
      <c r="I2209" s="54" t="b">
        <v>1</v>
      </c>
      <c r="J2209" s="54" t="b">
        <v>1</v>
      </c>
      <c r="K2209" s="63" t="s">
        <v>763</v>
      </c>
      <c r="L2209" s="63" t="s">
        <v>5688</v>
      </c>
      <c r="M2209" s="63" t="s">
        <v>5689</v>
      </c>
      <c r="N2209" s="63" t="s">
        <v>1719</v>
      </c>
    </row>
    <row r="2210" spans="1:14" x14ac:dyDescent="0.2">
      <c r="A2210" s="51">
        <v>2209</v>
      </c>
      <c r="B2210" s="54" t="s">
        <v>763</v>
      </c>
      <c r="C2210" s="47" t="s">
        <v>5695</v>
      </c>
      <c r="D2210" s="47" t="s">
        <v>5696</v>
      </c>
      <c r="E2210" s="48" t="s">
        <v>1719</v>
      </c>
      <c r="F2210" s="66" t="b">
        <v>0</v>
      </c>
      <c r="G2210" s="54" t="b">
        <v>1</v>
      </c>
      <c r="H2210" s="54" t="b">
        <v>1</v>
      </c>
      <c r="I2210" s="54" t="b">
        <v>1</v>
      </c>
      <c r="J2210" s="54" t="b">
        <v>1</v>
      </c>
      <c r="K2210" s="63" t="s">
        <v>763</v>
      </c>
      <c r="L2210" s="63" t="s">
        <v>5695</v>
      </c>
      <c r="M2210" s="63" t="s">
        <v>5696</v>
      </c>
      <c r="N2210" s="63" t="s">
        <v>1719</v>
      </c>
    </row>
    <row r="2211" spans="1:14" x14ac:dyDescent="0.2">
      <c r="A2211" s="51">
        <v>2210</v>
      </c>
      <c r="B2211" s="54" t="s">
        <v>763</v>
      </c>
      <c r="C2211" s="47" t="s">
        <v>5701</v>
      </c>
      <c r="D2211" s="47" t="s">
        <v>5702</v>
      </c>
      <c r="E2211" s="48" t="s">
        <v>1719</v>
      </c>
      <c r="F2211" s="66" t="b">
        <v>0</v>
      </c>
      <c r="G2211" s="54" t="b">
        <v>1</v>
      </c>
      <c r="H2211" s="54" t="b">
        <v>1</v>
      </c>
      <c r="I2211" s="54" t="b">
        <v>1</v>
      </c>
      <c r="J2211" s="54" t="b">
        <v>1</v>
      </c>
      <c r="K2211" s="63" t="s">
        <v>763</v>
      </c>
      <c r="L2211" s="63" t="s">
        <v>5701</v>
      </c>
      <c r="M2211" s="63" t="s">
        <v>5702</v>
      </c>
      <c r="N2211" s="63" t="s">
        <v>1719</v>
      </c>
    </row>
    <row r="2212" spans="1:14" x14ac:dyDescent="0.2">
      <c r="A2212" s="51">
        <v>2211</v>
      </c>
      <c r="B2212" s="54" t="s">
        <v>763</v>
      </c>
      <c r="C2212" s="47" t="s">
        <v>5703</v>
      </c>
      <c r="D2212" s="47" t="s">
        <v>5704</v>
      </c>
      <c r="E2212" s="48" t="s">
        <v>1719</v>
      </c>
      <c r="F2212" s="66" t="b">
        <v>0</v>
      </c>
      <c r="G2212" s="54" t="b">
        <v>1</v>
      </c>
      <c r="H2212" s="54" t="b">
        <v>1</v>
      </c>
      <c r="I2212" s="54" t="b">
        <v>1</v>
      </c>
      <c r="J2212" s="54" t="b">
        <v>1</v>
      </c>
      <c r="K2212" s="63" t="s">
        <v>763</v>
      </c>
      <c r="L2212" s="63" t="s">
        <v>5703</v>
      </c>
      <c r="M2212" s="63" t="s">
        <v>5704</v>
      </c>
      <c r="N2212" s="63" t="s">
        <v>1719</v>
      </c>
    </row>
    <row r="2213" spans="1:14" x14ac:dyDescent="0.2">
      <c r="A2213" s="51">
        <v>2212</v>
      </c>
      <c r="B2213" s="54" t="s">
        <v>763</v>
      </c>
      <c r="C2213" s="47" t="s">
        <v>5699</v>
      </c>
      <c r="D2213" s="47" t="s">
        <v>5700</v>
      </c>
      <c r="E2213" s="48" t="s">
        <v>1719</v>
      </c>
      <c r="F2213" s="66" t="b">
        <v>0</v>
      </c>
      <c r="G2213" s="54" t="b">
        <v>1</v>
      </c>
      <c r="H2213" s="54" t="b">
        <v>1</v>
      </c>
      <c r="I2213" s="54" t="b">
        <v>1</v>
      </c>
      <c r="J2213" s="54" t="b">
        <v>1</v>
      </c>
      <c r="K2213" s="63" t="s">
        <v>763</v>
      </c>
      <c r="L2213" s="63" t="s">
        <v>5699</v>
      </c>
      <c r="M2213" s="63" t="s">
        <v>5700</v>
      </c>
      <c r="N2213" s="63" t="s">
        <v>1719</v>
      </c>
    </row>
    <row r="2214" spans="1:14" x14ac:dyDescent="0.2">
      <c r="A2214" s="51">
        <v>2213</v>
      </c>
      <c r="B2214" s="54" t="s">
        <v>763</v>
      </c>
      <c r="C2214" s="47" t="s">
        <v>5709</v>
      </c>
      <c r="D2214" s="47" t="s">
        <v>5710</v>
      </c>
      <c r="E2214" s="48" t="s">
        <v>1719</v>
      </c>
      <c r="F2214" s="66" t="b">
        <v>0</v>
      </c>
      <c r="G2214" s="54" t="b">
        <v>1</v>
      </c>
      <c r="H2214" s="54" t="b">
        <v>1</v>
      </c>
      <c r="I2214" s="54" t="b">
        <v>1</v>
      </c>
      <c r="J2214" s="54" t="b">
        <v>1</v>
      </c>
      <c r="K2214" s="63" t="s">
        <v>763</v>
      </c>
      <c r="L2214" s="63" t="s">
        <v>5709</v>
      </c>
      <c r="M2214" s="63" t="s">
        <v>5710</v>
      </c>
      <c r="N2214" s="63" t="s">
        <v>1719</v>
      </c>
    </row>
    <row r="2215" spans="1:14" x14ac:dyDescent="0.2">
      <c r="A2215" s="51">
        <v>2214</v>
      </c>
      <c r="B2215" s="54" t="s">
        <v>763</v>
      </c>
      <c r="C2215" s="47" t="s">
        <v>5705</v>
      </c>
      <c r="D2215" s="47" t="s">
        <v>5706</v>
      </c>
      <c r="E2215" s="48" t="s">
        <v>1719</v>
      </c>
      <c r="F2215" s="66" t="b">
        <v>0</v>
      </c>
      <c r="G2215" s="54" t="b">
        <v>1</v>
      </c>
      <c r="H2215" s="54" t="b">
        <v>1</v>
      </c>
      <c r="I2215" s="54" t="b">
        <v>1</v>
      </c>
      <c r="J2215" s="54" t="b">
        <v>1</v>
      </c>
      <c r="K2215" s="63" t="s">
        <v>763</v>
      </c>
      <c r="L2215" s="63" t="s">
        <v>5705</v>
      </c>
      <c r="M2215" s="63" t="s">
        <v>5706</v>
      </c>
      <c r="N2215" s="63" t="s">
        <v>1719</v>
      </c>
    </row>
    <row r="2216" spans="1:14" x14ac:dyDescent="0.2">
      <c r="A2216" s="51">
        <v>2215</v>
      </c>
      <c r="B2216" s="54" t="s">
        <v>763</v>
      </c>
      <c r="C2216" s="47" t="s">
        <v>5581</v>
      </c>
      <c r="D2216" s="47" t="s">
        <v>5582</v>
      </c>
      <c r="E2216" s="48" t="s">
        <v>1719</v>
      </c>
      <c r="F2216" s="66" t="b">
        <v>0</v>
      </c>
      <c r="G2216" s="54" t="b">
        <v>1</v>
      </c>
      <c r="H2216" s="54" t="b">
        <v>1</v>
      </c>
      <c r="I2216" s="54" t="b">
        <v>1</v>
      </c>
      <c r="J2216" s="54" t="b">
        <v>1</v>
      </c>
      <c r="K2216" s="63" t="s">
        <v>763</v>
      </c>
      <c r="L2216" s="63" t="s">
        <v>5581</v>
      </c>
      <c r="M2216" s="63" t="s">
        <v>5582</v>
      </c>
      <c r="N2216" s="63" t="s">
        <v>1719</v>
      </c>
    </row>
    <row r="2217" spans="1:14" x14ac:dyDescent="0.2">
      <c r="A2217" s="51">
        <v>2216</v>
      </c>
      <c r="B2217" s="54" t="s">
        <v>763</v>
      </c>
      <c r="C2217" s="47" t="s">
        <v>5711</v>
      </c>
      <c r="D2217" s="47" t="s">
        <v>5712</v>
      </c>
      <c r="E2217" s="48" t="s">
        <v>1719</v>
      </c>
      <c r="F2217" s="66" t="b">
        <v>0</v>
      </c>
      <c r="G2217" s="54" t="b">
        <v>1</v>
      </c>
      <c r="H2217" s="54" t="b">
        <v>1</v>
      </c>
      <c r="I2217" s="54" t="b">
        <v>1</v>
      </c>
      <c r="J2217" s="54" t="b">
        <v>1</v>
      </c>
      <c r="K2217" s="63" t="s">
        <v>763</v>
      </c>
      <c r="L2217" s="63" t="s">
        <v>5711</v>
      </c>
      <c r="M2217" s="63" t="s">
        <v>5712</v>
      </c>
      <c r="N2217" s="63" t="s">
        <v>1719</v>
      </c>
    </row>
    <row r="2218" spans="1:14" x14ac:dyDescent="0.2">
      <c r="A2218" s="51">
        <v>2217</v>
      </c>
      <c r="B2218" s="54" t="s">
        <v>763</v>
      </c>
      <c r="C2218" s="47" t="s">
        <v>5707</v>
      </c>
      <c r="D2218" s="47" t="s">
        <v>5708</v>
      </c>
      <c r="E2218" s="48" t="s">
        <v>1719</v>
      </c>
      <c r="F2218" s="66" t="b">
        <v>0</v>
      </c>
      <c r="G2218" s="54" t="b">
        <v>1</v>
      </c>
      <c r="H2218" s="54" t="b">
        <v>1</v>
      </c>
      <c r="I2218" s="54" t="b">
        <v>1</v>
      </c>
      <c r="J2218" s="54" t="b">
        <v>1</v>
      </c>
      <c r="K2218" s="63" t="s">
        <v>763</v>
      </c>
      <c r="L2218" s="63" t="s">
        <v>5707</v>
      </c>
      <c r="M2218" s="63" t="s">
        <v>5708</v>
      </c>
      <c r="N2218" s="63" t="s">
        <v>1719</v>
      </c>
    </row>
    <row r="2219" spans="1:14" x14ac:dyDescent="0.2">
      <c r="A2219" s="51">
        <v>2218</v>
      </c>
      <c r="B2219" s="54" t="s">
        <v>765</v>
      </c>
      <c r="C2219" s="47" t="s">
        <v>5717</v>
      </c>
      <c r="D2219" s="47" t="s">
        <v>5718</v>
      </c>
      <c r="E2219" s="47" t="s">
        <v>1970</v>
      </c>
      <c r="F2219" s="55" t="b">
        <v>1</v>
      </c>
      <c r="G2219" s="54" t="b">
        <v>1</v>
      </c>
      <c r="H2219" s="54" t="b">
        <v>1</v>
      </c>
      <c r="I2219" s="54" t="b">
        <v>1</v>
      </c>
      <c r="J2219" s="54" t="b">
        <v>1</v>
      </c>
      <c r="K2219" s="63" t="s">
        <v>765</v>
      </c>
      <c r="L2219" s="63" t="s">
        <v>5717</v>
      </c>
      <c r="M2219" s="63" t="s">
        <v>5718</v>
      </c>
      <c r="N2219" s="63" t="s">
        <v>1970</v>
      </c>
    </row>
    <row r="2220" spans="1:14" x14ac:dyDescent="0.2">
      <c r="A2220" s="51">
        <v>2219</v>
      </c>
      <c r="B2220" s="54" t="s">
        <v>765</v>
      </c>
      <c r="C2220" s="47" t="s">
        <v>5723</v>
      </c>
      <c r="D2220" s="47" t="s">
        <v>2513</v>
      </c>
      <c r="E2220" s="47" t="s">
        <v>1970</v>
      </c>
      <c r="F2220" s="55" t="b">
        <v>1</v>
      </c>
      <c r="G2220" s="54" t="b">
        <v>1</v>
      </c>
      <c r="H2220" s="54" t="b">
        <v>1</v>
      </c>
      <c r="I2220" s="54" t="b">
        <v>1</v>
      </c>
      <c r="J2220" s="54" t="b">
        <v>1</v>
      </c>
      <c r="K2220" s="63" t="s">
        <v>765</v>
      </c>
      <c r="L2220" s="63" t="s">
        <v>5723</v>
      </c>
      <c r="M2220" s="63" t="s">
        <v>2513</v>
      </c>
      <c r="N2220" s="63" t="s">
        <v>1970</v>
      </c>
    </row>
    <row r="2221" spans="1:14" x14ac:dyDescent="0.2">
      <c r="A2221" s="51">
        <v>2220</v>
      </c>
      <c r="B2221" s="54" t="s">
        <v>765</v>
      </c>
      <c r="C2221" s="47" t="s">
        <v>5732</v>
      </c>
      <c r="D2221" s="47" t="s">
        <v>2528</v>
      </c>
      <c r="E2221" s="47" t="s">
        <v>1970</v>
      </c>
      <c r="F2221" s="55" t="b">
        <v>1</v>
      </c>
      <c r="G2221" s="54" t="b">
        <v>1</v>
      </c>
      <c r="H2221" s="54" t="b">
        <v>1</v>
      </c>
      <c r="I2221" s="54" t="b">
        <v>1</v>
      </c>
      <c r="J2221" s="54" t="b">
        <v>1</v>
      </c>
      <c r="K2221" s="63" t="s">
        <v>765</v>
      </c>
      <c r="L2221" s="63" t="s">
        <v>5732</v>
      </c>
      <c r="M2221" s="63" t="s">
        <v>2528</v>
      </c>
      <c r="N2221" s="63" t="s">
        <v>1970</v>
      </c>
    </row>
    <row r="2222" spans="1:14" x14ac:dyDescent="0.2">
      <c r="A2222" s="51">
        <v>2221</v>
      </c>
      <c r="B2222" s="54" t="s">
        <v>765</v>
      </c>
      <c r="C2222" s="47" t="s">
        <v>5721</v>
      </c>
      <c r="D2222" s="47" t="s">
        <v>5722</v>
      </c>
      <c r="E2222" s="47" t="s">
        <v>1970</v>
      </c>
      <c r="F2222" s="55" t="b">
        <v>1</v>
      </c>
      <c r="G2222" s="54" t="b">
        <v>1</v>
      </c>
      <c r="H2222" s="54" t="b">
        <v>1</v>
      </c>
      <c r="I2222" s="54" t="b">
        <v>1</v>
      </c>
      <c r="J2222" s="54" t="b">
        <v>1</v>
      </c>
      <c r="K2222" s="63" t="s">
        <v>765</v>
      </c>
      <c r="L2222" s="63" t="s">
        <v>5721</v>
      </c>
      <c r="M2222" s="63" t="s">
        <v>5722</v>
      </c>
      <c r="N2222" s="63" t="s">
        <v>1970</v>
      </c>
    </row>
    <row r="2223" spans="1:14" x14ac:dyDescent="0.2">
      <c r="A2223" s="51">
        <v>2222</v>
      </c>
      <c r="B2223" s="54" t="s">
        <v>765</v>
      </c>
      <c r="C2223" s="47" t="s">
        <v>5731</v>
      </c>
      <c r="D2223" s="47" t="s">
        <v>2029</v>
      </c>
      <c r="E2223" s="47" t="s">
        <v>1970</v>
      </c>
      <c r="F2223" s="55" t="b">
        <v>1</v>
      </c>
      <c r="G2223" s="54" t="b">
        <v>1</v>
      </c>
      <c r="H2223" s="54" t="b">
        <v>1</v>
      </c>
      <c r="I2223" s="54" t="b">
        <v>1</v>
      </c>
      <c r="J2223" s="54" t="b">
        <v>1</v>
      </c>
      <c r="K2223" s="63" t="s">
        <v>765</v>
      </c>
      <c r="L2223" s="63" t="s">
        <v>5731</v>
      </c>
      <c r="M2223" s="63" t="s">
        <v>2029</v>
      </c>
      <c r="N2223" s="63" t="s">
        <v>1970</v>
      </c>
    </row>
    <row r="2224" spans="1:14" x14ac:dyDescent="0.2">
      <c r="A2224" s="51">
        <v>2223</v>
      </c>
      <c r="B2224" s="54" t="s">
        <v>765</v>
      </c>
      <c r="C2224" s="47" t="s">
        <v>5724</v>
      </c>
      <c r="D2224" s="47" t="s">
        <v>5725</v>
      </c>
      <c r="E2224" s="47" t="s">
        <v>1970</v>
      </c>
      <c r="F2224" s="55" t="b">
        <v>1</v>
      </c>
      <c r="G2224" s="54" t="b">
        <v>1</v>
      </c>
      <c r="H2224" s="54" t="b">
        <v>1</v>
      </c>
      <c r="I2224" s="54" t="b">
        <v>1</v>
      </c>
      <c r="J2224" s="54" t="b">
        <v>1</v>
      </c>
      <c r="K2224" s="63" t="s">
        <v>765</v>
      </c>
      <c r="L2224" s="63" t="s">
        <v>5724</v>
      </c>
      <c r="M2224" s="63" t="s">
        <v>5725</v>
      </c>
      <c r="N2224" s="63" t="s">
        <v>1970</v>
      </c>
    </row>
    <row r="2225" spans="1:14" x14ac:dyDescent="0.2">
      <c r="A2225" s="51">
        <v>2224</v>
      </c>
      <c r="B2225" s="54" t="s">
        <v>765</v>
      </c>
      <c r="C2225" s="47" t="s">
        <v>5733</v>
      </c>
      <c r="D2225" s="47" t="s">
        <v>5734</v>
      </c>
      <c r="E2225" s="47" t="s">
        <v>1970</v>
      </c>
      <c r="F2225" s="55" t="b">
        <v>1</v>
      </c>
      <c r="G2225" s="54" t="b">
        <v>1</v>
      </c>
      <c r="H2225" s="54" t="b">
        <v>1</v>
      </c>
      <c r="I2225" s="54" t="b">
        <v>1</v>
      </c>
      <c r="J2225" s="54" t="b">
        <v>1</v>
      </c>
      <c r="K2225" s="63" t="s">
        <v>765</v>
      </c>
      <c r="L2225" s="63" t="s">
        <v>5733</v>
      </c>
      <c r="M2225" s="63" t="s">
        <v>5734</v>
      </c>
      <c r="N2225" s="63" t="s">
        <v>1970</v>
      </c>
    </row>
    <row r="2226" spans="1:14" x14ac:dyDescent="0.2">
      <c r="A2226" s="51">
        <v>2225</v>
      </c>
      <c r="B2226" s="54" t="s">
        <v>765</v>
      </c>
      <c r="C2226" s="47" t="s">
        <v>5730</v>
      </c>
      <c r="D2226" s="47" t="s">
        <v>2516</v>
      </c>
      <c r="E2226" s="47" t="s">
        <v>1970</v>
      </c>
      <c r="F2226" s="55" t="b">
        <v>1</v>
      </c>
      <c r="G2226" s="54" t="b">
        <v>1</v>
      </c>
      <c r="H2226" s="54" t="b">
        <v>1</v>
      </c>
      <c r="I2226" s="54" t="b">
        <v>1</v>
      </c>
      <c r="J2226" s="54" t="b">
        <v>1</v>
      </c>
      <c r="K2226" s="63" t="s">
        <v>765</v>
      </c>
      <c r="L2226" s="63" t="s">
        <v>5730</v>
      </c>
      <c r="M2226" s="63" t="s">
        <v>2516</v>
      </c>
      <c r="N2226" s="63" t="s">
        <v>1970</v>
      </c>
    </row>
    <row r="2227" spans="1:14" x14ac:dyDescent="0.2">
      <c r="A2227" s="51">
        <v>2226</v>
      </c>
      <c r="B2227" s="54" t="s">
        <v>765</v>
      </c>
      <c r="C2227" s="47" t="s">
        <v>5715</v>
      </c>
      <c r="D2227" s="47" t="s">
        <v>5716</v>
      </c>
      <c r="E2227" s="47" t="s">
        <v>1970</v>
      </c>
      <c r="F2227" s="55" t="b">
        <v>1</v>
      </c>
      <c r="G2227" s="54" t="b">
        <v>1</v>
      </c>
      <c r="H2227" s="54" t="b">
        <v>1</v>
      </c>
      <c r="I2227" s="54" t="b">
        <v>1</v>
      </c>
      <c r="J2227" s="54" t="b">
        <v>1</v>
      </c>
      <c r="K2227" s="63" t="s">
        <v>765</v>
      </c>
      <c r="L2227" s="63" t="s">
        <v>5715</v>
      </c>
      <c r="M2227" s="63" t="s">
        <v>5716</v>
      </c>
      <c r="N2227" s="63" t="s">
        <v>1970</v>
      </c>
    </row>
    <row r="2228" spans="1:14" x14ac:dyDescent="0.2">
      <c r="A2228" s="51">
        <v>2227</v>
      </c>
      <c r="B2228" s="54" t="s">
        <v>765</v>
      </c>
      <c r="C2228" s="47" t="s">
        <v>5735</v>
      </c>
      <c r="D2228" s="47" t="s">
        <v>5736</v>
      </c>
      <c r="E2228" s="47" t="s">
        <v>1970</v>
      </c>
      <c r="F2228" s="55" t="b">
        <v>1</v>
      </c>
      <c r="G2228" s="54" t="b">
        <v>1</v>
      </c>
      <c r="H2228" s="54" t="b">
        <v>1</v>
      </c>
      <c r="I2228" s="54" t="b">
        <v>1</v>
      </c>
      <c r="J2228" s="54" t="b">
        <v>1</v>
      </c>
      <c r="K2228" s="63" t="s">
        <v>765</v>
      </c>
      <c r="L2228" s="63" t="s">
        <v>5735</v>
      </c>
      <c r="M2228" s="63" t="s">
        <v>5736</v>
      </c>
      <c r="N2228" s="63" t="s">
        <v>1970</v>
      </c>
    </row>
    <row r="2229" spans="1:14" x14ac:dyDescent="0.2">
      <c r="A2229" s="51">
        <v>2228</v>
      </c>
      <c r="B2229" s="54" t="s">
        <v>765</v>
      </c>
      <c r="C2229" s="47" t="s">
        <v>5728</v>
      </c>
      <c r="D2229" s="47" t="s">
        <v>5729</v>
      </c>
      <c r="E2229" s="47" t="s">
        <v>1970</v>
      </c>
      <c r="F2229" s="55" t="b">
        <v>1</v>
      </c>
      <c r="G2229" s="54" t="b">
        <v>1</v>
      </c>
      <c r="H2229" s="54" t="b">
        <v>1</v>
      </c>
      <c r="I2229" s="54" t="b">
        <v>1</v>
      </c>
      <c r="J2229" s="54" t="b">
        <v>1</v>
      </c>
      <c r="K2229" s="63" t="s">
        <v>765</v>
      </c>
      <c r="L2229" s="63" t="s">
        <v>5728</v>
      </c>
      <c r="M2229" s="63" t="s">
        <v>5729</v>
      </c>
      <c r="N2229" s="63" t="s">
        <v>1970</v>
      </c>
    </row>
    <row r="2230" spans="1:14" x14ac:dyDescent="0.2">
      <c r="A2230" s="51">
        <v>2229</v>
      </c>
      <c r="B2230" s="54" t="s">
        <v>765</v>
      </c>
      <c r="C2230" s="47" t="s">
        <v>5719</v>
      </c>
      <c r="D2230" s="47" t="s">
        <v>5720</v>
      </c>
      <c r="E2230" s="47" t="s">
        <v>1970</v>
      </c>
      <c r="F2230" s="55" t="b">
        <v>1</v>
      </c>
      <c r="G2230" s="54" t="b">
        <v>1</v>
      </c>
      <c r="H2230" s="54" t="b">
        <v>1</v>
      </c>
      <c r="I2230" s="54" t="b">
        <v>1</v>
      </c>
      <c r="J2230" s="54" t="b">
        <v>1</v>
      </c>
      <c r="K2230" s="63" t="s">
        <v>765</v>
      </c>
      <c r="L2230" s="63" t="s">
        <v>5719</v>
      </c>
      <c r="M2230" s="63" t="s">
        <v>5720</v>
      </c>
      <c r="N2230" s="63" t="s">
        <v>1970</v>
      </c>
    </row>
    <row r="2231" spans="1:14" x14ac:dyDescent="0.2">
      <c r="A2231" s="51">
        <v>2230</v>
      </c>
      <c r="B2231" s="54" t="s">
        <v>765</v>
      </c>
      <c r="C2231" s="47" t="s">
        <v>5713</v>
      </c>
      <c r="D2231" s="47" t="s">
        <v>5714</v>
      </c>
      <c r="E2231" s="47" t="s">
        <v>1970</v>
      </c>
      <c r="F2231" s="55" t="b">
        <v>1</v>
      </c>
      <c r="G2231" s="54" t="b">
        <v>1</v>
      </c>
      <c r="H2231" s="54" t="b">
        <v>1</v>
      </c>
      <c r="I2231" s="54" t="b">
        <v>1</v>
      </c>
      <c r="J2231" s="54" t="b">
        <v>1</v>
      </c>
      <c r="K2231" s="63" t="s">
        <v>765</v>
      </c>
      <c r="L2231" s="63" t="s">
        <v>5713</v>
      </c>
      <c r="M2231" s="63" t="s">
        <v>5714</v>
      </c>
      <c r="N2231" s="63" t="s">
        <v>1970</v>
      </c>
    </row>
    <row r="2232" spans="1:14" x14ac:dyDescent="0.2">
      <c r="A2232" s="51">
        <v>2231</v>
      </c>
      <c r="B2232" s="54" t="s">
        <v>765</v>
      </c>
      <c r="C2232" s="47" t="s">
        <v>5726</v>
      </c>
      <c r="D2232" s="47" t="s">
        <v>5727</v>
      </c>
      <c r="E2232" s="47" t="s">
        <v>1970</v>
      </c>
      <c r="F2232" s="55" t="b">
        <v>1</v>
      </c>
      <c r="G2232" s="54" t="b">
        <v>1</v>
      </c>
      <c r="H2232" s="54" t="b">
        <v>1</v>
      </c>
      <c r="I2232" s="54" t="b">
        <v>1</v>
      </c>
      <c r="J2232" s="54" t="b">
        <v>1</v>
      </c>
      <c r="K2232" s="63" t="s">
        <v>765</v>
      </c>
      <c r="L2232" s="63" t="s">
        <v>5726</v>
      </c>
      <c r="M2232" s="63" t="s">
        <v>5727</v>
      </c>
      <c r="N2232" s="63" t="s">
        <v>1970</v>
      </c>
    </row>
    <row r="2233" spans="1:14" x14ac:dyDescent="0.2">
      <c r="A2233" s="51">
        <v>2232</v>
      </c>
      <c r="B2233" s="54" t="s">
        <v>770</v>
      </c>
      <c r="C2233" s="47" t="s">
        <v>5762</v>
      </c>
      <c r="D2233" s="47" t="s">
        <v>12525</v>
      </c>
      <c r="E2233" s="47" t="s">
        <v>3158</v>
      </c>
      <c r="F2233" s="55" t="b">
        <v>1</v>
      </c>
      <c r="G2233" s="54" t="b">
        <v>1</v>
      </c>
      <c r="H2233" s="54" t="b">
        <v>1</v>
      </c>
      <c r="I2233" s="65" t="b">
        <v>0</v>
      </c>
      <c r="J2233" s="54" t="b">
        <v>1</v>
      </c>
      <c r="K2233" s="63" t="s">
        <v>770</v>
      </c>
      <c r="L2233" s="63" t="s">
        <v>5762</v>
      </c>
      <c r="M2233" s="63" t="s">
        <v>5763</v>
      </c>
      <c r="N2233" s="63" t="s">
        <v>3158</v>
      </c>
    </row>
    <row r="2234" spans="1:14" x14ac:dyDescent="0.2">
      <c r="A2234" s="51">
        <v>2233</v>
      </c>
      <c r="G2234" s="65" t="b">
        <v>0</v>
      </c>
      <c r="H2234" s="65" t="b">
        <v>0</v>
      </c>
      <c r="I2234" s="65" t="b">
        <v>0</v>
      </c>
      <c r="J2234" s="65" t="b">
        <v>0</v>
      </c>
      <c r="K2234" s="63" t="s">
        <v>770</v>
      </c>
      <c r="L2234" s="63" t="s">
        <v>5762</v>
      </c>
      <c r="M2234" s="63" t="s">
        <v>5764</v>
      </c>
      <c r="N2234" s="63" t="s">
        <v>3158</v>
      </c>
    </row>
    <row r="2235" spans="1:14" x14ac:dyDescent="0.2">
      <c r="A2235" s="51">
        <v>2234</v>
      </c>
      <c r="B2235" s="54" t="s">
        <v>770</v>
      </c>
      <c r="C2235" s="47" t="s">
        <v>5742</v>
      </c>
      <c r="D2235" s="47" t="s">
        <v>5743</v>
      </c>
      <c r="E2235" s="47" t="s">
        <v>3158</v>
      </c>
      <c r="F2235" s="55" t="b">
        <v>1</v>
      </c>
      <c r="G2235" s="54" t="b">
        <v>1</v>
      </c>
      <c r="H2235" s="54" t="b">
        <v>1</v>
      </c>
      <c r="I2235" s="54" t="b">
        <v>1</v>
      </c>
      <c r="J2235" s="54" t="b">
        <v>1</v>
      </c>
      <c r="K2235" s="63" t="s">
        <v>770</v>
      </c>
      <c r="L2235" s="63" t="s">
        <v>5742</v>
      </c>
      <c r="M2235" s="63" t="s">
        <v>5743</v>
      </c>
      <c r="N2235" s="63" t="s">
        <v>3158</v>
      </c>
    </row>
    <row r="2236" spans="1:14" x14ac:dyDescent="0.2">
      <c r="A2236" s="51">
        <v>2235</v>
      </c>
      <c r="B2236" s="54" t="s">
        <v>770</v>
      </c>
      <c r="C2236" s="47" t="s">
        <v>5776</v>
      </c>
      <c r="D2236" s="47" t="s">
        <v>5777</v>
      </c>
      <c r="E2236" s="47" t="s">
        <v>3158</v>
      </c>
      <c r="F2236" s="55" t="b">
        <v>1</v>
      </c>
      <c r="G2236" s="54" t="b">
        <v>1</v>
      </c>
      <c r="H2236" s="54" t="b">
        <v>1</v>
      </c>
      <c r="I2236" s="54" t="b">
        <v>1</v>
      </c>
      <c r="J2236" s="54" t="b">
        <v>1</v>
      </c>
      <c r="K2236" s="63" t="s">
        <v>770</v>
      </c>
      <c r="L2236" s="63" t="s">
        <v>5776</v>
      </c>
      <c r="M2236" s="63" t="s">
        <v>5777</v>
      </c>
      <c r="N2236" s="63" t="s">
        <v>3158</v>
      </c>
    </row>
    <row r="2237" spans="1:14" x14ac:dyDescent="0.2">
      <c r="A2237" s="51">
        <v>2236</v>
      </c>
      <c r="B2237" s="54" t="s">
        <v>770</v>
      </c>
      <c r="C2237" s="47" t="s">
        <v>5795</v>
      </c>
      <c r="D2237" s="47" t="s">
        <v>5796</v>
      </c>
      <c r="E2237" s="47" t="s">
        <v>3158</v>
      </c>
      <c r="F2237" s="55" t="b">
        <v>1</v>
      </c>
      <c r="G2237" s="54" t="b">
        <v>1</v>
      </c>
      <c r="H2237" s="54" t="b">
        <v>1</v>
      </c>
      <c r="I2237" s="54" t="b">
        <v>1</v>
      </c>
      <c r="J2237" s="54" t="b">
        <v>1</v>
      </c>
      <c r="K2237" s="63" t="s">
        <v>770</v>
      </c>
      <c r="L2237" s="63" t="s">
        <v>5795</v>
      </c>
      <c r="M2237" s="63" t="s">
        <v>5796</v>
      </c>
      <c r="N2237" s="63" t="s">
        <v>3158</v>
      </c>
    </row>
    <row r="2238" spans="1:14" x14ac:dyDescent="0.2">
      <c r="A2238" s="51">
        <v>2237</v>
      </c>
      <c r="B2238" s="54" t="s">
        <v>770</v>
      </c>
      <c r="C2238" s="47" t="s">
        <v>5740</v>
      </c>
      <c r="D2238" s="47" t="s">
        <v>5741</v>
      </c>
      <c r="E2238" s="47" t="s">
        <v>3158</v>
      </c>
      <c r="F2238" s="55" t="b">
        <v>1</v>
      </c>
      <c r="G2238" s="54" t="b">
        <v>1</v>
      </c>
      <c r="H2238" s="54" t="b">
        <v>1</v>
      </c>
      <c r="I2238" s="54" t="b">
        <v>1</v>
      </c>
      <c r="J2238" s="54" t="b">
        <v>1</v>
      </c>
      <c r="K2238" s="63" t="s">
        <v>770</v>
      </c>
      <c r="L2238" s="63" t="s">
        <v>5740</v>
      </c>
      <c r="M2238" s="63" t="s">
        <v>5741</v>
      </c>
      <c r="N2238" s="63" t="s">
        <v>3158</v>
      </c>
    </row>
    <row r="2239" spans="1:14" x14ac:dyDescent="0.2">
      <c r="A2239" s="51">
        <v>2238</v>
      </c>
      <c r="B2239" s="54" t="s">
        <v>770</v>
      </c>
      <c r="C2239" s="47" t="s">
        <v>5844</v>
      </c>
      <c r="D2239" s="47" t="s">
        <v>5845</v>
      </c>
      <c r="E2239" s="47" t="s">
        <v>3158</v>
      </c>
      <c r="F2239" s="55" t="b">
        <v>1</v>
      </c>
      <c r="G2239" s="54" t="b">
        <v>1</v>
      </c>
      <c r="H2239" s="54" t="b">
        <v>1</v>
      </c>
      <c r="I2239" s="54" t="b">
        <v>1</v>
      </c>
      <c r="J2239" s="54" t="b">
        <v>1</v>
      </c>
      <c r="K2239" s="63" t="s">
        <v>770</v>
      </c>
      <c r="L2239" s="63" t="s">
        <v>5844</v>
      </c>
      <c r="M2239" s="63" t="s">
        <v>5845</v>
      </c>
      <c r="N2239" s="63" t="s">
        <v>3158</v>
      </c>
    </row>
    <row r="2240" spans="1:14" x14ac:dyDescent="0.2">
      <c r="A2240" s="51">
        <v>2239</v>
      </c>
      <c r="B2240" s="54" t="s">
        <v>770</v>
      </c>
      <c r="C2240" s="47" t="s">
        <v>5752</v>
      </c>
      <c r="D2240" s="47" t="s">
        <v>5753</v>
      </c>
      <c r="E2240" s="47" t="s">
        <v>3158</v>
      </c>
      <c r="F2240" s="55" t="b">
        <v>1</v>
      </c>
      <c r="G2240" s="54" t="b">
        <v>1</v>
      </c>
      <c r="H2240" s="54" t="b">
        <v>1</v>
      </c>
      <c r="I2240" s="54" t="b">
        <v>1</v>
      </c>
      <c r="J2240" s="54" t="b">
        <v>1</v>
      </c>
      <c r="K2240" s="63" t="s">
        <v>770</v>
      </c>
      <c r="L2240" s="63" t="s">
        <v>5752</v>
      </c>
      <c r="M2240" s="63" t="s">
        <v>5753</v>
      </c>
      <c r="N2240" s="63" t="s">
        <v>3158</v>
      </c>
    </row>
    <row r="2241" spans="1:14" x14ac:dyDescent="0.2">
      <c r="A2241" s="51">
        <v>2240</v>
      </c>
      <c r="G2241" s="65" t="b">
        <v>0</v>
      </c>
      <c r="H2241" s="65" t="b">
        <v>0</v>
      </c>
      <c r="I2241" s="65" t="b">
        <v>0</v>
      </c>
      <c r="J2241" s="65" t="b">
        <v>0</v>
      </c>
      <c r="K2241" s="63" t="s">
        <v>770</v>
      </c>
      <c r="L2241" s="63" t="s">
        <v>5752</v>
      </c>
      <c r="M2241" s="63" t="s">
        <v>5767</v>
      </c>
      <c r="N2241" s="63" t="s">
        <v>3158</v>
      </c>
    </row>
    <row r="2242" spans="1:14" x14ac:dyDescent="0.2">
      <c r="A2242" s="51">
        <v>2241</v>
      </c>
      <c r="B2242" s="54" t="s">
        <v>770</v>
      </c>
      <c r="C2242" s="47" t="s">
        <v>5771</v>
      </c>
      <c r="D2242" s="47" t="s">
        <v>5772</v>
      </c>
      <c r="E2242" s="47" t="s">
        <v>3158</v>
      </c>
      <c r="F2242" s="55" t="b">
        <v>1</v>
      </c>
      <c r="G2242" s="54" t="b">
        <v>1</v>
      </c>
      <c r="H2242" s="54" t="b">
        <v>1</v>
      </c>
      <c r="I2242" s="54" t="b">
        <v>1</v>
      </c>
      <c r="J2242" s="54" t="b">
        <v>1</v>
      </c>
      <c r="K2242" s="63" t="s">
        <v>770</v>
      </c>
      <c r="L2242" s="63" t="s">
        <v>5771</v>
      </c>
      <c r="M2242" s="63" t="s">
        <v>5772</v>
      </c>
      <c r="N2242" s="63" t="s">
        <v>3158</v>
      </c>
    </row>
    <row r="2243" spans="1:14" x14ac:dyDescent="0.2">
      <c r="A2243" s="51">
        <v>2242</v>
      </c>
      <c r="B2243" s="54" t="s">
        <v>770</v>
      </c>
      <c r="C2243" s="47" t="s">
        <v>5829</v>
      </c>
      <c r="D2243" s="47" t="s">
        <v>5830</v>
      </c>
      <c r="E2243" s="47" t="s">
        <v>3158</v>
      </c>
      <c r="F2243" s="55" t="b">
        <v>1</v>
      </c>
      <c r="G2243" s="54" t="b">
        <v>1</v>
      </c>
      <c r="H2243" s="54" t="b">
        <v>1</v>
      </c>
      <c r="I2243" s="54" t="b">
        <v>1</v>
      </c>
      <c r="J2243" s="54" t="b">
        <v>1</v>
      </c>
      <c r="K2243" s="63" t="s">
        <v>770</v>
      </c>
      <c r="L2243" s="63" t="s">
        <v>5829</v>
      </c>
      <c r="M2243" s="63" t="s">
        <v>5830</v>
      </c>
      <c r="N2243" s="63" t="s">
        <v>3158</v>
      </c>
    </row>
    <row r="2244" spans="1:14" x14ac:dyDescent="0.2">
      <c r="A2244" s="51">
        <v>2243</v>
      </c>
      <c r="G2244" s="65" t="b">
        <v>0</v>
      </c>
      <c r="H2244" s="65" t="b">
        <v>0</v>
      </c>
      <c r="I2244" s="65" t="b">
        <v>0</v>
      </c>
      <c r="J2244" s="65" t="b">
        <v>0</v>
      </c>
      <c r="K2244" s="63" t="s">
        <v>770</v>
      </c>
      <c r="L2244" s="63" t="s">
        <v>5829</v>
      </c>
      <c r="M2244" s="63" t="s">
        <v>5836</v>
      </c>
      <c r="N2244" s="63" t="s">
        <v>3158</v>
      </c>
    </row>
    <row r="2245" spans="1:14" x14ac:dyDescent="0.2">
      <c r="A2245" s="51">
        <v>2244</v>
      </c>
      <c r="B2245" s="54" t="s">
        <v>770</v>
      </c>
      <c r="C2245" s="47" t="s">
        <v>5757</v>
      </c>
      <c r="D2245" s="47" t="s">
        <v>5758</v>
      </c>
      <c r="E2245" s="47" t="s">
        <v>3158</v>
      </c>
      <c r="F2245" s="55" t="b">
        <v>1</v>
      </c>
      <c r="G2245" s="54" t="b">
        <v>1</v>
      </c>
      <c r="H2245" s="54" t="b">
        <v>1</v>
      </c>
      <c r="I2245" s="54" t="b">
        <v>1</v>
      </c>
      <c r="J2245" s="54" t="b">
        <v>1</v>
      </c>
      <c r="K2245" s="63" t="s">
        <v>770</v>
      </c>
      <c r="L2245" s="63" t="s">
        <v>5757</v>
      </c>
      <c r="M2245" s="63" t="s">
        <v>5758</v>
      </c>
      <c r="N2245" s="63" t="s">
        <v>3158</v>
      </c>
    </row>
    <row r="2246" spans="1:14" x14ac:dyDescent="0.2">
      <c r="A2246" s="51">
        <v>2245</v>
      </c>
      <c r="B2246" s="54" t="s">
        <v>770</v>
      </c>
      <c r="C2246" s="47" t="s">
        <v>5817</v>
      </c>
      <c r="D2246" s="47" t="s">
        <v>5818</v>
      </c>
      <c r="E2246" s="47" t="s">
        <v>3158</v>
      </c>
      <c r="F2246" s="55" t="b">
        <v>1</v>
      </c>
      <c r="G2246" s="54" t="b">
        <v>1</v>
      </c>
      <c r="H2246" s="54" t="b">
        <v>1</v>
      </c>
      <c r="I2246" s="54" t="b">
        <v>1</v>
      </c>
      <c r="J2246" s="54" t="b">
        <v>1</v>
      </c>
      <c r="K2246" s="63" t="s">
        <v>770</v>
      </c>
      <c r="L2246" s="63" t="s">
        <v>5817</v>
      </c>
      <c r="M2246" s="63" t="s">
        <v>5818</v>
      </c>
      <c r="N2246" s="63" t="s">
        <v>3158</v>
      </c>
    </row>
    <row r="2247" spans="1:14" x14ac:dyDescent="0.2">
      <c r="A2247" s="51">
        <v>2246</v>
      </c>
      <c r="B2247" s="54" t="s">
        <v>770</v>
      </c>
      <c r="C2247" s="47" t="s">
        <v>5744</v>
      </c>
      <c r="D2247" s="47" t="s">
        <v>5745</v>
      </c>
      <c r="E2247" s="47" t="s">
        <v>3158</v>
      </c>
      <c r="F2247" s="55" t="b">
        <v>1</v>
      </c>
      <c r="G2247" s="54" t="b">
        <v>1</v>
      </c>
      <c r="H2247" s="54" t="b">
        <v>1</v>
      </c>
      <c r="I2247" s="54" t="b">
        <v>1</v>
      </c>
      <c r="J2247" s="54" t="b">
        <v>1</v>
      </c>
      <c r="K2247" s="63" t="s">
        <v>770</v>
      </c>
      <c r="L2247" s="63" t="s">
        <v>5744</v>
      </c>
      <c r="M2247" s="63" t="s">
        <v>5745</v>
      </c>
      <c r="N2247" s="63" t="s">
        <v>3158</v>
      </c>
    </row>
    <row r="2248" spans="1:14" x14ac:dyDescent="0.2">
      <c r="A2248" s="51">
        <v>2247</v>
      </c>
      <c r="G2248" s="65" t="b">
        <v>0</v>
      </c>
      <c r="H2248" s="65" t="b">
        <v>0</v>
      </c>
      <c r="I2248" s="65" t="b">
        <v>0</v>
      </c>
      <c r="J2248" s="65" t="b">
        <v>0</v>
      </c>
      <c r="K2248" s="63" t="s">
        <v>770</v>
      </c>
      <c r="L2248" s="63" t="s">
        <v>5744</v>
      </c>
      <c r="M2248" s="63" t="s">
        <v>5828</v>
      </c>
      <c r="N2248" s="63" t="s">
        <v>3158</v>
      </c>
    </row>
    <row r="2249" spans="1:14" x14ac:dyDescent="0.2">
      <c r="A2249" s="51">
        <v>2248</v>
      </c>
      <c r="B2249" s="54" t="s">
        <v>770</v>
      </c>
      <c r="C2249" s="47" t="s">
        <v>5834</v>
      </c>
      <c r="D2249" s="47" t="s">
        <v>12531</v>
      </c>
      <c r="E2249" s="47" t="s">
        <v>3404</v>
      </c>
      <c r="F2249" s="55" t="b">
        <v>1</v>
      </c>
      <c r="G2249" s="54" t="b">
        <v>1</v>
      </c>
      <c r="H2249" s="54" t="b">
        <v>1</v>
      </c>
      <c r="I2249" s="65" t="b">
        <v>0</v>
      </c>
      <c r="J2249" s="65" t="b">
        <v>0</v>
      </c>
      <c r="K2249" s="63" t="s">
        <v>770</v>
      </c>
      <c r="L2249" s="63" t="s">
        <v>5834</v>
      </c>
      <c r="M2249" s="63" t="s">
        <v>5835</v>
      </c>
      <c r="N2249" s="63" t="s">
        <v>3158</v>
      </c>
    </row>
    <row r="2250" spans="1:14" x14ac:dyDescent="0.2">
      <c r="A2250" s="51">
        <v>2249</v>
      </c>
      <c r="G2250" s="65" t="b">
        <v>0</v>
      </c>
      <c r="H2250" s="65" t="b">
        <v>0</v>
      </c>
      <c r="I2250" s="65" t="b">
        <v>0</v>
      </c>
      <c r="J2250" s="65" t="b">
        <v>0</v>
      </c>
      <c r="K2250" s="63" t="s">
        <v>770</v>
      </c>
      <c r="L2250" s="63" t="s">
        <v>5834</v>
      </c>
      <c r="M2250" s="63" t="s">
        <v>5841</v>
      </c>
      <c r="N2250" s="63" t="s">
        <v>3158</v>
      </c>
    </row>
    <row r="2251" spans="1:14" x14ac:dyDescent="0.2">
      <c r="A2251" s="51">
        <v>2250</v>
      </c>
      <c r="B2251" s="54" t="s">
        <v>770</v>
      </c>
      <c r="C2251" s="47" t="s">
        <v>5783</v>
      </c>
      <c r="D2251" s="47" t="s">
        <v>5784</v>
      </c>
      <c r="E2251" s="47" t="s">
        <v>3158</v>
      </c>
      <c r="F2251" s="55" t="b">
        <v>1</v>
      </c>
      <c r="G2251" s="54" t="b">
        <v>1</v>
      </c>
      <c r="H2251" s="54" t="b">
        <v>1</v>
      </c>
      <c r="I2251" s="54" t="b">
        <v>1</v>
      </c>
      <c r="J2251" s="54" t="b">
        <v>1</v>
      </c>
      <c r="K2251" s="63" t="s">
        <v>770</v>
      </c>
      <c r="L2251" s="63" t="s">
        <v>5783</v>
      </c>
      <c r="M2251" s="63" t="s">
        <v>5784</v>
      </c>
      <c r="N2251" s="63" t="s">
        <v>3158</v>
      </c>
    </row>
    <row r="2252" spans="1:14" x14ac:dyDescent="0.2">
      <c r="A2252" s="51">
        <v>2251</v>
      </c>
      <c r="B2252" s="54" t="s">
        <v>770</v>
      </c>
      <c r="C2252" s="47" t="s">
        <v>5805</v>
      </c>
      <c r="D2252" s="47" t="s">
        <v>5806</v>
      </c>
      <c r="E2252" s="47" t="s">
        <v>3158</v>
      </c>
      <c r="F2252" s="55" t="b">
        <v>1</v>
      </c>
      <c r="G2252" s="54" t="b">
        <v>1</v>
      </c>
      <c r="H2252" s="54" t="b">
        <v>1</v>
      </c>
      <c r="I2252" s="54" t="b">
        <v>1</v>
      </c>
      <c r="J2252" s="54" t="b">
        <v>1</v>
      </c>
      <c r="K2252" s="63" t="s">
        <v>770</v>
      </c>
      <c r="L2252" s="63" t="s">
        <v>5805</v>
      </c>
      <c r="M2252" s="63" t="s">
        <v>5806</v>
      </c>
      <c r="N2252" s="63" t="s">
        <v>3158</v>
      </c>
    </row>
    <row r="2253" spans="1:14" x14ac:dyDescent="0.2">
      <c r="A2253" s="51">
        <v>2252</v>
      </c>
      <c r="B2253" s="54" t="s">
        <v>770</v>
      </c>
      <c r="C2253" s="47" t="s">
        <v>5839</v>
      </c>
      <c r="D2253" s="47" t="s">
        <v>5840</v>
      </c>
      <c r="E2253" s="47" t="s">
        <v>3158</v>
      </c>
      <c r="F2253" s="55" t="b">
        <v>1</v>
      </c>
      <c r="G2253" s="54" t="b">
        <v>1</v>
      </c>
      <c r="H2253" s="54" t="b">
        <v>1</v>
      </c>
      <c r="I2253" s="54" t="b">
        <v>1</v>
      </c>
      <c r="J2253" s="54" t="b">
        <v>1</v>
      </c>
      <c r="K2253" s="63" t="s">
        <v>770</v>
      </c>
      <c r="L2253" s="63" t="s">
        <v>5839</v>
      </c>
      <c r="M2253" s="63" t="s">
        <v>5840</v>
      </c>
      <c r="N2253" s="63" t="s">
        <v>3158</v>
      </c>
    </row>
    <row r="2254" spans="1:14" x14ac:dyDescent="0.2">
      <c r="A2254" s="51">
        <v>2253</v>
      </c>
      <c r="B2254" s="54" t="s">
        <v>770</v>
      </c>
      <c r="C2254" s="47" t="s">
        <v>5773</v>
      </c>
      <c r="D2254" s="47" t="s">
        <v>5774</v>
      </c>
      <c r="E2254" s="47" t="s">
        <v>3158</v>
      </c>
      <c r="F2254" s="55" t="b">
        <v>1</v>
      </c>
      <c r="G2254" s="54" t="b">
        <v>1</v>
      </c>
      <c r="H2254" s="54" t="b">
        <v>1</v>
      </c>
      <c r="I2254" s="54" t="b">
        <v>1</v>
      </c>
      <c r="J2254" s="54" t="b">
        <v>1</v>
      </c>
      <c r="K2254" s="63" t="s">
        <v>770</v>
      </c>
      <c r="L2254" s="63" t="s">
        <v>5773</v>
      </c>
      <c r="M2254" s="63" t="s">
        <v>5774</v>
      </c>
      <c r="N2254" s="63" t="s">
        <v>3158</v>
      </c>
    </row>
    <row r="2255" spans="1:14" x14ac:dyDescent="0.2">
      <c r="A2255" s="51">
        <v>2254</v>
      </c>
      <c r="G2255" s="65" t="b">
        <v>0</v>
      </c>
      <c r="H2255" s="65" t="b">
        <v>0</v>
      </c>
      <c r="I2255" s="65" t="b">
        <v>0</v>
      </c>
      <c r="J2255" s="65" t="b">
        <v>0</v>
      </c>
      <c r="K2255" s="63" t="s">
        <v>770</v>
      </c>
      <c r="L2255" s="63" t="s">
        <v>5773</v>
      </c>
      <c r="M2255" s="63" t="s">
        <v>5775</v>
      </c>
      <c r="N2255" s="63" t="s">
        <v>3158</v>
      </c>
    </row>
    <row r="2256" spans="1:14" x14ac:dyDescent="0.2">
      <c r="A2256" s="51">
        <v>2255</v>
      </c>
      <c r="B2256" s="54" t="s">
        <v>770</v>
      </c>
      <c r="C2256" s="47" t="s">
        <v>5748</v>
      </c>
      <c r="D2256" s="47" t="s">
        <v>5749</v>
      </c>
      <c r="E2256" s="47" t="s">
        <v>3158</v>
      </c>
      <c r="F2256" s="55" t="b">
        <v>1</v>
      </c>
      <c r="G2256" s="54" t="b">
        <v>1</v>
      </c>
      <c r="H2256" s="54" t="b">
        <v>1</v>
      </c>
      <c r="I2256" s="54" t="b">
        <v>1</v>
      </c>
      <c r="J2256" s="54" t="b">
        <v>1</v>
      </c>
      <c r="K2256" s="63" t="s">
        <v>770</v>
      </c>
      <c r="L2256" s="63" t="s">
        <v>5748</v>
      </c>
      <c r="M2256" s="63" t="s">
        <v>5749</v>
      </c>
      <c r="N2256" s="63" t="s">
        <v>3158</v>
      </c>
    </row>
    <row r="2257" spans="1:14" x14ac:dyDescent="0.2">
      <c r="A2257" s="51">
        <v>2256</v>
      </c>
      <c r="G2257" s="65" t="b">
        <v>0</v>
      </c>
      <c r="H2257" s="65" t="b">
        <v>0</v>
      </c>
      <c r="I2257" s="65" t="b">
        <v>0</v>
      </c>
      <c r="J2257" s="65" t="b">
        <v>0</v>
      </c>
      <c r="K2257" s="63" t="s">
        <v>770</v>
      </c>
      <c r="L2257" s="63" t="s">
        <v>5748</v>
      </c>
      <c r="M2257" s="63" t="s">
        <v>5765</v>
      </c>
      <c r="N2257" s="63" t="s">
        <v>3158</v>
      </c>
    </row>
    <row r="2258" spans="1:14" x14ac:dyDescent="0.2">
      <c r="A2258" s="51">
        <v>2257</v>
      </c>
      <c r="B2258" s="54" t="s">
        <v>770</v>
      </c>
      <c r="C2258" s="47" t="s">
        <v>5849</v>
      </c>
      <c r="D2258" s="47" t="s">
        <v>5850</v>
      </c>
      <c r="E2258" s="47" t="s">
        <v>3158</v>
      </c>
      <c r="F2258" s="55" t="b">
        <v>1</v>
      </c>
      <c r="G2258" s="54" t="b">
        <v>1</v>
      </c>
      <c r="H2258" s="54" t="b">
        <v>1</v>
      </c>
      <c r="I2258" s="54" t="b">
        <v>1</v>
      </c>
      <c r="J2258" s="54" t="b">
        <v>1</v>
      </c>
      <c r="K2258" s="63" t="s">
        <v>770</v>
      </c>
      <c r="L2258" s="63" t="s">
        <v>5849</v>
      </c>
      <c r="M2258" s="63" t="s">
        <v>5850</v>
      </c>
      <c r="N2258" s="63" t="s">
        <v>3158</v>
      </c>
    </row>
    <row r="2259" spans="1:14" x14ac:dyDescent="0.2">
      <c r="A2259" s="51">
        <v>2258</v>
      </c>
      <c r="G2259" s="65" t="b">
        <v>0</v>
      </c>
      <c r="H2259" s="65" t="b">
        <v>0</v>
      </c>
      <c r="I2259" s="65" t="b">
        <v>0</v>
      </c>
      <c r="J2259" s="65" t="b">
        <v>0</v>
      </c>
      <c r="K2259" s="63" t="s">
        <v>770</v>
      </c>
      <c r="L2259" s="63" t="s">
        <v>5849</v>
      </c>
      <c r="M2259" s="63" t="s">
        <v>5851</v>
      </c>
      <c r="N2259" s="63" t="s">
        <v>3158</v>
      </c>
    </row>
    <row r="2260" spans="1:14" x14ac:dyDescent="0.2">
      <c r="A2260" s="51">
        <v>2259</v>
      </c>
      <c r="B2260" s="54" t="s">
        <v>770</v>
      </c>
      <c r="C2260" s="47" t="s">
        <v>5799</v>
      </c>
      <c r="D2260" s="47" t="s">
        <v>5800</v>
      </c>
      <c r="E2260" s="47" t="s">
        <v>3158</v>
      </c>
      <c r="F2260" s="55" t="b">
        <v>1</v>
      </c>
      <c r="G2260" s="54" t="b">
        <v>1</v>
      </c>
      <c r="H2260" s="54" t="b">
        <v>1</v>
      </c>
      <c r="I2260" s="54" t="b">
        <v>1</v>
      </c>
      <c r="J2260" s="54" t="b">
        <v>1</v>
      </c>
      <c r="K2260" s="63" t="s">
        <v>770</v>
      </c>
      <c r="L2260" s="63" t="s">
        <v>5799</v>
      </c>
      <c r="M2260" s="63" t="s">
        <v>5800</v>
      </c>
      <c r="N2260" s="63" t="s">
        <v>3158</v>
      </c>
    </row>
    <row r="2261" spans="1:14" x14ac:dyDescent="0.2">
      <c r="A2261" s="51">
        <v>2260</v>
      </c>
      <c r="B2261" s="54" t="s">
        <v>770</v>
      </c>
      <c r="C2261" s="47" t="s">
        <v>5754</v>
      </c>
      <c r="D2261" s="47" t="s">
        <v>5755</v>
      </c>
      <c r="E2261" s="47" t="s">
        <v>3158</v>
      </c>
      <c r="F2261" s="55" t="b">
        <v>1</v>
      </c>
      <c r="G2261" s="54" t="b">
        <v>1</v>
      </c>
      <c r="H2261" s="54" t="b">
        <v>1</v>
      </c>
      <c r="I2261" s="54" t="b">
        <v>1</v>
      </c>
      <c r="J2261" s="54" t="b">
        <v>1</v>
      </c>
      <c r="K2261" s="63" t="s">
        <v>770</v>
      </c>
      <c r="L2261" s="63" t="s">
        <v>5754</v>
      </c>
      <c r="M2261" s="63" t="s">
        <v>5755</v>
      </c>
      <c r="N2261" s="63" t="s">
        <v>3158</v>
      </c>
    </row>
    <row r="2262" spans="1:14" x14ac:dyDescent="0.2">
      <c r="A2262" s="51">
        <v>2261</v>
      </c>
      <c r="G2262" s="65" t="b">
        <v>0</v>
      </c>
      <c r="H2262" s="65" t="b">
        <v>0</v>
      </c>
      <c r="I2262" s="65" t="b">
        <v>0</v>
      </c>
      <c r="J2262" s="65" t="b">
        <v>0</v>
      </c>
      <c r="K2262" s="63" t="s">
        <v>770</v>
      </c>
      <c r="L2262" s="63" t="s">
        <v>5754</v>
      </c>
      <c r="M2262" s="63" t="s">
        <v>5756</v>
      </c>
      <c r="N2262" s="63" t="s">
        <v>3158</v>
      </c>
    </row>
    <row r="2263" spans="1:14" x14ac:dyDescent="0.2">
      <c r="A2263" s="51">
        <v>2262</v>
      </c>
      <c r="B2263" s="54" t="s">
        <v>770</v>
      </c>
      <c r="C2263" s="47" t="s">
        <v>5823</v>
      </c>
      <c r="D2263" s="47" t="s">
        <v>5824</v>
      </c>
      <c r="E2263" s="47" t="s">
        <v>3158</v>
      </c>
      <c r="F2263" s="55" t="b">
        <v>1</v>
      </c>
      <c r="G2263" s="54" t="b">
        <v>1</v>
      </c>
      <c r="H2263" s="54" t="b">
        <v>1</v>
      </c>
      <c r="I2263" s="54" t="b">
        <v>1</v>
      </c>
      <c r="J2263" s="54" t="b">
        <v>1</v>
      </c>
      <c r="K2263" s="63" t="s">
        <v>770</v>
      </c>
      <c r="L2263" s="63" t="s">
        <v>5823</v>
      </c>
      <c r="M2263" s="63" t="s">
        <v>5824</v>
      </c>
      <c r="N2263" s="63" t="s">
        <v>3158</v>
      </c>
    </row>
    <row r="2264" spans="1:14" x14ac:dyDescent="0.2">
      <c r="A2264" s="51">
        <v>2263</v>
      </c>
      <c r="G2264" s="65" t="b">
        <v>0</v>
      </c>
      <c r="H2264" s="65" t="b">
        <v>0</v>
      </c>
      <c r="I2264" s="65" t="b">
        <v>0</v>
      </c>
      <c r="J2264" s="65" t="b">
        <v>0</v>
      </c>
      <c r="K2264" s="63" t="s">
        <v>770</v>
      </c>
      <c r="L2264" s="63" t="s">
        <v>5823</v>
      </c>
      <c r="M2264" s="63" t="s">
        <v>5827</v>
      </c>
      <c r="N2264" s="63" t="s">
        <v>3158</v>
      </c>
    </row>
    <row r="2265" spans="1:14" x14ac:dyDescent="0.2">
      <c r="A2265" s="51">
        <v>2264</v>
      </c>
      <c r="B2265" s="54" t="s">
        <v>770</v>
      </c>
      <c r="C2265" s="47" t="s">
        <v>5737</v>
      </c>
      <c r="D2265" s="47" t="s">
        <v>5738</v>
      </c>
      <c r="E2265" s="47" t="s">
        <v>3158</v>
      </c>
      <c r="F2265" s="55" t="b">
        <v>1</v>
      </c>
      <c r="G2265" s="54" t="b">
        <v>1</v>
      </c>
      <c r="H2265" s="54" t="b">
        <v>1</v>
      </c>
      <c r="I2265" s="54" t="b">
        <v>1</v>
      </c>
      <c r="J2265" s="54" t="b">
        <v>1</v>
      </c>
      <c r="K2265" s="63" t="s">
        <v>770</v>
      </c>
      <c r="L2265" s="63" t="s">
        <v>5737</v>
      </c>
      <c r="M2265" s="63" t="s">
        <v>5738</v>
      </c>
      <c r="N2265" s="63" t="s">
        <v>3158</v>
      </c>
    </row>
    <row r="2266" spans="1:14" x14ac:dyDescent="0.2">
      <c r="A2266" s="51">
        <v>2265</v>
      </c>
      <c r="G2266" s="65" t="b">
        <v>0</v>
      </c>
      <c r="H2266" s="65" t="b">
        <v>0</v>
      </c>
      <c r="I2266" s="65" t="b">
        <v>0</v>
      </c>
      <c r="J2266" s="65" t="b">
        <v>0</v>
      </c>
      <c r="K2266" s="63" t="s">
        <v>770</v>
      </c>
      <c r="L2266" s="63" t="s">
        <v>5737</v>
      </c>
      <c r="M2266" s="63" t="s">
        <v>5739</v>
      </c>
      <c r="N2266" s="63" t="s">
        <v>3158</v>
      </c>
    </row>
    <row r="2267" spans="1:14" x14ac:dyDescent="0.2">
      <c r="A2267" s="51">
        <v>2266</v>
      </c>
      <c r="B2267" s="54" t="s">
        <v>770</v>
      </c>
      <c r="C2267" s="47" t="s">
        <v>5793</v>
      </c>
      <c r="D2267" s="47" t="s">
        <v>5794</v>
      </c>
      <c r="E2267" s="47" t="s">
        <v>3158</v>
      </c>
      <c r="F2267" s="55" t="b">
        <v>1</v>
      </c>
      <c r="G2267" s="54" t="b">
        <v>1</v>
      </c>
      <c r="H2267" s="54" t="b">
        <v>1</v>
      </c>
      <c r="I2267" s="54" t="b">
        <v>1</v>
      </c>
      <c r="J2267" s="54" t="b">
        <v>1</v>
      </c>
      <c r="K2267" s="63" t="s">
        <v>770</v>
      </c>
      <c r="L2267" s="63" t="s">
        <v>5793</v>
      </c>
      <c r="M2267" s="63" t="s">
        <v>5794</v>
      </c>
      <c r="N2267" s="63" t="s">
        <v>3158</v>
      </c>
    </row>
    <row r="2268" spans="1:14" x14ac:dyDescent="0.2">
      <c r="A2268" s="51">
        <v>2267</v>
      </c>
      <c r="B2268" s="54" t="s">
        <v>770</v>
      </c>
      <c r="C2268" s="47" t="s">
        <v>5819</v>
      </c>
      <c r="D2268" s="47" t="s">
        <v>5820</v>
      </c>
      <c r="E2268" s="47" t="s">
        <v>3158</v>
      </c>
      <c r="F2268" s="55" t="b">
        <v>1</v>
      </c>
      <c r="G2268" s="54" t="b">
        <v>1</v>
      </c>
      <c r="H2268" s="54" t="b">
        <v>1</v>
      </c>
      <c r="I2268" s="54" t="b">
        <v>1</v>
      </c>
      <c r="J2268" s="54" t="b">
        <v>1</v>
      </c>
      <c r="K2268" s="63" t="s">
        <v>770</v>
      </c>
      <c r="L2268" s="63" t="s">
        <v>5819</v>
      </c>
      <c r="M2268" s="63" t="s">
        <v>5820</v>
      </c>
      <c r="N2268" s="63" t="s">
        <v>3158</v>
      </c>
    </row>
    <row r="2269" spans="1:14" x14ac:dyDescent="0.2">
      <c r="A2269" s="51">
        <v>2268</v>
      </c>
      <c r="G2269" s="65" t="b">
        <v>0</v>
      </c>
      <c r="H2269" s="65" t="b">
        <v>0</v>
      </c>
      <c r="I2269" s="65" t="b">
        <v>0</v>
      </c>
      <c r="J2269" s="65" t="b">
        <v>0</v>
      </c>
      <c r="K2269" s="63" t="s">
        <v>770</v>
      </c>
      <c r="L2269" s="63" t="s">
        <v>5819</v>
      </c>
      <c r="M2269" s="63" t="s">
        <v>5825</v>
      </c>
      <c r="N2269" s="63" t="s">
        <v>3158</v>
      </c>
    </row>
    <row r="2270" spans="1:14" x14ac:dyDescent="0.2">
      <c r="A2270" s="51">
        <v>2269</v>
      </c>
      <c r="B2270" s="54" t="s">
        <v>770</v>
      </c>
      <c r="C2270" s="47" t="s">
        <v>5789</v>
      </c>
      <c r="D2270" s="47" t="s">
        <v>12528</v>
      </c>
      <c r="E2270" s="47" t="s">
        <v>3158</v>
      </c>
      <c r="F2270" s="55" t="b">
        <v>1</v>
      </c>
      <c r="G2270" s="54" t="b">
        <v>1</v>
      </c>
      <c r="H2270" s="54" t="b">
        <v>1</v>
      </c>
      <c r="I2270" s="65" t="b">
        <v>0</v>
      </c>
      <c r="J2270" s="54" t="b">
        <v>1</v>
      </c>
      <c r="K2270" s="63" t="s">
        <v>770</v>
      </c>
      <c r="L2270" s="63" t="s">
        <v>5789</v>
      </c>
      <c r="M2270" s="63" t="s">
        <v>5790</v>
      </c>
      <c r="N2270" s="63" t="s">
        <v>3158</v>
      </c>
    </row>
    <row r="2271" spans="1:14" x14ac:dyDescent="0.2">
      <c r="A2271" s="51">
        <v>2270</v>
      </c>
      <c r="G2271" s="65" t="b">
        <v>0</v>
      </c>
      <c r="H2271" s="65" t="b">
        <v>0</v>
      </c>
      <c r="I2271" s="65" t="b">
        <v>0</v>
      </c>
      <c r="J2271" s="65" t="b">
        <v>0</v>
      </c>
      <c r="K2271" s="63" t="s">
        <v>770</v>
      </c>
      <c r="L2271" s="63" t="s">
        <v>5789</v>
      </c>
      <c r="M2271" s="63" t="s">
        <v>5791</v>
      </c>
      <c r="N2271" s="63" t="s">
        <v>3158</v>
      </c>
    </row>
    <row r="2272" spans="1:14" x14ac:dyDescent="0.2">
      <c r="A2272" s="51">
        <v>2271</v>
      </c>
      <c r="B2272" s="54" t="s">
        <v>770</v>
      </c>
      <c r="C2272" s="47" t="s">
        <v>5813</v>
      </c>
      <c r="D2272" s="47" t="s">
        <v>12530</v>
      </c>
      <c r="E2272" s="47" t="s">
        <v>3158</v>
      </c>
      <c r="F2272" s="55" t="b">
        <v>1</v>
      </c>
      <c r="G2272" s="54" t="b">
        <v>1</v>
      </c>
      <c r="H2272" s="54" t="b">
        <v>1</v>
      </c>
      <c r="I2272" s="65" t="b">
        <v>0</v>
      </c>
      <c r="J2272" s="54" t="b">
        <v>1</v>
      </c>
      <c r="K2272" s="63" t="s">
        <v>770</v>
      </c>
      <c r="L2272" s="63" t="s">
        <v>5813</v>
      </c>
      <c r="M2272" s="63" t="s">
        <v>5814</v>
      </c>
      <c r="N2272" s="63" t="s">
        <v>3158</v>
      </c>
    </row>
    <row r="2273" spans="1:14" x14ac:dyDescent="0.2">
      <c r="A2273" s="51">
        <v>2272</v>
      </c>
      <c r="G2273" s="65" t="b">
        <v>0</v>
      </c>
      <c r="H2273" s="65" t="b">
        <v>0</v>
      </c>
      <c r="I2273" s="65" t="b">
        <v>0</v>
      </c>
      <c r="J2273" s="65" t="b">
        <v>0</v>
      </c>
      <c r="K2273" s="63" t="s">
        <v>770</v>
      </c>
      <c r="L2273" s="63" t="s">
        <v>5813</v>
      </c>
      <c r="M2273" s="63" t="s">
        <v>5853</v>
      </c>
      <c r="N2273" s="63" t="s">
        <v>3158</v>
      </c>
    </row>
    <row r="2274" spans="1:14" x14ac:dyDescent="0.2">
      <c r="A2274" s="51">
        <v>2273</v>
      </c>
      <c r="B2274" s="54" t="s">
        <v>770</v>
      </c>
      <c r="C2274" s="47" t="s">
        <v>5768</v>
      </c>
      <c r="D2274" s="47" t="s">
        <v>12526</v>
      </c>
      <c r="E2274" s="47" t="s">
        <v>3158</v>
      </c>
      <c r="F2274" s="55" t="b">
        <v>1</v>
      </c>
      <c r="G2274" s="54" t="b">
        <v>1</v>
      </c>
      <c r="H2274" s="54" t="b">
        <v>1</v>
      </c>
      <c r="I2274" s="65" t="b">
        <v>0</v>
      </c>
      <c r="J2274" s="54" t="b">
        <v>1</v>
      </c>
      <c r="K2274" s="63" t="s">
        <v>770</v>
      </c>
      <c r="L2274" s="63" t="s">
        <v>5768</v>
      </c>
      <c r="M2274" s="63" t="s">
        <v>5769</v>
      </c>
      <c r="N2274" s="63" t="s">
        <v>3158</v>
      </c>
    </row>
    <row r="2275" spans="1:14" x14ac:dyDescent="0.2">
      <c r="A2275" s="51">
        <v>2274</v>
      </c>
      <c r="G2275" s="65" t="b">
        <v>0</v>
      </c>
      <c r="H2275" s="65" t="b">
        <v>0</v>
      </c>
      <c r="I2275" s="65" t="b">
        <v>0</v>
      </c>
      <c r="J2275" s="65" t="b">
        <v>0</v>
      </c>
      <c r="K2275" s="63" t="s">
        <v>770</v>
      </c>
      <c r="L2275" s="63" t="s">
        <v>5768</v>
      </c>
      <c r="M2275" s="63" t="s">
        <v>5770</v>
      </c>
      <c r="N2275" s="63" t="s">
        <v>3158</v>
      </c>
    </row>
    <row r="2276" spans="1:14" x14ac:dyDescent="0.2">
      <c r="A2276" s="51">
        <v>2275</v>
      </c>
      <c r="B2276" s="54" t="s">
        <v>770</v>
      </c>
      <c r="C2276" s="47" t="s">
        <v>5803</v>
      </c>
      <c r="D2276" s="47" t="s">
        <v>5804</v>
      </c>
      <c r="E2276" s="47" t="s">
        <v>3158</v>
      </c>
      <c r="F2276" s="55" t="b">
        <v>1</v>
      </c>
      <c r="G2276" s="54" t="b">
        <v>1</v>
      </c>
      <c r="H2276" s="54" t="b">
        <v>1</v>
      </c>
      <c r="I2276" s="54" t="b">
        <v>1</v>
      </c>
      <c r="J2276" s="54" t="b">
        <v>1</v>
      </c>
      <c r="K2276" s="63" t="s">
        <v>770</v>
      </c>
      <c r="L2276" s="63" t="s">
        <v>5803</v>
      </c>
      <c r="M2276" s="63" t="s">
        <v>5804</v>
      </c>
      <c r="N2276" s="63" t="s">
        <v>3158</v>
      </c>
    </row>
    <row r="2277" spans="1:14" x14ac:dyDescent="0.2">
      <c r="A2277" s="51">
        <v>2276</v>
      </c>
      <c r="B2277" s="54" t="s">
        <v>770</v>
      </c>
      <c r="C2277" s="47" t="s">
        <v>5842</v>
      </c>
      <c r="D2277" s="47" t="s">
        <v>5843</v>
      </c>
      <c r="E2277" s="47" t="s">
        <v>3158</v>
      </c>
      <c r="F2277" s="55" t="b">
        <v>1</v>
      </c>
      <c r="G2277" s="54" t="b">
        <v>1</v>
      </c>
      <c r="H2277" s="54" t="b">
        <v>1</v>
      </c>
      <c r="I2277" s="54" t="b">
        <v>1</v>
      </c>
      <c r="J2277" s="54" t="b">
        <v>1</v>
      </c>
      <c r="K2277" s="63" t="s">
        <v>770</v>
      </c>
      <c r="L2277" s="63" t="s">
        <v>5842</v>
      </c>
      <c r="M2277" s="63" t="s">
        <v>5843</v>
      </c>
      <c r="N2277" s="63" t="s">
        <v>3158</v>
      </c>
    </row>
    <row r="2278" spans="1:14" x14ac:dyDescent="0.2">
      <c r="A2278" s="51">
        <v>2277</v>
      </c>
      <c r="B2278" s="54" t="s">
        <v>770</v>
      </c>
      <c r="C2278" s="47" t="s">
        <v>5837</v>
      </c>
      <c r="D2278" s="47" t="s">
        <v>5838</v>
      </c>
      <c r="E2278" s="47" t="s">
        <v>3158</v>
      </c>
      <c r="F2278" s="55" t="b">
        <v>1</v>
      </c>
      <c r="G2278" s="54" t="b">
        <v>1</v>
      </c>
      <c r="H2278" s="54" t="b">
        <v>1</v>
      </c>
      <c r="I2278" s="54" t="b">
        <v>1</v>
      </c>
      <c r="J2278" s="54" t="b">
        <v>1</v>
      </c>
      <c r="K2278" s="63" t="s">
        <v>770</v>
      </c>
      <c r="L2278" s="63" t="s">
        <v>5837</v>
      </c>
      <c r="M2278" s="63" t="s">
        <v>5838</v>
      </c>
      <c r="N2278" s="63" t="s">
        <v>3158</v>
      </c>
    </row>
    <row r="2279" spans="1:14" x14ac:dyDescent="0.2">
      <c r="A2279" s="51">
        <v>2278</v>
      </c>
      <c r="B2279" s="54" t="s">
        <v>770</v>
      </c>
      <c r="C2279" s="47" t="s">
        <v>5821</v>
      </c>
      <c r="D2279" s="47" t="s">
        <v>5822</v>
      </c>
      <c r="E2279" s="47" t="s">
        <v>3158</v>
      </c>
      <c r="F2279" s="55" t="b">
        <v>1</v>
      </c>
      <c r="G2279" s="54" t="b">
        <v>1</v>
      </c>
      <c r="H2279" s="54" t="b">
        <v>1</v>
      </c>
      <c r="I2279" s="54" t="b">
        <v>1</v>
      </c>
      <c r="J2279" s="54" t="b">
        <v>1</v>
      </c>
      <c r="K2279" s="63" t="s">
        <v>770</v>
      </c>
      <c r="L2279" s="63" t="s">
        <v>5821</v>
      </c>
      <c r="M2279" s="63" t="s">
        <v>5822</v>
      </c>
      <c r="N2279" s="63" t="s">
        <v>3158</v>
      </c>
    </row>
    <row r="2280" spans="1:14" x14ac:dyDescent="0.2">
      <c r="A2280" s="51">
        <v>2279</v>
      </c>
      <c r="G2280" s="65" t="b">
        <v>0</v>
      </c>
      <c r="H2280" s="65" t="b">
        <v>0</v>
      </c>
      <c r="I2280" s="65" t="b">
        <v>0</v>
      </c>
      <c r="J2280" s="65" t="b">
        <v>0</v>
      </c>
      <c r="K2280" s="63" t="s">
        <v>770</v>
      </c>
      <c r="L2280" s="63" t="s">
        <v>5821</v>
      </c>
      <c r="M2280" s="63" t="s">
        <v>5826</v>
      </c>
      <c r="N2280" s="63" t="s">
        <v>3158</v>
      </c>
    </row>
    <row r="2281" spans="1:14" x14ac:dyDescent="0.2">
      <c r="A2281" s="51">
        <v>2280</v>
      </c>
      <c r="B2281" s="54" t="s">
        <v>770</v>
      </c>
      <c r="C2281" s="47" t="s">
        <v>5809</v>
      </c>
      <c r="D2281" s="47" t="s">
        <v>5810</v>
      </c>
      <c r="E2281" s="47" t="s">
        <v>3158</v>
      </c>
      <c r="F2281" s="55" t="b">
        <v>1</v>
      </c>
      <c r="G2281" s="54" t="b">
        <v>1</v>
      </c>
      <c r="H2281" s="54" t="b">
        <v>1</v>
      </c>
      <c r="I2281" s="54" t="b">
        <v>1</v>
      </c>
      <c r="J2281" s="54" t="b">
        <v>1</v>
      </c>
      <c r="K2281" s="63" t="s">
        <v>770</v>
      </c>
      <c r="L2281" s="63" t="s">
        <v>5809</v>
      </c>
      <c r="M2281" s="63" t="s">
        <v>5810</v>
      </c>
      <c r="N2281" s="63" t="s">
        <v>3158</v>
      </c>
    </row>
    <row r="2282" spans="1:14" x14ac:dyDescent="0.2">
      <c r="A2282" s="51">
        <v>2281</v>
      </c>
      <c r="B2282" s="54" t="s">
        <v>770</v>
      </c>
      <c r="C2282" s="47" t="s">
        <v>5759</v>
      </c>
      <c r="D2282" s="47" t="s">
        <v>5760</v>
      </c>
      <c r="E2282" s="47" t="s">
        <v>3158</v>
      </c>
      <c r="F2282" s="55" t="b">
        <v>1</v>
      </c>
      <c r="G2282" s="54" t="b">
        <v>1</v>
      </c>
      <c r="H2282" s="54" t="b">
        <v>1</v>
      </c>
      <c r="I2282" s="54" t="b">
        <v>1</v>
      </c>
      <c r="J2282" s="54" t="b">
        <v>1</v>
      </c>
      <c r="K2282" s="63" t="s">
        <v>770</v>
      </c>
      <c r="L2282" s="63" t="s">
        <v>5759</v>
      </c>
      <c r="M2282" s="63" t="s">
        <v>5760</v>
      </c>
      <c r="N2282" s="63" t="s">
        <v>3158</v>
      </c>
    </row>
    <row r="2283" spans="1:14" x14ac:dyDescent="0.2">
      <c r="A2283" s="51">
        <v>2282</v>
      </c>
      <c r="G2283" s="65" t="b">
        <v>0</v>
      </c>
      <c r="H2283" s="65" t="b">
        <v>0</v>
      </c>
      <c r="I2283" s="65" t="b">
        <v>0</v>
      </c>
      <c r="J2283" s="65" t="b">
        <v>0</v>
      </c>
      <c r="K2283" s="63" t="s">
        <v>770</v>
      </c>
      <c r="L2283" s="63" t="s">
        <v>5759</v>
      </c>
      <c r="M2283" s="63" t="s">
        <v>5761</v>
      </c>
      <c r="N2283" s="63" t="s">
        <v>3158</v>
      </c>
    </row>
    <row r="2284" spans="1:14" x14ac:dyDescent="0.2">
      <c r="A2284" s="51">
        <v>2283</v>
      </c>
      <c r="B2284" s="54" t="s">
        <v>770</v>
      </c>
      <c r="C2284" s="47" t="s">
        <v>5846</v>
      </c>
      <c r="D2284" s="47" t="s">
        <v>5847</v>
      </c>
      <c r="E2284" s="47" t="s">
        <v>3158</v>
      </c>
      <c r="F2284" s="55" t="b">
        <v>1</v>
      </c>
      <c r="G2284" s="54" t="b">
        <v>1</v>
      </c>
      <c r="H2284" s="54" t="b">
        <v>1</v>
      </c>
      <c r="I2284" s="54" t="b">
        <v>1</v>
      </c>
      <c r="J2284" s="54" t="b">
        <v>1</v>
      </c>
      <c r="K2284" s="63" t="s">
        <v>770</v>
      </c>
      <c r="L2284" s="63" t="s">
        <v>5846</v>
      </c>
      <c r="M2284" s="63" t="s">
        <v>5847</v>
      </c>
      <c r="N2284" s="63" t="s">
        <v>3158</v>
      </c>
    </row>
    <row r="2285" spans="1:14" x14ac:dyDescent="0.2">
      <c r="A2285" s="51">
        <v>2284</v>
      </c>
      <c r="G2285" s="65" t="b">
        <v>0</v>
      </c>
      <c r="H2285" s="65" t="b">
        <v>0</v>
      </c>
      <c r="I2285" s="65" t="b">
        <v>0</v>
      </c>
      <c r="J2285" s="65" t="b">
        <v>0</v>
      </c>
      <c r="K2285" s="63" t="s">
        <v>770</v>
      </c>
      <c r="L2285" s="63" t="s">
        <v>5846</v>
      </c>
      <c r="M2285" s="63" t="s">
        <v>5848</v>
      </c>
      <c r="N2285" s="63" t="s">
        <v>3158</v>
      </c>
    </row>
    <row r="2286" spans="1:14" x14ac:dyDescent="0.2">
      <c r="A2286" s="51">
        <v>2285</v>
      </c>
      <c r="B2286" s="54" t="s">
        <v>770</v>
      </c>
      <c r="C2286" s="47" t="s">
        <v>5831</v>
      </c>
      <c r="D2286" s="47" t="s">
        <v>5832</v>
      </c>
      <c r="E2286" s="47" t="s">
        <v>3158</v>
      </c>
      <c r="F2286" s="55" t="b">
        <v>1</v>
      </c>
      <c r="G2286" s="54" t="b">
        <v>1</v>
      </c>
      <c r="H2286" s="54" t="b">
        <v>1</v>
      </c>
      <c r="I2286" s="54" t="b">
        <v>1</v>
      </c>
      <c r="J2286" s="54" t="b">
        <v>1</v>
      </c>
      <c r="K2286" s="63" t="s">
        <v>770</v>
      </c>
      <c r="L2286" s="63" t="s">
        <v>5831</v>
      </c>
      <c r="M2286" s="63" t="s">
        <v>5832</v>
      </c>
      <c r="N2286" s="63" t="s">
        <v>3158</v>
      </c>
    </row>
    <row r="2287" spans="1:14" x14ac:dyDescent="0.2">
      <c r="A2287" s="51">
        <v>2286</v>
      </c>
      <c r="G2287" s="65" t="b">
        <v>0</v>
      </c>
      <c r="H2287" s="65" t="b">
        <v>0</v>
      </c>
      <c r="I2287" s="65" t="b">
        <v>0</v>
      </c>
      <c r="J2287" s="65" t="b">
        <v>0</v>
      </c>
      <c r="K2287" s="63" t="s">
        <v>770</v>
      </c>
      <c r="L2287" s="63" t="s">
        <v>5831</v>
      </c>
      <c r="M2287" s="63" t="s">
        <v>5833</v>
      </c>
      <c r="N2287" s="63" t="s">
        <v>3158</v>
      </c>
    </row>
    <row r="2288" spans="1:14" x14ac:dyDescent="0.2">
      <c r="A2288" s="51">
        <v>2287</v>
      </c>
      <c r="B2288" s="54" t="s">
        <v>770</v>
      </c>
      <c r="C2288" s="47" t="s">
        <v>5778</v>
      </c>
      <c r="D2288" s="47" t="s">
        <v>5779</v>
      </c>
      <c r="E2288" s="47" t="s">
        <v>3158</v>
      </c>
      <c r="F2288" s="55" t="b">
        <v>1</v>
      </c>
      <c r="G2288" s="54" t="b">
        <v>1</v>
      </c>
      <c r="H2288" s="54" t="b">
        <v>1</v>
      </c>
      <c r="I2288" s="54" t="b">
        <v>1</v>
      </c>
      <c r="J2288" s="54" t="b">
        <v>1</v>
      </c>
      <c r="K2288" s="63" t="s">
        <v>770</v>
      </c>
      <c r="L2288" s="63" t="s">
        <v>5778</v>
      </c>
      <c r="M2288" s="63" t="s">
        <v>5779</v>
      </c>
      <c r="N2288" s="63" t="s">
        <v>3158</v>
      </c>
    </row>
    <row r="2289" spans="1:14" x14ac:dyDescent="0.2">
      <c r="A2289" s="51">
        <v>2288</v>
      </c>
      <c r="B2289" s="54" t="s">
        <v>770</v>
      </c>
      <c r="C2289" s="47" t="s">
        <v>5746</v>
      </c>
      <c r="D2289" s="47" t="s">
        <v>5747</v>
      </c>
      <c r="E2289" s="47" t="s">
        <v>3158</v>
      </c>
      <c r="F2289" s="55" t="b">
        <v>1</v>
      </c>
      <c r="G2289" s="54" t="b">
        <v>1</v>
      </c>
      <c r="H2289" s="54" t="b">
        <v>1</v>
      </c>
      <c r="I2289" s="54" t="b">
        <v>1</v>
      </c>
      <c r="J2289" s="54" t="b">
        <v>1</v>
      </c>
      <c r="K2289" s="63" t="s">
        <v>770</v>
      </c>
      <c r="L2289" s="63" t="s">
        <v>5746</v>
      </c>
      <c r="M2289" s="63" t="s">
        <v>5747</v>
      </c>
      <c r="N2289" s="63" t="s">
        <v>3158</v>
      </c>
    </row>
    <row r="2290" spans="1:14" x14ac:dyDescent="0.2">
      <c r="A2290" s="51">
        <v>2289</v>
      </c>
      <c r="B2290" s="54" t="s">
        <v>770</v>
      </c>
      <c r="C2290" s="47" t="s">
        <v>5785</v>
      </c>
      <c r="D2290" s="47" t="s">
        <v>12527</v>
      </c>
      <c r="E2290" s="47" t="s">
        <v>3158</v>
      </c>
      <c r="F2290" s="55" t="b">
        <v>1</v>
      </c>
      <c r="G2290" s="54" t="b">
        <v>1</v>
      </c>
      <c r="H2290" s="54" t="b">
        <v>1</v>
      </c>
      <c r="I2290" s="65" t="b">
        <v>0</v>
      </c>
      <c r="J2290" s="54" t="b">
        <v>1</v>
      </c>
      <c r="K2290" s="63" t="s">
        <v>770</v>
      </c>
      <c r="L2290" s="63" t="s">
        <v>5785</v>
      </c>
      <c r="M2290" s="63" t="s">
        <v>5786</v>
      </c>
      <c r="N2290" s="63" t="s">
        <v>3158</v>
      </c>
    </row>
    <row r="2291" spans="1:14" x14ac:dyDescent="0.2">
      <c r="A2291" s="51">
        <v>2290</v>
      </c>
      <c r="G2291" s="65" t="b">
        <v>0</v>
      </c>
      <c r="H2291" s="65" t="b">
        <v>0</v>
      </c>
      <c r="I2291" s="65" t="b">
        <v>0</v>
      </c>
      <c r="J2291" s="65" t="b">
        <v>0</v>
      </c>
      <c r="K2291" s="63" t="s">
        <v>770</v>
      </c>
      <c r="L2291" s="63" t="s">
        <v>5785</v>
      </c>
      <c r="M2291" s="63" t="s">
        <v>5792</v>
      </c>
      <c r="N2291" s="63" t="s">
        <v>3158</v>
      </c>
    </row>
    <row r="2292" spans="1:14" x14ac:dyDescent="0.2">
      <c r="A2292" s="51">
        <v>2291</v>
      </c>
      <c r="B2292" s="54" t="s">
        <v>770</v>
      </c>
      <c r="C2292" s="47" t="s">
        <v>5750</v>
      </c>
      <c r="D2292" s="47" t="s">
        <v>5751</v>
      </c>
      <c r="E2292" s="47" t="s">
        <v>3158</v>
      </c>
      <c r="F2292" s="55" t="b">
        <v>1</v>
      </c>
      <c r="G2292" s="54" t="b">
        <v>1</v>
      </c>
      <c r="H2292" s="54" t="b">
        <v>1</v>
      </c>
      <c r="I2292" s="54" t="b">
        <v>1</v>
      </c>
      <c r="J2292" s="54" t="b">
        <v>1</v>
      </c>
      <c r="K2292" s="63" t="s">
        <v>770</v>
      </c>
      <c r="L2292" s="63" t="s">
        <v>5750</v>
      </c>
      <c r="M2292" s="63" t="s">
        <v>5751</v>
      </c>
      <c r="N2292" s="63" t="s">
        <v>3158</v>
      </c>
    </row>
    <row r="2293" spans="1:14" x14ac:dyDescent="0.2">
      <c r="A2293" s="51">
        <v>2292</v>
      </c>
      <c r="G2293" s="65" t="b">
        <v>0</v>
      </c>
      <c r="H2293" s="65" t="b">
        <v>0</v>
      </c>
      <c r="I2293" s="65" t="b">
        <v>0</v>
      </c>
      <c r="J2293" s="65" t="b">
        <v>0</v>
      </c>
      <c r="K2293" s="63" t="s">
        <v>770</v>
      </c>
      <c r="L2293" s="63" t="s">
        <v>5750</v>
      </c>
      <c r="M2293" s="63" t="s">
        <v>5766</v>
      </c>
      <c r="N2293" s="63" t="s">
        <v>3158</v>
      </c>
    </row>
    <row r="2294" spans="1:14" x14ac:dyDescent="0.2">
      <c r="A2294" s="51">
        <v>2293</v>
      </c>
      <c r="B2294" s="54" t="s">
        <v>770</v>
      </c>
      <c r="C2294" s="47" t="s">
        <v>5815</v>
      </c>
      <c r="D2294" s="47" t="s">
        <v>5816</v>
      </c>
      <c r="E2294" s="47" t="s">
        <v>3158</v>
      </c>
      <c r="F2294" s="55" t="b">
        <v>1</v>
      </c>
      <c r="G2294" s="54" t="b">
        <v>1</v>
      </c>
      <c r="H2294" s="54" t="b">
        <v>1</v>
      </c>
      <c r="I2294" s="54" t="b">
        <v>1</v>
      </c>
      <c r="J2294" s="54" t="b">
        <v>1</v>
      </c>
      <c r="K2294" s="63" t="s">
        <v>770</v>
      </c>
      <c r="L2294" s="63" t="s">
        <v>5815</v>
      </c>
      <c r="M2294" s="63" t="s">
        <v>5816</v>
      </c>
      <c r="N2294" s="63" t="s">
        <v>3158</v>
      </c>
    </row>
    <row r="2295" spans="1:14" x14ac:dyDescent="0.2">
      <c r="A2295" s="51">
        <v>2294</v>
      </c>
      <c r="B2295" s="54" t="s">
        <v>770</v>
      </c>
      <c r="C2295" s="47" t="s">
        <v>5801</v>
      </c>
      <c r="D2295" s="47" t="s">
        <v>5802</v>
      </c>
      <c r="E2295" s="47" t="s">
        <v>3158</v>
      </c>
      <c r="F2295" s="55" t="b">
        <v>1</v>
      </c>
      <c r="G2295" s="54" t="b">
        <v>1</v>
      </c>
      <c r="H2295" s="54" t="b">
        <v>1</v>
      </c>
      <c r="I2295" s="54" t="b">
        <v>1</v>
      </c>
      <c r="J2295" s="54" t="b">
        <v>1</v>
      </c>
      <c r="K2295" s="63" t="s">
        <v>770</v>
      </c>
      <c r="L2295" s="63" t="s">
        <v>5801</v>
      </c>
      <c r="M2295" s="63" t="s">
        <v>5802</v>
      </c>
      <c r="N2295" s="63" t="s">
        <v>3158</v>
      </c>
    </row>
    <row r="2296" spans="1:14" x14ac:dyDescent="0.2">
      <c r="A2296" s="51">
        <v>2295</v>
      </c>
      <c r="B2296" s="54" t="s">
        <v>770</v>
      </c>
      <c r="C2296" s="47" t="s">
        <v>5787</v>
      </c>
      <c r="D2296" s="47" t="s">
        <v>5788</v>
      </c>
      <c r="E2296" s="47" t="s">
        <v>3158</v>
      </c>
      <c r="F2296" s="55" t="b">
        <v>1</v>
      </c>
      <c r="G2296" s="54" t="b">
        <v>1</v>
      </c>
      <c r="H2296" s="54" t="b">
        <v>1</v>
      </c>
      <c r="I2296" s="54" t="b">
        <v>1</v>
      </c>
      <c r="J2296" s="54" t="b">
        <v>1</v>
      </c>
      <c r="K2296" s="63" t="s">
        <v>770</v>
      </c>
      <c r="L2296" s="63" t="s">
        <v>5787</v>
      </c>
      <c r="M2296" s="63" t="s">
        <v>5788</v>
      </c>
      <c r="N2296" s="63" t="s">
        <v>3158</v>
      </c>
    </row>
    <row r="2297" spans="1:14" x14ac:dyDescent="0.2">
      <c r="A2297" s="51">
        <v>2296</v>
      </c>
      <c r="B2297" s="54" t="s">
        <v>770</v>
      </c>
      <c r="C2297" s="47" t="s">
        <v>5807</v>
      </c>
      <c r="D2297" s="47" t="s">
        <v>12529</v>
      </c>
      <c r="E2297" s="47" t="s">
        <v>3158</v>
      </c>
      <c r="F2297" s="55" t="b">
        <v>1</v>
      </c>
      <c r="G2297" s="54" t="b">
        <v>1</v>
      </c>
      <c r="H2297" s="54" t="b">
        <v>1</v>
      </c>
      <c r="I2297" s="65" t="b">
        <v>0</v>
      </c>
      <c r="J2297" s="54" t="b">
        <v>1</v>
      </c>
      <c r="K2297" s="63" t="s">
        <v>770</v>
      </c>
      <c r="L2297" s="63" t="s">
        <v>5807</v>
      </c>
      <c r="M2297" s="63" t="s">
        <v>5808</v>
      </c>
      <c r="N2297" s="63" t="s">
        <v>3158</v>
      </c>
    </row>
    <row r="2298" spans="1:14" x14ac:dyDescent="0.2">
      <c r="A2298" s="51">
        <v>2297</v>
      </c>
      <c r="G2298" s="65" t="b">
        <v>0</v>
      </c>
      <c r="H2298" s="65" t="b">
        <v>0</v>
      </c>
      <c r="I2298" s="65" t="b">
        <v>0</v>
      </c>
      <c r="J2298" s="65" t="b">
        <v>0</v>
      </c>
      <c r="K2298" s="63" t="s">
        <v>770</v>
      </c>
      <c r="L2298" s="63" t="s">
        <v>5807</v>
      </c>
      <c r="M2298" s="63" t="s">
        <v>5852</v>
      </c>
      <c r="N2298" s="63" t="s">
        <v>3158</v>
      </c>
    </row>
    <row r="2299" spans="1:14" x14ac:dyDescent="0.2">
      <c r="A2299" s="51">
        <v>2298</v>
      </c>
      <c r="B2299" s="54" t="s">
        <v>770</v>
      </c>
      <c r="C2299" s="47" t="s">
        <v>5797</v>
      </c>
      <c r="D2299" s="47" t="s">
        <v>5798</v>
      </c>
      <c r="E2299" s="47" t="s">
        <v>3158</v>
      </c>
      <c r="F2299" s="55" t="b">
        <v>1</v>
      </c>
      <c r="G2299" s="54" t="b">
        <v>1</v>
      </c>
      <c r="H2299" s="54" t="b">
        <v>1</v>
      </c>
      <c r="I2299" s="54" t="b">
        <v>1</v>
      </c>
      <c r="J2299" s="54" t="b">
        <v>1</v>
      </c>
      <c r="K2299" s="63" t="s">
        <v>770</v>
      </c>
      <c r="L2299" s="63" t="s">
        <v>5797</v>
      </c>
      <c r="M2299" s="63" t="s">
        <v>5798</v>
      </c>
      <c r="N2299" s="63" t="s">
        <v>3158</v>
      </c>
    </row>
    <row r="2300" spans="1:14" x14ac:dyDescent="0.2">
      <c r="A2300" s="51">
        <v>2299</v>
      </c>
      <c r="B2300" s="54" t="s">
        <v>770</v>
      </c>
      <c r="C2300" s="47" t="s">
        <v>5780</v>
      </c>
      <c r="D2300" s="47" t="s">
        <v>5781</v>
      </c>
      <c r="E2300" s="47" t="s">
        <v>3158</v>
      </c>
      <c r="F2300" s="55" t="b">
        <v>1</v>
      </c>
      <c r="G2300" s="54" t="b">
        <v>1</v>
      </c>
      <c r="H2300" s="54" t="b">
        <v>1</v>
      </c>
      <c r="I2300" s="54" t="b">
        <v>1</v>
      </c>
      <c r="J2300" s="54" t="b">
        <v>1</v>
      </c>
      <c r="K2300" s="63" t="s">
        <v>770</v>
      </c>
      <c r="L2300" s="63" t="s">
        <v>5780</v>
      </c>
      <c r="M2300" s="63" t="s">
        <v>5781</v>
      </c>
      <c r="N2300" s="63" t="s">
        <v>3158</v>
      </c>
    </row>
    <row r="2301" spans="1:14" x14ac:dyDescent="0.2">
      <c r="A2301" s="51">
        <v>2300</v>
      </c>
      <c r="G2301" s="65" t="b">
        <v>0</v>
      </c>
      <c r="H2301" s="65" t="b">
        <v>0</v>
      </c>
      <c r="I2301" s="65" t="b">
        <v>0</v>
      </c>
      <c r="J2301" s="65" t="b">
        <v>0</v>
      </c>
      <c r="K2301" s="63" t="s">
        <v>770</v>
      </c>
      <c r="L2301" s="63" t="s">
        <v>5780</v>
      </c>
      <c r="M2301" s="63" t="s">
        <v>5782</v>
      </c>
      <c r="N2301" s="63" t="s">
        <v>3158</v>
      </c>
    </row>
    <row r="2302" spans="1:14" x14ac:dyDescent="0.2">
      <c r="A2302" s="51">
        <v>2301</v>
      </c>
      <c r="B2302" s="54" t="s">
        <v>770</v>
      </c>
      <c r="C2302" s="47" t="s">
        <v>5811</v>
      </c>
      <c r="D2302" s="47" t="s">
        <v>5812</v>
      </c>
      <c r="E2302" s="47" t="s">
        <v>3158</v>
      </c>
      <c r="F2302" s="55" t="b">
        <v>1</v>
      </c>
      <c r="G2302" s="54" t="b">
        <v>1</v>
      </c>
      <c r="H2302" s="54" t="b">
        <v>1</v>
      </c>
      <c r="I2302" s="54" t="b">
        <v>1</v>
      </c>
      <c r="J2302" s="54" t="b">
        <v>1</v>
      </c>
      <c r="K2302" s="63" t="s">
        <v>770</v>
      </c>
      <c r="L2302" s="63" t="s">
        <v>5811</v>
      </c>
      <c r="M2302" s="63" t="s">
        <v>5812</v>
      </c>
      <c r="N2302" s="63" t="s">
        <v>3158</v>
      </c>
    </row>
    <row r="2303" spans="1:14" x14ac:dyDescent="0.2">
      <c r="A2303" s="51">
        <v>2302</v>
      </c>
      <c r="B2303" s="54" t="s">
        <v>781</v>
      </c>
      <c r="C2303" s="47" t="s">
        <v>5876</v>
      </c>
      <c r="D2303" s="47" t="s">
        <v>12532</v>
      </c>
      <c r="E2303" s="47" t="s">
        <v>2365</v>
      </c>
      <c r="F2303" s="55" t="b">
        <v>1</v>
      </c>
      <c r="G2303" s="54" t="b">
        <v>1</v>
      </c>
      <c r="H2303" s="54" t="b">
        <v>1</v>
      </c>
      <c r="I2303" s="65" t="b">
        <v>0</v>
      </c>
      <c r="J2303" s="54" t="b">
        <v>1</v>
      </c>
      <c r="K2303" s="63" t="s">
        <v>781</v>
      </c>
      <c r="L2303" s="63" t="s">
        <v>5876</v>
      </c>
      <c r="M2303" s="63" t="s">
        <v>5877</v>
      </c>
      <c r="N2303" s="63" t="s">
        <v>2365</v>
      </c>
    </row>
    <row r="2304" spans="1:14" x14ac:dyDescent="0.2">
      <c r="A2304" s="51">
        <v>2303</v>
      </c>
      <c r="B2304" s="54" t="s">
        <v>781</v>
      </c>
      <c r="C2304" s="47" t="s">
        <v>5854</v>
      </c>
      <c r="D2304" s="47" t="s">
        <v>12036</v>
      </c>
      <c r="E2304" s="47" t="s">
        <v>2365</v>
      </c>
      <c r="F2304" s="55" t="b">
        <v>1</v>
      </c>
      <c r="G2304" s="54" t="b">
        <v>1</v>
      </c>
      <c r="H2304" s="54" t="b">
        <v>1</v>
      </c>
      <c r="I2304" s="65" t="b">
        <v>0</v>
      </c>
      <c r="J2304" s="54" t="b">
        <v>1</v>
      </c>
      <c r="K2304" s="63" t="s">
        <v>781</v>
      </c>
      <c r="L2304" s="63" t="s">
        <v>5854</v>
      </c>
      <c r="M2304" s="63" t="s">
        <v>5855</v>
      </c>
      <c r="N2304" s="63" t="s">
        <v>2365</v>
      </c>
    </row>
    <row r="2305" spans="1:14" x14ac:dyDescent="0.2">
      <c r="A2305" s="51">
        <v>2304</v>
      </c>
      <c r="B2305" s="54" t="s">
        <v>781</v>
      </c>
      <c r="C2305" s="47" t="s">
        <v>5862</v>
      </c>
      <c r="D2305" s="47" t="s">
        <v>12533</v>
      </c>
      <c r="E2305" s="47" t="s">
        <v>2365</v>
      </c>
      <c r="F2305" s="55" t="b">
        <v>1</v>
      </c>
      <c r="G2305" s="54" t="b">
        <v>1</v>
      </c>
      <c r="H2305" s="54" t="b">
        <v>1</v>
      </c>
      <c r="I2305" s="65" t="b">
        <v>0</v>
      </c>
      <c r="J2305" s="54" t="b">
        <v>1</v>
      </c>
      <c r="K2305" s="63" t="s">
        <v>781</v>
      </c>
      <c r="L2305" s="63" t="s">
        <v>5862</v>
      </c>
      <c r="M2305" s="63" t="s">
        <v>5863</v>
      </c>
      <c r="N2305" s="63" t="s">
        <v>2365</v>
      </c>
    </row>
    <row r="2306" spans="1:14" x14ac:dyDescent="0.2">
      <c r="A2306" s="51">
        <v>2305</v>
      </c>
      <c r="B2306" s="54" t="s">
        <v>781</v>
      </c>
      <c r="C2306" s="47" t="s">
        <v>5866</v>
      </c>
      <c r="D2306" s="47" t="s">
        <v>5867</v>
      </c>
      <c r="E2306" s="47" t="s">
        <v>2365</v>
      </c>
      <c r="F2306" s="55" t="b">
        <v>1</v>
      </c>
      <c r="G2306" s="54" t="b">
        <v>1</v>
      </c>
      <c r="H2306" s="54" t="b">
        <v>1</v>
      </c>
      <c r="I2306" s="54" t="b">
        <v>1</v>
      </c>
      <c r="J2306" s="54" t="b">
        <v>1</v>
      </c>
      <c r="K2306" s="63" t="s">
        <v>781</v>
      </c>
      <c r="L2306" s="63" t="s">
        <v>5866</v>
      </c>
      <c r="M2306" s="63" t="s">
        <v>5867</v>
      </c>
      <c r="N2306" s="63" t="s">
        <v>2365</v>
      </c>
    </row>
    <row r="2307" spans="1:14" x14ac:dyDescent="0.2">
      <c r="A2307" s="51">
        <v>2306</v>
      </c>
      <c r="B2307" s="54" t="s">
        <v>781</v>
      </c>
      <c r="C2307" s="47" t="s">
        <v>5864</v>
      </c>
      <c r="D2307" s="47" t="s">
        <v>12535</v>
      </c>
      <c r="E2307" s="47" t="s">
        <v>2365</v>
      </c>
      <c r="F2307" s="55" t="b">
        <v>1</v>
      </c>
      <c r="G2307" s="54" t="b">
        <v>1</v>
      </c>
      <c r="H2307" s="54" t="b">
        <v>1</v>
      </c>
      <c r="I2307" s="65" t="b">
        <v>0</v>
      </c>
      <c r="J2307" s="54" t="b">
        <v>1</v>
      </c>
      <c r="K2307" s="63" t="s">
        <v>781</v>
      </c>
      <c r="L2307" s="63" t="s">
        <v>5864</v>
      </c>
      <c r="M2307" s="63" t="s">
        <v>5865</v>
      </c>
      <c r="N2307" s="63" t="s">
        <v>2365</v>
      </c>
    </row>
    <row r="2308" spans="1:14" x14ac:dyDescent="0.2">
      <c r="A2308" s="51">
        <v>2307</v>
      </c>
      <c r="B2308" s="54" t="s">
        <v>781</v>
      </c>
      <c r="C2308" s="47" t="s">
        <v>5856</v>
      </c>
      <c r="D2308" s="47" t="s">
        <v>12534</v>
      </c>
      <c r="E2308" s="47" t="s">
        <v>2365</v>
      </c>
      <c r="F2308" s="55" t="b">
        <v>1</v>
      </c>
      <c r="G2308" s="54" t="b">
        <v>1</v>
      </c>
      <c r="H2308" s="54" t="b">
        <v>1</v>
      </c>
      <c r="I2308" s="65" t="b">
        <v>0</v>
      </c>
      <c r="J2308" s="54" t="b">
        <v>1</v>
      </c>
      <c r="K2308" s="63" t="s">
        <v>781</v>
      </c>
      <c r="L2308" s="63" t="s">
        <v>5856</v>
      </c>
      <c r="M2308" s="63" t="s">
        <v>5857</v>
      </c>
      <c r="N2308" s="63" t="s">
        <v>2365</v>
      </c>
    </row>
    <row r="2309" spans="1:14" x14ac:dyDescent="0.2">
      <c r="A2309" s="51">
        <v>2308</v>
      </c>
      <c r="B2309" s="54" t="s">
        <v>781</v>
      </c>
      <c r="C2309" s="47" t="s">
        <v>5868</v>
      </c>
      <c r="D2309" s="47" t="s">
        <v>5869</v>
      </c>
      <c r="E2309" s="47" t="s">
        <v>2365</v>
      </c>
      <c r="F2309" s="55" t="b">
        <v>1</v>
      </c>
      <c r="G2309" s="54" t="b">
        <v>1</v>
      </c>
      <c r="H2309" s="54" t="b">
        <v>1</v>
      </c>
      <c r="I2309" s="54" t="b">
        <v>1</v>
      </c>
      <c r="J2309" s="54" t="b">
        <v>1</v>
      </c>
      <c r="K2309" s="63" t="s">
        <v>781</v>
      </c>
      <c r="L2309" s="63" t="s">
        <v>5868</v>
      </c>
      <c r="M2309" s="63" t="s">
        <v>5869</v>
      </c>
      <c r="N2309" s="63" t="s">
        <v>2365</v>
      </c>
    </row>
    <row r="2310" spans="1:14" x14ac:dyDescent="0.2">
      <c r="A2310" s="51">
        <v>2309</v>
      </c>
      <c r="B2310" s="54" t="s">
        <v>781</v>
      </c>
      <c r="C2310" s="47" t="s">
        <v>5870</v>
      </c>
      <c r="D2310" s="47" t="s">
        <v>5871</v>
      </c>
      <c r="E2310" s="47" t="s">
        <v>2365</v>
      </c>
      <c r="F2310" s="55" t="b">
        <v>1</v>
      </c>
      <c r="G2310" s="54" t="b">
        <v>1</v>
      </c>
      <c r="H2310" s="54" t="b">
        <v>1</v>
      </c>
      <c r="I2310" s="54" t="b">
        <v>1</v>
      </c>
      <c r="J2310" s="54" t="b">
        <v>1</v>
      </c>
      <c r="K2310" s="63" t="s">
        <v>781</v>
      </c>
      <c r="L2310" s="63" t="s">
        <v>5870</v>
      </c>
      <c r="M2310" s="63" t="s">
        <v>5871</v>
      </c>
      <c r="N2310" s="63" t="s">
        <v>2365</v>
      </c>
    </row>
    <row r="2311" spans="1:14" x14ac:dyDescent="0.2">
      <c r="A2311" s="51">
        <v>2310</v>
      </c>
      <c r="B2311" s="54" t="s">
        <v>781</v>
      </c>
      <c r="C2311" s="47" t="s">
        <v>5858</v>
      </c>
      <c r="D2311" s="47" t="s">
        <v>5859</v>
      </c>
      <c r="E2311" s="47" t="s">
        <v>2365</v>
      </c>
      <c r="F2311" s="55" t="b">
        <v>1</v>
      </c>
      <c r="G2311" s="54" t="b">
        <v>1</v>
      </c>
      <c r="H2311" s="54" t="b">
        <v>1</v>
      </c>
      <c r="I2311" s="54" t="b">
        <v>1</v>
      </c>
      <c r="J2311" s="54" t="b">
        <v>1</v>
      </c>
      <c r="K2311" s="63" t="s">
        <v>781</v>
      </c>
      <c r="L2311" s="63" t="s">
        <v>5858</v>
      </c>
      <c r="M2311" s="63" t="s">
        <v>5859</v>
      </c>
      <c r="N2311" s="63" t="s">
        <v>2365</v>
      </c>
    </row>
    <row r="2312" spans="1:14" x14ac:dyDescent="0.2">
      <c r="A2312" s="51">
        <v>2311</v>
      </c>
      <c r="B2312" s="54" t="s">
        <v>781</v>
      </c>
      <c r="C2312" s="47" t="s">
        <v>5860</v>
      </c>
      <c r="D2312" s="47" t="s">
        <v>5861</v>
      </c>
      <c r="E2312" s="47" t="s">
        <v>2365</v>
      </c>
      <c r="F2312" s="55" t="b">
        <v>1</v>
      </c>
      <c r="G2312" s="54" t="b">
        <v>1</v>
      </c>
      <c r="H2312" s="54" t="b">
        <v>1</v>
      </c>
      <c r="I2312" s="54" t="b">
        <v>1</v>
      </c>
      <c r="J2312" s="54" t="b">
        <v>1</v>
      </c>
      <c r="K2312" s="63" t="s">
        <v>781</v>
      </c>
      <c r="L2312" s="63" t="s">
        <v>5860</v>
      </c>
      <c r="M2312" s="63" t="s">
        <v>5861</v>
      </c>
      <c r="N2312" s="63" t="s">
        <v>2365</v>
      </c>
    </row>
    <row r="2313" spans="1:14" x14ac:dyDescent="0.2">
      <c r="A2313" s="51">
        <v>2312</v>
      </c>
      <c r="B2313" s="54" t="s">
        <v>781</v>
      </c>
      <c r="C2313" s="47" t="s">
        <v>5874</v>
      </c>
      <c r="D2313" s="47" t="s">
        <v>5875</v>
      </c>
      <c r="E2313" s="47" t="s">
        <v>2365</v>
      </c>
      <c r="F2313" s="55" t="b">
        <v>1</v>
      </c>
      <c r="G2313" s="54" t="b">
        <v>1</v>
      </c>
      <c r="H2313" s="54" t="b">
        <v>1</v>
      </c>
      <c r="I2313" s="54" t="b">
        <v>1</v>
      </c>
      <c r="J2313" s="54" t="b">
        <v>1</v>
      </c>
      <c r="K2313" s="63" t="s">
        <v>781</v>
      </c>
      <c r="L2313" s="63" t="s">
        <v>5874</v>
      </c>
      <c r="M2313" s="63" t="s">
        <v>5875</v>
      </c>
      <c r="N2313" s="63" t="s">
        <v>2365</v>
      </c>
    </row>
    <row r="2314" spans="1:14" x14ac:dyDescent="0.2">
      <c r="A2314" s="51">
        <v>2313</v>
      </c>
      <c r="B2314" s="54" t="s">
        <v>781</v>
      </c>
      <c r="C2314" s="47" t="s">
        <v>5872</v>
      </c>
      <c r="D2314" s="47" t="s">
        <v>12536</v>
      </c>
      <c r="E2314" s="47" t="s">
        <v>2365</v>
      </c>
      <c r="F2314" s="55" t="b">
        <v>1</v>
      </c>
      <c r="G2314" s="54" t="b">
        <v>1</v>
      </c>
      <c r="H2314" s="54" t="b">
        <v>1</v>
      </c>
      <c r="I2314" s="65" t="b">
        <v>0</v>
      </c>
      <c r="J2314" s="54" t="b">
        <v>1</v>
      </c>
      <c r="K2314" s="63" t="s">
        <v>781</v>
      </c>
      <c r="L2314" s="63" t="s">
        <v>5872</v>
      </c>
      <c r="M2314" s="63" t="s">
        <v>5873</v>
      </c>
      <c r="N2314" s="63" t="s">
        <v>2365</v>
      </c>
    </row>
    <row r="2315" spans="1:14" x14ac:dyDescent="0.2">
      <c r="A2315" s="51">
        <v>2314</v>
      </c>
      <c r="B2315" s="54" t="s">
        <v>786</v>
      </c>
      <c r="C2315" s="47" t="s">
        <v>5878</v>
      </c>
      <c r="D2315" s="47" t="s">
        <v>12537</v>
      </c>
      <c r="E2315" s="47" t="s">
        <v>2087</v>
      </c>
      <c r="F2315" s="55" t="b">
        <v>1</v>
      </c>
      <c r="G2315" s="54" t="b">
        <v>1</v>
      </c>
      <c r="H2315" s="54" t="b">
        <v>1</v>
      </c>
      <c r="I2315" s="65" t="b">
        <v>0</v>
      </c>
      <c r="J2315" s="54" t="b">
        <v>1</v>
      </c>
      <c r="K2315" s="63" t="s">
        <v>786</v>
      </c>
      <c r="L2315" s="63" t="s">
        <v>5878</v>
      </c>
      <c r="M2315" s="63" t="s">
        <v>5879</v>
      </c>
      <c r="N2315" s="63" t="s">
        <v>2087</v>
      </c>
    </row>
    <row r="2316" spans="1:14" x14ac:dyDescent="0.2">
      <c r="A2316" s="51">
        <v>2315</v>
      </c>
      <c r="G2316" s="65" t="b">
        <v>0</v>
      </c>
      <c r="H2316" s="65" t="b">
        <v>0</v>
      </c>
      <c r="I2316" s="65" t="b">
        <v>0</v>
      </c>
      <c r="J2316" s="65" t="b">
        <v>0</v>
      </c>
      <c r="K2316" s="63" t="s">
        <v>786</v>
      </c>
      <c r="L2316" s="63" t="s">
        <v>5878</v>
      </c>
      <c r="M2316" s="63" t="s">
        <v>5887</v>
      </c>
      <c r="N2316" s="63" t="s">
        <v>2087</v>
      </c>
    </row>
    <row r="2317" spans="1:14" x14ac:dyDescent="0.2">
      <c r="A2317" s="51">
        <v>2316</v>
      </c>
      <c r="B2317" s="54" t="s">
        <v>786</v>
      </c>
      <c r="C2317" s="47" t="s">
        <v>5880</v>
      </c>
      <c r="D2317" s="47" t="s">
        <v>12538</v>
      </c>
      <c r="E2317" s="47" t="s">
        <v>2087</v>
      </c>
      <c r="F2317" s="55" t="b">
        <v>1</v>
      </c>
      <c r="G2317" s="54" t="b">
        <v>1</v>
      </c>
      <c r="H2317" s="54" t="b">
        <v>1</v>
      </c>
      <c r="I2317" s="65" t="b">
        <v>0</v>
      </c>
      <c r="J2317" s="54" t="b">
        <v>1</v>
      </c>
      <c r="K2317" s="63" t="s">
        <v>786</v>
      </c>
      <c r="L2317" s="63" t="s">
        <v>5880</v>
      </c>
      <c r="M2317" s="63" t="s">
        <v>5881</v>
      </c>
      <c r="N2317" s="63" t="s">
        <v>2087</v>
      </c>
    </row>
    <row r="2318" spans="1:14" x14ac:dyDescent="0.2">
      <c r="A2318" s="51">
        <v>2317</v>
      </c>
      <c r="G2318" s="65" t="b">
        <v>0</v>
      </c>
      <c r="H2318" s="65" t="b">
        <v>0</v>
      </c>
      <c r="I2318" s="65" t="b">
        <v>0</v>
      </c>
      <c r="J2318" s="65" t="b">
        <v>0</v>
      </c>
      <c r="K2318" s="63" t="s">
        <v>786</v>
      </c>
      <c r="L2318" s="63" t="s">
        <v>5880</v>
      </c>
      <c r="M2318" s="63" t="s">
        <v>5888</v>
      </c>
      <c r="N2318" s="63" t="s">
        <v>2087</v>
      </c>
    </row>
    <row r="2319" spans="1:14" x14ac:dyDescent="0.2">
      <c r="A2319" s="51">
        <v>2318</v>
      </c>
      <c r="B2319" s="54" t="s">
        <v>786</v>
      </c>
      <c r="C2319" s="47" t="s">
        <v>5884</v>
      </c>
      <c r="D2319" s="47" t="s">
        <v>5885</v>
      </c>
      <c r="E2319" s="47" t="s">
        <v>2046</v>
      </c>
      <c r="F2319" s="55" t="b">
        <v>1</v>
      </c>
      <c r="G2319" s="54" t="b">
        <v>1</v>
      </c>
      <c r="H2319" s="54" t="b">
        <v>1</v>
      </c>
      <c r="I2319" s="54" t="b">
        <v>1</v>
      </c>
      <c r="J2319" s="54" t="b">
        <v>1</v>
      </c>
      <c r="K2319" s="63" t="s">
        <v>786</v>
      </c>
      <c r="L2319" s="63" t="s">
        <v>5884</v>
      </c>
      <c r="M2319" s="63" t="s">
        <v>5885</v>
      </c>
      <c r="N2319" s="63" t="s">
        <v>2046</v>
      </c>
    </row>
    <row r="2320" spans="1:14" x14ac:dyDescent="0.2">
      <c r="A2320" s="51">
        <v>2319</v>
      </c>
      <c r="B2320" s="54" t="s">
        <v>786</v>
      </c>
      <c r="C2320" s="47" t="s">
        <v>5882</v>
      </c>
      <c r="D2320" s="47" t="s">
        <v>5885</v>
      </c>
      <c r="E2320" s="47" t="s">
        <v>2087</v>
      </c>
      <c r="F2320" s="55" t="b">
        <v>1</v>
      </c>
      <c r="G2320" s="54" t="b">
        <v>1</v>
      </c>
      <c r="H2320" s="54" t="b">
        <v>1</v>
      </c>
      <c r="I2320" s="65" t="b">
        <v>0</v>
      </c>
      <c r="J2320" s="54" t="b">
        <v>1</v>
      </c>
      <c r="K2320" s="63" t="s">
        <v>786</v>
      </c>
      <c r="L2320" s="63" t="s">
        <v>5882</v>
      </c>
      <c r="M2320" s="63" t="s">
        <v>5883</v>
      </c>
      <c r="N2320" s="63" t="s">
        <v>2087</v>
      </c>
    </row>
    <row r="2321" spans="1:14" x14ac:dyDescent="0.2">
      <c r="A2321" s="51">
        <v>2320</v>
      </c>
      <c r="G2321" s="65" t="b">
        <v>0</v>
      </c>
      <c r="H2321" s="65" t="b">
        <v>0</v>
      </c>
      <c r="I2321" s="65" t="b">
        <v>0</v>
      </c>
      <c r="J2321" s="65" t="b">
        <v>0</v>
      </c>
      <c r="K2321" s="63" t="s">
        <v>786</v>
      </c>
      <c r="L2321" s="63" t="s">
        <v>5882</v>
      </c>
      <c r="M2321" s="63" t="s">
        <v>5886</v>
      </c>
      <c r="N2321" s="63" t="s">
        <v>2087</v>
      </c>
    </row>
    <row r="2322" spans="1:14" x14ac:dyDescent="0.2">
      <c r="A2322" s="51">
        <v>2321</v>
      </c>
      <c r="B2322" s="54" t="s">
        <v>786</v>
      </c>
      <c r="C2322" s="47" t="s">
        <v>5889</v>
      </c>
      <c r="D2322" s="47" t="s">
        <v>5890</v>
      </c>
      <c r="E2322" s="47" t="s">
        <v>2046</v>
      </c>
      <c r="F2322" s="55" t="b">
        <v>1</v>
      </c>
      <c r="G2322" s="54" t="b">
        <v>1</v>
      </c>
      <c r="H2322" s="54" t="b">
        <v>1</v>
      </c>
      <c r="I2322" s="54" t="b">
        <v>1</v>
      </c>
      <c r="J2322" s="54" t="b">
        <v>1</v>
      </c>
      <c r="K2322" s="63" t="s">
        <v>786</v>
      </c>
      <c r="L2322" s="63" t="s">
        <v>5889</v>
      </c>
      <c r="M2322" s="63" t="s">
        <v>5890</v>
      </c>
      <c r="N2322" s="63" t="s">
        <v>2046</v>
      </c>
    </row>
    <row r="2323" spans="1:14" x14ac:dyDescent="0.2">
      <c r="A2323" s="51">
        <v>2322</v>
      </c>
      <c r="G2323" s="65" t="b">
        <v>0</v>
      </c>
      <c r="H2323" s="65" t="b">
        <v>0</v>
      </c>
      <c r="I2323" s="65" t="b">
        <v>0</v>
      </c>
      <c r="J2323" s="65" t="b">
        <v>0</v>
      </c>
      <c r="K2323" s="63" t="s">
        <v>786</v>
      </c>
      <c r="L2323" s="63" t="s">
        <v>5891</v>
      </c>
      <c r="M2323" s="63" t="s">
        <v>5892</v>
      </c>
      <c r="N2323" s="63" t="s">
        <v>2087</v>
      </c>
    </row>
    <row r="2324" spans="1:14" x14ac:dyDescent="0.2">
      <c r="A2324" s="51">
        <v>2323</v>
      </c>
      <c r="B2324" s="54" t="s">
        <v>786</v>
      </c>
      <c r="C2324" s="47" t="s">
        <v>5891</v>
      </c>
      <c r="D2324" s="47" t="s">
        <v>12539</v>
      </c>
      <c r="E2324" s="47" t="s">
        <v>2087</v>
      </c>
      <c r="F2324" s="55" t="b">
        <v>1</v>
      </c>
      <c r="G2324" s="54" t="b">
        <v>1</v>
      </c>
      <c r="H2324" s="54" t="b">
        <v>1</v>
      </c>
      <c r="I2324" s="65" t="b">
        <v>0</v>
      </c>
      <c r="J2324" s="54" t="b">
        <v>1</v>
      </c>
      <c r="K2324" s="63" t="s">
        <v>786</v>
      </c>
      <c r="L2324" s="63" t="s">
        <v>5891</v>
      </c>
      <c r="M2324" s="63" t="s">
        <v>5893</v>
      </c>
      <c r="N2324" s="63" t="s">
        <v>2087</v>
      </c>
    </row>
    <row r="2325" spans="1:14" x14ac:dyDescent="0.2">
      <c r="A2325" s="51">
        <v>2324</v>
      </c>
      <c r="B2325" s="54" t="s">
        <v>786</v>
      </c>
      <c r="C2325" s="47" t="s">
        <v>12541</v>
      </c>
      <c r="D2325" s="47" t="s">
        <v>12542</v>
      </c>
      <c r="E2325" s="47" t="s">
        <v>2046</v>
      </c>
      <c r="F2325" s="55" t="b">
        <v>1</v>
      </c>
      <c r="G2325" s="65" t="b">
        <v>0</v>
      </c>
      <c r="H2325" s="65" t="b">
        <v>0</v>
      </c>
      <c r="I2325" s="65" t="b">
        <v>0</v>
      </c>
      <c r="J2325" s="65" t="b">
        <v>0</v>
      </c>
    </row>
    <row r="2326" spans="1:14" x14ac:dyDescent="0.2">
      <c r="A2326" s="51">
        <v>2325</v>
      </c>
      <c r="B2326" s="54" t="s">
        <v>786</v>
      </c>
      <c r="C2326" s="47" t="s">
        <v>5896</v>
      </c>
      <c r="D2326" s="47" t="s">
        <v>12546</v>
      </c>
      <c r="E2326" s="47" t="s">
        <v>2087</v>
      </c>
      <c r="F2326" s="55" t="b">
        <v>1</v>
      </c>
      <c r="G2326" s="54" t="b">
        <v>1</v>
      </c>
      <c r="H2326" s="54" t="b">
        <v>1</v>
      </c>
      <c r="I2326" s="65" t="b">
        <v>0</v>
      </c>
      <c r="J2326" s="54" t="b">
        <v>1</v>
      </c>
      <c r="K2326" s="63" t="s">
        <v>786</v>
      </c>
      <c r="L2326" s="63" t="s">
        <v>5896</v>
      </c>
      <c r="M2326" s="63" t="s">
        <v>5897</v>
      </c>
      <c r="N2326" s="63" t="s">
        <v>2087</v>
      </c>
    </row>
    <row r="2327" spans="1:14" x14ac:dyDescent="0.2">
      <c r="A2327" s="51">
        <v>2326</v>
      </c>
      <c r="G2327" s="65" t="b">
        <v>0</v>
      </c>
      <c r="H2327" s="65" t="b">
        <v>0</v>
      </c>
      <c r="I2327" s="65" t="b">
        <v>0</v>
      </c>
      <c r="J2327" s="65" t="b">
        <v>0</v>
      </c>
      <c r="K2327" s="63" t="s">
        <v>786</v>
      </c>
      <c r="L2327" s="63" t="s">
        <v>5896</v>
      </c>
      <c r="M2327" s="63" t="s">
        <v>5910</v>
      </c>
      <c r="N2327" s="63" t="s">
        <v>2087</v>
      </c>
    </row>
    <row r="2328" spans="1:14" x14ac:dyDescent="0.2">
      <c r="A2328" s="51">
        <v>2327</v>
      </c>
      <c r="B2328" s="54" t="s">
        <v>786</v>
      </c>
      <c r="C2328" s="47" t="s">
        <v>5898</v>
      </c>
      <c r="D2328" s="47" t="s">
        <v>12547</v>
      </c>
      <c r="E2328" s="47" t="s">
        <v>2087</v>
      </c>
      <c r="F2328" s="55" t="b">
        <v>1</v>
      </c>
      <c r="G2328" s="54" t="b">
        <v>1</v>
      </c>
      <c r="H2328" s="54" t="b">
        <v>1</v>
      </c>
      <c r="I2328" s="65" t="b">
        <v>0</v>
      </c>
      <c r="J2328" s="54" t="b">
        <v>1</v>
      </c>
      <c r="K2328" s="63" t="s">
        <v>786</v>
      </c>
      <c r="L2328" s="63" t="s">
        <v>5898</v>
      </c>
      <c r="M2328" s="63" t="s">
        <v>5899</v>
      </c>
      <c r="N2328" s="63" t="s">
        <v>2087</v>
      </c>
    </row>
    <row r="2329" spans="1:14" x14ac:dyDescent="0.2">
      <c r="A2329" s="51">
        <v>2328</v>
      </c>
      <c r="G2329" s="65" t="b">
        <v>0</v>
      </c>
      <c r="H2329" s="65" t="b">
        <v>0</v>
      </c>
      <c r="I2329" s="65" t="b">
        <v>0</v>
      </c>
      <c r="J2329" s="65" t="b">
        <v>0</v>
      </c>
      <c r="K2329" s="63" t="s">
        <v>786</v>
      </c>
      <c r="L2329" s="63" t="s">
        <v>5898</v>
      </c>
      <c r="M2329" s="63" t="s">
        <v>5911</v>
      </c>
      <c r="N2329" s="63" t="s">
        <v>2087</v>
      </c>
    </row>
    <row r="2330" spans="1:14" x14ac:dyDescent="0.2">
      <c r="A2330" s="51">
        <v>2329</v>
      </c>
      <c r="B2330" s="54" t="s">
        <v>786</v>
      </c>
      <c r="C2330" s="47" t="s">
        <v>5900</v>
      </c>
      <c r="D2330" s="47" t="s">
        <v>12548</v>
      </c>
      <c r="E2330" s="47" t="s">
        <v>2087</v>
      </c>
      <c r="F2330" s="55" t="b">
        <v>1</v>
      </c>
      <c r="G2330" s="54" t="b">
        <v>1</v>
      </c>
      <c r="H2330" s="54" t="b">
        <v>1</v>
      </c>
      <c r="I2330" s="65" t="b">
        <v>0</v>
      </c>
      <c r="J2330" s="54" t="b">
        <v>1</v>
      </c>
      <c r="K2330" s="63" t="s">
        <v>786</v>
      </c>
      <c r="L2330" s="63" t="s">
        <v>5900</v>
      </c>
      <c r="M2330" s="63" t="s">
        <v>5901</v>
      </c>
      <c r="N2330" s="63" t="s">
        <v>2087</v>
      </c>
    </row>
    <row r="2331" spans="1:14" x14ac:dyDescent="0.2">
      <c r="A2331" s="51">
        <v>2330</v>
      </c>
      <c r="G2331" s="65" t="b">
        <v>0</v>
      </c>
      <c r="H2331" s="65" t="b">
        <v>0</v>
      </c>
      <c r="I2331" s="65" t="b">
        <v>0</v>
      </c>
      <c r="J2331" s="65" t="b">
        <v>0</v>
      </c>
      <c r="K2331" s="63" t="s">
        <v>786</v>
      </c>
      <c r="L2331" s="63" t="s">
        <v>5900</v>
      </c>
      <c r="M2331" s="63" t="s">
        <v>5912</v>
      </c>
      <c r="N2331" s="63" t="s">
        <v>2087</v>
      </c>
    </row>
    <row r="2332" spans="1:14" x14ac:dyDescent="0.2">
      <c r="A2332" s="51">
        <v>2331</v>
      </c>
      <c r="B2332" s="54" t="s">
        <v>786</v>
      </c>
      <c r="C2332" s="47" t="s">
        <v>5902</v>
      </c>
      <c r="D2332" s="47" t="s">
        <v>12543</v>
      </c>
      <c r="E2332" s="47" t="s">
        <v>2087</v>
      </c>
      <c r="F2332" s="55" t="b">
        <v>1</v>
      </c>
      <c r="G2332" s="54" t="b">
        <v>1</v>
      </c>
      <c r="H2332" s="54" t="b">
        <v>1</v>
      </c>
      <c r="I2332" s="65" t="b">
        <v>0</v>
      </c>
      <c r="J2332" s="54" t="b">
        <v>1</v>
      </c>
      <c r="K2332" s="63" t="s">
        <v>786</v>
      </c>
      <c r="L2332" s="63" t="s">
        <v>5902</v>
      </c>
      <c r="M2332" s="63" t="s">
        <v>5903</v>
      </c>
      <c r="N2332" s="63" t="s">
        <v>2087</v>
      </c>
    </row>
    <row r="2333" spans="1:14" x14ac:dyDescent="0.2">
      <c r="A2333" s="51">
        <v>2332</v>
      </c>
      <c r="G2333" s="65" t="b">
        <v>0</v>
      </c>
      <c r="H2333" s="65" t="b">
        <v>0</v>
      </c>
      <c r="I2333" s="65" t="b">
        <v>0</v>
      </c>
      <c r="J2333" s="65" t="b">
        <v>0</v>
      </c>
      <c r="K2333" s="63" t="s">
        <v>786</v>
      </c>
      <c r="L2333" s="63" t="s">
        <v>5902</v>
      </c>
      <c r="M2333" s="63" t="s">
        <v>5904</v>
      </c>
      <c r="N2333" s="63" t="s">
        <v>2087</v>
      </c>
    </row>
    <row r="2334" spans="1:14" x14ac:dyDescent="0.2">
      <c r="A2334" s="51">
        <v>2333</v>
      </c>
      <c r="B2334" s="54" t="s">
        <v>786</v>
      </c>
      <c r="C2334" s="47" t="s">
        <v>5907</v>
      </c>
      <c r="D2334" s="47" t="s">
        <v>12545</v>
      </c>
      <c r="E2334" s="47" t="s">
        <v>2087</v>
      </c>
      <c r="F2334" s="55" t="b">
        <v>1</v>
      </c>
      <c r="G2334" s="54" t="b">
        <v>1</v>
      </c>
      <c r="H2334" s="54" t="b">
        <v>1</v>
      </c>
      <c r="I2334" s="65" t="b">
        <v>0</v>
      </c>
      <c r="J2334" s="54" t="b">
        <v>1</v>
      </c>
      <c r="K2334" s="63" t="s">
        <v>786</v>
      </c>
      <c r="L2334" s="63" t="s">
        <v>5907</v>
      </c>
      <c r="M2334" s="63" t="s">
        <v>5908</v>
      </c>
      <c r="N2334" s="63" t="s">
        <v>2087</v>
      </c>
    </row>
    <row r="2335" spans="1:14" x14ac:dyDescent="0.2">
      <c r="A2335" s="51">
        <v>2334</v>
      </c>
      <c r="G2335" s="65" t="b">
        <v>0</v>
      </c>
      <c r="H2335" s="65" t="b">
        <v>0</v>
      </c>
      <c r="I2335" s="65" t="b">
        <v>0</v>
      </c>
      <c r="J2335" s="65" t="b">
        <v>0</v>
      </c>
      <c r="K2335" s="63" t="s">
        <v>786</v>
      </c>
      <c r="L2335" s="63" t="s">
        <v>5907</v>
      </c>
      <c r="M2335" s="63" t="s">
        <v>5909</v>
      </c>
      <c r="N2335" s="63" t="s">
        <v>2087</v>
      </c>
    </row>
    <row r="2336" spans="1:14" x14ac:dyDescent="0.2">
      <c r="A2336" s="51">
        <v>2335</v>
      </c>
      <c r="B2336" s="54" t="s">
        <v>786</v>
      </c>
      <c r="C2336" s="47" t="s">
        <v>5913</v>
      </c>
      <c r="D2336" s="47" t="s">
        <v>12550</v>
      </c>
      <c r="E2336" s="47" t="s">
        <v>2087</v>
      </c>
      <c r="F2336" s="55" t="b">
        <v>1</v>
      </c>
      <c r="G2336" s="54" t="b">
        <v>1</v>
      </c>
      <c r="H2336" s="54" t="b">
        <v>1</v>
      </c>
      <c r="I2336" s="65" t="b">
        <v>0</v>
      </c>
      <c r="J2336" s="54" t="b">
        <v>1</v>
      </c>
      <c r="K2336" s="63" t="s">
        <v>786</v>
      </c>
      <c r="L2336" s="63" t="s">
        <v>5913</v>
      </c>
      <c r="M2336" s="63" t="s">
        <v>5914</v>
      </c>
      <c r="N2336" s="63" t="s">
        <v>2087</v>
      </c>
    </row>
    <row r="2337" spans="1:14" x14ac:dyDescent="0.2">
      <c r="A2337" s="51">
        <v>2336</v>
      </c>
      <c r="G2337" s="65" t="b">
        <v>0</v>
      </c>
      <c r="H2337" s="65" t="b">
        <v>0</v>
      </c>
      <c r="I2337" s="65" t="b">
        <v>0</v>
      </c>
      <c r="J2337" s="65" t="b">
        <v>0</v>
      </c>
      <c r="K2337" s="63" t="s">
        <v>786</v>
      </c>
      <c r="L2337" s="63" t="s">
        <v>5913</v>
      </c>
      <c r="M2337" s="63" t="s">
        <v>5917</v>
      </c>
      <c r="N2337" s="63" t="s">
        <v>2087</v>
      </c>
    </row>
    <row r="2338" spans="1:14" x14ac:dyDescent="0.2">
      <c r="A2338" s="51">
        <v>2337</v>
      </c>
      <c r="B2338" s="54" t="s">
        <v>786</v>
      </c>
      <c r="C2338" s="47" t="s">
        <v>5915</v>
      </c>
      <c r="D2338" s="47" t="s">
        <v>12549</v>
      </c>
      <c r="E2338" s="47" t="s">
        <v>2087</v>
      </c>
      <c r="F2338" s="55" t="b">
        <v>1</v>
      </c>
      <c r="G2338" s="54" t="b">
        <v>1</v>
      </c>
      <c r="H2338" s="54" t="b">
        <v>1</v>
      </c>
      <c r="I2338" s="65" t="b">
        <v>0</v>
      </c>
      <c r="J2338" s="54" t="b">
        <v>1</v>
      </c>
      <c r="K2338" s="63" t="s">
        <v>786</v>
      </c>
      <c r="L2338" s="63" t="s">
        <v>5915</v>
      </c>
      <c r="M2338" s="63" t="s">
        <v>5916</v>
      </c>
      <c r="N2338" s="63" t="s">
        <v>2087</v>
      </c>
    </row>
    <row r="2339" spans="1:14" x14ac:dyDescent="0.2">
      <c r="A2339" s="51">
        <v>2338</v>
      </c>
      <c r="G2339" s="65" t="b">
        <v>0</v>
      </c>
      <c r="H2339" s="65" t="b">
        <v>0</v>
      </c>
      <c r="I2339" s="65" t="b">
        <v>0</v>
      </c>
      <c r="J2339" s="65" t="b">
        <v>0</v>
      </c>
      <c r="K2339" s="63" t="s">
        <v>786</v>
      </c>
      <c r="L2339" s="63" t="s">
        <v>5915</v>
      </c>
      <c r="M2339" s="63" t="s">
        <v>5918</v>
      </c>
      <c r="N2339" s="63" t="s">
        <v>2087</v>
      </c>
    </row>
    <row r="2340" spans="1:14" x14ac:dyDescent="0.2">
      <c r="A2340" s="51">
        <v>2339</v>
      </c>
      <c r="B2340" s="54" t="s">
        <v>786</v>
      </c>
      <c r="C2340" s="47" t="s">
        <v>5905</v>
      </c>
      <c r="D2340" s="47" t="s">
        <v>12544</v>
      </c>
      <c r="E2340" s="47" t="s">
        <v>2087</v>
      </c>
      <c r="F2340" s="55" t="b">
        <v>1</v>
      </c>
      <c r="G2340" s="54" t="b">
        <v>1</v>
      </c>
      <c r="H2340" s="54" t="b">
        <v>1</v>
      </c>
      <c r="I2340" s="65" t="b">
        <v>0</v>
      </c>
      <c r="J2340" s="54" t="b">
        <v>1</v>
      </c>
      <c r="K2340" s="63" t="s">
        <v>786</v>
      </c>
      <c r="L2340" s="63" t="s">
        <v>5905</v>
      </c>
      <c r="M2340" s="63" t="s">
        <v>5906</v>
      </c>
      <c r="N2340" s="63" t="s">
        <v>2087</v>
      </c>
    </row>
    <row r="2341" spans="1:14" x14ac:dyDescent="0.2">
      <c r="A2341" s="51">
        <v>2340</v>
      </c>
      <c r="G2341" s="65" t="b">
        <v>0</v>
      </c>
      <c r="H2341" s="65" t="b">
        <v>0</v>
      </c>
      <c r="I2341" s="65" t="b">
        <v>0</v>
      </c>
      <c r="J2341" s="65" t="b">
        <v>0</v>
      </c>
      <c r="K2341" s="63" t="s">
        <v>786</v>
      </c>
      <c r="L2341" s="63" t="s">
        <v>5905</v>
      </c>
      <c r="M2341" s="63" t="s">
        <v>5919</v>
      </c>
      <c r="N2341" s="63" t="s">
        <v>2087</v>
      </c>
    </row>
    <row r="2342" spans="1:14" x14ac:dyDescent="0.2">
      <c r="A2342" s="51">
        <v>2341</v>
      </c>
      <c r="B2342" s="54" t="s">
        <v>786</v>
      </c>
      <c r="C2342" s="47" t="s">
        <v>5894</v>
      </c>
      <c r="D2342" s="47" t="s">
        <v>12540</v>
      </c>
      <c r="E2342" s="47" t="s">
        <v>2087</v>
      </c>
      <c r="F2342" s="55" t="b">
        <v>1</v>
      </c>
      <c r="G2342" s="54" t="b">
        <v>1</v>
      </c>
      <c r="H2342" s="54" t="b">
        <v>1</v>
      </c>
      <c r="I2342" s="65" t="b">
        <v>0</v>
      </c>
      <c r="J2342" s="54" t="b">
        <v>1</v>
      </c>
      <c r="K2342" s="63" t="s">
        <v>786</v>
      </c>
      <c r="L2342" s="63" t="s">
        <v>5894</v>
      </c>
      <c r="M2342" s="63" t="s">
        <v>5895</v>
      </c>
      <c r="N2342" s="63" t="s">
        <v>2087</v>
      </c>
    </row>
    <row r="2343" spans="1:14" x14ac:dyDescent="0.2">
      <c r="A2343" s="51">
        <v>2342</v>
      </c>
      <c r="G2343" s="65" t="b">
        <v>0</v>
      </c>
      <c r="H2343" s="65" t="b">
        <v>0</v>
      </c>
      <c r="I2343" s="65" t="b">
        <v>0</v>
      </c>
      <c r="J2343" s="65" t="b">
        <v>0</v>
      </c>
      <c r="K2343" s="63" t="s">
        <v>786</v>
      </c>
      <c r="L2343" s="63" t="s">
        <v>5894</v>
      </c>
      <c r="M2343" s="63" t="s">
        <v>5920</v>
      </c>
      <c r="N2343" s="63" t="s">
        <v>2087</v>
      </c>
    </row>
    <row r="2344" spans="1:14" x14ac:dyDescent="0.2">
      <c r="A2344" s="51">
        <v>2343</v>
      </c>
      <c r="B2344" s="54" t="s">
        <v>786</v>
      </c>
      <c r="C2344" s="47" t="s">
        <v>5921</v>
      </c>
      <c r="D2344" s="47" t="s">
        <v>12551</v>
      </c>
      <c r="E2344" s="47" t="s">
        <v>2087</v>
      </c>
      <c r="F2344" s="55" t="b">
        <v>1</v>
      </c>
      <c r="G2344" s="54" t="b">
        <v>1</v>
      </c>
      <c r="H2344" s="54" t="b">
        <v>1</v>
      </c>
      <c r="I2344" s="65" t="b">
        <v>0</v>
      </c>
      <c r="J2344" s="54" t="b">
        <v>1</v>
      </c>
      <c r="K2344" s="63" t="s">
        <v>786</v>
      </c>
      <c r="L2344" s="63" t="s">
        <v>5921</v>
      </c>
      <c r="M2344" s="63" t="s">
        <v>5922</v>
      </c>
      <c r="N2344" s="63" t="s">
        <v>2087</v>
      </c>
    </row>
    <row r="2345" spans="1:14" x14ac:dyDescent="0.2">
      <c r="A2345" s="51">
        <v>2344</v>
      </c>
      <c r="G2345" s="65" t="b">
        <v>0</v>
      </c>
      <c r="H2345" s="65" t="b">
        <v>0</v>
      </c>
      <c r="I2345" s="65" t="b">
        <v>0</v>
      </c>
      <c r="J2345" s="65" t="b">
        <v>0</v>
      </c>
      <c r="K2345" s="63" t="s">
        <v>786</v>
      </c>
      <c r="L2345" s="63" t="s">
        <v>5921</v>
      </c>
      <c r="M2345" s="63" t="s">
        <v>5923</v>
      </c>
      <c r="N2345" s="63" t="s">
        <v>2087</v>
      </c>
    </row>
    <row r="2346" spans="1:14" x14ac:dyDescent="0.2">
      <c r="A2346" s="51">
        <v>2345</v>
      </c>
      <c r="B2346" s="54" t="s">
        <v>788</v>
      </c>
      <c r="C2346" s="47" t="s">
        <v>12552</v>
      </c>
      <c r="D2346" s="47" t="s">
        <v>12553</v>
      </c>
      <c r="E2346" s="47" t="s">
        <v>1788</v>
      </c>
      <c r="F2346" s="55" t="b">
        <v>1</v>
      </c>
      <c r="G2346" s="65" t="b">
        <v>0</v>
      </c>
      <c r="H2346" s="65" t="b">
        <v>0</v>
      </c>
      <c r="I2346" s="65" t="b">
        <v>0</v>
      </c>
      <c r="J2346" s="65" t="b">
        <v>0</v>
      </c>
    </row>
    <row r="2347" spans="1:14" x14ac:dyDescent="0.2">
      <c r="A2347" s="51">
        <v>2346</v>
      </c>
      <c r="B2347" s="54" t="s">
        <v>788</v>
      </c>
      <c r="C2347" s="47" t="s">
        <v>12554</v>
      </c>
      <c r="D2347" s="47" t="s">
        <v>12555</v>
      </c>
      <c r="E2347" s="47" t="s">
        <v>1788</v>
      </c>
      <c r="F2347" s="55" t="b">
        <v>1</v>
      </c>
      <c r="G2347" s="65" t="b">
        <v>0</v>
      </c>
      <c r="H2347" s="65" t="b">
        <v>0</v>
      </c>
      <c r="I2347" s="65" t="b">
        <v>0</v>
      </c>
      <c r="J2347" s="65" t="b">
        <v>0</v>
      </c>
    </row>
    <row r="2348" spans="1:14" x14ac:dyDescent="0.2">
      <c r="A2348" s="51">
        <v>2347</v>
      </c>
      <c r="B2348" s="54" t="s">
        <v>788</v>
      </c>
      <c r="C2348" s="47" t="s">
        <v>12556</v>
      </c>
      <c r="D2348" s="47" t="s">
        <v>12557</v>
      </c>
      <c r="E2348" s="47" t="s">
        <v>1788</v>
      </c>
      <c r="F2348" s="55" t="b">
        <v>1</v>
      </c>
      <c r="G2348" s="65" t="b">
        <v>0</v>
      </c>
      <c r="H2348" s="65" t="b">
        <v>0</v>
      </c>
      <c r="I2348" s="65" t="b">
        <v>0</v>
      </c>
      <c r="J2348" s="65" t="b">
        <v>0</v>
      </c>
    </row>
    <row r="2349" spans="1:14" x14ac:dyDescent="0.2">
      <c r="A2349" s="51">
        <v>2348</v>
      </c>
      <c r="B2349" s="54" t="s">
        <v>788</v>
      </c>
      <c r="C2349" s="47" t="s">
        <v>12558</v>
      </c>
      <c r="D2349" s="47" t="s">
        <v>10839</v>
      </c>
      <c r="E2349" s="47" t="s">
        <v>1788</v>
      </c>
      <c r="F2349" s="55" t="b">
        <v>1</v>
      </c>
      <c r="G2349" s="65" t="b">
        <v>0</v>
      </c>
      <c r="H2349" s="65" t="b">
        <v>0</v>
      </c>
      <c r="I2349" s="65" t="b">
        <v>0</v>
      </c>
      <c r="J2349" s="65" t="b">
        <v>0</v>
      </c>
    </row>
    <row r="2350" spans="1:14" x14ac:dyDescent="0.2">
      <c r="A2350" s="51">
        <v>2349</v>
      </c>
      <c r="B2350" s="54" t="s">
        <v>788</v>
      </c>
      <c r="C2350" s="47" t="s">
        <v>12559</v>
      </c>
      <c r="D2350" s="47" t="s">
        <v>12560</v>
      </c>
      <c r="E2350" s="47" t="s">
        <v>1788</v>
      </c>
      <c r="F2350" s="55" t="b">
        <v>1</v>
      </c>
      <c r="G2350" s="65" t="b">
        <v>0</v>
      </c>
      <c r="H2350" s="65" t="b">
        <v>0</v>
      </c>
      <c r="I2350" s="65" t="b">
        <v>0</v>
      </c>
      <c r="J2350" s="65" t="b">
        <v>0</v>
      </c>
    </row>
    <row r="2351" spans="1:14" x14ac:dyDescent="0.2">
      <c r="A2351" s="51">
        <v>2350</v>
      </c>
      <c r="B2351" s="54" t="s">
        <v>788</v>
      </c>
      <c r="C2351" s="47" t="s">
        <v>12561</v>
      </c>
      <c r="D2351" s="47" t="s">
        <v>12562</v>
      </c>
      <c r="E2351" s="47" t="s">
        <v>1788</v>
      </c>
      <c r="F2351" s="55" t="b">
        <v>1</v>
      </c>
      <c r="G2351" s="65" t="b">
        <v>0</v>
      </c>
      <c r="H2351" s="65" t="b">
        <v>0</v>
      </c>
      <c r="I2351" s="65" t="b">
        <v>0</v>
      </c>
      <c r="J2351" s="65" t="b">
        <v>0</v>
      </c>
    </row>
    <row r="2352" spans="1:14" x14ac:dyDescent="0.2">
      <c r="A2352" s="51">
        <v>2351</v>
      </c>
      <c r="B2352" s="54" t="s">
        <v>788</v>
      </c>
      <c r="C2352" s="47" t="s">
        <v>12563</v>
      </c>
      <c r="D2352" s="47" t="s">
        <v>12564</v>
      </c>
      <c r="E2352" s="47" t="s">
        <v>1788</v>
      </c>
      <c r="F2352" s="55" t="b">
        <v>1</v>
      </c>
      <c r="G2352" s="65" t="b">
        <v>0</v>
      </c>
      <c r="H2352" s="65" t="b">
        <v>0</v>
      </c>
      <c r="I2352" s="65" t="b">
        <v>0</v>
      </c>
      <c r="J2352" s="65" t="b">
        <v>0</v>
      </c>
    </row>
    <row r="2353" spans="1:10" x14ac:dyDescent="0.2">
      <c r="A2353" s="51">
        <v>2352</v>
      </c>
      <c r="B2353" s="54" t="s">
        <v>788</v>
      </c>
      <c r="C2353" s="47" t="s">
        <v>12565</v>
      </c>
      <c r="D2353" s="47" t="s">
        <v>12566</v>
      </c>
      <c r="E2353" s="47" t="s">
        <v>1788</v>
      </c>
      <c r="F2353" s="55" t="b">
        <v>1</v>
      </c>
      <c r="G2353" s="65" t="b">
        <v>0</v>
      </c>
      <c r="H2353" s="65" t="b">
        <v>0</v>
      </c>
      <c r="I2353" s="65" t="b">
        <v>0</v>
      </c>
      <c r="J2353" s="65" t="b">
        <v>0</v>
      </c>
    </row>
    <row r="2354" spans="1:10" x14ac:dyDescent="0.2">
      <c r="A2354" s="51">
        <v>2353</v>
      </c>
      <c r="B2354" s="54" t="s">
        <v>788</v>
      </c>
      <c r="C2354" s="47" t="s">
        <v>12567</v>
      </c>
      <c r="D2354" s="47" t="s">
        <v>12568</v>
      </c>
      <c r="E2354" s="47" t="s">
        <v>1788</v>
      </c>
      <c r="F2354" s="55" t="b">
        <v>1</v>
      </c>
      <c r="G2354" s="65" t="b">
        <v>0</v>
      </c>
      <c r="H2354" s="65" t="b">
        <v>0</v>
      </c>
      <c r="I2354" s="65" t="b">
        <v>0</v>
      </c>
      <c r="J2354" s="65" t="b">
        <v>0</v>
      </c>
    </row>
    <row r="2355" spans="1:10" x14ac:dyDescent="0.2">
      <c r="A2355" s="51">
        <v>2354</v>
      </c>
      <c r="B2355" s="54" t="s">
        <v>788</v>
      </c>
      <c r="C2355" s="47" t="s">
        <v>12569</v>
      </c>
      <c r="D2355" s="47" t="s">
        <v>12570</v>
      </c>
      <c r="E2355" s="47" t="s">
        <v>1788</v>
      </c>
      <c r="F2355" s="55" t="b">
        <v>1</v>
      </c>
      <c r="G2355" s="65" t="b">
        <v>0</v>
      </c>
      <c r="H2355" s="65" t="b">
        <v>0</v>
      </c>
      <c r="I2355" s="65" t="b">
        <v>0</v>
      </c>
      <c r="J2355" s="65" t="b">
        <v>0</v>
      </c>
    </row>
    <row r="2356" spans="1:10" x14ac:dyDescent="0.2">
      <c r="A2356" s="51">
        <v>2355</v>
      </c>
      <c r="B2356" s="54" t="s">
        <v>788</v>
      </c>
      <c r="C2356" s="47" t="s">
        <v>12571</v>
      </c>
      <c r="D2356" s="47" t="s">
        <v>12572</v>
      </c>
      <c r="E2356" s="47" t="s">
        <v>1788</v>
      </c>
      <c r="F2356" s="55" t="b">
        <v>1</v>
      </c>
      <c r="G2356" s="65" t="b">
        <v>0</v>
      </c>
      <c r="H2356" s="65" t="b">
        <v>0</v>
      </c>
      <c r="I2356" s="65" t="b">
        <v>0</v>
      </c>
      <c r="J2356" s="65" t="b">
        <v>0</v>
      </c>
    </row>
    <row r="2357" spans="1:10" x14ac:dyDescent="0.2">
      <c r="A2357" s="51">
        <v>2356</v>
      </c>
      <c r="B2357" s="54" t="s">
        <v>788</v>
      </c>
      <c r="C2357" s="47" t="s">
        <v>12573</v>
      </c>
      <c r="D2357" s="47" t="s">
        <v>12574</v>
      </c>
      <c r="E2357" s="47" t="s">
        <v>1788</v>
      </c>
      <c r="F2357" s="55" t="b">
        <v>1</v>
      </c>
      <c r="G2357" s="65" t="b">
        <v>0</v>
      </c>
      <c r="H2357" s="65" t="b">
        <v>0</v>
      </c>
      <c r="I2357" s="65" t="b">
        <v>0</v>
      </c>
      <c r="J2357" s="65" t="b">
        <v>0</v>
      </c>
    </row>
    <row r="2358" spans="1:10" x14ac:dyDescent="0.2">
      <c r="A2358" s="51">
        <v>2357</v>
      </c>
      <c r="B2358" s="54" t="s">
        <v>788</v>
      </c>
      <c r="C2358" s="47" t="s">
        <v>12575</v>
      </c>
      <c r="D2358" s="47" t="s">
        <v>12576</v>
      </c>
      <c r="E2358" s="47" t="s">
        <v>1788</v>
      </c>
      <c r="F2358" s="55" t="b">
        <v>1</v>
      </c>
      <c r="G2358" s="65" t="b">
        <v>0</v>
      </c>
      <c r="H2358" s="65" t="b">
        <v>0</v>
      </c>
      <c r="I2358" s="65" t="b">
        <v>0</v>
      </c>
      <c r="J2358" s="65" t="b">
        <v>0</v>
      </c>
    </row>
    <row r="2359" spans="1:10" x14ac:dyDescent="0.2">
      <c r="A2359" s="51">
        <v>2358</v>
      </c>
      <c r="B2359" s="54" t="s">
        <v>788</v>
      </c>
      <c r="C2359" s="47" t="s">
        <v>12577</v>
      </c>
      <c r="D2359" s="47" t="s">
        <v>12578</v>
      </c>
      <c r="E2359" s="47" t="s">
        <v>1788</v>
      </c>
      <c r="F2359" s="55" t="b">
        <v>1</v>
      </c>
      <c r="G2359" s="65" t="b">
        <v>0</v>
      </c>
      <c r="H2359" s="65" t="b">
        <v>0</v>
      </c>
      <c r="I2359" s="65" t="b">
        <v>0</v>
      </c>
      <c r="J2359" s="65" t="b">
        <v>0</v>
      </c>
    </row>
    <row r="2360" spans="1:10" x14ac:dyDescent="0.2">
      <c r="A2360" s="51">
        <v>2359</v>
      </c>
      <c r="B2360" s="54" t="s">
        <v>788</v>
      </c>
      <c r="C2360" s="47" t="s">
        <v>12579</v>
      </c>
      <c r="D2360" s="47" t="s">
        <v>12580</v>
      </c>
      <c r="E2360" s="47" t="s">
        <v>1788</v>
      </c>
      <c r="F2360" s="55" t="b">
        <v>1</v>
      </c>
      <c r="G2360" s="65" t="b">
        <v>0</v>
      </c>
      <c r="H2360" s="65" t="b">
        <v>0</v>
      </c>
      <c r="I2360" s="65" t="b">
        <v>0</v>
      </c>
      <c r="J2360" s="65" t="b">
        <v>0</v>
      </c>
    </row>
    <row r="2361" spans="1:10" x14ac:dyDescent="0.2">
      <c r="A2361" s="51">
        <v>2360</v>
      </c>
      <c r="B2361" s="54" t="s">
        <v>788</v>
      </c>
      <c r="C2361" s="47" t="s">
        <v>12581</v>
      </c>
      <c r="D2361" s="47" t="s">
        <v>12582</v>
      </c>
      <c r="E2361" s="47" t="s">
        <v>1788</v>
      </c>
      <c r="F2361" s="55" t="b">
        <v>1</v>
      </c>
      <c r="G2361" s="65" t="b">
        <v>0</v>
      </c>
      <c r="H2361" s="65" t="b">
        <v>0</v>
      </c>
      <c r="I2361" s="65" t="b">
        <v>0</v>
      </c>
      <c r="J2361" s="65" t="b">
        <v>0</v>
      </c>
    </row>
    <row r="2362" spans="1:10" x14ac:dyDescent="0.2">
      <c r="A2362" s="51">
        <v>2361</v>
      </c>
      <c r="B2362" s="54" t="s">
        <v>788</v>
      </c>
      <c r="C2362" s="47" t="s">
        <v>12583</v>
      </c>
      <c r="D2362" s="47" t="s">
        <v>12584</v>
      </c>
      <c r="E2362" s="47" t="s">
        <v>1788</v>
      </c>
      <c r="F2362" s="55" t="b">
        <v>1</v>
      </c>
      <c r="G2362" s="65" t="b">
        <v>0</v>
      </c>
      <c r="H2362" s="65" t="b">
        <v>0</v>
      </c>
      <c r="I2362" s="65" t="b">
        <v>0</v>
      </c>
      <c r="J2362" s="65" t="b">
        <v>0</v>
      </c>
    </row>
    <row r="2363" spans="1:10" x14ac:dyDescent="0.2">
      <c r="A2363" s="51">
        <v>2362</v>
      </c>
      <c r="B2363" s="54" t="s">
        <v>788</v>
      </c>
      <c r="C2363" s="47" t="s">
        <v>12585</v>
      </c>
      <c r="D2363" s="47" t="s">
        <v>12586</v>
      </c>
      <c r="E2363" s="47" t="s">
        <v>1788</v>
      </c>
      <c r="F2363" s="55" t="b">
        <v>1</v>
      </c>
      <c r="G2363" s="65" t="b">
        <v>0</v>
      </c>
      <c r="H2363" s="65" t="b">
        <v>0</v>
      </c>
      <c r="I2363" s="65" t="b">
        <v>0</v>
      </c>
      <c r="J2363" s="65" t="b">
        <v>0</v>
      </c>
    </row>
    <row r="2364" spans="1:10" x14ac:dyDescent="0.2">
      <c r="A2364" s="51">
        <v>2363</v>
      </c>
      <c r="B2364" s="54" t="s">
        <v>788</v>
      </c>
      <c r="C2364" s="47" t="s">
        <v>12587</v>
      </c>
      <c r="D2364" s="47" t="s">
        <v>12588</v>
      </c>
      <c r="E2364" s="47" t="s">
        <v>1788</v>
      </c>
      <c r="F2364" s="55" t="b">
        <v>1</v>
      </c>
      <c r="G2364" s="65" t="b">
        <v>0</v>
      </c>
      <c r="H2364" s="65" t="b">
        <v>0</v>
      </c>
      <c r="I2364" s="65" t="b">
        <v>0</v>
      </c>
      <c r="J2364" s="65" t="b">
        <v>0</v>
      </c>
    </row>
    <row r="2365" spans="1:10" x14ac:dyDescent="0.2">
      <c r="A2365" s="51">
        <v>2364</v>
      </c>
      <c r="B2365" s="54" t="s">
        <v>788</v>
      </c>
      <c r="C2365" s="47" t="s">
        <v>12589</v>
      </c>
      <c r="D2365" s="47" t="s">
        <v>12590</v>
      </c>
      <c r="E2365" s="47" t="s">
        <v>1788</v>
      </c>
      <c r="F2365" s="55" t="b">
        <v>1</v>
      </c>
      <c r="G2365" s="65" t="b">
        <v>0</v>
      </c>
      <c r="H2365" s="65" t="b">
        <v>0</v>
      </c>
      <c r="I2365" s="65" t="b">
        <v>0</v>
      </c>
      <c r="J2365" s="65" t="b">
        <v>0</v>
      </c>
    </row>
    <row r="2366" spans="1:10" x14ac:dyDescent="0.2">
      <c r="A2366" s="51">
        <v>2365</v>
      </c>
      <c r="B2366" s="54" t="s">
        <v>788</v>
      </c>
      <c r="C2366" s="47" t="s">
        <v>12591</v>
      </c>
      <c r="D2366" s="47" t="s">
        <v>12592</v>
      </c>
      <c r="E2366" s="47" t="s">
        <v>1788</v>
      </c>
      <c r="F2366" s="55" t="b">
        <v>1</v>
      </c>
      <c r="G2366" s="65" t="b">
        <v>0</v>
      </c>
      <c r="H2366" s="65" t="b">
        <v>0</v>
      </c>
      <c r="I2366" s="65" t="b">
        <v>0</v>
      </c>
      <c r="J2366" s="65" t="b">
        <v>0</v>
      </c>
    </row>
    <row r="2367" spans="1:10" x14ac:dyDescent="0.2">
      <c r="A2367" s="51">
        <v>2366</v>
      </c>
      <c r="B2367" s="54" t="s">
        <v>788</v>
      </c>
      <c r="C2367" s="47" t="s">
        <v>12593</v>
      </c>
      <c r="D2367" s="47" t="s">
        <v>12594</v>
      </c>
      <c r="E2367" s="47" t="s">
        <v>1788</v>
      </c>
      <c r="F2367" s="55" t="b">
        <v>1</v>
      </c>
      <c r="G2367" s="65" t="b">
        <v>0</v>
      </c>
      <c r="H2367" s="65" t="b">
        <v>0</v>
      </c>
      <c r="I2367" s="65" t="b">
        <v>0</v>
      </c>
      <c r="J2367" s="65" t="b">
        <v>0</v>
      </c>
    </row>
    <row r="2368" spans="1:10" x14ac:dyDescent="0.2">
      <c r="A2368" s="51">
        <v>2367</v>
      </c>
      <c r="B2368" s="54" t="s">
        <v>788</v>
      </c>
      <c r="C2368" s="47" t="s">
        <v>12595</v>
      </c>
      <c r="D2368" s="47" t="s">
        <v>12596</v>
      </c>
      <c r="E2368" s="47" t="s">
        <v>1788</v>
      </c>
      <c r="F2368" s="55" t="b">
        <v>1</v>
      </c>
      <c r="G2368" s="65" t="b">
        <v>0</v>
      </c>
      <c r="H2368" s="65" t="b">
        <v>0</v>
      </c>
      <c r="I2368" s="65" t="b">
        <v>0</v>
      </c>
      <c r="J2368" s="65" t="b">
        <v>0</v>
      </c>
    </row>
    <row r="2369" spans="1:10" x14ac:dyDescent="0.2">
      <c r="A2369" s="51">
        <v>2368</v>
      </c>
      <c r="B2369" s="54" t="s">
        <v>788</v>
      </c>
      <c r="C2369" s="47" t="s">
        <v>12597</v>
      </c>
      <c r="D2369" s="47" t="s">
        <v>12598</v>
      </c>
      <c r="E2369" s="47" t="s">
        <v>1788</v>
      </c>
      <c r="F2369" s="55" t="b">
        <v>1</v>
      </c>
      <c r="G2369" s="65" t="b">
        <v>0</v>
      </c>
      <c r="H2369" s="65" t="b">
        <v>0</v>
      </c>
      <c r="I2369" s="65" t="b">
        <v>0</v>
      </c>
      <c r="J2369" s="65" t="b">
        <v>0</v>
      </c>
    </row>
    <row r="2370" spans="1:10" x14ac:dyDescent="0.2">
      <c r="A2370" s="51">
        <v>2369</v>
      </c>
      <c r="B2370" s="54" t="s">
        <v>788</v>
      </c>
      <c r="C2370" s="47" t="s">
        <v>12599</v>
      </c>
      <c r="D2370" s="47" t="s">
        <v>12600</v>
      </c>
      <c r="E2370" s="47" t="s">
        <v>1788</v>
      </c>
      <c r="F2370" s="55" t="b">
        <v>1</v>
      </c>
      <c r="G2370" s="65" t="b">
        <v>0</v>
      </c>
      <c r="H2370" s="65" t="b">
        <v>0</v>
      </c>
      <c r="I2370" s="65" t="b">
        <v>0</v>
      </c>
      <c r="J2370" s="65" t="b">
        <v>0</v>
      </c>
    </row>
    <row r="2371" spans="1:10" x14ac:dyDescent="0.2">
      <c r="A2371" s="51">
        <v>2370</v>
      </c>
      <c r="B2371" s="54" t="s">
        <v>788</v>
      </c>
      <c r="C2371" s="47" t="s">
        <v>12601</v>
      </c>
      <c r="D2371" s="47" t="s">
        <v>12602</v>
      </c>
      <c r="E2371" s="47" t="s">
        <v>1788</v>
      </c>
      <c r="F2371" s="55" t="b">
        <v>1</v>
      </c>
      <c r="G2371" s="65" t="b">
        <v>0</v>
      </c>
      <c r="H2371" s="65" t="b">
        <v>0</v>
      </c>
      <c r="I2371" s="65" t="b">
        <v>0</v>
      </c>
      <c r="J2371" s="65" t="b">
        <v>0</v>
      </c>
    </row>
    <row r="2372" spans="1:10" x14ac:dyDescent="0.2">
      <c r="A2372" s="51">
        <v>2371</v>
      </c>
      <c r="B2372" s="54" t="s">
        <v>788</v>
      </c>
      <c r="C2372" s="47" t="s">
        <v>12603</v>
      </c>
      <c r="D2372" s="47" t="s">
        <v>12604</v>
      </c>
      <c r="E2372" s="47" t="s">
        <v>1788</v>
      </c>
      <c r="F2372" s="55" t="b">
        <v>1</v>
      </c>
      <c r="G2372" s="65" t="b">
        <v>0</v>
      </c>
      <c r="H2372" s="65" t="b">
        <v>0</v>
      </c>
      <c r="I2372" s="65" t="b">
        <v>0</v>
      </c>
      <c r="J2372" s="65" t="b">
        <v>0</v>
      </c>
    </row>
    <row r="2373" spans="1:10" x14ac:dyDescent="0.2">
      <c r="A2373" s="51">
        <v>2372</v>
      </c>
      <c r="B2373" s="54" t="s">
        <v>788</v>
      </c>
      <c r="C2373" s="47" t="s">
        <v>12605</v>
      </c>
      <c r="D2373" s="47" t="s">
        <v>12606</v>
      </c>
      <c r="E2373" s="47" t="s">
        <v>1788</v>
      </c>
      <c r="F2373" s="55" t="b">
        <v>1</v>
      </c>
      <c r="G2373" s="65" t="b">
        <v>0</v>
      </c>
      <c r="H2373" s="65" t="b">
        <v>0</v>
      </c>
      <c r="I2373" s="65" t="b">
        <v>0</v>
      </c>
      <c r="J2373" s="65" t="b">
        <v>0</v>
      </c>
    </row>
    <row r="2374" spans="1:10" x14ac:dyDescent="0.2">
      <c r="A2374" s="51">
        <v>2373</v>
      </c>
      <c r="B2374" s="54" t="s">
        <v>788</v>
      </c>
      <c r="C2374" s="47" t="s">
        <v>12607</v>
      </c>
      <c r="D2374" s="47" t="s">
        <v>12608</v>
      </c>
      <c r="E2374" s="47" t="s">
        <v>1788</v>
      </c>
      <c r="F2374" s="55" t="b">
        <v>1</v>
      </c>
      <c r="G2374" s="65" t="b">
        <v>0</v>
      </c>
      <c r="H2374" s="65" t="b">
        <v>0</v>
      </c>
      <c r="I2374" s="65" t="b">
        <v>0</v>
      </c>
      <c r="J2374" s="65" t="b">
        <v>0</v>
      </c>
    </row>
    <row r="2375" spans="1:10" x14ac:dyDescent="0.2">
      <c r="A2375" s="51">
        <v>2374</v>
      </c>
      <c r="B2375" s="54" t="s">
        <v>788</v>
      </c>
      <c r="C2375" s="47" t="s">
        <v>12609</v>
      </c>
      <c r="D2375" s="47" t="s">
        <v>12610</v>
      </c>
      <c r="E2375" s="47" t="s">
        <v>1788</v>
      </c>
      <c r="F2375" s="55" t="b">
        <v>1</v>
      </c>
      <c r="G2375" s="65" t="b">
        <v>0</v>
      </c>
      <c r="H2375" s="65" t="b">
        <v>0</v>
      </c>
      <c r="I2375" s="65" t="b">
        <v>0</v>
      </c>
      <c r="J2375" s="65" t="b">
        <v>0</v>
      </c>
    </row>
    <row r="2376" spans="1:10" x14ac:dyDescent="0.2">
      <c r="A2376" s="51">
        <v>2375</v>
      </c>
      <c r="B2376" s="54" t="s">
        <v>788</v>
      </c>
      <c r="C2376" s="47" t="s">
        <v>12611</v>
      </c>
      <c r="D2376" s="47" t="s">
        <v>12612</v>
      </c>
      <c r="E2376" s="47" t="s">
        <v>1788</v>
      </c>
      <c r="F2376" s="55" t="b">
        <v>1</v>
      </c>
      <c r="G2376" s="65" t="b">
        <v>0</v>
      </c>
      <c r="H2376" s="65" t="b">
        <v>0</v>
      </c>
      <c r="I2376" s="65" t="b">
        <v>0</v>
      </c>
      <c r="J2376" s="65" t="b">
        <v>0</v>
      </c>
    </row>
    <row r="2377" spans="1:10" x14ac:dyDescent="0.2">
      <c r="A2377" s="51">
        <v>2376</v>
      </c>
      <c r="B2377" s="54" t="s">
        <v>788</v>
      </c>
      <c r="C2377" s="47" t="s">
        <v>12613</v>
      </c>
      <c r="D2377" s="47" t="s">
        <v>12614</v>
      </c>
      <c r="E2377" s="47" t="s">
        <v>1788</v>
      </c>
      <c r="F2377" s="55" t="b">
        <v>1</v>
      </c>
      <c r="G2377" s="65" t="b">
        <v>0</v>
      </c>
      <c r="H2377" s="65" t="b">
        <v>0</v>
      </c>
      <c r="I2377" s="65" t="b">
        <v>0</v>
      </c>
      <c r="J2377" s="65" t="b">
        <v>0</v>
      </c>
    </row>
    <row r="2378" spans="1:10" x14ac:dyDescent="0.2">
      <c r="A2378" s="51">
        <v>2377</v>
      </c>
      <c r="B2378" s="54" t="s">
        <v>788</v>
      </c>
      <c r="C2378" s="47" t="s">
        <v>12615</v>
      </c>
      <c r="D2378" s="47" t="s">
        <v>12616</v>
      </c>
      <c r="E2378" s="47" t="s">
        <v>1788</v>
      </c>
      <c r="F2378" s="55" t="b">
        <v>1</v>
      </c>
      <c r="G2378" s="65" t="b">
        <v>0</v>
      </c>
      <c r="H2378" s="65" t="b">
        <v>0</v>
      </c>
      <c r="I2378" s="65" t="b">
        <v>0</v>
      </c>
      <c r="J2378" s="65" t="b">
        <v>0</v>
      </c>
    </row>
    <row r="2379" spans="1:10" x14ac:dyDescent="0.2">
      <c r="A2379" s="51">
        <v>2378</v>
      </c>
      <c r="B2379" s="54" t="s">
        <v>788</v>
      </c>
      <c r="C2379" s="47" t="s">
        <v>12617</v>
      </c>
      <c r="D2379" s="47" t="s">
        <v>12618</v>
      </c>
      <c r="E2379" s="47" t="s">
        <v>1788</v>
      </c>
      <c r="F2379" s="55" t="b">
        <v>1</v>
      </c>
      <c r="G2379" s="65" t="b">
        <v>0</v>
      </c>
      <c r="H2379" s="65" t="b">
        <v>0</v>
      </c>
      <c r="I2379" s="65" t="b">
        <v>0</v>
      </c>
      <c r="J2379" s="65" t="b">
        <v>0</v>
      </c>
    </row>
    <row r="2380" spans="1:10" x14ac:dyDescent="0.2">
      <c r="A2380" s="51">
        <v>2379</v>
      </c>
      <c r="B2380" s="54" t="s">
        <v>788</v>
      </c>
      <c r="C2380" s="47" t="s">
        <v>12619</v>
      </c>
      <c r="D2380" s="47" t="s">
        <v>12620</v>
      </c>
      <c r="E2380" s="47" t="s">
        <v>1788</v>
      </c>
      <c r="F2380" s="55" t="b">
        <v>1</v>
      </c>
      <c r="G2380" s="65" t="b">
        <v>0</v>
      </c>
      <c r="H2380" s="65" t="b">
        <v>0</v>
      </c>
      <c r="I2380" s="65" t="b">
        <v>0</v>
      </c>
      <c r="J2380" s="65" t="b">
        <v>0</v>
      </c>
    </row>
    <row r="2381" spans="1:10" x14ac:dyDescent="0.2">
      <c r="A2381" s="51">
        <v>2380</v>
      </c>
      <c r="B2381" s="54" t="s">
        <v>788</v>
      </c>
      <c r="C2381" s="47" t="s">
        <v>12621</v>
      </c>
      <c r="D2381" s="47" t="s">
        <v>12622</v>
      </c>
      <c r="E2381" s="47" t="s">
        <v>1788</v>
      </c>
      <c r="F2381" s="55" t="b">
        <v>1</v>
      </c>
      <c r="G2381" s="65" t="b">
        <v>0</v>
      </c>
      <c r="H2381" s="65" t="b">
        <v>0</v>
      </c>
      <c r="I2381" s="65" t="b">
        <v>0</v>
      </c>
      <c r="J2381" s="65" t="b">
        <v>0</v>
      </c>
    </row>
    <row r="2382" spans="1:10" x14ac:dyDescent="0.2">
      <c r="A2382" s="51">
        <v>2381</v>
      </c>
      <c r="B2382" s="54" t="s">
        <v>788</v>
      </c>
      <c r="C2382" s="47" t="s">
        <v>12623</v>
      </c>
      <c r="D2382" s="47" t="s">
        <v>12624</v>
      </c>
      <c r="E2382" s="47" t="s">
        <v>1788</v>
      </c>
      <c r="F2382" s="55" t="b">
        <v>1</v>
      </c>
      <c r="G2382" s="65" t="b">
        <v>0</v>
      </c>
      <c r="H2382" s="65" t="b">
        <v>0</v>
      </c>
      <c r="I2382" s="65" t="b">
        <v>0</v>
      </c>
      <c r="J2382" s="65" t="b">
        <v>0</v>
      </c>
    </row>
    <row r="2383" spans="1:10" x14ac:dyDescent="0.2">
      <c r="A2383" s="51">
        <v>2382</v>
      </c>
      <c r="B2383" s="54" t="s">
        <v>788</v>
      </c>
      <c r="C2383" s="47" t="s">
        <v>12625</v>
      </c>
      <c r="D2383" s="47" t="s">
        <v>12626</v>
      </c>
      <c r="E2383" s="47" t="s">
        <v>1788</v>
      </c>
      <c r="F2383" s="55" t="b">
        <v>1</v>
      </c>
      <c r="G2383" s="65" t="b">
        <v>0</v>
      </c>
      <c r="H2383" s="65" t="b">
        <v>0</v>
      </c>
      <c r="I2383" s="65" t="b">
        <v>0</v>
      </c>
      <c r="J2383" s="65" t="b">
        <v>0</v>
      </c>
    </row>
    <row r="2384" spans="1:10" x14ac:dyDescent="0.2">
      <c r="A2384" s="51">
        <v>2383</v>
      </c>
      <c r="B2384" s="54" t="s">
        <v>788</v>
      </c>
      <c r="C2384" s="47" t="s">
        <v>12627</v>
      </c>
      <c r="D2384" s="47" t="s">
        <v>12628</v>
      </c>
      <c r="E2384" s="47" t="s">
        <v>1788</v>
      </c>
      <c r="F2384" s="55" t="b">
        <v>1</v>
      </c>
      <c r="G2384" s="65" t="b">
        <v>0</v>
      </c>
      <c r="H2384" s="65" t="b">
        <v>0</v>
      </c>
      <c r="I2384" s="65" t="b">
        <v>0</v>
      </c>
      <c r="J2384" s="65" t="b">
        <v>0</v>
      </c>
    </row>
    <row r="2385" spans="1:14" x14ac:dyDescent="0.2">
      <c r="A2385" s="51">
        <v>2384</v>
      </c>
      <c r="B2385" s="54" t="s">
        <v>788</v>
      </c>
      <c r="C2385" s="47" t="s">
        <v>12629</v>
      </c>
      <c r="D2385" s="47" t="s">
        <v>12630</v>
      </c>
      <c r="E2385" s="47" t="s">
        <v>1788</v>
      </c>
      <c r="F2385" s="55" t="b">
        <v>1</v>
      </c>
      <c r="G2385" s="65" t="b">
        <v>0</v>
      </c>
      <c r="H2385" s="65" t="b">
        <v>0</v>
      </c>
      <c r="I2385" s="65" t="b">
        <v>0</v>
      </c>
      <c r="J2385" s="65" t="b">
        <v>0</v>
      </c>
    </row>
    <row r="2386" spans="1:14" x14ac:dyDescent="0.2">
      <c r="A2386" s="51">
        <v>2385</v>
      </c>
      <c r="B2386" s="54" t="s">
        <v>788</v>
      </c>
      <c r="C2386" s="47" t="s">
        <v>12631</v>
      </c>
      <c r="D2386" s="47" t="s">
        <v>12632</v>
      </c>
      <c r="E2386" s="47" t="s">
        <v>1788</v>
      </c>
      <c r="F2386" s="55" t="b">
        <v>1</v>
      </c>
      <c r="G2386" s="65" t="b">
        <v>0</v>
      </c>
      <c r="H2386" s="65" t="b">
        <v>0</v>
      </c>
      <c r="I2386" s="65" t="b">
        <v>0</v>
      </c>
      <c r="J2386" s="65" t="b">
        <v>0</v>
      </c>
    </row>
    <row r="2387" spans="1:14" x14ac:dyDescent="0.2">
      <c r="A2387" s="51">
        <v>2386</v>
      </c>
      <c r="B2387" s="54" t="s">
        <v>788</v>
      </c>
      <c r="C2387" s="47" t="s">
        <v>12633</v>
      </c>
      <c r="D2387" s="47" t="s">
        <v>12634</v>
      </c>
      <c r="E2387" s="47" t="s">
        <v>1788</v>
      </c>
      <c r="F2387" s="55" t="b">
        <v>1</v>
      </c>
      <c r="G2387" s="65" t="b">
        <v>0</v>
      </c>
      <c r="H2387" s="65" t="b">
        <v>0</v>
      </c>
      <c r="I2387" s="65" t="b">
        <v>0</v>
      </c>
      <c r="J2387" s="65" t="b">
        <v>0</v>
      </c>
    </row>
    <row r="2388" spans="1:14" x14ac:dyDescent="0.2">
      <c r="A2388" s="51">
        <v>2387</v>
      </c>
      <c r="B2388" s="54" t="s">
        <v>788</v>
      </c>
      <c r="C2388" s="47" t="s">
        <v>12635</v>
      </c>
      <c r="D2388" s="47" t="s">
        <v>12636</v>
      </c>
      <c r="E2388" s="47" t="s">
        <v>1788</v>
      </c>
      <c r="F2388" s="55" t="b">
        <v>1</v>
      </c>
      <c r="G2388" s="65" t="b">
        <v>0</v>
      </c>
      <c r="H2388" s="65" t="b">
        <v>0</v>
      </c>
      <c r="I2388" s="65" t="b">
        <v>0</v>
      </c>
      <c r="J2388" s="65" t="b">
        <v>0</v>
      </c>
    </row>
    <row r="2389" spans="1:14" x14ac:dyDescent="0.2">
      <c r="A2389" s="51">
        <v>2388</v>
      </c>
      <c r="B2389" s="54" t="s">
        <v>788</v>
      </c>
      <c r="C2389" s="47" t="s">
        <v>12637</v>
      </c>
      <c r="D2389" s="47" t="s">
        <v>12638</v>
      </c>
      <c r="E2389" s="47" t="s">
        <v>1788</v>
      </c>
      <c r="F2389" s="55" t="b">
        <v>1</v>
      </c>
      <c r="G2389" s="65" t="b">
        <v>0</v>
      </c>
      <c r="H2389" s="65" t="b">
        <v>0</v>
      </c>
      <c r="I2389" s="65" t="b">
        <v>0</v>
      </c>
      <c r="J2389" s="65" t="b">
        <v>0</v>
      </c>
    </row>
    <row r="2390" spans="1:14" x14ac:dyDescent="0.2">
      <c r="A2390" s="51">
        <v>2389</v>
      </c>
      <c r="B2390" s="54" t="s">
        <v>788</v>
      </c>
      <c r="C2390" s="47" t="s">
        <v>12639</v>
      </c>
      <c r="D2390" s="47" t="s">
        <v>12640</v>
      </c>
      <c r="E2390" s="47" t="s">
        <v>1788</v>
      </c>
      <c r="F2390" s="55" t="b">
        <v>1</v>
      </c>
      <c r="G2390" s="65" t="b">
        <v>0</v>
      </c>
      <c r="H2390" s="65" t="b">
        <v>0</v>
      </c>
      <c r="I2390" s="65" t="b">
        <v>0</v>
      </c>
      <c r="J2390" s="65" t="b">
        <v>0</v>
      </c>
    </row>
    <row r="2391" spans="1:14" x14ac:dyDescent="0.2">
      <c r="A2391" s="51">
        <v>2390</v>
      </c>
      <c r="B2391" s="54" t="s">
        <v>788</v>
      </c>
      <c r="C2391" s="47" t="s">
        <v>12641</v>
      </c>
      <c r="D2391" s="47" t="s">
        <v>12642</v>
      </c>
      <c r="E2391" s="47" t="s">
        <v>1788</v>
      </c>
      <c r="F2391" s="55" t="b">
        <v>1</v>
      </c>
      <c r="G2391" s="65" t="b">
        <v>0</v>
      </c>
      <c r="H2391" s="65" t="b">
        <v>0</v>
      </c>
      <c r="I2391" s="65" t="b">
        <v>0</v>
      </c>
      <c r="J2391" s="65" t="b">
        <v>0</v>
      </c>
    </row>
    <row r="2392" spans="1:14" x14ac:dyDescent="0.2">
      <c r="A2392" s="51">
        <v>2391</v>
      </c>
      <c r="B2392" s="54" t="s">
        <v>788</v>
      </c>
      <c r="C2392" s="47" t="s">
        <v>12643</v>
      </c>
      <c r="D2392" s="47" t="s">
        <v>12644</v>
      </c>
      <c r="E2392" s="47" t="s">
        <v>1788</v>
      </c>
      <c r="F2392" s="55" t="b">
        <v>1</v>
      </c>
      <c r="G2392" s="65" t="b">
        <v>0</v>
      </c>
      <c r="H2392" s="65" t="b">
        <v>0</v>
      </c>
      <c r="I2392" s="65" t="b">
        <v>0</v>
      </c>
      <c r="J2392" s="65" t="b">
        <v>0</v>
      </c>
    </row>
    <row r="2393" spans="1:14" x14ac:dyDescent="0.2">
      <c r="A2393" s="51">
        <v>2392</v>
      </c>
      <c r="G2393" s="65" t="b">
        <v>0</v>
      </c>
      <c r="H2393" s="65" t="b">
        <v>0</v>
      </c>
      <c r="I2393" s="65" t="b">
        <v>0</v>
      </c>
      <c r="J2393" s="65" t="b">
        <v>0</v>
      </c>
      <c r="K2393" s="63" t="s">
        <v>788</v>
      </c>
      <c r="L2393" s="63" t="s">
        <v>5936</v>
      </c>
      <c r="M2393" s="63" t="s">
        <v>5937</v>
      </c>
      <c r="N2393" s="63" t="s">
        <v>1719</v>
      </c>
    </row>
    <row r="2394" spans="1:14" x14ac:dyDescent="0.2">
      <c r="A2394" s="51">
        <v>2393</v>
      </c>
      <c r="G2394" s="65" t="b">
        <v>0</v>
      </c>
      <c r="H2394" s="65" t="b">
        <v>0</v>
      </c>
      <c r="I2394" s="65" t="b">
        <v>0</v>
      </c>
      <c r="J2394" s="65" t="b">
        <v>0</v>
      </c>
      <c r="K2394" s="63" t="s">
        <v>788</v>
      </c>
      <c r="L2394" s="63" t="s">
        <v>5926</v>
      </c>
      <c r="M2394" s="63" t="s">
        <v>2720</v>
      </c>
      <c r="N2394" s="63" t="s">
        <v>1719</v>
      </c>
    </row>
    <row r="2395" spans="1:14" x14ac:dyDescent="0.2">
      <c r="A2395" s="51">
        <v>2394</v>
      </c>
      <c r="G2395" s="65" t="b">
        <v>0</v>
      </c>
      <c r="H2395" s="65" t="b">
        <v>0</v>
      </c>
      <c r="I2395" s="65" t="b">
        <v>0</v>
      </c>
      <c r="J2395" s="65" t="b">
        <v>0</v>
      </c>
      <c r="K2395" s="63" t="s">
        <v>788</v>
      </c>
      <c r="L2395" s="63" t="s">
        <v>5926</v>
      </c>
      <c r="M2395" s="63" t="s">
        <v>5932</v>
      </c>
      <c r="N2395" s="63" t="s">
        <v>1719</v>
      </c>
    </row>
    <row r="2396" spans="1:14" x14ac:dyDescent="0.2">
      <c r="A2396" s="51">
        <v>2395</v>
      </c>
      <c r="G2396" s="65" t="b">
        <v>0</v>
      </c>
      <c r="H2396" s="65" t="b">
        <v>0</v>
      </c>
      <c r="I2396" s="65" t="b">
        <v>0</v>
      </c>
      <c r="J2396" s="65" t="b">
        <v>0</v>
      </c>
      <c r="K2396" s="63" t="s">
        <v>788</v>
      </c>
      <c r="L2396" s="63" t="s">
        <v>5927</v>
      </c>
      <c r="M2396" s="63" t="s">
        <v>5928</v>
      </c>
      <c r="N2396" s="63" t="s">
        <v>1719</v>
      </c>
    </row>
    <row r="2397" spans="1:14" x14ac:dyDescent="0.2">
      <c r="A2397" s="51">
        <v>2396</v>
      </c>
      <c r="G2397" s="65" t="b">
        <v>0</v>
      </c>
      <c r="H2397" s="65" t="b">
        <v>0</v>
      </c>
      <c r="I2397" s="65" t="b">
        <v>0</v>
      </c>
      <c r="J2397" s="65" t="b">
        <v>0</v>
      </c>
      <c r="K2397" s="63" t="s">
        <v>788</v>
      </c>
      <c r="L2397" s="63" t="s">
        <v>5927</v>
      </c>
      <c r="M2397" s="63" t="s">
        <v>5941</v>
      </c>
      <c r="N2397" s="63" t="s">
        <v>1719</v>
      </c>
    </row>
    <row r="2398" spans="1:14" x14ac:dyDescent="0.2">
      <c r="A2398" s="51">
        <v>2397</v>
      </c>
      <c r="G2398" s="65" t="b">
        <v>0</v>
      </c>
      <c r="H2398" s="65" t="b">
        <v>0</v>
      </c>
      <c r="I2398" s="65" t="b">
        <v>0</v>
      </c>
      <c r="J2398" s="65" t="b">
        <v>0</v>
      </c>
      <c r="K2398" s="63" t="s">
        <v>788</v>
      </c>
      <c r="L2398" s="63" t="s">
        <v>5929</v>
      </c>
      <c r="M2398" s="63" t="s">
        <v>4191</v>
      </c>
      <c r="N2398" s="63" t="s">
        <v>1719</v>
      </c>
    </row>
    <row r="2399" spans="1:14" x14ac:dyDescent="0.2">
      <c r="A2399" s="51">
        <v>2398</v>
      </c>
      <c r="G2399" s="65" t="b">
        <v>0</v>
      </c>
      <c r="H2399" s="65" t="b">
        <v>0</v>
      </c>
      <c r="I2399" s="65" t="b">
        <v>0</v>
      </c>
      <c r="J2399" s="65" t="b">
        <v>0</v>
      </c>
      <c r="K2399" s="63" t="s">
        <v>788</v>
      </c>
      <c r="L2399" s="63" t="s">
        <v>5929</v>
      </c>
      <c r="M2399" s="63" t="s">
        <v>5935</v>
      </c>
      <c r="N2399" s="63" t="s">
        <v>1719</v>
      </c>
    </row>
    <row r="2400" spans="1:14" x14ac:dyDescent="0.2">
      <c r="A2400" s="51">
        <v>2399</v>
      </c>
      <c r="G2400" s="65" t="b">
        <v>0</v>
      </c>
      <c r="H2400" s="65" t="b">
        <v>0</v>
      </c>
      <c r="I2400" s="65" t="b">
        <v>0</v>
      </c>
      <c r="J2400" s="65" t="b">
        <v>0</v>
      </c>
      <c r="K2400" s="63" t="s">
        <v>788</v>
      </c>
      <c r="L2400" s="63" t="s">
        <v>5930</v>
      </c>
      <c r="M2400" s="63" t="s">
        <v>5931</v>
      </c>
      <c r="N2400" s="63" t="s">
        <v>1719</v>
      </c>
    </row>
    <row r="2401" spans="1:14" x14ac:dyDescent="0.2">
      <c r="A2401" s="51">
        <v>2400</v>
      </c>
      <c r="G2401" s="65" t="b">
        <v>0</v>
      </c>
      <c r="H2401" s="65" t="b">
        <v>0</v>
      </c>
      <c r="I2401" s="65" t="b">
        <v>0</v>
      </c>
      <c r="J2401" s="65" t="b">
        <v>0</v>
      </c>
      <c r="K2401" s="63" t="s">
        <v>788</v>
      </c>
      <c r="L2401" s="63" t="s">
        <v>5930</v>
      </c>
      <c r="M2401" s="63" t="s">
        <v>5938</v>
      </c>
      <c r="N2401" s="63" t="s">
        <v>1719</v>
      </c>
    </row>
    <row r="2402" spans="1:14" x14ac:dyDescent="0.2">
      <c r="A2402" s="51">
        <v>2401</v>
      </c>
      <c r="G2402" s="65" t="b">
        <v>0</v>
      </c>
      <c r="H2402" s="65" t="b">
        <v>0</v>
      </c>
      <c r="I2402" s="65" t="b">
        <v>0</v>
      </c>
      <c r="J2402" s="65" t="b">
        <v>0</v>
      </c>
      <c r="K2402" s="63" t="s">
        <v>788</v>
      </c>
      <c r="L2402" s="63" t="s">
        <v>5939</v>
      </c>
      <c r="M2402" s="63" t="s">
        <v>5940</v>
      </c>
      <c r="N2402" s="63" t="s">
        <v>1719</v>
      </c>
    </row>
    <row r="2403" spans="1:14" x14ac:dyDescent="0.2">
      <c r="A2403" s="51">
        <v>2402</v>
      </c>
      <c r="G2403" s="65" t="b">
        <v>0</v>
      </c>
      <c r="H2403" s="65" t="b">
        <v>0</v>
      </c>
      <c r="I2403" s="65" t="b">
        <v>0</v>
      </c>
      <c r="J2403" s="65" t="b">
        <v>0</v>
      </c>
      <c r="K2403" s="63" t="s">
        <v>788</v>
      </c>
      <c r="L2403" s="63" t="s">
        <v>5924</v>
      </c>
      <c r="M2403" s="63" t="s">
        <v>5925</v>
      </c>
      <c r="N2403" s="63" t="s">
        <v>1719</v>
      </c>
    </row>
    <row r="2404" spans="1:14" x14ac:dyDescent="0.2">
      <c r="A2404" s="51">
        <v>2403</v>
      </c>
      <c r="G2404" s="65" t="b">
        <v>0</v>
      </c>
      <c r="H2404" s="65" t="b">
        <v>0</v>
      </c>
      <c r="I2404" s="65" t="b">
        <v>0</v>
      </c>
      <c r="J2404" s="65" t="b">
        <v>0</v>
      </c>
      <c r="K2404" s="63" t="s">
        <v>788</v>
      </c>
      <c r="L2404" s="63" t="s">
        <v>5924</v>
      </c>
      <c r="M2404" s="63" t="s">
        <v>5942</v>
      </c>
      <c r="N2404" s="63" t="s">
        <v>1719</v>
      </c>
    </row>
    <row r="2405" spans="1:14" x14ac:dyDescent="0.2">
      <c r="A2405" s="51">
        <v>2404</v>
      </c>
      <c r="G2405" s="65" t="b">
        <v>0</v>
      </c>
      <c r="H2405" s="65" t="b">
        <v>0</v>
      </c>
      <c r="I2405" s="65" t="b">
        <v>0</v>
      </c>
      <c r="J2405" s="65" t="b">
        <v>0</v>
      </c>
      <c r="K2405" s="63" t="s">
        <v>788</v>
      </c>
      <c r="L2405" s="63" t="s">
        <v>5933</v>
      </c>
      <c r="M2405" s="63" t="s">
        <v>5934</v>
      </c>
      <c r="N2405" s="63" t="s">
        <v>1719</v>
      </c>
    </row>
    <row r="2406" spans="1:14" x14ac:dyDescent="0.2">
      <c r="A2406" s="51">
        <v>2405</v>
      </c>
      <c r="G2406" s="65" t="b">
        <v>0</v>
      </c>
      <c r="H2406" s="65" t="b">
        <v>0</v>
      </c>
      <c r="I2406" s="65" t="b">
        <v>0</v>
      </c>
      <c r="J2406" s="65" t="b">
        <v>0</v>
      </c>
      <c r="K2406" s="63" t="s">
        <v>788</v>
      </c>
      <c r="L2406" s="63" t="s">
        <v>5933</v>
      </c>
      <c r="M2406" s="63" t="s">
        <v>4197</v>
      </c>
      <c r="N2406" s="63" t="s">
        <v>1719</v>
      </c>
    </row>
    <row r="2407" spans="1:14" x14ac:dyDescent="0.2">
      <c r="A2407" s="51">
        <v>2406</v>
      </c>
      <c r="G2407" s="65" t="b">
        <v>0</v>
      </c>
      <c r="H2407" s="65" t="b">
        <v>0</v>
      </c>
      <c r="I2407" s="65" t="b">
        <v>0</v>
      </c>
      <c r="J2407" s="65" t="b">
        <v>0</v>
      </c>
      <c r="K2407" s="63" t="s">
        <v>793</v>
      </c>
      <c r="L2407" s="63" t="s">
        <v>5943</v>
      </c>
      <c r="M2407" s="63" t="s">
        <v>5944</v>
      </c>
      <c r="N2407" s="63" t="s">
        <v>5945</v>
      </c>
    </row>
    <row r="2408" spans="1:14" x14ac:dyDescent="0.2">
      <c r="A2408" s="51">
        <v>2407</v>
      </c>
      <c r="G2408" s="65" t="b">
        <v>0</v>
      </c>
      <c r="H2408" s="65" t="b">
        <v>0</v>
      </c>
      <c r="I2408" s="65" t="b">
        <v>0</v>
      </c>
      <c r="J2408" s="65" t="b">
        <v>0</v>
      </c>
      <c r="K2408" s="63" t="s">
        <v>793</v>
      </c>
      <c r="L2408" s="63" t="s">
        <v>5946</v>
      </c>
      <c r="M2408" s="63" t="s">
        <v>5947</v>
      </c>
      <c r="N2408" s="63" t="s">
        <v>5945</v>
      </c>
    </row>
    <row r="2409" spans="1:14" x14ac:dyDescent="0.2">
      <c r="A2409" s="51">
        <v>2408</v>
      </c>
      <c r="G2409" s="65" t="b">
        <v>0</v>
      </c>
      <c r="H2409" s="65" t="b">
        <v>0</v>
      </c>
      <c r="I2409" s="65" t="b">
        <v>0</v>
      </c>
      <c r="J2409" s="65" t="b">
        <v>0</v>
      </c>
      <c r="K2409" s="63" t="s">
        <v>793</v>
      </c>
      <c r="L2409" s="63" t="s">
        <v>5948</v>
      </c>
      <c r="M2409" s="63" t="s">
        <v>5949</v>
      </c>
      <c r="N2409" s="63" t="s">
        <v>5945</v>
      </c>
    </row>
    <row r="2410" spans="1:14" x14ac:dyDescent="0.2">
      <c r="A2410" s="51">
        <v>2409</v>
      </c>
      <c r="B2410" s="56" t="s">
        <v>795</v>
      </c>
      <c r="C2410" s="47" t="s">
        <v>5969</v>
      </c>
      <c r="D2410" s="47" t="s">
        <v>12654</v>
      </c>
      <c r="E2410" s="47" t="s">
        <v>5964</v>
      </c>
      <c r="F2410" s="55" t="b">
        <v>1</v>
      </c>
      <c r="G2410" s="65" t="b">
        <v>0</v>
      </c>
      <c r="H2410" s="54" t="b">
        <v>1</v>
      </c>
      <c r="I2410" s="65" t="b">
        <v>0</v>
      </c>
      <c r="J2410" s="65" t="b">
        <v>0</v>
      </c>
      <c r="K2410" s="63" t="s">
        <v>1108</v>
      </c>
      <c r="L2410" s="63" t="s">
        <v>5969</v>
      </c>
      <c r="M2410" s="63" t="s">
        <v>5970</v>
      </c>
      <c r="N2410" s="63" t="s">
        <v>4996</v>
      </c>
    </row>
    <row r="2411" spans="1:14" x14ac:dyDescent="0.2">
      <c r="A2411" s="51">
        <v>2410</v>
      </c>
      <c r="B2411" s="56" t="s">
        <v>795</v>
      </c>
      <c r="C2411" s="47" t="s">
        <v>5965</v>
      </c>
      <c r="D2411" s="47" t="s">
        <v>12653</v>
      </c>
      <c r="E2411" s="47" t="s">
        <v>1719</v>
      </c>
      <c r="F2411" s="55" t="b">
        <v>1</v>
      </c>
      <c r="G2411" s="65" t="b">
        <v>0</v>
      </c>
      <c r="H2411" s="54" t="b">
        <v>1</v>
      </c>
      <c r="I2411" s="65" t="b">
        <v>0</v>
      </c>
      <c r="J2411" s="54" t="b">
        <v>1</v>
      </c>
      <c r="K2411" s="63" t="s">
        <v>1108</v>
      </c>
      <c r="L2411" s="63" t="s">
        <v>5965</v>
      </c>
      <c r="M2411" s="63" t="s">
        <v>5966</v>
      </c>
      <c r="N2411" s="63" t="s">
        <v>1719</v>
      </c>
    </row>
    <row r="2412" spans="1:14" x14ac:dyDescent="0.2">
      <c r="A2412" s="51">
        <v>2411</v>
      </c>
      <c r="B2412" s="56" t="s">
        <v>795</v>
      </c>
      <c r="C2412" s="47" t="s">
        <v>5967</v>
      </c>
      <c r="D2412" s="47" t="s">
        <v>12652</v>
      </c>
      <c r="E2412" s="47" t="s">
        <v>1719</v>
      </c>
      <c r="F2412" s="55" t="b">
        <v>1</v>
      </c>
      <c r="G2412" s="65" t="b">
        <v>0</v>
      </c>
      <c r="H2412" s="54" t="b">
        <v>1</v>
      </c>
      <c r="I2412" s="65" t="b">
        <v>0</v>
      </c>
      <c r="J2412" s="54" t="b">
        <v>1</v>
      </c>
      <c r="K2412" s="63" t="s">
        <v>1108</v>
      </c>
      <c r="L2412" s="63" t="s">
        <v>5967</v>
      </c>
      <c r="M2412" s="63" t="s">
        <v>5968</v>
      </c>
      <c r="N2412" s="63" t="s">
        <v>1719</v>
      </c>
    </row>
    <row r="2413" spans="1:14" x14ac:dyDescent="0.2">
      <c r="A2413" s="51">
        <v>2412</v>
      </c>
      <c r="B2413" s="56" t="s">
        <v>795</v>
      </c>
      <c r="C2413" s="47" t="s">
        <v>5958</v>
      </c>
      <c r="D2413" s="47" t="s">
        <v>12645</v>
      </c>
      <c r="E2413" s="47" t="s">
        <v>1719</v>
      </c>
      <c r="F2413" s="55" t="b">
        <v>1</v>
      </c>
      <c r="G2413" s="65" t="b">
        <v>0</v>
      </c>
      <c r="H2413" s="54" t="b">
        <v>1</v>
      </c>
      <c r="I2413" s="65" t="b">
        <v>0</v>
      </c>
      <c r="J2413" s="54" t="b">
        <v>1</v>
      </c>
      <c r="K2413" s="63" t="s">
        <v>1108</v>
      </c>
      <c r="L2413" s="63" t="s">
        <v>5958</v>
      </c>
      <c r="M2413" s="63" t="s">
        <v>5959</v>
      </c>
      <c r="N2413" s="63" t="s">
        <v>1719</v>
      </c>
    </row>
    <row r="2414" spans="1:14" x14ac:dyDescent="0.2">
      <c r="A2414" s="51">
        <v>2413</v>
      </c>
      <c r="B2414" s="56" t="s">
        <v>795</v>
      </c>
      <c r="C2414" s="47" t="s">
        <v>5954</v>
      </c>
      <c r="D2414" s="47" t="s">
        <v>12649</v>
      </c>
      <c r="E2414" s="47" t="s">
        <v>1719</v>
      </c>
      <c r="F2414" s="55" t="b">
        <v>1</v>
      </c>
      <c r="G2414" s="65" t="b">
        <v>0</v>
      </c>
      <c r="H2414" s="54" t="b">
        <v>1</v>
      </c>
      <c r="I2414" s="65" t="b">
        <v>0</v>
      </c>
      <c r="J2414" s="54" t="b">
        <v>1</v>
      </c>
      <c r="K2414" s="63" t="s">
        <v>1108</v>
      </c>
      <c r="L2414" s="63" t="s">
        <v>5954</v>
      </c>
      <c r="M2414" s="63" t="s">
        <v>5955</v>
      </c>
      <c r="N2414" s="63" t="s">
        <v>1719</v>
      </c>
    </row>
    <row r="2415" spans="1:14" x14ac:dyDescent="0.2">
      <c r="A2415" s="51">
        <v>2414</v>
      </c>
      <c r="B2415" s="56" t="s">
        <v>795</v>
      </c>
      <c r="C2415" s="47" t="s">
        <v>5956</v>
      </c>
      <c r="D2415" s="47" t="s">
        <v>12648</v>
      </c>
      <c r="E2415" s="47" t="s">
        <v>1719</v>
      </c>
      <c r="F2415" s="55" t="b">
        <v>1</v>
      </c>
      <c r="G2415" s="65" t="b">
        <v>0</v>
      </c>
      <c r="H2415" s="54" t="b">
        <v>1</v>
      </c>
      <c r="I2415" s="65" t="b">
        <v>0</v>
      </c>
      <c r="J2415" s="54" t="b">
        <v>1</v>
      </c>
      <c r="K2415" s="63" t="s">
        <v>1108</v>
      </c>
      <c r="L2415" s="63" t="s">
        <v>5956</v>
      </c>
      <c r="M2415" s="63" t="s">
        <v>5957</v>
      </c>
      <c r="N2415" s="63" t="s">
        <v>1719</v>
      </c>
    </row>
    <row r="2416" spans="1:14" x14ac:dyDescent="0.2">
      <c r="A2416" s="51">
        <v>2415</v>
      </c>
      <c r="B2416" s="56" t="s">
        <v>795</v>
      </c>
      <c r="C2416" s="47" t="s">
        <v>5960</v>
      </c>
      <c r="D2416" s="47" t="s">
        <v>12650</v>
      </c>
      <c r="E2416" s="47" t="s">
        <v>1719</v>
      </c>
      <c r="F2416" s="55" t="b">
        <v>1</v>
      </c>
      <c r="G2416" s="65" t="b">
        <v>0</v>
      </c>
      <c r="H2416" s="54" t="b">
        <v>1</v>
      </c>
      <c r="I2416" s="65" t="b">
        <v>0</v>
      </c>
      <c r="J2416" s="54" t="b">
        <v>1</v>
      </c>
      <c r="K2416" s="63" t="s">
        <v>1108</v>
      </c>
      <c r="L2416" s="63" t="s">
        <v>5960</v>
      </c>
      <c r="M2416" s="63" t="s">
        <v>5961</v>
      </c>
      <c r="N2416" s="63" t="s">
        <v>1719</v>
      </c>
    </row>
    <row r="2417" spans="1:14" x14ac:dyDescent="0.2">
      <c r="A2417" s="51">
        <v>2416</v>
      </c>
      <c r="B2417" s="56" t="s">
        <v>795</v>
      </c>
      <c r="C2417" s="47" t="s">
        <v>5950</v>
      </c>
      <c r="D2417" s="47" t="s">
        <v>12647</v>
      </c>
      <c r="E2417" s="47" t="s">
        <v>1719</v>
      </c>
      <c r="F2417" s="55" t="b">
        <v>1</v>
      </c>
      <c r="G2417" s="65" t="b">
        <v>0</v>
      </c>
      <c r="H2417" s="54" t="b">
        <v>1</v>
      </c>
      <c r="I2417" s="65" t="b">
        <v>0</v>
      </c>
      <c r="J2417" s="54" t="b">
        <v>1</v>
      </c>
      <c r="K2417" s="63" t="s">
        <v>1108</v>
      </c>
      <c r="L2417" s="63" t="s">
        <v>5950</v>
      </c>
      <c r="M2417" s="63" t="s">
        <v>5951</v>
      </c>
      <c r="N2417" s="63" t="s">
        <v>1719</v>
      </c>
    </row>
    <row r="2418" spans="1:14" x14ac:dyDescent="0.2">
      <c r="A2418" s="51">
        <v>2417</v>
      </c>
      <c r="B2418" s="56" t="s">
        <v>795</v>
      </c>
      <c r="C2418" s="47" t="s">
        <v>5952</v>
      </c>
      <c r="D2418" s="47" t="s">
        <v>12646</v>
      </c>
      <c r="E2418" s="47" t="s">
        <v>1719</v>
      </c>
      <c r="F2418" s="55" t="b">
        <v>1</v>
      </c>
      <c r="G2418" s="65" t="b">
        <v>0</v>
      </c>
      <c r="H2418" s="54" t="b">
        <v>1</v>
      </c>
      <c r="I2418" s="65" t="b">
        <v>0</v>
      </c>
      <c r="J2418" s="54" t="b">
        <v>1</v>
      </c>
      <c r="K2418" s="63" t="s">
        <v>1108</v>
      </c>
      <c r="L2418" s="63" t="s">
        <v>5952</v>
      </c>
      <c r="M2418" s="63" t="s">
        <v>5953</v>
      </c>
      <c r="N2418" s="63" t="s">
        <v>1719</v>
      </c>
    </row>
    <row r="2419" spans="1:14" x14ac:dyDescent="0.2">
      <c r="A2419" s="51">
        <v>2418</v>
      </c>
      <c r="B2419" s="56" t="s">
        <v>795</v>
      </c>
      <c r="C2419" s="47" t="s">
        <v>5971</v>
      </c>
      <c r="D2419" s="47" t="s">
        <v>12655</v>
      </c>
      <c r="E2419" s="47" t="s">
        <v>1719</v>
      </c>
      <c r="F2419" s="55" t="b">
        <v>1</v>
      </c>
      <c r="G2419" s="65" t="b">
        <v>0</v>
      </c>
      <c r="H2419" s="54" t="b">
        <v>1</v>
      </c>
      <c r="I2419" s="65" t="b">
        <v>0</v>
      </c>
      <c r="J2419" s="54" t="b">
        <v>1</v>
      </c>
      <c r="K2419" s="63" t="s">
        <v>1108</v>
      </c>
      <c r="L2419" s="63" t="s">
        <v>5971</v>
      </c>
      <c r="M2419" s="63" t="s">
        <v>5972</v>
      </c>
      <c r="N2419" s="63" t="s">
        <v>1719</v>
      </c>
    </row>
    <row r="2420" spans="1:14" x14ac:dyDescent="0.2">
      <c r="A2420" s="51">
        <v>2419</v>
      </c>
      <c r="B2420" s="56" t="s">
        <v>795</v>
      </c>
      <c r="C2420" s="47" t="s">
        <v>5962</v>
      </c>
      <c r="D2420" s="47" t="s">
        <v>12651</v>
      </c>
      <c r="E2420" s="47" t="s">
        <v>5964</v>
      </c>
      <c r="F2420" s="55" t="b">
        <v>1</v>
      </c>
      <c r="G2420" s="65" t="b">
        <v>0</v>
      </c>
      <c r="H2420" s="54" t="b">
        <v>1</v>
      </c>
      <c r="I2420" s="65" t="b">
        <v>0</v>
      </c>
      <c r="J2420" s="54" t="b">
        <v>1</v>
      </c>
      <c r="K2420" s="63" t="s">
        <v>1108</v>
      </c>
      <c r="L2420" s="63" t="s">
        <v>5962</v>
      </c>
      <c r="M2420" s="63" t="s">
        <v>5963</v>
      </c>
      <c r="N2420" s="63" t="s">
        <v>5964</v>
      </c>
    </row>
    <row r="2421" spans="1:14" x14ac:dyDescent="0.2">
      <c r="A2421" s="51">
        <v>2420</v>
      </c>
      <c r="B2421" s="56" t="s">
        <v>797</v>
      </c>
      <c r="C2421" s="47" t="s">
        <v>6002</v>
      </c>
      <c r="D2421" s="47" t="s">
        <v>12673</v>
      </c>
      <c r="E2421" s="47" t="s">
        <v>4996</v>
      </c>
      <c r="F2421" s="55" t="b">
        <v>1</v>
      </c>
      <c r="G2421" s="65" t="b">
        <v>0</v>
      </c>
      <c r="H2421" s="54" t="b">
        <v>1</v>
      </c>
      <c r="I2421" s="65" t="b">
        <v>0</v>
      </c>
      <c r="J2421" s="65" t="b">
        <v>0</v>
      </c>
      <c r="K2421" s="63" t="s">
        <v>1109</v>
      </c>
      <c r="L2421" s="63" t="s">
        <v>6002</v>
      </c>
      <c r="M2421" s="63" t="s">
        <v>6003</v>
      </c>
      <c r="N2421" s="63" t="s">
        <v>6004</v>
      </c>
    </row>
    <row r="2422" spans="1:14" x14ac:dyDescent="0.2">
      <c r="A2422" s="51">
        <v>2421</v>
      </c>
      <c r="B2422" s="56" t="s">
        <v>797</v>
      </c>
      <c r="C2422" s="47" t="s">
        <v>5973</v>
      </c>
      <c r="D2422" s="47" t="s">
        <v>12656</v>
      </c>
      <c r="E2422" s="47" t="s">
        <v>5975</v>
      </c>
      <c r="F2422" s="55" t="b">
        <v>1</v>
      </c>
      <c r="G2422" s="65" t="b">
        <v>0</v>
      </c>
      <c r="H2422" s="54" t="b">
        <v>1</v>
      </c>
      <c r="I2422" s="65" t="b">
        <v>0</v>
      </c>
      <c r="J2422" s="54" t="b">
        <v>1</v>
      </c>
      <c r="K2422" s="63" t="s">
        <v>1109</v>
      </c>
      <c r="L2422" s="63" t="s">
        <v>5973</v>
      </c>
      <c r="M2422" s="63" t="s">
        <v>5974</v>
      </c>
      <c r="N2422" s="63" t="s">
        <v>5975</v>
      </c>
    </row>
    <row r="2423" spans="1:14" x14ac:dyDescent="0.2">
      <c r="A2423" s="51">
        <v>2422</v>
      </c>
      <c r="B2423" s="56" t="s">
        <v>797</v>
      </c>
      <c r="C2423" s="47" t="s">
        <v>5980</v>
      </c>
      <c r="D2423" s="47" t="s">
        <v>12659</v>
      </c>
      <c r="E2423" s="47" t="s">
        <v>5975</v>
      </c>
      <c r="F2423" s="55" t="b">
        <v>1</v>
      </c>
      <c r="G2423" s="65" t="b">
        <v>0</v>
      </c>
      <c r="H2423" s="54" t="b">
        <v>1</v>
      </c>
      <c r="I2423" s="65" t="b">
        <v>0</v>
      </c>
      <c r="J2423" s="54" t="b">
        <v>1</v>
      </c>
      <c r="K2423" s="63" t="s">
        <v>1109</v>
      </c>
      <c r="L2423" s="63" t="s">
        <v>5980</v>
      </c>
      <c r="M2423" s="63" t="s">
        <v>5981</v>
      </c>
      <c r="N2423" s="63" t="s">
        <v>5975</v>
      </c>
    </row>
    <row r="2424" spans="1:14" x14ac:dyDescent="0.2">
      <c r="A2424" s="51">
        <v>2423</v>
      </c>
      <c r="B2424" s="56" t="s">
        <v>797</v>
      </c>
      <c r="C2424" s="47" t="s">
        <v>5994</v>
      </c>
      <c r="D2424" s="47" t="s">
        <v>12666</v>
      </c>
      <c r="E2424" s="47" t="s">
        <v>5975</v>
      </c>
      <c r="F2424" s="55" t="b">
        <v>1</v>
      </c>
      <c r="G2424" s="65" t="b">
        <v>0</v>
      </c>
      <c r="H2424" s="54" t="b">
        <v>1</v>
      </c>
      <c r="I2424" s="65" t="b">
        <v>0</v>
      </c>
      <c r="J2424" s="54" t="b">
        <v>1</v>
      </c>
      <c r="K2424" s="63" t="s">
        <v>1109</v>
      </c>
      <c r="L2424" s="63" t="s">
        <v>5994</v>
      </c>
      <c r="M2424" s="63" t="s">
        <v>5995</v>
      </c>
      <c r="N2424" s="63" t="s">
        <v>5975</v>
      </c>
    </row>
    <row r="2425" spans="1:14" x14ac:dyDescent="0.2">
      <c r="A2425" s="51">
        <v>2424</v>
      </c>
      <c r="B2425" s="56" t="s">
        <v>797</v>
      </c>
      <c r="C2425" s="47" t="s">
        <v>5986</v>
      </c>
      <c r="D2425" s="47" t="s">
        <v>12662</v>
      </c>
      <c r="E2425" s="47" t="s">
        <v>5975</v>
      </c>
      <c r="F2425" s="55" t="b">
        <v>1</v>
      </c>
      <c r="G2425" s="65" t="b">
        <v>0</v>
      </c>
      <c r="H2425" s="54" t="b">
        <v>1</v>
      </c>
      <c r="I2425" s="65" t="b">
        <v>0</v>
      </c>
      <c r="J2425" s="54" t="b">
        <v>1</v>
      </c>
      <c r="K2425" s="63" t="s">
        <v>1109</v>
      </c>
      <c r="L2425" s="63" t="s">
        <v>5986</v>
      </c>
      <c r="M2425" s="63" t="s">
        <v>5987</v>
      </c>
      <c r="N2425" s="63" t="s">
        <v>5975</v>
      </c>
    </row>
    <row r="2426" spans="1:14" x14ac:dyDescent="0.2">
      <c r="A2426" s="51">
        <v>2425</v>
      </c>
      <c r="B2426" s="56" t="s">
        <v>797</v>
      </c>
      <c r="C2426" s="47" t="s">
        <v>5982</v>
      </c>
      <c r="D2426" s="47" t="s">
        <v>12660</v>
      </c>
      <c r="E2426" s="47" t="s">
        <v>5975</v>
      </c>
      <c r="F2426" s="55" t="b">
        <v>1</v>
      </c>
      <c r="G2426" s="65" t="b">
        <v>0</v>
      </c>
      <c r="H2426" s="54" t="b">
        <v>1</v>
      </c>
      <c r="I2426" s="65" t="b">
        <v>0</v>
      </c>
      <c r="J2426" s="54" t="b">
        <v>1</v>
      </c>
      <c r="K2426" s="63" t="s">
        <v>1109</v>
      </c>
      <c r="L2426" s="63" t="s">
        <v>5982</v>
      </c>
      <c r="M2426" s="63" t="s">
        <v>5983</v>
      </c>
      <c r="N2426" s="63" t="s">
        <v>5975</v>
      </c>
    </row>
    <row r="2427" spans="1:14" x14ac:dyDescent="0.2">
      <c r="A2427" s="51">
        <v>2426</v>
      </c>
      <c r="B2427" s="56" t="s">
        <v>797</v>
      </c>
      <c r="C2427" s="47" t="s">
        <v>6005</v>
      </c>
      <c r="D2427" s="47" t="s">
        <v>12674</v>
      </c>
      <c r="E2427" s="47" t="s">
        <v>5975</v>
      </c>
      <c r="F2427" s="55" t="b">
        <v>1</v>
      </c>
      <c r="G2427" s="65" t="b">
        <v>0</v>
      </c>
      <c r="H2427" s="54" t="b">
        <v>1</v>
      </c>
      <c r="I2427" s="65" t="b">
        <v>0</v>
      </c>
      <c r="J2427" s="54" t="b">
        <v>1</v>
      </c>
      <c r="K2427" s="63" t="s">
        <v>1109</v>
      </c>
      <c r="L2427" s="63" t="s">
        <v>6005</v>
      </c>
      <c r="M2427" s="63" t="s">
        <v>6006</v>
      </c>
      <c r="N2427" s="63" t="s">
        <v>5975</v>
      </c>
    </row>
    <row r="2428" spans="1:14" x14ac:dyDescent="0.2">
      <c r="A2428" s="51">
        <v>2427</v>
      </c>
      <c r="B2428" s="56" t="s">
        <v>797</v>
      </c>
      <c r="C2428" s="47" t="s">
        <v>5988</v>
      </c>
      <c r="D2428" s="47" t="s">
        <v>12664</v>
      </c>
      <c r="E2428" s="47" t="s">
        <v>1719</v>
      </c>
      <c r="F2428" s="55" t="b">
        <v>1</v>
      </c>
      <c r="G2428" s="65" t="b">
        <v>0</v>
      </c>
      <c r="H2428" s="54" t="b">
        <v>1</v>
      </c>
      <c r="I2428" s="65" t="b">
        <v>0</v>
      </c>
      <c r="J2428" s="54" t="b">
        <v>1</v>
      </c>
      <c r="K2428" s="63" t="s">
        <v>1109</v>
      </c>
      <c r="L2428" s="63" t="s">
        <v>5988</v>
      </c>
      <c r="M2428" s="63" t="s">
        <v>5989</v>
      </c>
      <c r="N2428" s="63" t="s">
        <v>1719</v>
      </c>
    </row>
    <row r="2429" spans="1:14" x14ac:dyDescent="0.2">
      <c r="A2429" s="51">
        <v>2428</v>
      </c>
      <c r="B2429" s="56" t="s">
        <v>797</v>
      </c>
      <c r="C2429" s="47" t="s">
        <v>5984</v>
      </c>
      <c r="D2429" s="47" t="s">
        <v>12661</v>
      </c>
      <c r="E2429" s="47" t="s">
        <v>1719</v>
      </c>
      <c r="F2429" s="55" t="b">
        <v>1</v>
      </c>
      <c r="G2429" s="65" t="b">
        <v>0</v>
      </c>
      <c r="H2429" s="54" t="b">
        <v>1</v>
      </c>
      <c r="I2429" s="65" t="b">
        <v>0</v>
      </c>
      <c r="J2429" s="54" t="b">
        <v>1</v>
      </c>
      <c r="K2429" s="63" t="s">
        <v>1109</v>
      </c>
      <c r="L2429" s="63" t="s">
        <v>5984</v>
      </c>
      <c r="M2429" s="63" t="s">
        <v>5985</v>
      </c>
      <c r="N2429" s="63" t="s">
        <v>1719</v>
      </c>
    </row>
    <row r="2430" spans="1:14" x14ac:dyDescent="0.2">
      <c r="A2430" s="51">
        <v>2429</v>
      </c>
      <c r="B2430" s="56" t="s">
        <v>797</v>
      </c>
      <c r="C2430" s="47" t="s">
        <v>5976</v>
      </c>
      <c r="D2430" s="47" t="s">
        <v>12657</v>
      </c>
      <c r="E2430" s="47" t="s">
        <v>1719</v>
      </c>
      <c r="F2430" s="55" t="b">
        <v>1</v>
      </c>
      <c r="G2430" s="65" t="b">
        <v>0</v>
      </c>
      <c r="H2430" s="54" t="b">
        <v>1</v>
      </c>
      <c r="I2430" s="65" t="b">
        <v>0</v>
      </c>
      <c r="J2430" s="54" t="b">
        <v>1</v>
      </c>
      <c r="K2430" s="63" t="s">
        <v>1109</v>
      </c>
      <c r="L2430" s="63" t="s">
        <v>5976</v>
      </c>
      <c r="M2430" s="63" t="s">
        <v>5977</v>
      </c>
      <c r="N2430" s="63" t="s">
        <v>1719</v>
      </c>
    </row>
    <row r="2431" spans="1:14" x14ac:dyDescent="0.2">
      <c r="A2431" s="51">
        <v>2430</v>
      </c>
      <c r="B2431" s="56" t="s">
        <v>797</v>
      </c>
      <c r="C2431" s="47" t="s">
        <v>5978</v>
      </c>
      <c r="D2431" s="47" t="s">
        <v>12658</v>
      </c>
      <c r="E2431" s="47" t="s">
        <v>1719</v>
      </c>
      <c r="F2431" s="55" t="b">
        <v>1</v>
      </c>
      <c r="G2431" s="65" t="b">
        <v>0</v>
      </c>
      <c r="H2431" s="54" t="b">
        <v>1</v>
      </c>
      <c r="I2431" s="65" t="b">
        <v>0</v>
      </c>
      <c r="J2431" s="54" t="b">
        <v>1</v>
      </c>
      <c r="K2431" s="63" t="s">
        <v>1109</v>
      </c>
      <c r="L2431" s="63" t="s">
        <v>5978</v>
      </c>
      <c r="M2431" s="63" t="s">
        <v>5979</v>
      </c>
      <c r="N2431" s="63" t="s">
        <v>1719</v>
      </c>
    </row>
    <row r="2432" spans="1:14" x14ac:dyDescent="0.2">
      <c r="A2432" s="51">
        <v>2431</v>
      </c>
      <c r="B2432" s="56" t="s">
        <v>797</v>
      </c>
      <c r="C2432" s="47" t="s">
        <v>5998</v>
      </c>
      <c r="D2432" s="47" t="s">
        <v>12668</v>
      </c>
      <c r="E2432" s="47" t="s">
        <v>1719</v>
      </c>
      <c r="F2432" s="55" t="b">
        <v>1</v>
      </c>
      <c r="G2432" s="65" t="b">
        <v>0</v>
      </c>
      <c r="H2432" s="54" t="b">
        <v>1</v>
      </c>
      <c r="I2432" s="65" t="b">
        <v>0</v>
      </c>
      <c r="J2432" s="54" t="b">
        <v>1</v>
      </c>
      <c r="K2432" s="63" t="s">
        <v>1109</v>
      </c>
      <c r="L2432" s="63" t="s">
        <v>5998</v>
      </c>
      <c r="M2432" s="63" t="s">
        <v>5999</v>
      </c>
      <c r="N2432" s="63" t="s">
        <v>1719</v>
      </c>
    </row>
    <row r="2433" spans="1:14" x14ac:dyDescent="0.2">
      <c r="A2433" s="51">
        <v>2432</v>
      </c>
      <c r="B2433" s="56" t="s">
        <v>797</v>
      </c>
      <c r="C2433" s="47" t="s">
        <v>6000</v>
      </c>
      <c r="D2433" s="47" t="s">
        <v>12669</v>
      </c>
      <c r="E2433" s="47" t="s">
        <v>1719</v>
      </c>
      <c r="F2433" s="55" t="b">
        <v>1</v>
      </c>
      <c r="G2433" s="65" t="b">
        <v>0</v>
      </c>
      <c r="H2433" s="54" t="b">
        <v>1</v>
      </c>
      <c r="I2433" s="65" t="b">
        <v>0</v>
      </c>
      <c r="J2433" s="54" t="b">
        <v>1</v>
      </c>
      <c r="K2433" s="63" t="s">
        <v>1109</v>
      </c>
      <c r="L2433" s="63" t="s">
        <v>6000</v>
      </c>
      <c r="M2433" s="63" t="s">
        <v>6001</v>
      </c>
      <c r="N2433" s="63" t="s">
        <v>1719</v>
      </c>
    </row>
    <row r="2434" spans="1:14" x14ac:dyDescent="0.2">
      <c r="A2434" s="51">
        <v>2433</v>
      </c>
      <c r="B2434" s="56" t="s">
        <v>797</v>
      </c>
      <c r="C2434" s="47" t="s">
        <v>5990</v>
      </c>
      <c r="D2434" s="47" t="s">
        <v>12663</v>
      </c>
      <c r="E2434" s="47" t="s">
        <v>1719</v>
      </c>
      <c r="F2434" s="55" t="b">
        <v>1</v>
      </c>
      <c r="G2434" s="65" t="b">
        <v>0</v>
      </c>
      <c r="H2434" s="54" t="b">
        <v>1</v>
      </c>
      <c r="I2434" s="65" t="b">
        <v>0</v>
      </c>
      <c r="J2434" s="54" t="b">
        <v>1</v>
      </c>
      <c r="K2434" s="63" t="s">
        <v>1109</v>
      </c>
      <c r="L2434" s="63" t="s">
        <v>5990</v>
      </c>
      <c r="M2434" s="63" t="s">
        <v>5991</v>
      </c>
      <c r="N2434" s="63" t="s">
        <v>1719</v>
      </c>
    </row>
    <row r="2435" spans="1:14" x14ac:dyDescent="0.2">
      <c r="A2435" s="51">
        <v>2434</v>
      </c>
      <c r="B2435" s="56" t="s">
        <v>797</v>
      </c>
      <c r="C2435" s="47" t="s">
        <v>5992</v>
      </c>
      <c r="D2435" s="47" t="s">
        <v>12665</v>
      </c>
      <c r="E2435" s="47" t="s">
        <v>1719</v>
      </c>
      <c r="F2435" s="55" t="b">
        <v>1</v>
      </c>
      <c r="G2435" s="65" t="b">
        <v>0</v>
      </c>
      <c r="H2435" s="54" t="b">
        <v>1</v>
      </c>
      <c r="I2435" s="65" t="b">
        <v>0</v>
      </c>
      <c r="J2435" s="54" t="b">
        <v>1</v>
      </c>
      <c r="K2435" s="63" t="s">
        <v>1109</v>
      </c>
      <c r="L2435" s="63" t="s">
        <v>5992</v>
      </c>
      <c r="M2435" s="63" t="s">
        <v>5993</v>
      </c>
      <c r="N2435" s="63" t="s">
        <v>1719</v>
      </c>
    </row>
    <row r="2436" spans="1:14" x14ac:dyDescent="0.2">
      <c r="A2436" s="51">
        <v>2435</v>
      </c>
      <c r="B2436" s="56" t="s">
        <v>797</v>
      </c>
      <c r="C2436" s="47" t="s">
        <v>5996</v>
      </c>
      <c r="D2436" s="47" t="s">
        <v>12667</v>
      </c>
      <c r="E2436" s="47" t="s">
        <v>1719</v>
      </c>
      <c r="F2436" s="55" t="b">
        <v>1</v>
      </c>
      <c r="G2436" s="65" t="b">
        <v>0</v>
      </c>
      <c r="H2436" s="54" t="b">
        <v>1</v>
      </c>
      <c r="I2436" s="65" t="b">
        <v>0</v>
      </c>
      <c r="J2436" s="54" t="b">
        <v>1</v>
      </c>
      <c r="K2436" s="63" t="s">
        <v>1109</v>
      </c>
      <c r="L2436" s="63" t="s">
        <v>5996</v>
      </c>
      <c r="M2436" s="63" t="s">
        <v>5997</v>
      </c>
      <c r="N2436" s="63" t="s">
        <v>1719</v>
      </c>
    </row>
    <row r="2437" spans="1:14" x14ac:dyDescent="0.2">
      <c r="A2437" s="51">
        <v>2436</v>
      </c>
      <c r="B2437" s="56" t="s">
        <v>797</v>
      </c>
      <c r="C2437" s="47" t="s">
        <v>12670</v>
      </c>
      <c r="D2437" s="47" t="s">
        <v>12671</v>
      </c>
      <c r="E2437" s="47" t="s">
        <v>12672</v>
      </c>
      <c r="F2437" s="55" t="b">
        <v>1</v>
      </c>
      <c r="G2437" s="65" t="b">
        <v>0</v>
      </c>
      <c r="H2437" s="65" t="b">
        <v>0</v>
      </c>
      <c r="I2437" s="65" t="b">
        <v>0</v>
      </c>
      <c r="J2437" s="65" t="b">
        <v>0</v>
      </c>
    </row>
    <row r="2438" spans="1:14" x14ac:dyDescent="0.2">
      <c r="A2438" s="51">
        <v>2437</v>
      </c>
      <c r="B2438" s="56" t="s">
        <v>800</v>
      </c>
      <c r="C2438" s="47" t="s">
        <v>12675</v>
      </c>
      <c r="D2438" s="47" t="s">
        <v>12676</v>
      </c>
      <c r="E2438" s="47" t="s">
        <v>2164</v>
      </c>
      <c r="F2438" s="55" t="b">
        <v>1</v>
      </c>
      <c r="G2438" s="65" t="b">
        <v>0</v>
      </c>
      <c r="H2438" s="65" t="b">
        <v>0</v>
      </c>
      <c r="I2438" s="65" t="b">
        <v>0</v>
      </c>
      <c r="J2438" s="65" t="b">
        <v>0</v>
      </c>
    </row>
    <row r="2439" spans="1:14" x14ac:dyDescent="0.2">
      <c r="A2439" s="51">
        <v>2438</v>
      </c>
      <c r="B2439" s="56" t="s">
        <v>800</v>
      </c>
      <c r="C2439" s="47" t="s">
        <v>12677</v>
      </c>
      <c r="D2439" s="47" t="s">
        <v>12678</v>
      </c>
      <c r="E2439" s="47" t="s">
        <v>2164</v>
      </c>
      <c r="F2439" s="55" t="b">
        <v>1</v>
      </c>
      <c r="G2439" s="65" t="b">
        <v>0</v>
      </c>
      <c r="H2439" s="65" t="b">
        <v>0</v>
      </c>
      <c r="I2439" s="65" t="b">
        <v>0</v>
      </c>
      <c r="J2439" s="65" t="b">
        <v>0</v>
      </c>
    </row>
    <row r="2440" spans="1:14" x14ac:dyDescent="0.2">
      <c r="A2440" s="51">
        <v>2439</v>
      </c>
      <c r="B2440" s="56" t="s">
        <v>800</v>
      </c>
      <c r="C2440" s="47" t="s">
        <v>12679</v>
      </c>
      <c r="D2440" s="47" t="s">
        <v>12680</v>
      </c>
      <c r="E2440" s="47" t="s">
        <v>2164</v>
      </c>
      <c r="F2440" s="55" t="b">
        <v>1</v>
      </c>
      <c r="G2440" s="65" t="b">
        <v>0</v>
      </c>
      <c r="H2440" s="65" t="b">
        <v>0</v>
      </c>
      <c r="I2440" s="65" t="b">
        <v>0</v>
      </c>
      <c r="J2440" s="65" t="b">
        <v>0</v>
      </c>
    </row>
    <row r="2441" spans="1:14" x14ac:dyDescent="0.2">
      <c r="A2441" s="51">
        <v>2440</v>
      </c>
      <c r="B2441" s="56" t="s">
        <v>800</v>
      </c>
      <c r="C2441" s="47" t="s">
        <v>12681</v>
      </c>
      <c r="D2441" s="47" t="s">
        <v>12682</v>
      </c>
      <c r="E2441" s="47" t="s">
        <v>2164</v>
      </c>
      <c r="F2441" s="55" t="b">
        <v>1</v>
      </c>
      <c r="G2441" s="65" t="b">
        <v>0</v>
      </c>
      <c r="H2441" s="65" t="b">
        <v>0</v>
      </c>
      <c r="I2441" s="65" t="b">
        <v>0</v>
      </c>
      <c r="J2441" s="65" t="b">
        <v>0</v>
      </c>
    </row>
    <row r="2442" spans="1:14" x14ac:dyDescent="0.2">
      <c r="A2442" s="51">
        <v>2441</v>
      </c>
      <c r="B2442" s="56" t="s">
        <v>800</v>
      </c>
      <c r="C2442" s="47" t="s">
        <v>12683</v>
      </c>
      <c r="D2442" s="47" t="s">
        <v>12684</v>
      </c>
      <c r="E2442" s="47" t="s">
        <v>2164</v>
      </c>
      <c r="F2442" s="55" t="b">
        <v>1</v>
      </c>
      <c r="G2442" s="65" t="b">
        <v>0</v>
      </c>
      <c r="H2442" s="65" t="b">
        <v>0</v>
      </c>
      <c r="I2442" s="65" t="b">
        <v>0</v>
      </c>
      <c r="J2442" s="65" t="b">
        <v>0</v>
      </c>
    </row>
    <row r="2443" spans="1:14" x14ac:dyDescent="0.2">
      <c r="A2443" s="51">
        <v>2442</v>
      </c>
      <c r="B2443" s="56" t="s">
        <v>800</v>
      </c>
      <c r="C2443" s="47" t="s">
        <v>12685</v>
      </c>
      <c r="D2443" s="47" t="s">
        <v>12686</v>
      </c>
      <c r="E2443" s="47" t="s">
        <v>2164</v>
      </c>
      <c r="F2443" s="55" t="b">
        <v>1</v>
      </c>
      <c r="G2443" s="65" t="b">
        <v>0</v>
      </c>
      <c r="H2443" s="65" t="b">
        <v>0</v>
      </c>
      <c r="I2443" s="65" t="b">
        <v>0</v>
      </c>
      <c r="J2443" s="65" t="b">
        <v>0</v>
      </c>
    </row>
    <row r="2444" spans="1:14" x14ac:dyDescent="0.2">
      <c r="A2444" s="51">
        <v>2443</v>
      </c>
      <c r="B2444" s="56" t="s">
        <v>800</v>
      </c>
      <c r="C2444" s="47" t="s">
        <v>12687</v>
      </c>
      <c r="D2444" s="47" t="s">
        <v>12688</v>
      </c>
      <c r="E2444" s="47" t="s">
        <v>2164</v>
      </c>
      <c r="F2444" s="55" t="b">
        <v>1</v>
      </c>
      <c r="G2444" s="65" t="b">
        <v>0</v>
      </c>
      <c r="H2444" s="65" t="b">
        <v>0</v>
      </c>
      <c r="I2444" s="65" t="b">
        <v>0</v>
      </c>
      <c r="J2444" s="65" t="b">
        <v>0</v>
      </c>
    </row>
    <row r="2445" spans="1:14" x14ac:dyDescent="0.2">
      <c r="A2445" s="51">
        <v>2444</v>
      </c>
      <c r="B2445" s="56" t="s">
        <v>800</v>
      </c>
      <c r="C2445" s="47" t="s">
        <v>12689</v>
      </c>
      <c r="D2445" s="47" t="s">
        <v>12690</v>
      </c>
      <c r="E2445" s="47" t="s">
        <v>2164</v>
      </c>
      <c r="F2445" s="55" t="b">
        <v>1</v>
      </c>
      <c r="G2445" s="65" t="b">
        <v>0</v>
      </c>
      <c r="H2445" s="65" t="b">
        <v>0</v>
      </c>
      <c r="I2445" s="65" t="b">
        <v>0</v>
      </c>
      <c r="J2445" s="65" t="b">
        <v>0</v>
      </c>
    </row>
    <row r="2446" spans="1:14" x14ac:dyDescent="0.2">
      <c r="A2446" s="51">
        <v>2445</v>
      </c>
      <c r="B2446" s="56" t="s">
        <v>800</v>
      </c>
      <c r="C2446" s="47" t="s">
        <v>12691</v>
      </c>
      <c r="D2446" s="47" t="s">
        <v>12692</v>
      </c>
      <c r="E2446" s="47" t="s">
        <v>2164</v>
      </c>
      <c r="F2446" s="55" t="b">
        <v>1</v>
      </c>
      <c r="G2446" s="65" t="b">
        <v>0</v>
      </c>
      <c r="H2446" s="65" t="b">
        <v>0</v>
      </c>
      <c r="I2446" s="65" t="b">
        <v>0</v>
      </c>
      <c r="J2446" s="65" t="b">
        <v>0</v>
      </c>
    </row>
    <row r="2447" spans="1:14" x14ac:dyDescent="0.2">
      <c r="A2447" s="51">
        <v>2446</v>
      </c>
      <c r="B2447" s="56" t="s">
        <v>800</v>
      </c>
      <c r="C2447" s="47" t="s">
        <v>12693</v>
      </c>
      <c r="D2447" s="47" t="s">
        <v>12694</v>
      </c>
      <c r="E2447" s="47" t="s">
        <v>2164</v>
      </c>
      <c r="F2447" s="55" t="b">
        <v>1</v>
      </c>
      <c r="G2447" s="65" t="b">
        <v>0</v>
      </c>
      <c r="H2447" s="65" t="b">
        <v>0</v>
      </c>
      <c r="I2447" s="65" t="b">
        <v>0</v>
      </c>
      <c r="J2447" s="65" t="b">
        <v>0</v>
      </c>
    </row>
    <row r="2448" spans="1:14" x14ac:dyDescent="0.2">
      <c r="A2448" s="51">
        <v>2447</v>
      </c>
      <c r="B2448" s="56" t="s">
        <v>800</v>
      </c>
      <c r="C2448" s="47" t="s">
        <v>12695</v>
      </c>
      <c r="D2448" s="47" t="s">
        <v>12696</v>
      </c>
      <c r="E2448" s="47" t="s">
        <v>2164</v>
      </c>
      <c r="F2448" s="55" t="b">
        <v>1</v>
      </c>
      <c r="G2448" s="65" t="b">
        <v>0</v>
      </c>
      <c r="H2448" s="65" t="b">
        <v>0</v>
      </c>
      <c r="I2448" s="65" t="b">
        <v>0</v>
      </c>
      <c r="J2448" s="65" t="b">
        <v>0</v>
      </c>
    </row>
    <row r="2449" spans="1:10" x14ac:dyDescent="0.2">
      <c r="A2449" s="51">
        <v>2448</v>
      </c>
      <c r="B2449" s="56" t="s">
        <v>800</v>
      </c>
      <c r="C2449" s="47" t="s">
        <v>12697</v>
      </c>
      <c r="D2449" s="47" t="s">
        <v>12698</v>
      </c>
      <c r="E2449" s="47" t="s">
        <v>2164</v>
      </c>
      <c r="F2449" s="55" t="b">
        <v>1</v>
      </c>
      <c r="G2449" s="65" t="b">
        <v>0</v>
      </c>
      <c r="H2449" s="65" t="b">
        <v>0</v>
      </c>
      <c r="I2449" s="65" t="b">
        <v>0</v>
      </c>
      <c r="J2449" s="65" t="b">
        <v>0</v>
      </c>
    </row>
    <row r="2450" spans="1:10" x14ac:dyDescent="0.2">
      <c r="A2450" s="51">
        <v>2449</v>
      </c>
      <c r="B2450" s="56" t="s">
        <v>800</v>
      </c>
      <c r="C2450" s="47" t="s">
        <v>12699</v>
      </c>
      <c r="D2450" s="47" t="s">
        <v>12700</v>
      </c>
      <c r="E2450" s="47" t="s">
        <v>2164</v>
      </c>
      <c r="F2450" s="55" t="b">
        <v>1</v>
      </c>
      <c r="G2450" s="65" t="b">
        <v>0</v>
      </c>
      <c r="H2450" s="65" t="b">
        <v>0</v>
      </c>
      <c r="I2450" s="65" t="b">
        <v>0</v>
      </c>
      <c r="J2450" s="65" t="b">
        <v>0</v>
      </c>
    </row>
    <row r="2451" spans="1:10" x14ac:dyDescent="0.2">
      <c r="A2451" s="51">
        <v>2450</v>
      </c>
      <c r="B2451" s="56" t="s">
        <v>800</v>
      </c>
      <c r="C2451" s="47" t="s">
        <v>12701</v>
      </c>
      <c r="D2451" s="47" t="s">
        <v>12702</v>
      </c>
      <c r="E2451" s="47" t="s">
        <v>2164</v>
      </c>
      <c r="F2451" s="55" t="b">
        <v>1</v>
      </c>
      <c r="G2451" s="65" t="b">
        <v>0</v>
      </c>
      <c r="H2451" s="65" t="b">
        <v>0</v>
      </c>
      <c r="I2451" s="65" t="b">
        <v>0</v>
      </c>
      <c r="J2451" s="65" t="b">
        <v>0</v>
      </c>
    </row>
    <row r="2452" spans="1:10" x14ac:dyDescent="0.2">
      <c r="A2452" s="51">
        <v>2451</v>
      </c>
      <c r="B2452" s="56" t="s">
        <v>800</v>
      </c>
      <c r="C2452" s="47" t="s">
        <v>12703</v>
      </c>
      <c r="D2452" s="47" t="s">
        <v>12704</v>
      </c>
      <c r="E2452" s="47" t="s">
        <v>2164</v>
      </c>
      <c r="F2452" s="55" t="b">
        <v>1</v>
      </c>
      <c r="G2452" s="65" t="b">
        <v>0</v>
      </c>
      <c r="H2452" s="65" t="b">
        <v>0</v>
      </c>
      <c r="I2452" s="65" t="b">
        <v>0</v>
      </c>
      <c r="J2452" s="65" t="b">
        <v>0</v>
      </c>
    </row>
    <row r="2453" spans="1:10" x14ac:dyDescent="0.2">
      <c r="A2453" s="51">
        <v>2452</v>
      </c>
      <c r="B2453" s="56" t="s">
        <v>800</v>
      </c>
      <c r="C2453" s="47" t="s">
        <v>12705</v>
      </c>
      <c r="D2453" s="47" t="s">
        <v>12706</v>
      </c>
      <c r="E2453" s="47" t="s">
        <v>2164</v>
      </c>
      <c r="F2453" s="55" t="b">
        <v>1</v>
      </c>
      <c r="G2453" s="65" t="b">
        <v>0</v>
      </c>
      <c r="H2453" s="65" t="b">
        <v>0</v>
      </c>
      <c r="I2453" s="65" t="b">
        <v>0</v>
      </c>
      <c r="J2453" s="65" t="b">
        <v>0</v>
      </c>
    </row>
    <row r="2454" spans="1:10" x14ac:dyDescent="0.2">
      <c r="A2454" s="51">
        <v>2453</v>
      </c>
      <c r="B2454" s="56" t="s">
        <v>800</v>
      </c>
      <c r="C2454" s="47" t="s">
        <v>12707</v>
      </c>
      <c r="D2454" s="47" t="s">
        <v>12708</v>
      </c>
      <c r="E2454" s="47" t="s">
        <v>2164</v>
      </c>
      <c r="F2454" s="55" t="b">
        <v>1</v>
      </c>
      <c r="G2454" s="65" t="b">
        <v>0</v>
      </c>
      <c r="H2454" s="65" t="b">
        <v>0</v>
      </c>
      <c r="I2454" s="65" t="b">
        <v>0</v>
      </c>
      <c r="J2454" s="65" t="b">
        <v>0</v>
      </c>
    </row>
    <row r="2455" spans="1:10" x14ac:dyDescent="0.2">
      <c r="A2455" s="51">
        <v>2454</v>
      </c>
      <c r="B2455" s="56" t="s">
        <v>800</v>
      </c>
      <c r="C2455" s="47" t="s">
        <v>12709</v>
      </c>
      <c r="D2455" s="47" t="s">
        <v>12710</v>
      </c>
      <c r="E2455" s="47" t="s">
        <v>2164</v>
      </c>
      <c r="F2455" s="55" t="b">
        <v>1</v>
      </c>
      <c r="G2455" s="65" t="b">
        <v>0</v>
      </c>
      <c r="H2455" s="65" t="b">
        <v>0</v>
      </c>
      <c r="I2455" s="65" t="b">
        <v>0</v>
      </c>
      <c r="J2455" s="65" t="b">
        <v>0</v>
      </c>
    </row>
    <row r="2456" spans="1:10" x14ac:dyDescent="0.2">
      <c r="A2456" s="51">
        <v>2455</v>
      </c>
      <c r="B2456" s="56" t="s">
        <v>800</v>
      </c>
      <c r="C2456" s="47" t="s">
        <v>12711</v>
      </c>
      <c r="D2456" s="47" t="s">
        <v>12712</v>
      </c>
      <c r="E2456" s="47" t="s">
        <v>2164</v>
      </c>
      <c r="F2456" s="55" t="b">
        <v>1</v>
      </c>
      <c r="G2456" s="65" t="b">
        <v>0</v>
      </c>
      <c r="H2456" s="65" t="b">
        <v>0</v>
      </c>
      <c r="I2456" s="65" t="b">
        <v>0</v>
      </c>
      <c r="J2456" s="65" t="b">
        <v>0</v>
      </c>
    </row>
    <row r="2457" spans="1:10" x14ac:dyDescent="0.2">
      <c r="A2457" s="51">
        <v>2456</v>
      </c>
      <c r="B2457" s="56" t="s">
        <v>800</v>
      </c>
      <c r="C2457" s="47" t="s">
        <v>12713</v>
      </c>
      <c r="D2457" s="47" t="s">
        <v>12714</v>
      </c>
      <c r="E2457" s="47" t="s">
        <v>2164</v>
      </c>
      <c r="F2457" s="55" t="b">
        <v>1</v>
      </c>
      <c r="G2457" s="65" t="b">
        <v>0</v>
      </c>
      <c r="H2457" s="65" t="b">
        <v>0</v>
      </c>
      <c r="I2457" s="65" t="b">
        <v>0</v>
      </c>
      <c r="J2457" s="65" t="b">
        <v>0</v>
      </c>
    </row>
    <row r="2458" spans="1:10" x14ac:dyDescent="0.2">
      <c r="A2458" s="51">
        <v>2457</v>
      </c>
      <c r="B2458" s="56" t="s">
        <v>800</v>
      </c>
      <c r="C2458" s="47" t="s">
        <v>12715</v>
      </c>
      <c r="D2458" s="47" t="s">
        <v>12716</v>
      </c>
      <c r="E2458" s="47" t="s">
        <v>2164</v>
      </c>
      <c r="F2458" s="55" t="b">
        <v>1</v>
      </c>
      <c r="G2458" s="65" t="b">
        <v>0</v>
      </c>
      <c r="H2458" s="65" t="b">
        <v>0</v>
      </c>
      <c r="I2458" s="65" t="b">
        <v>0</v>
      </c>
      <c r="J2458" s="65" t="b">
        <v>0</v>
      </c>
    </row>
    <row r="2459" spans="1:10" x14ac:dyDescent="0.2">
      <c r="A2459" s="51">
        <v>2458</v>
      </c>
      <c r="B2459" s="56" t="s">
        <v>800</v>
      </c>
      <c r="C2459" s="47" t="s">
        <v>12717</v>
      </c>
      <c r="D2459" s="47" t="s">
        <v>12718</v>
      </c>
      <c r="E2459" s="47" t="s">
        <v>2164</v>
      </c>
      <c r="F2459" s="55" t="b">
        <v>1</v>
      </c>
      <c r="G2459" s="65" t="b">
        <v>0</v>
      </c>
      <c r="H2459" s="65" t="b">
        <v>0</v>
      </c>
      <c r="I2459" s="65" t="b">
        <v>0</v>
      </c>
      <c r="J2459" s="65" t="b">
        <v>0</v>
      </c>
    </row>
    <row r="2460" spans="1:10" x14ac:dyDescent="0.2">
      <c r="A2460" s="51">
        <v>2459</v>
      </c>
      <c r="B2460" s="56" t="s">
        <v>800</v>
      </c>
      <c r="C2460" s="47" t="s">
        <v>12719</v>
      </c>
      <c r="D2460" s="47" t="s">
        <v>12720</v>
      </c>
      <c r="E2460" s="47" t="s">
        <v>2164</v>
      </c>
      <c r="F2460" s="55" t="b">
        <v>1</v>
      </c>
      <c r="G2460" s="65" t="b">
        <v>0</v>
      </c>
      <c r="H2460" s="65" t="b">
        <v>0</v>
      </c>
      <c r="I2460" s="65" t="b">
        <v>0</v>
      </c>
      <c r="J2460" s="65" t="b">
        <v>0</v>
      </c>
    </row>
    <row r="2461" spans="1:10" x14ac:dyDescent="0.2">
      <c r="A2461" s="51">
        <v>2460</v>
      </c>
      <c r="B2461" s="56" t="s">
        <v>800</v>
      </c>
      <c r="C2461" s="47" t="s">
        <v>12721</v>
      </c>
      <c r="D2461" s="47" t="s">
        <v>12722</v>
      </c>
      <c r="E2461" s="47" t="s">
        <v>2164</v>
      </c>
      <c r="F2461" s="55" t="b">
        <v>1</v>
      </c>
      <c r="G2461" s="65" t="b">
        <v>0</v>
      </c>
      <c r="H2461" s="65" t="b">
        <v>0</v>
      </c>
      <c r="I2461" s="65" t="b">
        <v>0</v>
      </c>
      <c r="J2461" s="65" t="b">
        <v>0</v>
      </c>
    </row>
    <row r="2462" spans="1:10" x14ac:dyDescent="0.2">
      <c r="A2462" s="51">
        <v>2461</v>
      </c>
      <c r="B2462" s="56" t="s">
        <v>800</v>
      </c>
      <c r="C2462" s="47" t="s">
        <v>12723</v>
      </c>
      <c r="D2462" s="47" t="s">
        <v>12724</v>
      </c>
      <c r="E2462" s="47" t="s">
        <v>2164</v>
      </c>
      <c r="F2462" s="55" t="b">
        <v>1</v>
      </c>
      <c r="G2462" s="65" t="b">
        <v>0</v>
      </c>
      <c r="H2462" s="65" t="b">
        <v>0</v>
      </c>
      <c r="I2462" s="65" t="b">
        <v>0</v>
      </c>
      <c r="J2462" s="65" t="b">
        <v>0</v>
      </c>
    </row>
    <row r="2463" spans="1:10" x14ac:dyDescent="0.2">
      <c r="A2463" s="51">
        <v>2462</v>
      </c>
      <c r="B2463" s="56" t="s">
        <v>800</v>
      </c>
      <c r="C2463" s="47" t="s">
        <v>12725</v>
      </c>
      <c r="D2463" s="47" t="s">
        <v>12726</v>
      </c>
      <c r="E2463" s="47" t="s">
        <v>2164</v>
      </c>
      <c r="F2463" s="55" t="b">
        <v>1</v>
      </c>
      <c r="G2463" s="65" t="b">
        <v>0</v>
      </c>
      <c r="H2463" s="65" t="b">
        <v>0</v>
      </c>
      <c r="I2463" s="65" t="b">
        <v>0</v>
      </c>
      <c r="J2463" s="65" t="b">
        <v>0</v>
      </c>
    </row>
    <row r="2464" spans="1:10" x14ac:dyDescent="0.2">
      <c r="A2464" s="51">
        <v>2463</v>
      </c>
      <c r="B2464" s="56" t="s">
        <v>800</v>
      </c>
      <c r="C2464" s="47" t="s">
        <v>12727</v>
      </c>
      <c r="D2464" s="47" t="s">
        <v>12728</v>
      </c>
      <c r="E2464" s="47" t="s">
        <v>2164</v>
      </c>
      <c r="F2464" s="55" t="b">
        <v>1</v>
      </c>
      <c r="G2464" s="65" t="b">
        <v>0</v>
      </c>
      <c r="H2464" s="65" t="b">
        <v>0</v>
      </c>
      <c r="I2464" s="65" t="b">
        <v>0</v>
      </c>
      <c r="J2464" s="65" t="b">
        <v>0</v>
      </c>
    </row>
    <row r="2465" spans="1:14" x14ac:dyDescent="0.2">
      <c r="A2465" s="51">
        <v>2464</v>
      </c>
      <c r="B2465" s="56" t="s">
        <v>800</v>
      </c>
      <c r="C2465" s="47" t="s">
        <v>12729</v>
      </c>
      <c r="D2465" s="47" t="s">
        <v>12730</v>
      </c>
      <c r="E2465" s="47" t="s">
        <v>2164</v>
      </c>
      <c r="F2465" s="55" t="b">
        <v>1</v>
      </c>
      <c r="G2465" s="65" t="b">
        <v>0</v>
      </c>
      <c r="H2465" s="65" t="b">
        <v>0</v>
      </c>
      <c r="I2465" s="65" t="b">
        <v>0</v>
      </c>
      <c r="J2465" s="65" t="b">
        <v>0</v>
      </c>
    </row>
    <row r="2466" spans="1:14" x14ac:dyDescent="0.2">
      <c r="A2466" s="51">
        <v>2465</v>
      </c>
      <c r="B2466" s="56" t="s">
        <v>800</v>
      </c>
      <c r="C2466" s="47" t="s">
        <v>12731</v>
      </c>
      <c r="D2466" s="47" t="s">
        <v>12732</v>
      </c>
      <c r="E2466" s="47" t="s">
        <v>2164</v>
      </c>
      <c r="F2466" s="55" t="b">
        <v>1</v>
      </c>
      <c r="G2466" s="65" t="b">
        <v>0</v>
      </c>
      <c r="H2466" s="65" t="b">
        <v>0</v>
      </c>
      <c r="I2466" s="65" t="b">
        <v>0</v>
      </c>
      <c r="J2466" s="65" t="b">
        <v>0</v>
      </c>
    </row>
    <row r="2467" spans="1:14" x14ac:dyDescent="0.2">
      <c r="A2467" s="51">
        <v>2466</v>
      </c>
      <c r="B2467" s="56" t="s">
        <v>800</v>
      </c>
      <c r="C2467" s="47" t="s">
        <v>12733</v>
      </c>
      <c r="D2467" s="47" t="s">
        <v>12734</v>
      </c>
      <c r="E2467" s="47" t="s">
        <v>2164</v>
      </c>
      <c r="F2467" s="55" t="b">
        <v>1</v>
      </c>
      <c r="G2467" s="65" t="b">
        <v>0</v>
      </c>
      <c r="H2467" s="65" t="b">
        <v>0</v>
      </c>
      <c r="I2467" s="65" t="b">
        <v>0</v>
      </c>
      <c r="J2467" s="65" t="b">
        <v>0</v>
      </c>
    </row>
    <row r="2468" spans="1:14" x14ac:dyDescent="0.2">
      <c r="A2468" s="51">
        <v>2467</v>
      </c>
      <c r="B2468" s="56" t="s">
        <v>800</v>
      </c>
      <c r="C2468" s="47" t="s">
        <v>12735</v>
      </c>
      <c r="D2468" s="47" t="s">
        <v>12736</v>
      </c>
      <c r="E2468" s="47" t="s">
        <v>2164</v>
      </c>
      <c r="F2468" s="55" t="b">
        <v>1</v>
      </c>
      <c r="G2468" s="65" t="b">
        <v>0</v>
      </c>
      <c r="H2468" s="65" t="b">
        <v>0</v>
      </c>
      <c r="I2468" s="65" t="b">
        <v>0</v>
      </c>
      <c r="J2468" s="65" t="b">
        <v>0</v>
      </c>
    </row>
    <row r="2469" spans="1:14" x14ac:dyDescent="0.2">
      <c r="A2469" s="51">
        <v>2468</v>
      </c>
      <c r="B2469" s="56" t="s">
        <v>800</v>
      </c>
      <c r="C2469" s="47" t="s">
        <v>12737</v>
      </c>
      <c r="D2469" s="47" t="s">
        <v>12738</v>
      </c>
      <c r="E2469" s="47" t="s">
        <v>2164</v>
      </c>
      <c r="F2469" s="55" t="b">
        <v>1</v>
      </c>
      <c r="G2469" s="65" t="b">
        <v>0</v>
      </c>
      <c r="H2469" s="65" t="b">
        <v>0</v>
      </c>
      <c r="I2469" s="65" t="b">
        <v>0</v>
      </c>
      <c r="J2469" s="65" t="b">
        <v>0</v>
      </c>
    </row>
    <row r="2470" spans="1:14" x14ac:dyDescent="0.2">
      <c r="A2470" s="51">
        <v>2469</v>
      </c>
      <c r="B2470" s="56" t="s">
        <v>800</v>
      </c>
      <c r="C2470" s="47" t="s">
        <v>12739</v>
      </c>
      <c r="D2470" s="47" t="s">
        <v>12740</v>
      </c>
      <c r="E2470" s="47" t="s">
        <v>2164</v>
      </c>
      <c r="F2470" s="55" t="b">
        <v>1</v>
      </c>
      <c r="G2470" s="65" t="b">
        <v>0</v>
      </c>
      <c r="H2470" s="65" t="b">
        <v>0</v>
      </c>
      <c r="I2470" s="65" t="b">
        <v>0</v>
      </c>
      <c r="J2470" s="65" t="b">
        <v>0</v>
      </c>
    </row>
    <row r="2471" spans="1:14" x14ac:dyDescent="0.2">
      <c r="A2471" s="51">
        <v>2470</v>
      </c>
      <c r="B2471" s="56" t="s">
        <v>800</v>
      </c>
      <c r="C2471" s="47" t="s">
        <v>12741</v>
      </c>
      <c r="D2471" s="47" t="s">
        <v>12742</v>
      </c>
      <c r="E2471" s="47" t="s">
        <v>2164</v>
      </c>
      <c r="F2471" s="55" t="b">
        <v>1</v>
      </c>
      <c r="G2471" s="65" t="b">
        <v>0</v>
      </c>
      <c r="H2471" s="65" t="b">
        <v>0</v>
      </c>
      <c r="I2471" s="65" t="b">
        <v>0</v>
      </c>
      <c r="J2471" s="65" t="b">
        <v>0</v>
      </c>
    </row>
    <row r="2472" spans="1:14" x14ac:dyDescent="0.2">
      <c r="A2472" s="51">
        <v>2471</v>
      </c>
      <c r="B2472" s="56" t="s">
        <v>800</v>
      </c>
      <c r="C2472" s="47" t="s">
        <v>12743</v>
      </c>
      <c r="D2472" s="47" t="s">
        <v>12744</v>
      </c>
      <c r="E2472" s="47" t="s">
        <v>2164</v>
      </c>
      <c r="F2472" s="55" t="b">
        <v>1</v>
      </c>
      <c r="G2472" s="65" t="b">
        <v>0</v>
      </c>
      <c r="H2472" s="65" t="b">
        <v>0</v>
      </c>
      <c r="I2472" s="65" t="b">
        <v>0</v>
      </c>
      <c r="J2472" s="65" t="b">
        <v>0</v>
      </c>
    </row>
    <row r="2473" spans="1:14" x14ac:dyDescent="0.2">
      <c r="A2473" s="51">
        <v>2472</v>
      </c>
      <c r="B2473" s="56" t="s">
        <v>800</v>
      </c>
      <c r="C2473" s="47" t="s">
        <v>12745</v>
      </c>
      <c r="D2473" s="47" t="s">
        <v>12746</v>
      </c>
      <c r="E2473" s="47" t="s">
        <v>2164</v>
      </c>
      <c r="F2473" s="55" t="b">
        <v>1</v>
      </c>
      <c r="G2473" s="65" t="b">
        <v>0</v>
      </c>
      <c r="H2473" s="65" t="b">
        <v>0</v>
      </c>
      <c r="I2473" s="65" t="b">
        <v>0</v>
      </c>
      <c r="J2473" s="65" t="b">
        <v>0</v>
      </c>
    </row>
    <row r="2474" spans="1:14" x14ac:dyDescent="0.2">
      <c r="A2474" s="51">
        <v>2473</v>
      </c>
      <c r="B2474" s="56" t="s">
        <v>800</v>
      </c>
      <c r="C2474" s="47" t="s">
        <v>12747</v>
      </c>
      <c r="D2474" s="47" t="s">
        <v>12748</v>
      </c>
      <c r="E2474" s="47" t="s">
        <v>2164</v>
      </c>
      <c r="F2474" s="55" t="b">
        <v>1</v>
      </c>
      <c r="G2474" s="65" t="b">
        <v>0</v>
      </c>
      <c r="H2474" s="65" t="b">
        <v>0</v>
      </c>
      <c r="I2474" s="65" t="b">
        <v>0</v>
      </c>
      <c r="J2474" s="65" t="b">
        <v>0</v>
      </c>
    </row>
    <row r="2475" spans="1:14" x14ac:dyDescent="0.2">
      <c r="A2475" s="51">
        <v>2474</v>
      </c>
      <c r="B2475" s="54" t="s">
        <v>802</v>
      </c>
      <c r="C2475" s="47" t="s">
        <v>6007</v>
      </c>
      <c r="D2475" s="47" t="s">
        <v>6008</v>
      </c>
      <c r="E2475" s="47" t="s">
        <v>2365</v>
      </c>
      <c r="F2475" s="55" t="b">
        <v>1</v>
      </c>
      <c r="G2475" s="54" t="b">
        <v>1</v>
      </c>
      <c r="H2475" s="54" t="b">
        <v>1</v>
      </c>
      <c r="I2475" s="54" t="b">
        <v>1</v>
      </c>
      <c r="J2475" s="54" t="b">
        <v>1</v>
      </c>
      <c r="K2475" s="63" t="s">
        <v>802</v>
      </c>
      <c r="L2475" s="63" t="s">
        <v>6007</v>
      </c>
      <c r="M2475" s="63" t="s">
        <v>6008</v>
      </c>
      <c r="N2475" s="63" t="s">
        <v>2365</v>
      </c>
    </row>
    <row r="2476" spans="1:14" x14ac:dyDescent="0.2">
      <c r="A2476" s="51">
        <v>2475</v>
      </c>
      <c r="B2476" s="54" t="s">
        <v>802</v>
      </c>
      <c r="C2476" s="47" t="s">
        <v>6009</v>
      </c>
      <c r="D2476" s="47" t="s">
        <v>6010</v>
      </c>
      <c r="E2476" s="47" t="s">
        <v>2365</v>
      </c>
      <c r="F2476" s="55" t="b">
        <v>1</v>
      </c>
      <c r="G2476" s="54" t="b">
        <v>1</v>
      </c>
      <c r="H2476" s="54" t="b">
        <v>1</v>
      </c>
      <c r="I2476" s="54" t="b">
        <v>1</v>
      </c>
      <c r="J2476" s="54" t="b">
        <v>1</v>
      </c>
      <c r="K2476" s="63" t="s">
        <v>802</v>
      </c>
      <c r="L2476" s="63" t="s">
        <v>6009</v>
      </c>
      <c r="M2476" s="63" t="s">
        <v>6010</v>
      </c>
      <c r="N2476" s="63" t="s">
        <v>2365</v>
      </c>
    </row>
    <row r="2477" spans="1:14" x14ac:dyDescent="0.2">
      <c r="A2477" s="51">
        <v>2476</v>
      </c>
      <c r="B2477" s="54" t="s">
        <v>802</v>
      </c>
      <c r="C2477" s="47" t="s">
        <v>6017</v>
      </c>
      <c r="D2477" s="47" t="s">
        <v>6018</v>
      </c>
      <c r="E2477" s="47" t="s">
        <v>2365</v>
      </c>
      <c r="F2477" s="55" t="b">
        <v>1</v>
      </c>
      <c r="G2477" s="54" t="b">
        <v>1</v>
      </c>
      <c r="H2477" s="54" t="b">
        <v>1</v>
      </c>
      <c r="I2477" s="54" t="b">
        <v>1</v>
      </c>
      <c r="J2477" s="54" t="b">
        <v>1</v>
      </c>
      <c r="K2477" s="63" t="s">
        <v>802</v>
      </c>
      <c r="L2477" s="63" t="s">
        <v>6017</v>
      </c>
      <c r="M2477" s="63" t="s">
        <v>6018</v>
      </c>
      <c r="N2477" s="63" t="s">
        <v>2365</v>
      </c>
    </row>
    <row r="2478" spans="1:14" x14ac:dyDescent="0.2">
      <c r="A2478" s="51">
        <v>2477</v>
      </c>
      <c r="B2478" s="54" t="s">
        <v>802</v>
      </c>
      <c r="C2478" s="47" t="s">
        <v>6011</v>
      </c>
      <c r="D2478" s="47" t="s">
        <v>12749</v>
      </c>
      <c r="E2478" s="47" t="s">
        <v>2365</v>
      </c>
      <c r="F2478" s="55" t="b">
        <v>1</v>
      </c>
      <c r="G2478" s="54" t="b">
        <v>1</v>
      </c>
      <c r="H2478" s="54" t="b">
        <v>1</v>
      </c>
      <c r="I2478" s="65" t="b">
        <v>0</v>
      </c>
      <c r="J2478" s="54" t="b">
        <v>1</v>
      </c>
      <c r="K2478" s="63" t="s">
        <v>802</v>
      </c>
      <c r="L2478" s="63" t="s">
        <v>6011</v>
      </c>
      <c r="M2478" s="63" t="s">
        <v>6012</v>
      </c>
      <c r="N2478" s="63" t="s">
        <v>2365</v>
      </c>
    </row>
    <row r="2479" spans="1:14" x14ac:dyDescent="0.2">
      <c r="A2479" s="51">
        <v>2478</v>
      </c>
      <c r="B2479" s="54" t="s">
        <v>802</v>
      </c>
      <c r="C2479" s="47" t="s">
        <v>6013</v>
      </c>
      <c r="D2479" s="47" t="s">
        <v>12036</v>
      </c>
      <c r="E2479" s="47" t="s">
        <v>2365</v>
      </c>
      <c r="F2479" s="55" t="b">
        <v>1</v>
      </c>
      <c r="G2479" s="54" t="b">
        <v>1</v>
      </c>
      <c r="H2479" s="54" t="b">
        <v>1</v>
      </c>
      <c r="I2479" s="65" t="b">
        <v>0</v>
      </c>
      <c r="J2479" s="54" t="b">
        <v>1</v>
      </c>
      <c r="K2479" s="63" t="s">
        <v>802</v>
      </c>
      <c r="L2479" s="63" t="s">
        <v>6013</v>
      </c>
      <c r="M2479" s="63" t="s">
        <v>6014</v>
      </c>
      <c r="N2479" s="63" t="s">
        <v>2365</v>
      </c>
    </row>
    <row r="2480" spans="1:14" x14ac:dyDescent="0.2">
      <c r="A2480" s="51">
        <v>2479</v>
      </c>
      <c r="B2480" s="54" t="s">
        <v>802</v>
      </c>
      <c r="C2480" s="47" t="s">
        <v>6015</v>
      </c>
      <c r="D2480" s="47" t="s">
        <v>6016</v>
      </c>
      <c r="E2480" s="47" t="s">
        <v>2365</v>
      </c>
      <c r="F2480" s="55" t="b">
        <v>1</v>
      </c>
      <c r="G2480" s="54" t="b">
        <v>1</v>
      </c>
      <c r="H2480" s="54" t="b">
        <v>1</v>
      </c>
      <c r="I2480" s="54" t="b">
        <v>1</v>
      </c>
      <c r="J2480" s="54" t="b">
        <v>1</v>
      </c>
      <c r="K2480" s="63" t="s">
        <v>802</v>
      </c>
      <c r="L2480" s="63" t="s">
        <v>6015</v>
      </c>
      <c r="M2480" s="63" t="s">
        <v>6016</v>
      </c>
      <c r="N2480" s="63" t="s">
        <v>2365</v>
      </c>
    </row>
    <row r="2481" spans="1:14" x14ac:dyDescent="0.2">
      <c r="A2481" s="51">
        <v>2480</v>
      </c>
      <c r="B2481" s="54" t="s">
        <v>804</v>
      </c>
      <c r="C2481" s="47" t="s">
        <v>6019</v>
      </c>
      <c r="D2481" s="47" t="s">
        <v>6020</v>
      </c>
      <c r="E2481" s="47" t="s">
        <v>1719</v>
      </c>
      <c r="F2481" s="55" t="b">
        <v>1</v>
      </c>
      <c r="G2481" s="54" t="b">
        <v>1</v>
      </c>
      <c r="H2481" s="54" t="b">
        <v>1</v>
      </c>
      <c r="I2481" s="54" t="b">
        <v>1</v>
      </c>
      <c r="J2481" s="65" t="b">
        <v>0</v>
      </c>
      <c r="K2481" s="63" t="s">
        <v>804</v>
      </c>
      <c r="L2481" s="63" t="s">
        <v>6019</v>
      </c>
      <c r="M2481" s="63" t="s">
        <v>6020</v>
      </c>
      <c r="N2481" s="63" t="s">
        <v>2087</v>
      </c>
    </row>
    <row r="2482" spans="1:14" x14ac:dyDescent="0.2">
      <c r="A2482" s="51">
        <v>2481</v>
      </c>
      <c r="G2482" s="65" t="b">
        <v>0</v>
      </c>
      <c r="H2482" s="65" t="b">
        <v>0</v>
      </c>
      <c r="I2482" s="65" t="b">
        <v>0</v>
      </c>
      <c r="J2482" s="65" t="b">
        <v>0</v>
      </c>
      <c r="K2482" s="63" t="s">
        <v>804</v>
      </c>
      <c r="L2482" s="63" t="s">
        <v>6019</v>
      </c>
      <c r="M2482" s="63" t="s">
        <v>6021</v>
      </c>
      <c r="N2482" s="63" t="s">
        <v>2087</v>
      </c>
    </row>
    <row r="2483" spans="1:14" x14ac:dyDescent="0.2">
      <c r="A2483" s="51">
        <v>2482</v>
      </c>
      <c r="B2483" s="54" t="s">
        <v>804</v>
      </c>
      <c r="C2483" s="47" t="s">
        <v>6024</v>
      </c>
      <c r="D2483" s="47" t="s">
        <v>12750</v>
      </c>
      <c r="E2483" s="47" t="s">
        <v>1719</v>
      </c>
      <c r="F2483" s="55" t="b">
        <v>1</v>
      </c>
      <c r="G2483" s="54" t="b">
        <v>1</v>
      </c>
      <c r="H2483" s="54" t="b">
        <v>1</v>
      </c>
      <c r="I2483" s="65" t="b">
        <v>0</v>
      </c>
      <c r="J2483" s="65" t="b">
        <v>0</v>
      </c>
      <c r="K2483" s="63" t="s">
        <v>804</v>
      </c>
      <c r="L2483" s="63" t="s">
        <v>6024</v>
      </c>
      <c r="M2483" s="63" t="s">
        <v>6025</v>
      </c>
      <c r="N2483" s="63" t="s">
        <v>2087</v>
      </c>
    </row>
    <row r="2484" spans="1:14" x14ac:dyDescent="0.2">
      <c r="A2484" s="51">
        <v>2483</v>
      </c>
      <c r="G2484" s="65" t="b">
        <v>0</v>
      </c>
      <c r="H2484" s="65" t="b">
        <v>0</v>
      </c>
      <c r="I2484" s="65" t="b">
        <v>0</v>
      </c>
      <c r="J2484" s="65" t="b">
        <v>0</v>
      </c>
      <c r="K2484" s="63" t="s">
        <v>804</v>
      </c>
      <c r="L2484" s="63" t="s">
        <v>6024</v>
      </c>
      <c r="M2484" s="63" t="s">
        <v>6026</v>
      </c>
      <c r="N2484" s="63" t="s">
        <v>2087</v>
      </c>
    </row>
    <row r="2485" spans="1:14" x14ac:dyDescent="0.2">
      <c r="A2485" s="51">
        <v>2484</v>
      </c>
      <c r="B2485" s="54" t="s">
        <v>804</v>
      </c>
      <c r="C2485" s="47" t="s">
        <v>6022</v>
      </c>
      <c r="D2485" s="47" t="s">
        <v>6023</v>
      </c>
      <c r="E2485" s="47" t="s">
        <v>2046</v>
      </c>
      <c r="F2485" s="55" t="b">
        <v>1</v>
      </c>
      <c r="G2485" s="54" t="b">
        <v>1</v>
      </c>
      <c r="H2485" s="54" t="b">
        <v>1</v>
      </c>
      <c r="I2485" s="54" t="b">
        <v>1</v>
      </c>
      <c r="J2485" s="54" t="b">
        <v>1</v>
      </c>
      <c r="K2485" s="63" t="s">
        <v>804</v>
      </c>
      <c r="L2485" s="63" t="s">
        <v>6022</v>
      </c>
      <c r="M2485" s="63" t="s">
        <v>6023</v>
      </c>
      <c r="N2485" s="63" t="s">
        <v>2046</v>
      </c>
    </row>
    <row r="2486" spans="1:14" x14ac:dyDescent="0.2">
      <c r="A2486" s="51">
        <v>2485</v>
      </c>
      <c r="G2486" s="65" t="b">
        <v>0</v>
      </c>
      <c r="H2486" s="65" t="b">
        <v>0</v>
      </c>
      <c r="I2486" s="65" t="b">
        <v>0</v>
      </c>
      <c r="J2486" s="65" t="b">
        <v>0</v>
      </c>
      <c r="K2486" s="63" t="s">
        <v>804</v>
      </c>
      <c r="L2486" s="63" t="s">
        <v>6022</v>
      </c>
      <c r="M2486" s="63" t="s">
        <v>6029</v>
      </c>
      <c r="N2486" s="63" t="s">
        <v>2046</v>
      </c>
    </row>
    <row r="2487" spans="1:14" x14ac:dyDescent="0.2">
      <c r="A2487" s="51">
        <v>2486</v>
      </c>
      <c r="B2487" s="54" t="s">
        <v>804</v>
      </c>
      <c r="C2487" s="47" t="s">
        <v>12751</v>
      </c>
      <c r="D2487" s="47" t="s">
        <v>6037</v>
      </c>
      <c r="E2487" s="47" t="s">
        <v>2046</v>
      </c>
      <c r="F2487" s="55" t="b">
        <v>1</v>
      </c>
      <c r="G2487" s="65" t="b">
        <v>0</v>
      </c>
      <c r="H2487" s="65" t="b">
        <v>0</v>
      </c>
      <c r="I2487" s="65" t="b">
        <v>0</v>
      </c>
      <c r="J2487" s="65" t="b">
        <v>0</v>
      </c>
    </row>
    <row r="2488" spans="1:14" x14ac:dyDescent="0.2">
      <c r="A2488" s="51">
        <v>2487</v>
      </c>
      <c r="B2488" s="54" t="s">
        <v>804</v>
      </c>
      <c r="C2488" s="47" t="s">
        <v>6027</v>
      </c>
      <c r="D2488" s="47" t="s">
        <v>6032</v>
      </c>
      <c r="E2488" s="47" t="s">
        <v>1719</v>
      </c>
      <c r="F2488" s="55" t="b">
        <v>1</v>
      </c>
      <c r="G2488" s="54" t="b">
        <v>1</v>
      </c>
      <c r="H2488" s="54" t="b">
        <v>1</v>
      </c>
      <c r="I2488" s="54" t="b">
        <v>1</v>
      </c>
      <c r="J2488" s="65" t="b">
        <v>0</v>
      </c>
      <c r="K2488" s="63" t="s">
        <v>804</v>
      </c>
      <c r="L2488" s="63" t="s">
        <v>6027</v>
      </c>
      <c r="M2488" s="63" t="s">
        <v>6032</v>
      </c>
      <c r="N2488" s="63" t="s">
        <v>2087</v>
      </c>
    </row>
    <row r="2489" spans="1:14" x14ac:dyDescent="0.2">
      <c r="A2489" s="51">
        <v>2488</v>
      </c>
      <c r="G2489" s="65" t="b">
        <v>0</v>
      </c>
      <c r="H2489" s="65" t="b">
        <v>0</v>
      </c>
      <c r="I2489" s="65" t="b">
        <v>0</v>
      </c>
      <c r="J2489" s="65" t="b">
        <v>0</v>
      </c>
      <c r="K2489" s="63" t="s">
        <v>804</v>
      </c>
      <c r="L2489" s="63" t="s">
        <v>6027</v>
      </c>
      <c r="M2489" s="63" t="s">
        <v>6028</v>
      </c>
      <c r="N2489" s="63" t="s">
        <v>2087</v>
      </c>
    </row>
    <row r="2490" spans="1:14" x14ac:dyDescent="0.2">
      <c r="A2490" s="51">
        <v>2489</v>
      </c>
      <c r="B2490" s="54" t="s">
        <v>804</v>
      </c>
      <c r="C2490" s="47" t="s">
        <v>6033</v>
      </c>
      <c r="D2490" s="47" t="s">
        <v>6034</v>
      </c>
      <c r="E2490" s="47" t="s">
        <v>1719</v>
      </c>
      <c r="F2490" s="55" t="b">
        <v>1</v>
      </c>
      <c r="G2490" s="54" t="b">
        <v>1</v>
      </c>
      <c r="H2490" s="54" t="b">
        <v>1</v>
      </c>
      <c r="I2490" s="54" t="b">
        <v>1</v>
      </c>
      <c r="J2490" s="65" t="b">
        <v>0</v>
      </c>
      <c r="K2490" s="63" t="s">
        <v>804</v>
      </c>
      <c r="L2490" s="63" t="s">
        <v>6033</v>
      </c>
      <c r="M2490" s="63" t="s">
        <v>6034</v>
      </c>
      <c r="N2490" s="63" t="s">
        <v>2087</v>
      </c>
    </row>
    <row r="2491" spans="1:14" x14ac:dyDescent="0.2">
      <c r="A2491" s="51">
        <v>2490</v>
      </c>
      <c r="G2491" s="65" t="b">
        <v>0</v>
      </c>
      <c r="H2491" s="65" t="b">
        <v>0</v>
      </c>
      <c r="I2491" s="65" t="b">
        <v>0</v>
      </c>
      <c r="J2491" s="65" t="b">
        <v>0</v>
      </c>
      <c r="K2491" s="63" t="s">
        <v>804</v>
      </c>
      <c r="L2491" s="63" t="s">
        <v>6033</v>
      </c>
      <c r="M2491" s="63" t="s">
        <v>6035</v>
      </c>
      <c r="N2491" s="63" t="s">
        <v>2087</v>
      </c>
    </row>
    <row r="2492" spans="1:14" x14ac:dyDescent="0.2">
      <c r="A2492" s="51">
        <v>2491</v>
      </c>
      <c r="B2492" s="54" t="s">
        <v>804</v>
      </c>
      <c r="C2492" s="47" t="s">
        <v>6036</v>
      </c>
      <c r="D2492" s="47" t="s">
        <v>6037</v>
      </c>
      <c r="E2492" s="47" t="s">
        <v>1719</v>
      </c>
      <c r="F2492" s="55" t="b">
        <v>1</v>
      </c>
      <c r="G2492" s="54" t="b">
        <v>1</v>
      </c>
      <c r="H2492" s="54" t="b">
        <v>1</v>
      </c>
      <c r="I2492" s="54" t="b">
        <v>1</v>
      </c>
      <c r="J2492" s="65" t="b">
        <v>0</v>
      </c>
      <c r="K2492" s="63" t="s">
        <v>804</v>
      </c>
      <c r="L2492" s="63" t="s">
        <v>6036</v>
      </c>
      <c r="M2492" s="63" t="s">
        <v>6037</v>
      </c>
      <c r="N2492" s="63" t="s">
        <v>2087</v>
      </c>
    </row>
    <row r="2493" spans="1:14" x14ac:dyDescent="0.2">
      <c r="A2493" s="51">
        <v>2492</v>
      </c>
      <c r="G2493" s="65" t="b">
        <v>0</v>
      </c>
      <c r="H2493" s="65" t="b">
        <v>0</v>
      </c>
      <c r="I2493" s="65" t="b">
        <v>0</v>
      </c>
      <c r="J2493" s="65" t="b">
        <v>0</v>
      </c>
      <c r="K2493" s="63" t="s">
        <v>804</v>
      </c>
      <c r="L2493" s="63" t="s">
        <v>6036</v>
      </c>
      <c r="M2493" s="63" t="s">
        <v>6038</v>
      </c>
      <c r="N2493" s="63" t="s">
        <v>2087</v>
      </c>
    </row>
    <row r="2494" spans="1:14" x14ac:dyDescent="0.2">
      <c r="A2494" s="51">
        <v>2493</v>
      </c>
      <c r="B2494" s="54" t="s">
        <v>804</v>
      </c>
      <c r="C2494" s="47" t="s">
        <v>6039</v>
      </c>
      <c r="D2494" s="47" t="s">
        <v>6040</v>
      </c>
      <c r="E2494" s="47" t="s">
        <v>1719</v>
      </c>
      <c r="F2494" s="55" t="b">
        <v>1</v>
      </c>
      <c r="G2494" s="54" t="b">
        <v>1</v>
      </c>
      <c r="H2494" s="54" t="b">
        <v>1</v>
      </c>
      <c r="I2494" s="54" t="b">
        <v>1</v>
      </c>
      <c r="J2494" s="65" t="b">
        <v>0</v>
      </c>
      <c r="K2494" s="63" t="s">
        <v>804</v>
      </c>
      <c r="L2494" s="63" t="s">
        <v>6039</v>
      </c>
      <c r="M2494" s="63" t="s">
        <v>6040</v>
      </c>
      <c r="N2494" s="63" t="s">
        <v>2087</v>
      </c>
    </row>
    <row r="2495" spans="1:14" x14ac:dyDescent="0.2">
      <c r="A2495" s="51">
        <v>2494</v>
      </c>
      <c r="G2495" s="65" t="b">
        <v>0</v>
      </c>
      <c r="H2495" s="65" t="b">
        <v>0</v>
      </c>
      <c r="I2495" s="65" t="b">
        <v>0</v>
      </c>
      <c r="J2495" s="65" t="b">
        <v>0</v>
      </c>
      <c r="K2495" s="63" t="s">
        <v>804</v>
      </c>
      <c r="L2495" s="63" t="s">
        <v>6039</v>
      </c>
      <c r="M2495" s="63" t="s">
        <v>6041</v>
      </c>
      <c r="N2495" s="63" t="s">
        <v>2087</v>
      </c>
    </row>
    <row r="2496" spans="1:14" x14ac:dyDescent="0.2">
      <c r="A2496" s="51">
        <v>2495</v>
      </c>
      <c r="B2496" s="54" t="s">
        <v>804</v>
      </c>
      <c r="C2496" s="47" t="s">
        <v>6030</v>
      </c>
      <c r="D2496" s="47" t="s">
        <v>6042</v>
      </c>
      <c r="E2496" s="47" t="s">
        <v>1719</v>
      </c>
      <c r="F2496" s="55" t="b">
        <v>1</v>
      </c>
      <c r="G2496" s="54" t="b">
        <v>1</v>
      </c>
      <c r="H2496" s="54" t="b">
        <v>1</v>
      </c>
      <c r="I2496" s="54" t="b">
        <v>1</v>
      </c>
      <c r="J2496" s="65" t="b">
        <v>0</v>
      </c>
      <c r="K2496" s="63" t="s">
        <v>804</v>
      </c>
      <c r="L2496" s="63" t="s">
        <v>6030</v>
      </c>
      <c r="M2496" s="63" t="s">
        <v>6042</v>
      </c>
      <c r="N2496" s="63" t="s">
        <v>2087</v>
      </c>
    </row>
    <row r="2497" spans="1:14" x14ac:dyDescent="0.2">
      <c r="A2497" s="51">
        <v>2496</v>
      </c>
      <c r="G2497" s="65" t="b">
        <v>0</v>
      </c>
      <c r="H2497" s="65" t="b">
        <v>0</v>
      </c>
      <c r="I2497" s="65" t="b">
        <v>0</v>
      </c>
      <c r="J2497" s="65" t="b">
        <v>0</v>
      </c>
      <c r="K2497" s="63" t="s">
        <v>804</v>
      </c>
      <c r="L2497" s="63" t="s">
        <v>6030</v>
      </c>
      <c r="M2497" s="63" t="s">
        <v>6031</v>
      </c>
      <c r="N2497" s="63" t="s">
        <v>2087</v>
      </c>
    </row>
    <row r="2498" spans="1:14" x14ac:dyDescent="0.2">
      <c r="A2498" s="51">
        <v>2497</v>
      </c>
      <c r="B2498" s="56" t="s">
        <v>806</v>
      </c>
      <c r="C2498" s="47" t="s">
        <v>6043</v>
      </c>
      <c r="D2498" s="47" t="s">
        <v>12752</v>
      </c>
      <c r="E2498" s="47" t="s">
        <v>1719</v>
      </c>
      <c r="F2498" s="55" t="b">
        <v>1</v>
      </c>
      <c r="G2498" s="65" t="b">
        <v>0</v>
      </c>
      <c r="H2498" s="54" t="b">
        <v>1</v>
      </c>
      <c r="I2498" s="65" t="b">
        <v>0</v>
      </c>
      <c r="J2498" s="54" t="b">
        <v>1</v>
      </c>
      <c r="K2498" s="63" t="s">
        <v>1110</v>
      </c>
      <c r="L2498" s="63" t="s">
        <v>6043</v>
      </c>
      <c r="M2498" s="63" t="s">
        <v>6044</v>
      </c>
      <c r="N2498" s="63" t="s">
        <v>1719</v>
      </c>
    </row>
    <row r="2499" spans="1:14" x14ac:dyDescent="0.2">
      <c r="A2499" s="51">
        <v>2498</v>
      </c>
      <c r="B2499" s="56"/>
      <c r="G2499" s="65" t="b">
        <v>0</v>
      </c>
      <c r="H2499" s="65" t="b">
        <v>0</v>
      </c>
      <c r="I2499" s="65" t="b">
        <v>0</v>
      </c>
      <c r="J2499" s="65" t="b">
        <v>0</v>
      </c>
      <c r="K2499" s="63" t="s">
        <v>1110</v>
      </c>
      <c r="L2499" s="63" t="s">
        <v>6043</v>
      </c>
      <c r="M2499" s="63" t="s">
        <v>6045</v>
      </c>
      <c r="N2499" s="63" t="s">
        <v>1719</v>
      </c>
    </row>
    <row r="2500" spans="1:14" x14ac:dyDescent="0.2">
      <c r="A2500" s="51">
        <v>2499</v>
      </c>
      <c r="B2500" s="56" t="s">
        <v>806</v>
      </c>
      <c r="C2500" s="47" t="s">
        <v>6046</v>
      </c>
      <c r="D2500" s="47" t="s">
        <v>6047</v>
      </c>
      <c r="E2500" s="47" t="s">
        <v>1719</v>
      </c>
      <c r="F2500" s="55" t="b">
        <v>1</v>
      </c>
      <c r="G2500" s="65" t="b">
        <v>0</v>
      </c>
      <c r="H2500" s="54" t="b">
        <v>1</v>
      </c>
      <c r="I2500" s="54" t="b">
        <v>1</v>
      </c>
      <c r="J2500" s="54" t="b">
        <v>1</v>
      </c>
      <c r="K2500" s="63" t="s">
        <v>1110</v>
      </c>
      <c r="L2500" s="63" t="s">
        <v>6046</v>
      </c>
      <c r="M2500" s="63" t="s">
        <v>6047</v>
      </c>
      <c r="N2500" s="63" t="s">
        <v>1719</v>
      </c>
    </row>
    <row r="2501" spans="1:14" x14ac:dyDescent="0.2">
      <c r="A2501" s="51">
        <v>2500</v>
      </c>
      <c r="B2501" s="56" t="s">
        <v>806</v>
      </c>
      <c r="C2501" s="47" t="s">
        <v>6048</v>
      </c>
      <c r="D2501" s="47" t="s">
        <v>12753</v>
      </c>
      <c r="E2501" s="47" t="s">
        <v>1719</v>
      </c>
      <c r="F2501" s="55" t="b">
        <v>1</v>
      </c>
      <c r="G2501" s="65" t="b">
        <v>0</v>
      </c>
      <c r="H2501" s="54" t="b">
        <v>1</v>
      </c>
      <c r="I2501" s="65" t="b">
        <v>0</v>
      </c>
      <c r="J2501" s="54" t="b">
        <v>1</v>
      </c>
      <c r="K2501" s="63" t="s">
        <v>1110</v>
      </c>
      <c r="L2501" s="63" t="s">
        <v>6048</v>
      </c>
      <c r="M2501" s="63" t="s">
        <v>6049</v>
      </c>
      <c r="N2501" s="63" t="s">
        <v>1719</v>
      </c>
    </row>
    <row r="2502" spans="1:14" x14ac:dyDescent="0.2">
      <c r="A2502" s="51">
        <v>2501</v>
      </c>
      <c r="B2502" s="56"/>
      <c r="G2502" s="65" t="b">
        <v>0</v>
      </c>
      <c r="H2502" s="65" t="b">
        <v>0</v>
      </c>
      <c r="I2502" s="65" t="b">
        <v>0</v>
      </c>
      <c r="J2502" s="65" t="b">
        <v>0</v>
      </c>
      <c r="K2502" s="63" t="s">
        <v>1110</v>
      </c>
      <c r="L2502" s="63" t="s">
        <v>6048</v>
      </c>
      <c r="M2502" s="63" t="s">
        <v>6050</v>
      </c>
      <c r="N2502" s="63" t="s">
        <v>1719</v>
      </c>
    </row>
    <row r="2503" spans="1:14" x14ac:dyDescent="0.2">
      <c r="A2503" s="51">
        <v>2502</v>
      </c>
      <c r="B2503" s="56" t="s">
        <v>806</v>
      </c>
      <c r="C2503" s="47" t="s">
        <v>6051</v>
      </c>
      <c r="D2503" s="47" t="s">
        <v>12754</v>
      </c>
      <c r="E2503" s="47" t="s">
        <v>1719</v>
      </c>
      <c r="F2503" s="55" t="b">
        <v>1</v>
      </c>
      <c r="G2503" s="65" t="b">
        <v>0</v>
      </c>
      <c r="H2503" s="54" t="b">
        <v>1</v>
      </c>
      <c r="I2503" s="65" t="b">
        <v>0</v>
      </c>
      <c r="J2503" s="54" t="b">
        <v>1</v>
      </c>
      <c r="K2503" s="63" t="s">
        <v>1110</v>
      </c>
      <c r="L2503" s="63" t="s">
        <v>6051</v>
      </c>
      <c r="M2503" s="63" t="s">
        <v>6052</v>
      </c>
      <c r="N2503" s="63" t="s">
        <v>1719</v>
      </c>
    </row>
    <row r="2504" spans="1:14" x14ac:dyDescent="0.2">
      <c r="A2504" s="51">
        <v>2503</v>
      </c>
      <c r="B2504" s="56"/>
      <c r="G2504" s="65" t="b">
        <v>0</v>
      </c>
      <c r="H2504" s="65" t="b">
        <v>0</v>
      </c>
      <c r="I2504" s="65" t="b">
        <v>0</v>
      </c>
      <c r="J2504" s="65" t="b">
        <v>0</v>
      </c>
      <c r="K2504" s="63" t="s">
        <v>1110</v>
      </c>
      <c r="L2504" s="63" t="s">
        <v>6051</v>
      </c>
      <c r="M2504" s="63" t="s">
        <v>6053</v>
      </c>
      <c r="N2504" s="63" t="s">
        <v>1719</v>
      </c>
    </row>
    <row r="2505" spans="1:14" x14ac:dyDescent="0.2">
      <c r="A2505" s="51">
        <v>2504</v>
      </c>
      <c r="B2505" s="56" t="s">
        <v>806</v>
      </c>
      <c r="C2505" s="47" t="s">
        <v>6054</v>
      </c>
      <c r="D2505" s="47" t="s">
        <v>6055</v>
      </c>
      <c r="E2505" s="47" t="s">
        <v>1719</v>
      </c>
      <c r="F2505" s="55" t="b">
        <v>1</v>
      </c>
      <c r="G2505" s="65" t="b">
        <v>0</v>
      </c>
      <c r="H2505" s="54" t="b">
        <v>1</v>
      </c>
      <c r="I2505" s="54" t="b">
        <v>1</v>
      </c>
      <c r="J2505" s="54" t="b">
        <v>1</v>
      </c>
      <c r="K2505" s="63" t="s">
        <v>1110</v>
      </c>
      <c r="L2505" s="63" t="s">
        <v>6054</v>
      </c>
      <c r="M2505" s="63" t="s">
        <v>6055</v>
      </c>
      <c r="N2505" s="63" t="s">
        <v>1719</v>
      </c>
    </row>
    <row r="2506" spans="1:14" x14ac:dyDescent="0.2">
      <c r="A2506" s="51">
        <v>2505</v>
      </c>
      <c r="B2506" s="56" t="s">
        <v>806</v>
      </c>
      <c r="C2506" s="47" t="s">
        <v>6056</v>
      </c>
      <c r="D2506" s="47" t="s">
        <v>6057</v>
      </c>
      <c r="E2506" s="47" t="s">
        <v>1719</v>
      </c>
      <c r="F2506" s="55" t="b">
        <v>1</v>
      </c>
      <c r="G2506" s="65" t="b">
        <v>0</v>
      </c>
      <c r="H2506" s="54" t="b">
        <v>1</v>
      </c>
      <c r="I2506" s="54" t="b">
        <v>1</v>
      </c>
      <c r="J2506" s="54" t="b">
        <v>1</v>
      </c>
      <c r="K2506" s="63" t="s">
        <v>1110</v>
      </c>
      <c r="L2506" s="63" t="s">
        <v>6056</v>
      </c>
      <c r="M2506" s="63" t="s">
        <v>6057</v>
      </c>
      <c r="N2506" s="63" t="s">
        <v>1719</v>
      </c>
    </row>
    <row r="2507" spans="1:14" x14ac:dyDescent="0.2">
      <c r="A2507" s="51">
        <v>2506</v>
      </c>
      <c r="B2507" s="56" t="s">
        <v>806</v>
      </c>
      <c r="C2507" s="47" t="s">
        <v>6058</v>
      </c>
      <c r="D2507" s="47" t="s">
        <v>12755</v>
      </c>
      <c r="E2507" s="47" t="s">
        <v>1719</v>
      </c>
      <c r="F2507" s="55" t="b">
        <v>1</v>
      </c>
      <c r="G2507" s="65" t="b">
        <v>0</v>
      </c>
      <c r="H2507" s="54" t="b">
        <v>1</v>
      </c>
      <c r="I2507" s="65" t="b">
        <v>0</v>
      </c>
      <c r="J2507" s="54" t="b">
        <v>1</v>
      </c>
      <c r="K2507" s="63" t="s">
        <v>1110</v>
      </c>
      <c r="L2507" s="63" t="s">
        <v>6058</v>
      </c>
      <c r="M2507" s="63" t="s">
        <v>6059</v>
      </c>
      <c r="N2507" s="63" t="s">
        <v>1719</v>
      </c>
    </row>
    <row r="2508" spans="1:14" x14ac:dyDescent="0.2">
      <c r="A2508" s="51">
        <v>2507</v>
      </c>
      <c r="B2508" s="56" t="s">
        <v>806</v>
      </c>
      <c r="C2508" s="47" t="s">
        <v>6060</v>
      </c>
      <c r="D2508" s="47" t="s">
        <v>12756</v>
      </c>
      <c r="E2508" s="47" t="s">
        <v>1719</v>
      </c>
      <c r="F2508" s="55" t="b">
        <v>1</v>
      </c>
      <c r="G2508" s="65" t="b">
        <v>0</v>
      </c>
      <c r="H2508" s="54" t="b">
        <v>1</v>
      </c>
      <c r="I2508" s="65" t="b">
        <v>0</v>
      </c>
      <c r="J2508" s="54" t="b">
        <v>1</v>
      </c>
      <c r="K2508" s="63" t="s">
        <v>1110</v>
      </c>
      <c r="L2508" s="63" t="s">
        <v>6060</v>
      </c>
      <c r="M2508" s="63" t="s">
        <v>6061</v>
      </c>
      <c r="N2508" s="63" t="s">
        <v>1719</v>
      </c>
    </row>
    <row r="2509" spans="1:14" x14ac:dyDescent="0.2">
      <c r="A2509" s="51">
        <v>2508</v>
      </c>
      <c r="B2509" s="56"/>
      <c r="G2509" s="65" t="b">
        <v>0</v>
      </c>
      <c r="H2509" s="65" t="b">
        <v>0</v>
      </c>
      <c r="I2509" s="65" t="b">
        <v>0</v>
      </c>
      <c r="J2509" s="65" t="b">
        <v>0</v>
      </c>
      <c r="K2509" s="63" t="s">
        <v>1110</v>
      </c>
      <c r="L2509" s="63" t="s">
        <v>6060</v>
      </c>
      <c r="M2509" s="63" t="s">
        <v>6062</v>
      </c>
      <c r="N2509" s="63" t="s">
        <v>1719</v>
      </c>
    </row>
    <row r="2510" spans="1:14" x14ac:dyDescent="0.2">
      <c r="A2510" s="51">
        <v>2509</v>
      </c>
      <c r="B2510" s="56" t="s">
        <v>806</v>
      </c>
      <c r="C2510" s="47" t="s">
        <v>6063</v>
      </c>
      <c r="D2510" s="47" t="s">
        <v>12757</v>
      </c>
      <c r="E2510" s="47" t="s">
        <v>1719</v>
      </c>
      <c r="F2510" s="55" t="b">
        <v>1</v>
      </c>
      <c r="G2510" s="65" t="b">
        <v>0</v>
      </c>
      <c r="H2510" s="54" t="b">
        <v>1</v>
      </c>
      <c r="I2510" s="65" t="b">
        <v>0</v>
      </c>
      <c r="J2510" s="54" t="b">
        <v>1</v>
      </c>
      <c r="K2510" s="63" t="s">
        <v>1110</v>
      </c>
      <c r="L2510" s="63" t="s">
        <v>6063</v>
      </c>
      <c r="M2510" s="63" t="s">
        <v>6064</v>
      </c>
      <c r="N2510" s="63" t="s">
        <v>1719</v>
      </c>
    </row>
    <row r="2511" spans="1:14" x14ac:dyDescent="0.2">
      <c r="A2511" s="51">
        <v>2510</v>
      </c>
      <c r="B2511" s="56"/>
      <c r="G2511" s="65" t="b">
        <v>0</v>
      </c>
      <c r="H2511" s="65" t="b">
        <v>0</v>
      </c>
      <c r="I2511" s="65" t="b">
        <v>0</v>
      </c>
      <c r="J2511" s="65" t="b">
        <v>0</v>
      </c>
      <c r="K2511" s="63" t="s">
        <v>1110</v>
      </c>
      <c r="L2511" s="63" t="s">
        <v>6063</v>
      </c>
      <c r="M2511" s="63" t="s">
        <v>6065</v>
      </c>
      <c r="N2511" s="63" t="s">
        <v>1719</v>
      </c>
    </row>
    <row r="2512" spans="1:14" x14ac:dyDescent="0.2">
      <c r="A2512" s="51">
        <v>2511</v>
      </c>
      <c r="B2512" s="56" t="s">
        <v>806</v>
      </c>
      <c r="C2512" s="47" t="s">
        <v>6066</v>
      </c>
      <c r="D2512" s="47" t="s">
        <v>12758</v>
      </c>
      <c r="E2512" s="47" t="s">
        <v>1719</v>
      </c>
      <c r="F2512" s="55" t="b">
        <v>1</v>
      </c>
      <c r="G2512" s="65" t="b">
        <v>0</v>
      </c>
      <c r="H2512" s="54" t="b">
        <v>1</v>
      </c>
      <c r="I2512" s="65" t="b">
        <v>0</v>
      </c>
      <c r="J2512" s="54" t="b">
        <v>1</v>
      </c>
      <c r="K2512" s="63" t="s">
        <v>1110</v>
      </c>
      <c r="L2512" s="63" t="s">
        <v>6066</v>
      </c>
      <c r="M2512" s="63" t="s">
        <v>6067</v>
      </c>
      <c r="N2512" s="63" t="s">
        <v>1719</v>
      </c>
    </row>
    <row r="2513" spans="1:14" x14ac:dyDescent="0.2">
      <c r="A2513" s="51">
        <v>2512</v>
      </c>
      <c r="B2513" s="56"/>
      <c r="G2513" s="65" t="b">
        <v>0</v>
      </c>
      <c r="H2513" s="65" t="b">
        <v>0</v>
      </c>
      <c r="I2513" s="65" t="b">
        <v>0</v>
      </c>
      <c r="J2513" s="65" t="b">
        <v>0</v>
      </c>
      <c r="K2513" s="63" t="s">
        <v>1110</v>
      </c>
      <c r="L2513" s="63" t="s">
        <v>6066</v>
      </c>
      <c r="M2513" s="63" t="s">
        <v>6068</v>
      </c>
      <c r="N2513" s="63" t="s">
        <v>1719</v>
      </c>
    </row>
    <row r="2514" spans="1:14" x14ac:dyDescent="0.2">
      <c r="A2514" s="51">
        <v>2513</v>
      </c>
      <c r="B2514" s="56" t="s">
        <v>806</v>
      </c>
      <c r="C2514" s="47" t="s">
        <v>6069</v>
      </c>
      <c r="D2514" s="47" t="s">
        <v>12759</v>
      </c>
      <c r="E2514" s="47" t="s">
        <v>1719</v>
      </c>
      <c r="F2514" s="55" t="b">
        <v>1</v>
      </c>
      <c r="G2514" s="65" t="b">
        <v>0</v>
      </c>
      <c r="H2514" s="54" t="b">
        <v>1</v>
      </c>
      <c r="I2514" s="65" t="b">
        <v>0</v>
      </c>
      <c r="J2514" s="54" t="b">
        <v>1</v>
      </c>
      <c r="K2514" s="63" t="s">
        <v>1110</v>
      </c>
      <c r="L2514" s="63" t="s">
        <v>6069</v>
      </c>
      <c r="M2514" s="63" t="s">
        <v>6070</v>
      </c>
      <c r="N2514" s="63" t="s">
        <v>1719</v>
      </c>
    </row>
    <row r="2515" spans="1:14" x14ac:dyDescent="0.2">
      <c r="A2515" s="51">
        <v>2514</v>
      </c>
      <c r="B2515" s="56"/>
      <c r="G2515" s="65" t="b">
        <v>0</v>
      </c>
      <c r="H2515" s="65" t="b">
        <v>0</v>
      </c>
      <c r="I2515" s="65" t="b">
        <v>0</v>
      </c>
      <c r="J2515" s="65" t="b">
        <v>0</v>
      </c>
      <c r="K2515" s="63" t="s">
        <v>1110</v>
      </c>
      <c r="L2515" s="63" t="s">
        <v>6069</v>
      </c>
      <c r="M2515" s="63" t="s">
        <v>6071</v>
      </c>
      <c r="N2515" s="63" t="s">
        <v>1719</v>
      </c>
    </row>
    <row r="2516" spans="1:14" x14ac:dyDescent="0.2">
      <c r="A2516" s="51">
        <v>2515</v>
      </c>
      <c r="B2516" s="56" t="s">
        <v>806</v>
      </c>
      <c r="C2516" s="47" t="s">
        <v>6072</v>
      </c>
      <c r="D2516" s="47" t="s">
        <v>6073</v>
      </c>
      <c r="E2516" s="47" t="s">
        <v>1719</v>
      </c>
      <c r="F2516" s="55" t="b">
        <v>1</v>
      </c>
      <c r="G2516" s="65" t="b">
        <v>0</v>
      </c>
      <c r="H2516" s="54" t="b">
        <v>1</v>
      </c>
      <c r="I2516" s="54" t="b">
        <v>1</v>
      </c>
      <c r="J2516" s="54" t="b">
        <v>1</v>
      </c>
      <c r="K2516" s="63" t="s">
        <v>1110</v>
      </c>
      <c r="L2516" s="63" t="s">
        <v>6072</v>
      </c>
      <c r="M2516" s="63" t="s">
        <v>6073</v>
      </c>
      <c r="N2516" s="63" t="s">
        <v>1719</v>
      </c>
    </row>
    <row r="2517" spans="1:14" x14ac:dyDescent="0.2">
      <c r="A2517" s="51">
        <v>2516</v>
      </c>
      <c r="B2517" s="56" t="s">
        <v>806</v>
      </c>
      <c r="C2517" s="47" t="s">
        <v>6078</v>
      </c>
      <c r="D2517" s="47" t="s">
        <v>12760</v>
      </c>
      <c r="E2517" s="47" t="s">
        <v>1719</v>
      </c>
      <c r="F2517" s="55" t="b">
        <v>1</v>
      </c>
      <c r="G2517" s="65" t="b">
        <v>0</v>
      </c>
      <c r="H2517" s="54" t="b">
        <v>1</v>
      </c>
      <c r="I2517" s="65" t="b">
        <v>0</v>
      </c>
      <c r="J2517" s="54" t="b">
        <v>1</v>
      </c>
      <c r="K2517" s="63" t="s">
        <v>1110</v>
      </c>
      <c r="L2517" s="63" t="s">
        <v>6078</v>
      </c>
      <c r="M2517" s="63" t="s">
        <v>6079</v>
      </c>
      <c r="N2517" s="63" t="s">
        <v>1719</v>
      </c>
    </row>
    <row r="2518" spans="1:14" x14ac:dyDescent="0.2">
      <c r="A2518" s="51">
        <v>2517</v>
      </c>
      <c r="B2518" s="56" t="s">
        <v>806</v>
      </c>
      <c r="C2518" s="47" t="s">
        <v>6080</v>
      </c>
      <c r="D2518" s="47" t="s">
        <v>12760</v>
      </c>
      <c r="E2518" s="47" t="s">
        <v>3158</v>
      </c>
      <c r="F2518" s="55" t="b">
        <v>1</v>
      </c>
      <c r="G2518" s="65" t="b">
        <v>0</v>
      </c>
      <c r="H2518" s="54" t="b">
        <v>1</v>
      </c>
      <c r="I2518" s="65" t="b">
        <v>0</v>
      </c>
      <c r="J2518" s="54" t="b">
        <v>1</v>
      </c>
      <c r="K2518" s="63" t="s">
        <v>1110</v>
      </c>
      <c r="L2518" s="63" t="s">
        <v>6080</v>
      </c>
      <c r="M2518" s="63" t="s">
        <v>6079</v>
      </c>
      <c r="N2518" s="63" t="s">
        <v>3158</v>
      </c>
    </row>
    <row r="2519" spans="1:14" x14ac:dyDescent="0.2">
      <c r="A2519" s="51">
        <v>2518</v>
      </c>
      <c r="B2519" s="56" t="s">
        <v>806</v>
      </c>
      <c r="C2519" s="47" t="s">
        <v>6074</v>
      </c>
      <c r="D2519" s="47" t="s">
        <v>12761</v>
      </c>
      <c r="E2519" s="47" t="s">
        <v>1719</v>
      </c>
      <c r="F2519" s="55" t="b">
        <v>1</v>
      </c>
      <c r="G2519" s="65" t="b">
        <v>0</v>
      </c>
      <c r="H2519" s="54" t="b">
        <v>1</v>
      </c>
      <c r="I2519" s="65" t="b">
        <v>0</v>
      </c>
      <c r="J2519" s="54" t="b">
        <v>1</v>
      </c>
      <c r="K2519" s="63" t="s">
        <v>1110</v>
      </c>
      <c r="L2519" s="63" t="s">
        <v>6074</v>
      </c>
      <c r="M2519" s="63" t="s">
        <v>6075</v>
      </c>
      <c r="N2519" s="63" t="s">
        <v>1719</v>
      </c>
    </row>
    <row r="2520" spans="1:14" x14ac:dyDescent="0.2">
      <c r="A2520" s="51">
        <v>2519</v>
      </c>
      <c r="B2520" s="56"/>
      <c r="G2520" s="65" t="b">
        <v>0</v>
      </c>
      <c r="H2520" s="65" t="b">
        <v>0</v>
      </c>
      <c r="I2520" s="65" t="b">
        <v>0</v>
      </c>
      <c r="J2520" s="65" t="b">
        <v>0</v>
      </c>
      <c r="K2520" s="63" t="s">
        <v>1110</v>
      </c>
      <c r="L2520" s="63" t="s">
        <v>6074</v>
      </c>
      <c r="M2520" s="63" t="s">
        <v>6081</v>
      </c>
      <c r="N2520" s="63" t="s">
        <v>1719</v>
      </c>
    </row>
    <row r="2521" spans="1:14" x14ac:dyDescent="0.2">
      <c r="A2521" s="51">
        <v>2520</v>
      </c>
      <c r="B2521" s="56" t="s">
        <v>806</v>
      </c>
      <c r="C2521" s="47" t="s">
        <v>6076</v>
      </c>
      <c r="D2521" s="47" t="s">
        <v>12762</v>
      </c>
      <c r="E2521" s="47" t="s">
        <v>1719</v>
      </c>
      <c r="F2521" s="55" t="b">
        <v>1</v>
      </c>
      <c r="G2521" s="65" t="b">
        <v>0</v>
      </c>
      <c r="H2521" s="54" t="b">
        <v>1</v>
      </c>
      <c r="I2521" s="65" t="b">
        <v>0</v>
      </c>
      <c r="J2521" s="54" t="b">
        <v>1</v>
      </c>
      <c r="K2521" s="63" t="s">
        <v>1110</v>
      </c>
      <c r="L2521" s="63" t="s">
        <v>6076</v>
      </c>
      <c r="M2521" s="63" t="s">
        <v>6077</v>
      </c>
      <c r="N2521" s="63" t="s">
        <v>1719</v>
      </c>
    </row>
    <row r="2522" spans="1:14" x14ac:dyDescent="0.2">
      <c r="A2522" s="51">
        <v>2521</v>
      </c>
      <c r="B2522" s="56"/>
      <c r="G2522" s="65" t="b">
        <v>0</v>
      </c>
      <c r="H2522" s="65" t="b">
        <v>0</v>
      </c>
      <c r="I2522" s="65" t="b">
        <v>0</v>
      </c>
      <c r="J2522" s="65" t="b">
        <v>0</v>
      </c>
      <c r="K2522" s="63" t="s">
        <v>1110</v>
      </c>
      <c r="L2522" s="63" t="s">
        <v>6076</v>
      </c>
      <c r="M2522" s="63" t="s">
        <v>6087</v>
      </c>
      <c r="N2522" s="63" t="s">
        <v>1719</v>
      </c>
    </row>
    <row r="2523" spans="1:14" x14ac:dyDescent="0.2">
      <c r="A2523" s="51">
        <v>2522</v>
      </c>
      <c r="B2523" s="56" t="s">
        <v>806</v>
      </c>
      <c r="C2523" s="47" t="s">
        <v>6084</v>
      </c>
      <c r="D2523" s="47" t="s">
        <v>12763</v>
      </c>
      <c r="E2523" s="47" t="s">
        <v>1719</v>
      </c>
      <c r="F2523" s="55" t="b">
        <v>1</v>
      </c>
      <c r="G2523" s="65" t="b">
        <v>0</v>
      </c>
      <c r="H2523" s="54" t="b">
        <v>1</v>
      </c>
      <c r="I2523" s="65" t="b">
        <v>0</v>
      </c>
      <c r="J2523" s="54" t="b">
        <v>1</v>
      </c>
      <c r="K2523" s="63" t="s">
        <v>1110</v>
      </c>
      <c r="L2523" s="63" t="s">
        <v>6084</v>
      </c>
      <c r="M2523" s="63" t="s">
        <v>6085</v>
      </c>
      <c r="N2523" s="63" t="s">
        <v>1719</v>
      </c>
    </row>
    <row r="2524" spans="1:14" x14ac:dyDescent="0.2">
      <c r="A2524" s="51">
        <v>2523</v>
      </c>
      <c r="B2524" s="56"/>
      <c r="G2524" s="65" t="b">
        <v>0</v>
      </c>
      <c r="H2524" s="65" t="b">
        <v>0</v>
      </c>
      <c r="I2524" s="65" t="b">
        <v>0</v>
      </c>
      <c r="J2524" s="65" t="b">
        <v>0</v>
      </c>
      <c r="K2524" s="63" t="s">
        <v>1110</v>
      </c>
      <c r="L2524" s="63" t="s">
        <v>6084</v>
      </c>
      <c r="M2524" s="63" t="s">
        <v>6086</v>
      </c>
      <c r="N2524" s="63" t="s">
        <v>1719</v>
      </c>
    </row>
    <row r="2525" spans="1:14" x14ac:dyDescent="0.2">
      <c r="A2525" s="51">
        <v>2524</v>
      </c>
      <c r="B2525" s="56" t="s">
        <v>806</v>
      </c>
      <c r="C2525" s="47" t="s">
        <v>6082</v>
      </c>
      <c r="D2525" s="47" t="s">
        <v>6083</v>
      </c>
      <c r="E2525" s="47" t="s">
        <v>1719</v>
      </c>
      <c r="F2525" s="55" t="b">
        <v>1</v>
      </c>
      <c r="G2525" s="65" t="b">
        <v>0</v>
      </c>
      <c r="H2525" s="54" t="b">
        <v>1</v>
      </c>
      <c r="I2525" s="54" t="b">
        <v>1</v>
      </c>
      <c r="J2525" s="65" t="b">
        <v>0</v>
      </c>
      <c r="K2525" s="63" t="s">
        <v>1110</v>
      </c>
      <c r="L2525" s="63" t="s">
        <v>6082</v>
      </c>
      <c r="M2525" s="63" t="s">
        <v>6083</v>
      </c>
      <c r="N2525" s="63" t="s">
        <v>4819</v>
      </c>
    </row>
    <row r="2526" spans="1:14" x14ac:dyDescent="0.2">
      <c r="A2526" s="51">
        <v>2525</v>
      </c>
      <c r="B2526" s="54" t="s">
        <v>808</v>
      </c>
      <c r="C2526" s="47" t="s">
        <v>6088</v>
      </c>
      <c r="D2526" s="47" t="s">
        <v>12765</v>
      </c>
      <c r="E2526" s="47" t="s">
        <v>2164</v>
      </c>
      <c r="F2526" s="55" t="b">
        <v>1</v>
      </c>
      <c r="G2526" s="54" t="b">
        <v>1</v>
      </c>
      <c r="H2526" s="54" t="b">
        <v>1</v>
      </c>
      <c r="I2526" s="65" t="b">
        <v>0</v>
      </c>
      <c r="J2526" s="54" t="b">
        <v>1</v>
      </c>
      <c r="K2526" s="63" t="s">
        <v>808</v>
      </c>
      <c r="L2526" s="63" t="s">
        <v>6088</v>
      </c>
      <c r="M2526" s="63" t="s">
        <v>6089</v>
      </c>
      <c r="N2526" s="63" t="s">
        <v>2164</v>
      </c>
    </row>
    <row r="2527" spans="1:14" x14ac:dyDescent="0.2">
      <c r="A2527" s="51">
        <v>2526</v>
      </c>
      <c r="B2527" s="54" t="s">
        <v>808</v>
      </c>
      <c r="C2527" s="47" t="s">
        <v>6090</v>
      </c>
      <c r="D2527" s="47" t="s">
        <v>12766</v>
      </c>
      <c r="E2527" s="47" t="s">
        <v>2164</v>
      </c>
      <c r="F2527" s="55" t="b">
        <v>1</v>
      </c>
      <c r="G2527" s="54" t="b">
        <v>1</v>
      </c>
      <c r="H2527" s="54" t="b">
        <v>1</v>
      </c>
      <c r="I2527" s="65" t="b">
        <v>0</v>
      </c>
      <c r="J2527" s="54" t="b">
        <v>1</v>
      </c>
      <c r="K2527" s="63" t="s">
        <v>808</v>
      </c>
      <c r="L2527" s="63" t="s">
        <v>6090</v>
      </c>
      <c r="M2527" s="63" t="s">
        <v>6091</v>
      </c>
      <c r="N2527" s="63" t="s">
        <v>2164</v>
      </c>
    </row>
    <row r="2528" spans="1:14" x14ac:dyDescent="0.2">
      <c r="A2528" s="51">
        <v>2527</v>
      </c>
      <c r="B2528" s="54" t="s">
        <v>808</v>
      </c>
      <c r="C2528" s="47" t="s">
        <v>6092</v>
      </c>
      <c r="D2528" s="47" t="s">
        <v>12767</v>
      </c>
      <c r="E2528" s="47" t="s">
        <v>2164</v>
      </c>
      <c r="F2528" s="55" t="b">
        <v>1</v>
      </c>
      <c r="G2528" s="54" t="b">
        <v>1</v>
      </c>
      <c r="H2528" s="54" t="b">
        <v>1</v>
      </c>
      <c r="I2528" s="65" t="b">
        <v>0</v>
      </c>
      <c r="J2528" s="54" t="b">
        <v>1</v>
      </c>
      <c r="K2528" s="63" t="s">
        <v>808</v>
      </c>
      <c r="L2528" s="63" t="s">
        <v>6092</v>
      </c>
      <c r="M2528" s="63" t="s">
        <v>6093</v>
      </c>
      <c r="N2528" s="63" t="s">
        <v>2164</v>
      </c>
    </row>
    <row r="2529" spans="1:14" x14ac:dyDescent="0.2">
      <c r="A2529" s="51">
        <v>2528</v>
      </c>
      <c r="B2529" s="54" t="s">
        <v>808</v>
      </c>
      <c r="C2529" s="47" t="s">
        <v>6094</v>
      </c>
      <c r="D2529" s="47" t="s">
        <v>12768</v>
      </c>
      <c r="E2529" s="47" t="s">
        <v>2164</v>
      </c>
      <c r="F2529" s="55" t="b">
        <v>1</v>
      </c>
      <c r="G2529" s="54" t="b">
        <v>1</v>
      </c>
      <c r="H2529" s="54" t="b">
        <v>1</v>
      </c>
      <c r="I2529" s="65" t="b">
        <v>0</v>
      </c>
      <c r="J2529" s="54" t="b">
        <v>1</v>
      </c>
      <c r="K2529" s="63" t="s">
        <v>808</v>
      </c>
      <c r="L2529" s="63" t="s">
        <v>6094</v>
      </c>
      <c r="M2529" s="63" t="s">
        <v>6095</v>
      </c>
      <c r="N2529" s="63" t="s">
        <v>2164</v>
      </c>
    </row>
    <row r="2530" spans="1:14" x14ac:dyDescent="0.2">
      <c r="A2530" s="51">
        <v>2529</v>
      </c>
      <c r="B2530" s="54" t="s">
        <v>808</v>
      </c>
      <c r="C2530" s="47" t="s">
        <v>6096</v>
      </c>
      <c r="D2530" s="47" t="s">
        <v>12769</v>
      </c>
      <c r="E2530" s="47" t="s">
        <v>2164</v>
      </c>
      <c r="F2530" s="55" t="b">
        <v>1</v>
      </c>
      <c r="G2530" s="54" t="b">
        <v>1</v>
      </c>
      <c r="H2530" s="54" t="b">
        <v>1</v>
      </c>
      <c r="I2530" s="65" t="b">
        <v>0</v>
      </c>
      <c r="J2530" s="54" t="b">
        <v>1</v>
      </c>
      <c r="K2530" s="63" t="s">
        <v>808</v>
      </c>
      <c r="L2530" s="63" t="s">
        <v>6096</v>
      </c>
      <c r="M2530" s="63" t="s">
        <v>6097</v>
      </c>
      <c r="N2530" s="63" t="s">
        <v>2164</v>
      </c>
    </row>
    <row r="2531" spans="1:14" x14ac:dyDescent="0.2">
      <c r="A2531" s="51">
        <v>2530</v>
      </c>
      <c r="B2531" s="54" t="s">
        <v>808</v>
      </c>
      <c r="C2531" s="47" t="s">
        <v>6098</v>
      </c>
      <c r="D2531" s="47" t="s">
        <v>12770</v>
      </c>
      <c r="E2531" s="47" t="s">
        <v>2164</v>
      </c>
      <c r="F2531" s="55" t="b">
        <v>1</v>
      </c>
      <c r="G2531" s="54" t="b">
        <v>1</v>
      </c>
      <c r="H2531" s="54" t="b">
        <v>1</v>
      </c>
      <c r="I2531" s="65" t="b">
        <v>0</v>
      </c>
      <c r="J2531" s="54" t="b">
        <v>1</v>
      </c>
      <c r="K2531" s="63" t="s">
        <v>808</v>
      </c>
      <c r="L2531" s="63" t="s">
        <v>6098</v>
      </c>
      <c r="M2531" s="63" t="s">
        <v>6099</v>
      </c>
      <c r="N2531" s="63" t="s">
        <v>2164</v>
      </c>
    </row>
    <row r="2532" spans="1:14" x14ac:dyDescent="0.2">
      <c r="A2532" s="51">
        <v>2531</v>
      </c>
      <c r="B2532" s="54" t="s">
        <v>808</v>
      </c>
      <c r="C2532" s="47" t="s">
        <v>6100</v>
      </c>
      <c r="D2532" s="47" t="s">
        <v>12771</v>
      </c>
      <c r="E2532" s="47" t="s">
        <v>2164</v>
      </c>
      <c r="F2532" s="55" t="b">
        <v>1</v>
      </c>
      <c r="G2532" s="54" t="b">
        <v>1</v>
      </c>
      <c r="H2532" s="54" t="b">
        <v>1</v>
      </c>
      <c r="I2532" s="65" t="b">
        <v>0</v>
      </c>
      <c r="J2532" s="54" t="b">
        <v>1</v>
      </c>
      <c r="K2532" s="63" t="s">
        <v>808</v>
      </c>
      <c r="L2532" s="63" t="s">
        <v>6100</v>
      </c>
      <c r="M2532" s="63" t="s">
        <v>6101</v>
      </c>
      <c r="N2532" s="63" t="s">
        <v>2164</v>
      </c>
    </row>
    <row r="2533" spans="1:14" x14ac:dyDescent="0.2">
      <c r="A2533" s="51">
        <v>2532</v>
      </c>
      <c r="B2533" s="54" t="s">
        <v>808</v>
      </c>
      <c r="C2533" s="47" t="s">
        <v>6102</v>
      </c>
      <c r="D2533" s="47" t="s">
        <v>12772</v>
      </c>
      <c r="E2533" s="47" t="s">
        <v>2164</v>
      </c>
      <c r="F2533" s="55" t="b">
        <v>1</v>
      </c>
      <c r="G2533" s="54" t="b">
        <v>1</v>
      </c>
      <c r="H2533" s="54" t="b">
        <v>1</v>
      </c>
      <c r="I2533" s="65" t="b">
        <v>0</v>
      </c>
      <c r="J2533" s="54" t="b">
        <v>1</v>
      </c>
      <c r="K2533" s="63" t="s">
        <v>808</v>
      </c>
      <c r="L2533" s="63" t="s">
        <v>6102</v>
      </c>
      <c r="M2533" s="63" t="s">
        <v>6103</v>
      </c>
      <c r="N2533" s="63" t="s">
        <v>2164</v>
      </c>
    </row>
    <row r="2534" spans="1:14" x14ac:dyDescent="0.2">
      <c r="A2534" s="51">
        <v>2533</v>
      </c>
      <c r="B2534" s="54" t="s">
        <v>808</v>
      </c>
      <c r="C2534" s="47" t="s">
        <v>6104</v>
      </c>
      <c r="D2534" s="47" t="s">
        <v>12773</v>
      </c>
      <c r="E2534" s="47" t="s">
        <v>2164</v>
      </c>
      <c r="F2534" s="55" t="b">
        <v>1</v>
      </c>
      <c r="G2534" s="54" t="b">
        <v>1</v>
      </c>
      <c r="H2534" s="54" t="b">
        <v>1</v>
      </c>
      <c r="I2534" s="65" t="b">
        <v>0</v>
      </c>
      <c r="J2534" s="54" t="b">
        <v>1</v>
      </c>
      <c r="K2534" s="63" t="s">
        <v>808</v>
      </c>
      <c r="L2534" s="63" t="s">
        <v>6104</v>
      </c>
      <c r="M2534" s="63" t="s">
        <v>6105</v>
      </c>
      <c r="N2534" s="63" t="s">
        <v>2164</v>
      </c>
    </row>
    <row r="2535" spans="1:14" x14ac:dyDescent="0.2">
      <c r="A2535" s="51">
        <v>2534</v>
      </c>
      <c r="B2535" s="54" t="s">
        <v>808</v>
      </c>
      <c r="C2535" s="47" t="s">
        <v>6106</v>
      </c>
      <c r="D2535" s="47" t="s">
        <v>12774</v>
      </c>
      <c r="E2535" s="47" t="s">
        <v>2164</v>
      </c>
      <c r="F2535" s="55" t="b">
        <v>1</v>
      </c>
      <c r="G2535" s="54" t="b">
        <v>1</v>
      </c>
      <c r="H2535" s="54" t="b">
        <v>1</v>
      </c>
      <c r="I2535" s="65" t="b">
        <v>0</v>
      </c>
      <c r="J2535" s="54" t="b">
        <v>1</v>
      </c>
      <c r="K2535" s="63" t="s">
        <v>808</v>
      </c>
      <c r="L2535" s="63" t="s">
        <v>6106</v>
      </c>
      <c r="M2535" s="63" t="s">
        <v>6107</v>
      </c>
      <c r="N2535" s="63" t="s">
        <v>2164</v>
      </c>
    </row>
    <row r="2536" spans="1:14" x14ac:dyDescent="0.2">
      <c r="A2536" s="51">
        <v>2535</v>
      </c>
      <c r="B2536" s="54" t="s">
        <v>808</v>
      </c>
      <c r="C2536" s="47" t="s">
        <v>6318</v>
      </c>
      <c r="D2536" s="47" t="s">
        <v>12764</v>
      </c>
      <c r="E2536" s="47" t="s">
        <v>2164</v>
      </c>
      <c r="F2536" s="55" t="b">
        <v>1</v>
      </c>
      <c r="G2536" s="54" t="b">
        <v>1</v>
      </c>
      <c r="H2536" s="54" t="b">
        <v>1</v>
      </c>
      <c r="I2536" s="65" t="b">
        <v>0</v>
      </c>
      <c r="J2536" s="54" t="b">
        <v>1</v>
      </c>
      <c r="K2536" s="63" t="s">
        <v>808</v>
      </c>
      <c r="L2536" s="63" t="s">
        <v>6318</v>
      </c>
      <c r="M2536" s="63" t="s">
        <v>6319</v>
      </c>
      <c r="N2536" s="63" t="s">
        <v>2164</v>
      </c>
    </row>
    <row r="2537" spans="1:14" x14ac:dyDescent="0.2">
      <c r="A2537" s="51">
        <v>2536</v>
      </c>
      <c r="B2537" s="54" t="s">
        <v>808</v>
      </c>
      <c r="C2537" s="47" t="s">
        <v>6108</v>
      </c>
      <c r="D2537" s="47" t="s">
        <v>12775</v>
      </c>
      <c r="E2537" s="47" t="s">
        <v>2164</v>
      </c>
      <c r="F2537" s="55" t="b">
        <v>1</v>
      </c>
      <c r="G2537" s="54" t="b">
        <v>1</v>
      </c>
      <c r="H2537" s="54" t="b">
        <v>1</v>
      </c>
      <c r="I2537" s="65" t="b">
        <v>0</v>
      </c>
      <c r="J2537" s="54" t="b">
        <v>1</v>
      </c>
      <c r="K2537" s="63" t="s">
        <v>808</v>
      </c>
      <c r="L2537" s="63" t="s">
        <v>6108</v>
      </c>
      <c r="M2537" s="63" t="s">
        <v>6109</v>
      </c>
      <c r="N2537" s="63" t="s">
        <v>2164</v>
      </c>
    </row>
    <row r="2538" spans="1:14" x14ac:dyDescent="0.2">
      <c r="A2538" s="51">
        <v>2537</v>
      </c>
      <c r="B2538" s="54" t="s">
        <v>808</v>
      </c>
      <c r="C2538" s="47" t="s">
        <v>6110</v>
      </c>
      <c r="D2538" s="47" t="s">
        <v>12776</v>
      </c>
      <c r="E2538" s="47" t="s">
        <v>2164</v>
      </c>
      <c r="F2538" s="55" t="b">
        <v>1</v>
      </c>
      <c r="G2538" s="54" t="b">
        <v>1</v>
      </c>
      <c r="H2538" s="54" t="b">
        <v>1</v>
      </c>
      <c r="I2538" s="65" t="b">
        <v>0</v>
      </c>
      <c r="J2538" s="54" t="b">
        <v>1</v>
      </c>
      <c r="K2538" s="63" t="s">
        <v>808</v>
      </c>
      <c r="L2538" s="63" t="s">
        <v>6110</v>
      </c>
      <c r="M2538" s="63" t="s">
        <v>6111</v>
      </c>
      <c r="N2538" s="63" t="s">
        <v>2164</v>
      </c>
    </row>
    <row r="2539" spans="1:14" x14ac:dyDescent="0.2">
      <c r="A2539" s="51">
        <v>2538</v>
      </c>
      <c r="B2539" s="54" t="s">
        <v>808</v>
      </c>
      <c r="C2539" s="47" t="s">
        <v>6112</v>
      </c>
      <c r="D2539" s="47" t="s">
        <v>12777</v>
      </c>
      <c r="E2539" s="47" t="s">
        <v>2164</v>
      </c>
      <c r="F2539" s="55" t="b">
        <v>1</v>
      </c>
      <c r="G2539" s="54" t="b">
        <v>1</v>
      </c>
      <c r="H2539" s="54" t="b">
        <v>1</v>
      </c>
      <c r="I2539" s="65" t="b">
        <v>0</v>
      </c>
      <c r="J2539" s="54" t="b">
        <v>1</v>
      </c>
      <c r="K2539" s="63" t="s">
        <v>808</v>
      </c>
      <c r="L2539" s="63" t="s">
        <v>6112</v>
      </c>
      <c r="M2539" s="63" t="s">
        <v>6113</v>
      </c>
      <c r="N2539" s="63" t="s">
        <v>2164</v>
      </c>
    </row>
    <row r="2540" spans="1:14" x14ac:dyDescent="0.2">
      <c r="A2540" s="51">
        <v>2539</v>
      </c>
      <c r="B2540" s="54" t="s">
        <v>808</v>
      </c>
      <c r="C2540" s="47" t="s">
        <v>6114</v>
      </c>
      <c r="D2540" s="47" t="s">
        <v>12778</v>
      </c>
      <c r="E2540" s="47" t="s">
        <v>2164</v>
      </c>
      <c r="F2540" s="55" t="b">
        <v>1</v>
      </c>
      <c r="G2540" s="54" t="b">
        <v>1</v>
      </c>
      <c r="H2540" s="54" t="b">
        <v>1</v>
      </c>
      <c r="I2540" s="65" t="b">
        <v>0</v>
      </c>
      <c r="J2540" s="54" t="b">
        <v>1</v>
      </c>
      <c r="K2540" s="63" t="s">
        <v>808</v>
      </c>
      <c r="L2540" s="63" t="s">
        <v>6114</v>
      </c>
      <c r="M2540" s="63" t="s">
        <v>6115</v>
      </c>
      <c r="N2540" s="63" t="s">
        <v>2164</v>
      </c>
    </row>
    <row r="2541" spans="1:14" x14ac:dyDescent="0.2">
      <c r="A2541" s="51">
        <v>2540</v>
      </c>
      <c r="B2541" s="54" t="s">
        <v>808</v>
      </c>
      <c r="C2541" s="47" t="s">
        <v>6116</v>
      </c>
      <c r="D2541" s="47" t="s">
        <v>12779</v>
      </c>
      <c r="E2541" s="47" t="s">
        <v>2164</v>
      </c>
      <c r="F2541" s="55" t="b">
        <v>1</v>
      </c>
      <c r="G2541" s="54" t="b">
        <v>1</v>
      </c>
      <c r="H2541" s="54" t="b">
        <v>1</v>
      </c>
      <c r="I2541" s="65" t="b">
        <v>0</v>
      </c>
      <c r="J2541" s="54" t="b">
        <v>1</v>
      </c>
      <c r="K2541" s="63" t="s">
        <v>808</v>
      </c>
      <c r="L2541" s="63" t="s">
        <v>6116</v>
      </c>
      <c r="M2541" s="63" t="s">
        <v>6117</v>
      </c>
      <c r="N2541" s="63" t="s">
        <v>2164</v>
      </c>
    </row>
    <row r="2542" spans="1:14" x14ac:dyDescent="0.2">
      <c r="A2542" s="51">
        <v>2541</v>
      </c>
      <c r="B2542" s="54" t="s">
        <v>808</v>
      </c>
      <c r="C2542" s="47" t="s">
        <v>6118</v>
      </c>
      <c r="D2542" s="47" t="s">
        <v>12780</v>
      </c>
      <c r="E2542" s="47" t="s">
        <v>2164</v>
      </c>
      <c r="F2542" s="55" t="b">
        <v>1</v>
      </c>
      <c r="G2542" s="54" t="b">
        <v>1</v>
      </c>
      <c r="H2542" s="54" t="b">
        <v>1</v>
      </c>
      <c r="I2542" s="65" t="b">
        <v>0</v>
      </c>
      <c r="J2542" s="54" t="b">
        <v>1</v>
      </c>
      <c r="K2542" s="63" t="s">
        <v>808</v>
      </c>
      <c r="L2542" s="63" t="s">
        <v>6118</v>
      </c>
      <c r="M2542" s="63" t="s">
        <v>6119</v>
      </c>
      <c r="N2542" s="63" t="s">
        <v>2164</v>
      </c>
    </row>
    <row r="2543" spans="1:14" x14ac:dyDescent="0.2">
      <c r="A2543" s="51">
        <v>2542</v>
      </c>
      <c r="B2543" s="54" t="s">
        <v>808</v>
      </c>
      <c r="C2543" s="47" t="s">
        <v>6120</v>
      </c>
      <c r="D2543" s="47" t="s">
        <v>12781</v>
      </c>
      <c r="E2543" s="47" t="s">
        <v>2164</v>
      </c>
      <c r="F2543" s="55" t="b">
        <v>1</v>
      </c>
      <c r="G2543" s="54" t="b">
        <v>1</v>
      </c>
      <c r="H2543" s="54" t="b">
        <v>1</v>
      </c>
      <c r="I2543" s="65" t="b">
        <v>0</v>
      </c>
      <c r="J2543" s="54" t="b">
        <v>1</v>
      </c>
      <c r="K2543" s="63" t="s">
        <v>808</v>
      </c>
      <c r="L2543" s="63" t="s">
        <v>6120</v>
      </c>
      <c r="M2543" s="63" t="s">
        <v>6121</v>
      </c>
      <c r="N2543" s="63" t="s">
        <v>2164</v>
      </c>
    </row>
    <row r="2544" spans="1:14" x14ac:dyDescent="0.2">
      <c r="A2544" s="51">
        <v>2543</v>
      </c>
      <c r="B2544" s="54" t="s">
        <v>808</v>
      </c>
      <c r="C2544" s="47" t="s">
        <v>6122</v>
      </c>
      <c r="D2544" s="47" t="s">
        <v>12782</v>
      </c>
      <c r="E2544" s="47" t="s">
        <v>2164</v>
      </c>
      <c r="F2544" s="55" t="b">
        <v>1</v>
      </c>
      <c r="G2544" s="54" t="b">
        <v>1</v>
      </c>
      <c r="H2544" s="54" t="b">
        <v>1</v>
      </c>
      <c r="I2544" s="65" t="b">
        <v>0</v>
      </c>
      <c r="J2544" s="54" t="b">
        <v>1</v>
      </c>
      <c r="K2544" s="63" t="s">
        <v>808</v>
      </c>
      <c r="L2544" s="63" t="s">
        <v>6122</v>
      </c>
      <c r="M2544" s="63" t="s">
        <v>6123</v>
      </c>
      <c r="N2544" s="63" t="s">
        <v>2164</v>
      </c>
    </row>
    <row r="2545" spans="1:14" x14ac:dyDescent="0.2">
      <c r="A2545" s="51">
        <v>2544</v>
      </c>
      <c r="B2545" s="54" t="s">
        <v>808</v>
      </c>
      <c r="C2545" s="47" t="s">
        <v>6124</v>
      </c>
      <c r="D2545" s="47" t="s">
        <v>12783</v>
      </c>
      <c r="E2545" s="47" t="s">
        <v>2164</v>
      </c>
      <c r="F2545" s="55" t="b">
        <v>1</v>
      </c>
      <c r="G2545" s="54" t="b">
        <v>1</v>
      </c>
      <c r="H2545" s="54" t="b">
        <v>1</v>
      </c>
      <c r="I2545" s="65" t="b">
        <v>0</v>
      </c>
      <c r="J2545" s="54" t="b">
        <v>1</v>
      </c>
      <c r="K2545" s="63" t="s">
        <v>808</v>
      </c>
      <c r="L2545" s="63" t="s">
        <v>6124</v>
      </c>
      <c r="M2545" s="63" t="s">
        <v>6125</v>
      </c>
      <c r="N2545" s="63" t="s">
        <v>2164</v>
      </c>
    </row>
    <row r="2546" spans="1:14" x14ac:dyDescent="0.2">
      <c r="A2546" s="51">
        <v>2545</v>
      </c>
      <c r="B2546" s="54" t="s">
        <v>808</v>
      </c>
      <c r="C2546" s="47" t="s">
        <v>6126</v>
      </c>
      <c r="D2546" s="47" t="s">
        <v>12785</v>
      </c>
      <c r="E2546" s="47" t="s">
        <v>2164</v>
      </c>
      <c r="F2546" s="55" t="b">
        <v>1</v>
      </c>
      <c r="G2546" s="54" t="b">
        <v>1</v>
      </c>
      <c r="H2546" s="54" t="b">
        <v>1</v>
      </c>
      <c r="I2546" s="65" t="b">
        <v>0</v>
      </c>
      <c r="J2546" s="54" t="b">
        <v>1</v>
      </c>
      <c r="K2546" s="63" t="s">
        <v>808</v>
      </c>
      <c r="L2546" s="63" t="s">
        <v>6126</v>
      </c>
      <c r="M2546" s="63" t="s">
        <v>6127</v>
      </c>
      <c r="N2546" s="63" t="s">
        <v>2164</v>
      </c>
    </row>
    <row r="2547" spans="1:14" x14ac:dyDescent="0.2">
      <c r="A2547" s="51">
        <v>2546</v>
      </c>
      <c r="B2547" s="54" t="s">
        <v>808</v>
      </c>
      <c r="C2547" s="47" t="s">
        <v>6130</v>
      </c>
      <c r="D2547" s="47" t="s">
        <v>12784</v>
      </c>
      <c r="E2547" s="47" t="s">
        <v>2164</v>
      </c>
      <c r="F2547" s="55" t="b">
        <v>1</v>
      </c>
      <c r="G2547" s="54" t="b">
        <v>1</v>
      </c>
      <c r="H2547" s="54" t="b">
        <v>1</v>
      </c>
      <c r="I2547" s="65" t="b">
        <v>0</v>
      </c>
      <c r="J2547" s="54" t="b">
        <v>1</v>
      </c>
      <c r="K2547" s="63" t="s">
        <v>808</v>
      </c>
      <c r="L2547" s="63" t="s">
        <v>6130</v>
      </c>
      <c r="M2547" s="63" t="s">
        <v>6131</v>
      </c>
      <c r="N2547" s="63" t="s">
        <v>2164</v>
      </c>
    </row>
    <row r="2548" spans="1:14" x14ac:dyDescent="0.2">
      <c r="A2548" s="51">
        <v>2547</v>
      </c>
      <c r="B2548" s="54" t="s">
        <v>808</v>
      </c>
      <c r="C2548" s="47" t="s">
        <v>6128</v>
      </c>
      <c r="D2548" s="47" t="s">
        <v>12786</v>
      </c>
      <c r="E2548" s="47" t="s">
        <v>2164</v>
      </c>
      <c r="F2548" s="55" t="b">
        <v>1</v>
      </c>
      <c r="G2548" s="54" t="b">
        <v>1</v>
      </c>
      <c r="H2548" s="54" t="b">
        <v>1</v>
      </c>
      <c r="I2548" s="65" t="b">
        <v>0</v>
      </c>
      <c r="J2548" s="54" t="b">
        <v>1</v>
      </c>
      <c r="K2548" s="63" t="s">
        <v>808</v>
      </c>
      <c r="L2548" s="63" t="s">
        <v>6128</v>
      </c>
      <c r="M2548" s="63" t="s">
        <v>6129</v>
      </c>
      <c r="N2548" s="63" t="s">
        <v>2164</v>
      </c>
    </row>
    <row r="2549" spans="1:14" x14ac:dyDescent="0.2">
      <c r="A2549" s="51">
        <v>2548</v>
      </c>
      <c r="B2549" s="54" t="s">
        <v>808</v>
      </c>
      <c r="C2549" s="47" t="s">
        <v>6132</v>
      </c>
      <c r="D2549" s="47" t="s">
        <v>12787</v>
      </c>
      <c r="E2549" s="47" t="s">
        <v>2164</v>
      </c>
      <c r="F2549" s="55" t="b">
        <v>1</v>
      </c>
      <c r="G2549" s="54" t="b">
        <v>1</v>
      </c>
      <c r="H2549" s="54" t="b">
        <v>1</v>
      </c>
      <c r="I2549" s="65" t="b">
        <v>0</v>
      </c>
      <c r="J2549" s="54" t="b">
        <v>1</v>
      </c>
      <c r="K2549" s="63" t="s">
        <v>808</v>
      </c>
      <c r="L2549" s="63" t="s">
        <v>6132</v>
      </c>
      <c r="M2549" s="63" t="s">
        <v>6133</v>
      </c>
      <c r="N2549" s="63" t="s">
        <v>2164</v>
      </c>
    </row>
    <row r="2550" spans="1:14" x14ac:dyDescent="0.2">
      <c r="A2550" s="51">
        <v>2549</v>
      </c>
      <c r="B2550" s="54" t="s">
        <v>808</v>
      </c>
      <c r="C2550" s="47" t="s">
        <v>6136</v>
      </c>
      <c r="D2550" s="47" t="s">
        <v>12789</v>
      </c>
      <c r="E2550" s="47" t="s">
        <v>2164</v>
      </c>
      <c r="F2550" s="55" t="b">
        <v>1</v>
      </c>
      <c r="G2550" s="54" t="b">
        <v>1</v>
      </c>
      <c r="H2550" s="54" t="b">
        <v>1</v>
      </c>
      <c r="I2550" s="65" t="b">
        <v>0</v>
      </c>
      <c r="J2550" s="54" t="b">
        <v>1</v>
      </c>
      <c r="K2550" s="63" t="s">
        <v>808</v>
      </c>
      <c r="L2550" s="63" t="s">
        <v>6136</v>
      </c>
      <c r="M2550" s="63" t="s">
        <v>6137</v>
      </c>
      <c r="N2550" s="63" t="s">
        <v>2164</v>
      </c>
    </row>
    <row r="2551" spans="1:14" x14ac:dyDescent="0.2">
      <c r="A2551" s="51">
        <v>2550</v>
      </c>
      <c r="B2551" s="54" t="s">
        <v>808</v>
      </c>
      <c r="C2551" s="47" t="s">
        <v>6138</v>
      </c>
      <c r="D2551" s="47" t="s">
        <v>12790</v>
      </c>
      <c r="E2551" s="47" t="s">
        <v>2164</v>
      </c>
      <c r="F2551" s="55" t="b">
        <v>1</v>
      </c>
      <c r="G2551" s="54" t="b">
        <v>1</v>
      </c>
      <c r="H2551" s="54" t="b">
        <v>1</v>
      </c>
      <c r="I2551" s="65" t="b">
        <v>0</v>
      </c>
      <c r="J2551" s="54" t="b">
        <v>1</v>
      </c>
      <c r="K2551" s="63" t="s">
        <v>808</v>
      </c>
      <c r="L2551" s="63" t="s">
        <v>6138</v>
      </c>
      <c r="M2551" s="63" t="s">
        <v>6139</v>
      </c>
      <c r="N2551" s="63" t="s">
        <v>2164</v>
      </c>
    </row>
    <row r="2552" spans="1:14" x14ac:dyDescent="0.2">
      <c r="A2552" s="51">
        <v>2551</v>
      </c>
      <c r="B2552" s="54" t="s">
        <v>808</v>
      </c>
      <c r="C2552" s="47" t="s">
        <v>6140</v>
      </c>
      <c r="D2552" s="47" t="s">
        <v>12791</v>
      </c>
      <c r="E2552" s="47" t="s">
        <v>2164</v>
      </c>
      <c r="F2552" s="55" t="b">
        <v>1</v>
      </c>
      <c r="G2552" s="54" t="b">
        <v>1</v>
      </c>
      <c r="H2552" s="54" t="b">
        <v>1</v>
      </c>
      <c r="I2552" s="65" t="b">
        <v>0</v>
      </c>
      <c r="J2552" s="54" t="b">
        <v>1</v>
      </c>
      <c r="K2552" s="63" t="s">
        <v>808</v>
      </c>
      <c r="L2552" s="63" t="s">
        <v>6140</v>
      </c>
      <c r="M2552" s="63" t="s">
        <v>6141</v>
      </c>
      <c r="N2552" s="63" t="s">
        <v>2164</v>
      </c>
    </row>
    <row r="2553" spans="1:14" x14ac:dyDescent="0.2">
      <c r="A2553" s="51">
        <v>2552</v>
      </c>
      <c r="B2553" s="54" t="s">
        <v>808</v>
      </c>
      <c r="C2553" s="47" t="s">
        <v>6142</v>
      </c>
      <c r="D2553" s="47" t="s">
        <v>12792</v>
      </c>
      <c r="E2553" s="47" t="s">
        <v>2164</v>
      </c>
      <c r="F2553" s="55" t="b">
        <v>1</v>
      </c>
      <c r="G2553" s="54" t="b">
        <v>1</v>
      </c>
      <c r="H2553" s="54" t="b">
        <v>1</v>
      </c>
      <c r="I2553" s="65" t="b">
        <v>0</v>
      </c>
      <c r="J2553" s="54" t="b">
        <v>1</v>
      </c>
      <c r="K2553" s="63" t="s">
        <v>808</v>
      </c>
      <c r="L2553" s="63" t="s">
        <v>6142</v>
      </c>
      <c r="M2553" s="63" t="s">
        <v>6143</v>
      </c>
      <c r="N2553" s="63" t="s">
        <v>2164</v>
      </c>
    </row>
    <row r="2554" spans="1:14" x14ac:dyDescent="0.2">
      <c r="A2554" s="51">
        <v>2553</v>
      </c>
      <c r="B2554" s="54" t="s">
        <v>808</v>
      </c>
      <c r="C2554" s="47" t="s">
        <v>6144</v>
      </c>
      <c r="D2554" s="47" t="s">
        <v>12793</v>
      </c>
      <c r="E2554" s="47" t="s">
        <v>2164</v>
      </c>
      <c r="F2554" s="55" t="b">
        <v>1</v>
      </c>
      <c r="G2554" s="54" t="b">
        <v>1</v>
      </c>
      <c r="H2554" s="54" t="b">
        <v>1</v>
      </c>
      <c r="I2554" s="65" t="b">
        <v>0</v>
      </c>
      <c r="J2554" s="54" t="b">
        <v>1</v>
      </c>
      <c r="K2554" s="63" t="s">
        <v>808</v>
      </c>
      <c r="L2554" s="63" t="s">
        <v>6144</v>
      </c>
      <c r="M2554" s="63" t="s">
        <v>6145</v>
      </c>
      <c r="N2554" s="63" t="s">
        <v>2164</v>
      </c>
    </row>
    <row r="2555" spans="1:14" x14ac:dyDescent="0.2">
      <c r="A2555" s="51">
        <v>2554</v>
      </c>
      <c r="B2555" s="54" t="s">
        <v>808</v>
      </c>
      <c r="C2555" s="47" t="s">
        <v>6320</v>
      </c>
      <c r="D2555" s="47" t="s">
        <v>12794</v>
      </c>
      <c r="E2555" s="47" t="s">
        <v>2164</v>
      </c>
      <c r="F2555" s="55" t="b">
        <v>1</v>
      </c>
      <c r="G2555" s="54" t="b">
        <v>1</v>
      </c>
      <c r="H2555" s="54" t="b">
        <v>1</v>
      </c>
      <c r="I2555" s="65" t="b">
        <v>0</v>
      </c>
      <c r="J2555" s="54" t="b">
        <v>1</v>
      </c>
      <c r="K2555" s="63" t="s">
        <v>808</v>
      </c>
      <c r="L2555" s="63" t="s">
        <v>6320</v>
      </c>
      <c r="M2555" s="63" t="s">
        <v>6321</v>
      </c>
      <c r="N2555" s="63" t="s">
        <v>2164</v>
      </c>
    </row>
    <row r="2556" spans="1:14" x14ac:dyDescent="0.2">
      <c r="A2556" s="51">
        <v>2555</v>
      </c>
      <c r="B2556" s="54" t="s">
        <v>808</v>
      </c>
      <c r="C2556" s="47" t="s">
        <v>6146</v>
      </c>
      <c r="D2556" s="47" t="s">
        <v>12795</v>
      </c>
      <c r="E2556" s="47" t="s">
        <v>2164</v>
      </c>
      <c r="F2556" s="55" t="b">
        <v>1</v>
      </c>
      <c r="G2556" s="54" t="b">
        <v>1</v>
      </c>
      <c r="H2556" s="54" t="b">
        <v>1</v>
      </c>
      <c r="I2556" s="65" t="b">
        <v>0</v>
      </c>
      <c r="J2556" s="54" t="b">
        <v>1</v>
      </c>
      <c r="K2556" s="63" t="s">
        <v>808</v>
      </c>
      <c r="L2556" s="63" t="s">
        <v>6146</v>
      </c>
      <c r="M2556" s="63" t="s">
        <v>6147</v>
      </c>
      <c r="N2556" s="63" t="s">
        <v>2164</v>
      </c>
    </row>
    <row r="2557" spans="1:14" x14ac:dyDescent="0.2">
      <c r="A2557" s="51">
        <v>2556</v>
      </c>
      <c r="B2557" s="54" t="s">
        <v>808</v>
      </c>
      <c r="C2557" s="47" t="s">
        <v>6148</v>
      </c>
      <c r="D2557" s="47" t="s">
        <v>12796</v>
      </c>
      <c r="E2557" s="47" t="s">
        <v>2164</v>
      </c>
      <c r="F2557" s="55" t="b">
        <v>1</v>
      </c>
      <c r="G2557" s="54" t="b">
        <v>1</v>
      </c>
      <c r="H2557" s="54" t="b">
        <v>1</v>
      </c>
      <c r="I2557" s="65" t="b">
        <v>0</v>
      </c>
      <c r="J2557" s="54" t="b">
        <v>1</v>
      </c>
      <c r="K2557" s="63" t="s">
        <v>808</v>
      </c>
      <c r="L2557" s="63" t="s">
        <v>6148</v>
      </c>
      <c r="M2557" s="63" t="s">
        <v>6149</v>
      </c>
      <c r="N2557" s="63" t="s">
        <v>2164</v>
      </c>
    </row>
    <row r="2558" spans="1:14" x14ac:dyDescent="0.2">
      <c r="A2558" s="51">
        <v>2557</v>
      </c>
      <c r="B2558" s="54" t="s">
        <v>808</v>
      </c>
      <c r="C2558" s="47" t="s">
        <v>6150</v>
      </c>
      <c r="D2558" s="47" t="s">
        <v>12797</v>
      </c>
      <c r="E2558" s="47" t="s">
        <v>2164</v>
      </c>
      <c r="F2558" s="55" t="b">
        <v>1</v>
      </c>
      <c r="G2558" s="54" t="b">
        <v>1</v>
      </c>
      <c r="H2558" s="54" t="b">
        <v>1</v>
      </c>
      <c r="I2558" s="65" t="b">
        <v>0</v>
      </c>
      <c r="J2558" s="54" t="b">
        <v>1</v>
      </c>
      <c r="K2558" s="63" t="s">
        <v>808</v>
      </c>
      <c r="L2558" s="63" t="s">
        <v>6150</v>
      </c>
      <c r="M2558" s="63" t="s">
        <v>6151</v>
      </c>
      <c r="N2558" s="63" t="s">
        <v>2164</v>
      </c>
    </row>
    <row r="2559" spans="1:14" x14ac:dyDescent="0.2">
      <c r="A2559" s="51">
        <v>2558</v>
      </c>
      <c r="B2559" s="54" t="s">
        <v>808</v>
      </c>
      <c r="C2559" s="47" t="s">
        <v>6152</v>
      </c>
      <c r="D2559" s="47" t="s">
        <v>12798</v>
      </c>
      <c r="E2559" s="47" t="s">
        <v>2164</v>
      </c>
      <c r="F2559" s="55" t="b">
        <v>1</v>
      </c>
      <c r="G2559" s="54" t="b">
        <v>1</v>
      </c>
      <c r="H2559" s="54" t="b">
        <v>1</v>
      </c>
      <c r="I2559" s="65" t="b">
        <v>0</v>
      </c>
      <c r="J2559" s="54" t="b">
        <v>1</v>
      </c>
      <c r="K2559" s="63" t="s">
        <v>808</v>
      </c>
      <c r="L2559" s="63" t="s">
        <v>6152</v>
      </c>
      <c r="M2559" s="63" t="s">
        <v>6153</v>
      </c>
      <c r="N2559" s="63" t="s">
        <v>2164</v>
      </c>
    </row>
    <row r="2560" spans="1:14" x14ac:dyDescent="0.2">
      <c r="A2560" s="51">
        <v>2559</v>
      </c>
      <c r="B2560" s="54" t="s">
        <v>808</v>
      </c>
      <c r="C2560" s="47" t="s">
        <v>6154</v>
      </c>
      <c r="D2560" s="47" t="s">
        <v>12799</v>
      </c>
      <c r="E2560" s="47" t="s">
        <v>2164</v>
      </c>
      <c r="F2560" s="55" t="b">
        <v>1</v>
      </c>
      <c r="G2560" s="54" t="b">
        <v>1</v>
      </c>
      <c r="H2560" s="54" t="b">
        <v>1</v>
      </c>
      <c r="I2560" s="65" t="b">
        <v>0</v>
      </c>
      <c r="J2560" s="54" t="b">
        <v>1</v>
      </c>
      <c r="K2560" s="63" t="s">
        <v>808</v>
      </c>
      <c r="L2560" s="63" t="s">
        <v>6154</v>
      </c>
      <c r="M2560" s="63" t="s">
        <v>6155</v>
      </c>
      <c r="N2560" s="63" t="s">
        <v>2164</v>
      </c>
    </row>
    <row r="2561" spans="1:14" x14ac:dyDescent="0.2">
      <c r="A2561" s="51">
        <v>2560</v>
      </c>
      <c r="B2561" s="54" t="s">
        <v>808</v>
      </c>
      <c r="C2561" s="47" t="s">
        <v>6156</v>
      </c>
      <c r="D2561" s="47" t="s">
        <v>12800</v>
      </c>
      <c r="E2561" s="47" t="s">
        <v>2164</v>
      </c>
      <c r="F2561" s="55" t="b">
        <v>1</v>
      </c>
      <c r="G2561" s="54" t="b">
        <v>1</v>
      </c>
      <c r="H2561" s="54" t="b">
        <v>1</v>
      </c>
      <c r="I2561" s="65" t="b">
        <v>0</v>
      </c>
      <c r="J2561" s="54" t="b">
        <v>1</v>
      </c>
      <c r="K2561" s="63" t="s">
        <v>808</v>
      </c>
      <c r="L2561" s="63" t="s">
        <v>6156</v>
      </c>
      <c r="M2561" s="63" t="s">
        <v>6157</v>
      </c>
      <c r="N2561" s="63" t="s">
        <v>2164</v>
      </c>
    </row>
    <row r="2562" spans="1:14" x14ac:dyDescent="0.2">
      <c r="A2562" s="51">
        <v>2561</v>
      </c>
      <c r="B2562" s="54" t="s">
        <v>808</v>
      </c>
      <c r="C2562" s="47" t="s">
        <v>6158</v>
      </c>
      <c r="D2562" s="47" t="s">
        <v>12801</v>
      </c>
      <c r="E2562" s="47" t="s">
        <v>2164</v>
      </c>
      <c r="F2562" s="55" t="b">
        <v>1</v>
      </c>
      <c r="G2562" s="54" t="b">
        <v>1</v>
      </c>
      <c r="H2562" s="54" t="b">
        <v>1</v>
      </c>
      <c r="I2562" s="65" t="b">
        <v>0</v>
      </c>
      <c r="J2562" s="54" t="b">
        <v>1</v>
      </c>
      <c r="K2562" s="63" t="s">
        <v>808</v>
      </c>
      <c r="L2562" s="63" t="s">
        <v>6158</v>
      </c>
      <c r="M2562" s="63" t="s">
        <v>6159</v>
      </c>
      <c r="N2562" s="63" t="s">
        <v>2164</v>
      </c>
    </row>
    <row r="2563" spans="1:14" x14ac:dyDescent="0.2">
      <c r="A2563" s="51">
        <v>2562</v>
      </c>
      <c r="B2563" s="54" t="s">
        <v>808</v>
      </c>
      <c r="C2563" s="47" t="s">
        <v>6160</v>
      </c>
      <c r="D2563" s="47" t="s">
        <v>12802</v>
      </c>
      <c r="E2563" s="47" t="s">
        <v>2164</v>
      </c>
      <c r="F2563" s="55" t="b">
        <v>1</v>
      </c>
      <c r="G2563" s="54" t="b">
        <v>1</v>
      </c>
      <c r="H2563" s="54" t="b">
        <v>1</v>
      </c>
      <c r="I2563" s="65" t="b">
        <v>0</v>
      </c>
      <c r="J2563" s="54" t="b">
        <v>1</v>
      </c>
      <c r="K2563" s="63" t="s">
        <v>808</v>
      </c>
      <c r="L2563" s="63" t="s">
        <v>6160</v>
      </c>
      <c r="M2563" s="63" t="s">
        <v>6161</v>
      </c>
      <c r="N2563" s="63" t="s">
        <v>2164</v>
      </c>
    </row>
    <row r="2564" spans="1:14" x14ac:dyDescent="0.2">
      <c r="A2564" s="51">
        <v>2563</v>
      </c>
      <c r="B2564" s="54" t="s">
        <v>808</v>
      </c>
      <c r="C2564" s="47" t="s">
        <v>6162</v>
      </c>
      <c r="D2564" s="47" t="s">
        <v>12803</v>
      </c>
      <c r="E2564" s="47" t="s">
        <v>2164</v>
      </c>
      <c r="F2564" s="55" t="b">
        <v>1</v>
      </c>
      <c r="G2564" s="54" t="b">
        <v>1</v>
      </c>
      <c r="H2564" s="54" t="b">
        <v>1</v>
      </c>
      <c r="I2564" s="65" t="b">
        <v>0</v>
      </c>
      <c r="J2564" s="54" t="b">
        <v>1</v>
      </c>
      <c r="K2564" s="63" t="s">
        <v>808</v>
      </c>
      <c r="L2564" s="63" t="s">
        <v>6162</v>
      </c>
      <c r="M2564" s="63" t="s">
        <v>6163</v>
      </c>
      <c r="N2564" s="63" t="s">
        <v>2164</v>
      </c>
    </row>
    <row r="2565" spans="1:14" x14ac:dyDescent="0.2">
      <c r="A2565" s="51">
        <v>2564</v>
      </c>
      <c r="B2565" s="54" t="s">
        <v>808</v>
      </c>
      <c r="C2565" s="47" t="s">
        <v>6164</v>
      </c>
      <c r="D2565" s="47" t="s">
        <v>12804</v>
      </c>
      <c r="E2565" s="47" t="s">
        <v>2164</v>
      </c>
      <c r="F2565" s="55" t="b">
        <v>1</v>
      </c>
      <c r="G2565" s="54" t="b">
        <v>1</v>
      </c>
      <c r="H2565" s="54" t="b">
        <v>1</v>
      </c>
      <c r="I2565" s="65" t="b">
        <v>0</v>
      </c>
      <c r="J2565" s="54" t="b">
        <v>1</v>
      </c>
      <c r="K2565" s="63" t="s">
        <v>808</v>
      </c>
      <c r="L2565" s="63" t="s">
        <v>6164</v>
      </c>
      <c r="M2565" s="63" t="s">
        <v>6165</v>
      </c>
      <c r="N2565" s="63" t="s">
        <v>2164</v>
      </c>
    </row>
    <row r="2566" spans="1:14" x14ac:dyDescent="0.2">
      <c r="A2566" s="51">
        <v>2565</v>
      </c>
      <c r="B2566" s="54" t="s">
        <v>808</v>
      </c>
      <c r="C2566" s="47" t="s">
        <v>6168</v>
      </c>
      <c r="D2566" s="47" t="s">
        <v>12806</v>
      </c>
      <c r="E2566" s="47" t="s">
        <v>2164</v>
      </c>
      <c r="F2566" s="55" t="b">
        <v>1</v>
      </c>
      <c r="G2566" s="54" t="b">
        <v>1</v>
      </c>
      <c r="H2566" s="54" t="b">
        <v>1</v>
      </c>
      <c r="I2566" s="65" t="b">
        <v>0</v>
      </c>
      <c r="J2566" s="54" t="b">
        <v>1</v>
      </c>
      <c r="K2566" s="63" t="s">
        <v>808</v>
      </c>
      <c r="L2566" s="63" t="s">
        <v>6168</v>
      </c>
      <c r="M2566" s="63" t="s">
        <v>6169</v>
      </c>
      <c r="N2566" s="63" t="s">
        <v>2164</v>
      </c>
    </row>
    <row r="2567" spans="1:14" x14ac:dyDescent="0.2">
      <c r="A2567" s="51">
        <v>2566</v>
      </c>
      <c r="B2567" s="54" t="s">
        <v>808</v>
      </c>
      <c r="C2567" s="47" t="s">
        <v>6172</v>
      </c>
      <c r="D2567" s="47" t="s">
        <v>12805</v>
      </c>
      <c r="E2567" s="47" t="s">
        <v>2164</v>
      </c>
      <c r="F2567" s="55" t="b">
        <v>1</v>
      </c>
      <c r="G2567" s="54" t="b">
        <v>1</v>
      </c>
      <c r="H2567" s="54" t="b">
        <v>1</v>
      </c>
      <c r="I2567" s="65" t="b">
        <v>0</v>
      </c>
      <c r="J2567" s="54" t="b">
        <v>1</v>
      </c>
      <c r="K2567" s="63" t="s">
        <v>808</v>
      </c>
      <c r="L2567" s="63" t="s">
        <v>6172</v>
      </c>
      <c r="M2567" s="63" t="s">
        <v>6173</v>
      </c>
      <c r="N2567" s="63" t="s">
        <v>2164</v>
      </c>
    </row>
    <row r="2568" spans="1:14" x14ac:dyDescent="0.2">
      <c r="A2568" s="51">
        <v>2567</v>
      </c>
      <c r="B2568" s="54" t="s">
        <v>808</v>
      </c>
      <c r="C2568" s="47" t="s">
        <v>6176</v>
      </c>
      <c r="D2568" s="47" t="s">
        <v>12807</v>
      </c>
      <c r="E2568" s="47" t="s">
        <v>2164</v>
      </c>
      <c r="F2568" s="55" t="b">
        <v>1</v>
      </c>
      <c r="G2568" s="54" t="b">
        <v>1</v>
      </c>
      <c r="H2568" s="54" t="b">
        <v>1</v>
      </c>
      <c r="I2568" s="65" t="b">
        <v>0</v>
      </c>
      <c r="J2568" s="54" t="b">
        <v>1</v>
      </c>
      <c r="K2568" s="63" t="s">
        <v>808</v>
      </c>
      <c r="L2568" s="63" t="s">
        <v>6176</v>
      </c>
      <c r="M2568" s="63" t="s">
        <v>6177</v>
      </c>
      <c r="N2568" s="63" t="s">
        <v>2164</v>
      </c>
    </row>
    <row r="2569" spans="1:14" x14ac:dyDescent="0.2">
      <c r="A2569" s="51">
        <v>2568</v>
      </c>
      <c r="B2569" s="54" t="s">
        <v>808</v>
      </c>
      <c r="C2569" s="47" t="s">
        <v>6190</v>
      </c>
      <c r="D2569" s="47" t="s">
        <v>12808</v>
      </c>
      <c r="E2569" s="47" t="s">
        <v>2164</v>
      </c>
      <c r="F2569" s="55" t="b">
        <v>1</v>
      </c>
      <c r="G2569" s="54" t="b">
        <v>1</v>
      </c>
      <c r="H2569" s="54" t="b">
        <v>1</v>
      </c>
      <c r="I2569" s="65" t="b">
        <v>0</v>
      </c>
      <c r="J2569" s="54" t="b">
        <v>1</v>
      </c>
      <c r="K2569" s="63" t="s">
        <v>808</v>
      </c>
      <c r="L2569" s="63" t="s">
        <v>6190</v>
      </c>
      <c r="M2569" s="63" t="s">
        <v>6191</v>
      </c>
      <c r="N2569" s="63" t="s">
        <v>2164</v>
      </c>
    </row>
    <row r="2570" spans="1:14" x14ac:dyDescent="0.2">
      <c r="A2570" s="51">
        <v>2569</v>
      </c>
      <c r="B2570" s="54" t="s">
        <v>808</v>
      </c>
      <c r="C2570" s="47" t="s">
        <v>6178</v>
      </c>
      <c r="D2570" s="47" t="s">
        <v>12811</v>
      </c>
      <c r="E2570" s="47" t="s">
        <v>2164</v>
      </c>
      <c r="F2570" s="55" t="b">
        <v>1</v>
      </c>
      <c r="G2570" s="54" t="b">
        <v>1</v>
      </c>
      <c r="H2570" s="54" t="b">
        <v>1</v>
      </c>
      <c r="I2570" s="65" t="b">
        <v>0</v>
      </c>
      <c r="J2570" s="54" t="b">
        <v>1</v>
      </c>
      <c r="K2570" s="63" t="s">
        <v>808</v>
      </c>
      <c r="L2570" s="63" t="s">
        <v>6178</v>
      </c>
      <c r="M2570" s="63" t="s">
        <v>6179</v>
      </c>
      <c r="N2570" s="63" t="s">
        <v>2164</v>
      </c>
    </row>
    <row r="2571" spans="1:14" x14ac:dyDescent="0.2">
      <c r="A2571" s="51">
        <v>2570</v>
      </c>
      <c r="B2571" s="54" t="s">
        <v>808</v>
      </c>
      <c r="C2571" s="47" t="s">
        <v>6180</v>
      </c>
      <c r="D2571" s="47" t="s">
        <v>12812</v>
      </c>
      <c r="E2571" s="47" t="s">
        <v>2164</v>
      </c>
      <c r="F2571" s="55" t="b">
        <v>1</v>
      </c>
      <c r="G2571" s="54" t="b">
        <v>1</v>
      </c>
      <c r="H2571" s="54" t="b">
        <v>1</v>
      </c>
      <c r="I2571" s="65" t="b">
        <v>0</v>
      </c>
      <c r="J2571" s="54" t="b">
        <v>1</v>
      </c>
      <c r="K2571" s="63" t="s">
        <v>808</v>
      </c>
      <c r="L2571" s="63" t="s">
        <v>6180</v>
      </c>
      <c r="M2571" s="63" t="s">
        <v>6181</v>
      </c>
      <c r="N2571" s="63" t="s">
        <v>2164</v>
      </c>
    </row>
    <row r="2572" spans="1:14" x14ac:dyDescent="0.2">
      <c r="A2572" s="51">
        <v>2571</v>
      </c>
      <c r="B2572" s="54" t="s">
        <v>808</v>
      </c>
      <c r="C2572" s="47" t="s">
        <v>6186</v>
      </c>
      <c r="D2572" s="47" t="s">
        <v>12813</v>
      </c>
      <c r="E2572" s="47" t="s">
        <v>2164</v>
      </c>
      <c r="F2572" s="55" t="b">
        <v>1</v>
      </c>
      <c r="G2572" s="54" t="b">
        <v>1</v>
      </c>
      <c r="H2572" s="54" t="b">
        <v>1</v>
      </c>
      <c r="I2572" s="65" t="b">
        <v>0</v>
      </c>
      <c r="J2572" s="54" t="b">
        <v>1</v>
      </c>
      <c r="K2572" s="63" t="s">
        <v>808</v>
      </c>
      <c r="L2572" s="63" t="s">
        <v>6186</v>
      </c>
      <c r="M2572" s="63" t="s">
        <v>6187</v>
      </c>
      <c r="N2572" s="63" t="s">
        <v>2164</v>
      </c>
    </row>
    <row r="2573" spans="1:14" x14ac:dyDescent="0.2">
      <c r="A2573" s="51">
        <v>2572</v>
      </c>
      <c r="B2573" s="54" t="s">
        <v>808</v>
      </c>
      <c r="C2573" s="47" t="s">
        <v>6182</v>
      </c>
      <c r="D2573" s="47" t="s">
        <v>12814</v>
      </c>
      <c r="E2573" s="47" t="s">
        <v>2164</v>
      </c>
      <c r="F2573" s="55" t="b">
        <v>1</v>
      </c>
      <c r="G2573" s="54" t="b">
        <v>1</v>
      </c>
      <c r="H2573" s="54" t="b">
        <v>1</v>
      </c>
      <c r="I2573" s="65" t="b">
        <v>0</v>
      </c>
      <c r="J2573" s="54" t="b">
        <v>1</v>
      </c>
      <c r="K2573" s="63" t="s">
        <v>808</v>
      </c>
      <c r="L2573" s="63" t="s">
        <v>6182</v>
      </c>
      <c r="M2573" s="63" t="s">
        <v>6183</v>
      </c>
      <c r="N2573" s="63" t="s">
        <v>2164</v>
      </c>
    </row>
    <row r="2574" spans="1:14" x14ac:dyDescent="0.2">
      <c r="A2574" s="51">
        <v>2573</v>
      </c>
      <c r="B2574" s="54" t="s">
        <v>808</v>
      </c>
      <c r="C2574" s="47" t="s">
        <v>6184</v>
      </c>
      <c r="D2574" s="47" t="s">
        <v>12815</v>
      </c>
      <c r="E2574" s="47" t="s">
        <v>2164</v>
      </c>
      <c r="F2574" s="55" t="b">
        <v>1</v>
      </c>
      <c r="G2574" s="54" t="b">
        <v>1</v>
      </c>
      <c r="H2574" s="54" t="b">
        <v>1</v>
      </c>
      <c r="I2574" s="65" t="b">
        <v>0</v>
      </c>
      <c r="J2574" s="54" t="b">
        <v>1</v>
      </c>
      <c r="K2574" s="63" t="s">
        <v>808</v>
      </c>
      <c r="L2574" s="63" t="s">
        <v>6184</v>
      </c>
      <c r="M2574" s="63" t="s">
        <v>6185</v>
      </c>
      <c r="N2574" s="63" t="s">
        <v>2164</v>
      </c>
    </row>
    <row r="2575" spans="1:14" x14ac:dyDescent="0.2">
      <c r="A2575" s="51">
        <v>2574</v>
      </c>
      <c r="B2575" s="54" t="s">
        <v>808</v>
      </c>
      <c r="C2575" s="47" t="s">
        <v>6188</v>
      </c>
      <c r="D2575" s="47" t="s">
        <v>12816</v>
      </c>
      <c r="E2575" s="47" t="s">
        <v>2164</v>
      </c>
      <c r="F2575" s="55" t="b">
        <v>1</v>
      </c>
      <c r="G2575" s="54" t="b">
        <v>1</v>
      </c>
      <c r="H2575" s="54" t="b">
        <v>1</v>
      </c>
      <c r="I2575" s="65" t="b">
        <v>0</v>
      </c>
      <c r="J2575" s="54" t="b">
        <v>1</v>
      </c>
      <c r="K2575" s="63" t="s">
        <v>808</v>
      </c>
      <c r="L2575" s="63" t="s">
        <v>6188</v>
      </c>
      <c r="M2575" s="63" t="s">
        <v>6189</v>
      </c>
      <c r="N2575" s="63" t="s">
        <v>2164</v>
      </c>
    </row>
    <row r="2576" spans="1:14" x14ac:dyDescent="0.2">
      <c r="A2576" s="51">
        <v>2575</v>
      </c>
      <c r="B2576" s="54" t="s">
        <v>808</v>
      </c>
      <c r="C2576" s="47" t="s">
        <v>6322</v>
      </c>
      <c r="D2576" s="47" t="s">
        <v>12809</v>
      </c>
      <c r="E2576" s="47" t="s">
        <v>2164</v>
      </c>
      <c r="F2576" s="55" t="b">
        <v>1</v>
      </c>
      <c r="G2576" s="54" t="b">
        <v>1</v>
      </c>
      <c r="H2576" s="54" t="b">
        <v>1</v>
      </c>
      <c r="I2576" s="65" t="b">
        <v>0</v>
      </c>
      <c r="J2576" s="54" t="b">
        <v>1</v>
      </c>
      <c r="K2576" s="63" t="s">
        <v>808</v>
      </c>
      <c r="L2576" s="63" t="s">
        <v>6322</v>
      </c>
      <c r="M2576" s="63" t="s">
        <v>6323</v>
      </c>
      <c r="N2576" s="63" t="s">
        <v>2164</v>
      </c>
    </row>
    <row r="2577" spans="1:14" x14ac:dyDescent="0.2">
      <c r="A2577" s="51">
        <v>2576</v>
      </c>
      <c r="B2577" s="54" t="s">
        <v>808</v>
      </c>
      <c r="C2577" s="47" t="s">
        <v>6324</v>
      </c>
      <c r="D2577" s="47" t="s">
        <v>12810</v>
      </c>
      <c r="E2577" s="47" t="s">
        <v>2164</v>
      </c>
      <c r="F2577" s="55" t="b">
        <v>1</v>
      </c>
      <c r="G2577" s="54" t="b">
        <v>1</v>
      </c>
      <c r="H2577" s="54" t="b">
        <v>1</v>
      </c>
      <c r="I2577" s="65" t="b">
        <v>0</v>
      </c>
      <c r="J2577" s="54" t="b">
        <v>1</v>
      </c>
      <c r="K2577" s="63" t="s">
        <v>808</v>
      </c>
      <c r="L2577" s="63" t="s">
        <v>6324</v>
      </c>
      <c r="M2577" s="63" t="s">
        <v>6325</v>
      </c>
      <c r="N2577" s="63" t="s">
        <v>2164</v>
      </c>
    </row>
    <row r="2578" spans="1:14" x14ac:dyDescent="0.2">
      <c r="A2578" s="51">
        <v>2577</v>
      </c>
      <c r="B2578" s="54" t="s">
        <v>808</v>
      </c>
      <c r="C2578" s="47" t="s">
        <v>6192</v>
      </c>
      <c r="D2578" s="47" t="s">
        <v>12817</v>
      </c>
      <c r="E2578" s="47" t="s">
        <v>2164</v>
      </c>
      <c r="F2578" s="55" t="b">
        <v>1</v>
      </c>
      <c r="G2578" s="54" t="b">
        <v>1</v>
      </c>
      <c r="H2578" s="54" t="b">
        <v>1</v>
      </c>
      <c r="I2578" s="65" t="b">
        <v>0</v>
      </c>
      <c r="J2578" s="54" t="b">
        <v>1</v>
      </c>
      <c r="K2578" s="63" t="s">
        <v>808</v>
      </c>
      <c r="L2578" s="63" t="s">
        <v>6192</v>
      </c>
      <c r="M2578" s="63" t="s">
        <v>6193</v>
      </c>
      <c r="N2578" s="63" t="s">
        <v>2164</v>
      </c>
    </row>
    <row r="2579" spans="1:14" x14ac:dyDescent="0.2">
      <c r="A2579" s="51">
        <v>2578</v>
      </c>
      <c r="B2579" s="54" t="s">
        <v>808</v>
      </c>
      <c r="C2579" s="47" t="s">
        <v>6196</v>
      </c>
      <c r="D2579" s="47" t="s">
        <v>12819</v>
      </c>
      <c r="E2579" s="47" t="s">
        <v>2164</v>
      </c>
      <c r="F2579" s="55" t="b">
        <v>1</v>
      </c>
      <c r="G2579" s="54" t="b">
        <v>1</v>
      </c>
      <c r="H2579" s="54" t="b">
        <v>1</v>
      </c>
      <c r="I2579" s="65" t="b">
        <v>0</v>
      </c>
      <c r="J2579" s="54" t="b">
        <v>1</v>
      </c>
      <c r="K2579" s="63" t="s">
        <v>808</v>
      </c>
      <c r="L2579" s="63" t="s">
        <v>6196</v>
      </c>
      <c r="M2579" s="63" t="s">
        <v>6197</v>
      </c>
      <c r="N2579" s="63" t="s">
        <v>2164</v>
      </c>
    </row>
    <row r="2580" spans="1:14" x14ac:dyDescent="0.2">
      <c r="A2580" s="51">
        <v>2579</v>
      </c>
      <c r="B2580" s="54" t="s">
        <v>808</v>
      </c>
      <c r="C2580" s="47" t="s">
        <v>6202</v>
      </c>
      <c r="D2580" s="47" t="s">
        <v>12818</v>
      </c>
      <c r="E2580" s="47" t="s">
        <v>2164</v>
      </c>
      <c r="F2580" s="55" t="b">
        <v>1</v>
      </c>
      <c r="G2580" s="54" t="b">
        <v>1</v>
      </c>
      <c r="H2580" s="54" t="b">
        <v>1</v>
      </c>
      <c r="I2580" s="65" t="b">
        <v>0</v>
      </c>
      <c r="J2580" s="54" t="b">
        <v>1</v>
      </c>
      <c r="K2580" s="63" t="s">
        <v>808</v>
      </c>
      <c r="L2580" s="63" t="s">
        <v>6202</v>
      </c>
      <c r="M2580" s="63" t="s">
        <v>6203</v>
      </c>
      <c r="N2580" s="63" t="s">
        <v>2164</v>
      </c>
    </row>
    <row r="2581" spans="1:14" x14ac:dyDescent="0.2">
      <c r="A2581" s="51">
        <v>2580</v>
      </c>
      <c r="B2581" s="54" t="s">
        <v>808</v>
      </c>
      <c r="C2581" s="47" t="s">
        <v>6204</v>
      </c>
      <c r="D2581" s="47" t="s">
        <v>12820</v>
      </c>
      <c r="E2581" s="47" t="s">
        <v>2164</v>
      </c>
      <c r="F2581" s="55" t="b">
        <v>1</v>
      </c>
      <c r="G2581" s="54" t="b">
        <v>1</v>
      </c>
      <c r="H2581" s="54" t="b">
        <v>1</v>
      </c>
      <c r="I2581" s="65" t="b">
        <v>0</v>
      </c>
      <c r="J2581" s="54" t="b">
        <v>1</v>
      </c>
      <c r="K2581" s="63" t="s">
        <v>808</v>
      </c>
      <c r="L2581" s="63" t="s">
        <v>6204</v>
      </c>
      <c r="M2581" s="63" t="s">
        <v>6205</v>
      </c>
      <c r="N2581" s="63" t="s">
        <v>2164</v>
      </c>
    </row>
    <row r="2582" spans="1:14" x14ac:dyDescent="0.2">
      <c r="A2582" s="51">
        <v>2581</v>
      </c>
      <c r="B2582" s="54" t="s">
        <v>808</v>
      </c>
      <c r="C2582" s="47" t="s">
        <v>6198</v>
      </c>
      <c r="D2582" s="47" t="s">
        <v>12821</v>
      </c>
      <c r="E2582" s="47" t="s">
        <v>2164</v>
      </c>
      <c r="F2582" s="55" t="b">
        <v>1</v>
      </c>
      <c r="G2582" s="54" t="b">
        <v>1</v>
      </c>
      <c r="H2582" s="54" t="b">
        <v>1</v>
      </c>
      <c r="I2582" s="65" t="b">
        <v>0</v>
      </c>
      <c r="J2582" s="54" t="b">
        <v>1</v>
      </c>
      <c r="K2582" s="63" t="s">
        <v>808</v>
      </c>
      <c r="L2582" s="63" t="s">
        <v>6198</v>
      </c>
      <c r="M2582" s="63" t="s">
        <v>6199</v>
      </c>
      <c r="N2582" s="63" t="s">
        <v>2164</v>
      </c>
    </row>
    <row r="2583" spans="1:14" x14ac:dyDescent="0.2">
      <c r="A2583" s="51">
        <v>2582</v>
      </c>
      <c r="B2583" s="54" t="s">
        <v>808</v>
      </c>
      <c r="C2583" s="47" t="s">
        <v>6200</v>
      </c>
      <c r="D2583" s="47" t="s">
        <v>12822</v>
      </c>
      <c r="E2583" s="47" t="s">
        <v>2164</v>
      </c>
      <c r="F2583" s="55" t="b">
        <v>1</v>
      </c>
      <c r="G2583" s="54" t="b">
        <v>1</v>
      </c>
      <c r="H2583" s="54" t="b">
        <v>1</v>
      </c>
      <c r="I2583" s="65" t="b">
        <v>0</v>
      </c>
      <c r="J2583" s="54" t="b">
        <v>1</v>
      </c>
      <c r="K2583" s="63" t="s">
        <v>808</v>
      </c>
      <c r="L2583" s="63" t="s">
        <v>6200</v>
      </c>
      <c r="M2583" s="63" t="s">
        <v>6201</v>
      </c>
      <c r="N2583" s="63" t="s">
        <v>2164</v>
      </c>
    </row>
    <row r="2584" spans="1:14" x14ac:dyDescent="0.2">
      <c r="A2584" s="51">
        <v>2583</v>
      </c>
      <c r="B2584" s="54" t="s">
        <v>808</v>
      </c>
      <c r="C2584" s="47" t="s">
        <v>6206</v>
      </c>
      <c r="D2584" s="47" t="s">
        <v>12823</v>
      </c>
      <c r="E2584" s="47" t="s">
        <v>2164</v>
      </c>
      <c r="F2584" s="55" t="b">
        <v>1</v>
      </c>
      <c r="G2584" s="54" t="b">
        <v>1</v>
      </c>
      <c r="H2584" s="54" t="b">
        <v>1</v>
      </c>
      <c r="I2584" s="65" t="b">
        <v>0</v>
      </c>
      <c r="J2584" s="54" t="b">
        <v>1</v>
      </c>
      <c r="K2584" s="63" t="s">
        <v>808</v>
      </c>
      <c r="L2584" s="63" t="s">
        <v>6206</v>
      </c>
      <c r="M2584" s="63" t="s">
        <v>6207</v>
      </c>
      <c r="N2584" s="63" t="s">
        <v>2164</v>
      </c>
    </row>
    <row r="2585" spans="1:14" x14ac:dyDescent="0.2">
      <c r="A2585" s="51">
        <v>2584</v>
      </c>
      <c r="B2585" s="54" t="s">
        <v>808</v>
      </c>
      <c r="C2585" s="47" t="s">
        <v>6208</v>
      </c>
      <c r="D2585" s="47" t="s">
        <v>12826</v>
      </c>
      <c r="E2585" s="47" t="s">
        <v>2164</v>
      </c>
      <c r="F2585" s="55" t="b">
        <v>1</v>
      </c>
      <c r="G2585" s="54" t="b">
        <v>1</v>
      </c>
      <c r="H2585" s="54" t="b">
        <v>1</v>
      </c>
      <c r="I2585" s="65" t="b">
        <v>0</v>
      </c>
      <c r="J2585" s="54" t="b">
        <v>1</v>
      </c>
      <c r="K2585" s="63" t="s">
        <v>808</v>
      </c>
      <c r="L2585" s="63" t="s">
        <v>6208</v>
      </c>
      <c r="M2585" s="63" t="s">
        <v>6209</v>
      </c>
      <c r="N2585" s="63" t="s">
        <v>2164</v>
      </c>
    </row>
    <row r="2586" spans="1:14" x14ac:dyDescent="0.2">
      <c r="A2586" s="51">
        <v>2585</v>
      </c>
      <c r="B2586" s="54" t="s">
        <v>808</v>
      </c>
      <c r="C2586" s="47" t="s">
        <v>6210</v>
      </c>
      <c r="D2586" s="47" t="s">
        <v>12824</v>
      </c>
      <c r="E2586" s="47" t="s">
        <v>2164</v>
      </c>
      <c r="F2586" s="55" t="b">
        <v>1</v>
      </c>
      <c r="G2586" s="54" t="b">
        <v>1</v>
      </c>
      <c r="H2586" s="54" t="b">
        <v>1</v>
      </c>
      <c r="I2586" s="65" t="b">
        <v>0</v>
      </c>
      <c r="J2586" s="54" t="b">
        <v>1</v>
      </c>
      <c r="K2586" s="63" t="s">
        <v>808</v>
      </c>
      <c r="L2586" s="63" t="s">
        <v>6210</v>
      </c>
      <c r="M2586" s="63" t="s">
        <v>6211</v>
      </c>
      <c r="N2586" s="63" t="s">
        <v>2164</v>
      </c>
    </row>
    <row r="2587" spans="1:14" x14ac:dyDescent="0.2">
      <c r="A2587" s="51">
        <v>2586</v>
      </c>
      <c r="B2587" s="54" t="s">
        <v>808</v>
      </c>
      <c r="C2587" s="47" t="s">
        <v>6212</v>
      </c>
      <c r="D2587" s="47" t="s">
        <v>12825</v>
      </c>
      <c r="E2587" s="47" t="s">
        <v>2164</v>
      </c>
      <c r="F2587" s="55" t="b">
        <v>1</v>
      </c>
      <c r="G2587" s="54" t="b">
        <v>1</v>
      </c>
      <c r="H2587" s="54" t="b">
        <v>1</v>
      </c>
      <c r="I2587" s="65" t="b">
        <v>0</v>
      </c>
      <c r="J2587" s="54" t="b">
        <v>1</v>
      </c>
      <c r="K2587" s="63" t="s">
        <v>808</v>
      </c>
      <c r="L2587" s="63" t="s">
        <v>6212</v>
      </c>
      <c r="M2587" s="63" t="s">
        <v>6213</v>
      </c>
      <c r="N2587" s="63" t="s">
        <v>2164</v>
      </c>
    </row>
    <row r="2588" spans="1:14" x14ac:dyDescent="0.2">
      <c r="A2588" s="51">
        <v>2587</v>
      </c>
      <c r="B2588" s="54" t="s">
        <v>808</v>
      </c>
      <c r="C2588" s="47" t="s">
        <v>6214</v>
      </c>
      <c r="D2588" s="47" t="s">
        <v>12827</v>
      </c>
      <c r="E2588" s="47" t="s">
        <v>2164</v>
      </c>
      <c r="F2588" s="55" t="b">
        <v>1</v>
      </c>
      <c r="G2588" s="54" t="b">
        <v>1</v>
      </c>
      <c r="H2588" s="54" t="b">
        <v>1</v>
      </c>
      <c r="I2588" s="65" t="b">
        <v>0</v>
      </c>
      <c r="J2588" s="54" t="b">
        <v>1</v>
      </c>
      <c r="K2588" s="63" t="s">
        <v>808</v>
      </c>
      <c r="L2588" s="63" t="s">
        <v>6214</v>
      </c>
      <c r="M2588" s="63" t="s">
        <v>6215</v>
      </c>
      <c r="N2588" s="63" t="s">
        <v>2164</v>
      </c>
    </row>
    <row r="2589" spans="1:14" x14ac:dyDescent="0.2">
      <c r="A2589" s="51">
        <v>2588</v>
      </c>
      <c r="B2589" s="54" t="s">
        <v>808</v>
      </c>
      <c r="C2589" s="47" t="s">
        <v>6216</v>
      </c>
      <c r="D2589" s="47" t="s">
        <v>12828</v>
      </c>
      <c r="E2589" s="47" t="s">
        <v>2164</v>
      </c>
      <c r="F2589" s="55" t="b">
        <v>1</v>
      </c>
      <c r="G2589" s="54" t="b">
        <v>1</v>
      </c>
      <c r="H2589" s="54" t="b">
        <v>1</v>
      </c>
      <c r="I2589" s="65" t="b">
        <v>0</v>
      </c>
      <c r="J2589" s="54" t="b">
        <v>1</v>
      </c>
      <c r="K2589" s="63" t="s">
        <v>808</v>
      </c>
      <c r="L2589" s="63" t="s">
        <v>6216</v>
      </c>
      <c r="M2589" s="63" t="s">
        <v>6217</v>
      </c>
      <c r="N2589" s="63" t="s">
        <v>2164</v>
      </c>
    </row>
    <row r="2590" spans="1:14" x14ac:dyDescent="0.2">
      <c r="A2590" s="51">
        <v>2589</v>
      </c>
      <c r="B2590" s="54" t="s">
        <v>808</v>
      </c>
      <c r="C2590" s="47" t="s">
        <v>6218</v>
      </c>
      <c r="D2590" s="47" t="s">
        <v>12829</v>
      </c>
      <c r="E2590" s="47" t="s">
        <v>2164</v>
      </c>
      <c r="F2590" s="55" t="b">
        <v>1</v>
      </c>
      <c r="G2590" s="54" t="b">
        <v>1</v>
      </c>
      <c r="H2590" s="54" t="b">
        <v>1</v>
      </c>
      <c r="I2590" s="65" t="b">
        <v>0</v>
      </c>
      <c r="J2590" s="54" t="b">
        <v>1</v>
      </c>
      <c r="K2590" s="63" t="s">
        <v>808</v>
      </c>
      <c r="L2590" s="63" t="s">
        <v>6218</v>
      </c>
      <c r="M2590" s="63" t="s">
        <v>6219</v>
      </c>
      <c r="N2590" s="63" t="s">
        <v>2164</v>
      </c>
    </row>
    <row r="2591" spans="1:14" x14ac:dyDescent="0.2">
      <c r="A2591" s="51">
        <v>2590</v>
      </c>
      <c r="B2591" s="54" t="s">
        <v>808</v>
      </c>
      <c r="C2591" s="47" t="s">
        <v>6220</v>
      </c>
      <c r="D2591" s="47" t="s">
        <v>12830</v>
      </c>
      <c r="E2591" s="47" t="s">
        <v>2164</v>
      </c>
      <c r="F2591" s="55" t="b">
        <v>1</v>
      </c>
      <c r="G2591" s="54" t="b">
        <v>1</v>
      </c>
      <c r="H2591" s="54" t="b">
        <v>1</v>
      </c>
      <c r="I2591" s="65" t="b">
        <v>0</v>
      </c>
      <c r="J2591" s="54" t="b">
        <v>1</v>
      </c>
      <c r="K2591" s="63" t="s">
        <v>808</v>
      </c>
      <c r="L2591" s="63" t="s">
        <v>6220</v>
      </c>
      <c r="M2591" s="63" t="s">
        <v>6221</v>
      </c>
      <c r="N2591" s="63" t="s">
        <v>2164</v>
      </c>
    </row>
    <row r="2592" spans="1:14" x14ac:dyDescent="0.2">
      <c r="A2592" s="51">
        <v>2591</v>
      </c>
      <c r="B2592" s="54" t="s">
        <v>808</v>
      </c>
      <c r="C2592" s="47" t="s">
        <v>6222</v>
      </c>
      <c r="D2592" s="47" t="s">
        <v>12831</v>
      </c>
      <c r="E2592" s="47" t="s">
        <v>2164</v>
      </c>
      <c r="F2592" s="55" t="b">
        <v>1</v>
      </c>
      <c r="G2592" s="54" t="b">
        <v>1</v>
      </c>
      <c r="H2592" s="54" t="b">
        <v>1</v>
      </c>
      <c r="I2592" s="65" t="b">
        <v>0</v>
      </c>
      <c r="J2592" s="54" t="b">
        <v>1</v>
      </c>
      <c r="K2592" s="63" t="s">
        <v>808</v>
      </c>
      <c r="L2592" s="63" t="s">
        <v>6222</v>
      </c>
      <c r="M2592" s="63" t="s">
        <v>6223</v>
      </c>
      <c r="N2592" s="63" t="s">
        <v>2164</v>
      </c>
    </row>
    <row r="2593" spans="1:14" x14ac:dyDescent="0.2">
      <c r="A2593" s="51">
        <v>2592</v>
      </c>
      <c r="B2593" s="54" t="s">
        <v>808</v>
      </c>
      <c r="C2593" s="47" t="s">
        <v>6224</v>
      </c>
      <c r="D2593" s="47" t="s">
        <v>12832</v>
      </c>
      <c r="E2593" s="47" t="s">
        <v>2164</v>
      </c>
      <c r="F2593" s="55" t="b">
        <v>1</v>
      </c>
      <c r="G2593" s="54" t="b">
        <v>1</v>
      </c>
      <c r="H2593" s="54" t="b">
        <v>1</v>
      </c>
      <c r="I2593" s="65" t="b">
        <v>0</v>
      </c>
      <c r="J2593" s="54" t="b">
        <v>1</v>
      </c>
      <c r="K2593" s="63" t="s">
        <v>808</v>
      </c>
      <c r="L2593" s="63" t="s">
        <v>6224</v>
      </c>
      <c r="M2593" s="63" t="s">
        <v>6225</v>
      </c>
      <c r="N2593" s="63" t="s">
        <v>2164</v>
      </c>
    </row>
    <row r="2594" spans="1:14" x14ac:dyDescent="0.2">
      <c r="A2594" s="51">
        <v>2593</v>
      </c>
      <c r="B2594" s="54" t="s">
        <v>808</v>
      </c>
      <c r="C2594" s="47" t="s">
        <v>6226</v>
      </c>
      <c r="D2594" s="47" t="s">
        <v>12833</v>
      </c>
      <c r="E2594" s="47" t="s">
        <v>2164</v>
      </c>
      <c r="F2594" s="55" t="b">
        <v>1</v>
      </c>
      <c r="G2594" s="54" t="b">
        <v>1</v>
      </c>
      <c r="H2594" s="54" t="b">
        <v>1</v>
      </c>
      <c r="I2594" s="65" t="b">
        <v>0</v>
      </c>
      <c r="J2594" s="54" t="b">
        <v>1</v>
      </c>
      <c r="K2594" s="63" t="s">
        <v>808</v>
      </c>
      <c r="L2594" s="63" t="s">
        <v>6226</v>
      </c>
      <c r="M2594" s="63" t="s">
        <v>6227</v>
      </c>
      <c r="N2594" s="63" t="s">
        <v>2164</v>
      </c>
    </row>
    <row r="2595" spans="1:14" x14ac:dyDescent="0.2">
      <c r="A2595" s="51">
        <v>2594</v>
      </c>
      <c r="B2595" s="54" t="s">
        <v>808</v>
      </c>
      <c r="C2595" s="47" t="s">
        <v>6234</v>
      </c>
      <c r="D2595" s="47" t="s">
        <v>12834</v>
      </c>
      <c r="E2595" s="47" t="s">
        <v>2164</v>
      </c>
      <c r="F2595" s="55" t="b">
        <v>1</v>
      </c>
      <c r="G2595" s="54" t="b">
        <v>1</v>
      </c>
      <c r="H2595" s="54" t="b">
        <v>1</v>
      </c>
      <c r="I2595" s="65" t="b">
        <v>0</v>
      </c>
      <c r="J2595" s="54" t="b">
        <v>1</v>
      </c>
      <c r="K2595" s="63" t="s">
        <v>808</v>
      </c>
      <c r="L2595" s="63" t="s">
        <v>6234</v>
      </c>
      <c r="M2595" s="63" t="s">
        <v>6235</v>
      </c>
      <c r="N2595" s="63" t="s">
        <v>2164</v>
      </c>
    </row>
    <row r="2596" spans="1:14" x14ac:dyDescent="0.2">
      <c r="A2596" s="51">
        <v>2595</v>
      </c>
      <c r="B2596" s="54" t="s">
        <v>808</v>
      </c>
      <c r="C2596" s="47" t="s">
        <v>6236</v>
      </c>
      <c r="D2596" s="47" t="s">
        <v>12835</v>
      </c>
      <c r="E2596" s="47" t="s">
        <v>2164</v>
      </c>
      <c r="F2596" s="55" t="b">
        <v>1</v>
      </c>
      <c r="G2596" s="54" t="b">
        <v>1</v>
      </c>
      <c r="H2596" s="54" t="b">
        <v>1</v>
      </c>
      <c r="I2596" s="65" t="b">
        <v>0</v>
      </c>
      <c r="J2596" s="54" t="b">
        <v>1</v>
      </c>
      <c r="K2596" s="63" t="s">
        <v>808</v>
      </c>
      <c r="L2596" s="63" t="s">
        <v>6236</v>
      </c>
      <c r="M2596" s="63" t="s">
        <v>6237</v>
      </c>
      <c r="N2596" s="63" t="s">
        <v>2164</v>
      </c>
    </row>
    <row r="2597" spans="1:14" x14ac:dyDescent="0.2">
      <c r="A2597" s="51">
        <v>2596</v>
      </c>
      <c r="B2597" s="54" t="s">
        <v>808</v>
      </c>
      <c r="C2597" s="47" t="s">
        <v>6238</v>
      </c>
      <c r="D2597" s="47" t="s">
        <v>12836</v>
      </c>
      <c r="E2597" s="47" t="s">
        <v>2164</v>
      </c>
      <c r="F2597" s="55" t="b">
        <v>1</v>
      </c>
      <c r="G2597" s="54" t="b">
        <v>1</v>
      </c>
      <c r="H2597" s="54" t="b">
        <v>1</v>
      </c>
      <c r="I2597" s="65" t="b">
        <v>0</v>
      </c>
      <c r="J2597" s="54" t="b">
        <v>1</v>
      </c>
      <c r="K2597" s="63" t="s">
        <v>808</v>
      </c>
      <c r="L2597" s="63" t="s">
        <v>6238</v>
      </c>
      <c r="M2597" s="63" t="s">
        <v>6239</v>
      </c>
      <c r="N2597" s="63" t="s">
        <v>2164</v>
      </c>
    </row>
    <row r="2598" spans="1:14" x14ac:dyDescent="0.2">
      <c r="A2598" s="51">
        <v>2597</v>
      </c>
      <c r="B2598" s="54" t="s">
        <v>808</v>
      </c>
      <c r="C2598" s="47" t="s">
        <v>6228</v>
      </c>
      <c r="D2598" s="47" t="s">
        <v>12837</v>
      </c>
      <c r="E2598" s="47" t="s">
        <v>2164</v>
      </c>
      <c r="F2598" s="55" t="b">
        <v>1</v>
      </c>
      <c r="G2598" s="54" t="b">
        <v>1</v>
      </c>
      <c r="H2598" s="54" t="b">
        <v>1</v>
      </c>
      <c r="I2598" s="65" t="b">
        <v>0</v>
      </c>
      <c r="J2598" s="54" t="b">
        <v>1</v>
      </c>
      <c r="K2598" s="63" t="s">
        <v>808</v>
      </c>
      <c r="L2598" s="63" t="s">
        <v>6228</v>
      </c>
      <c r="M2598" s="63" t="s">
        <v>6229</v>
      </c>
      <c r="N2598" s="63" t="s">
        <v>2164</v>
      </c>
    </row>
    <row r="2599" spans="1:14" x14ac:dyDescent="0.2">
      <c r="A2599" s="51">
        <v>2598</v>
      </c>
      <c r="B2599" s="54" t="s">
        <v>808</v>
      </c>
      <c r="C2599" s="47" t="s">
        <v>6230</v>
      </c>
      <c r="D2599" s="47" t="s">
        <v>12838</v>
      </c>
      <c r="E2599" s="47" t="s">
        <v>2164</v>
      </c>
      <c r="F2599" s="55" t="b">
        <v>1</v>
      </c>
      <c r="G2599" s="54" t="b">
        <v>1</v>
      </c>
      <c r="H2599" s="54" t="b">
        <v>1</v>
      </c>
      <c r="I2599" s="65" t="b">
        <v>0</v>
      </c>
      <c r="J2599" s="54" t="b">
        <v>1</v>
      </c>
      <c r="K2599" s="63" t="s">
        <v>808</v>
      </c>
      <c r="L2599" s="63" t="s">
        <v>6230</v>
      </c>
      <c r="M2599" s="63" t="s">
        <v>6231</v>
      </c>
      <c r="N2599" s="63" t="s">
        <v>2164</v>
      </c>
    </row>
    <row r="2600" spans="1:14" x14ac:dyDescent="0.2">
      <c r="A2600" s="51">
        <v>2599</v>
      </c>
      <c r="B2600" s="54" t="s">
        <v>808</v>
      </c>
      <c r="C2600" s="47" t="s">
        <v>6232</v>
      </c>
      <c r="D2600" s="47" t="s">
        <v>12839</v>
      </c>
      <c r="E2600" s="47" t="s">
        <v>2164</v>
      </c>
      <c r="F2600" s="55" t="b">
        <v>1</v>
      </c>
      <c r="G2600" s="54" t="b">
        <v>1</v>
      </c>
      <c r="H2600" s="54" t="b">
        <v>1</v>
      </c>
      <c r="I2600" s="65" t="b">
        <v>0</v>
      </c>
      <c r="J2600" s="54" t="b">
        <v>1</v>
      </c>
      <c r="K2600" s="63" t="s">
        <v>808</v>
      </c>
      <c r="L2600" s="63" t="s">
        <v>6232</v>
      </c>
      <c r="M2600" s="63" t="s">
        <v>6233</v>
      </c>
      <c r="N2600" s="63" t="s">
        <v>2164</v>
      </c>
    </row>
    <row r="2601" spans="1:14" x14ac:dyDescent="0.2">
      <c r="A2601" s="51">
        <v>2600</v>
      </c>
      <c r="B2601" s="54" t="s">
        <v>808</v>
      </c>
      <c r="C2601" s="47" t="s">
        <v>6240</v>
      </c>
      <c r="D2601" s="47" t="s">
        <v>12840</v>
      </c>
      <c r="E2601" s="47" t="s">
        <v>2164</v>
      </c>
      <c r="F2601" s="55" t="b">
        <v>1</v>
      </c>
      <c r="G2601" s="54" t="b">
        <v>1</v>
      </c>
      <c r="H2601" s="54" t="b">
        <v>1</v>
      </c>
      <c r="I2601" s="65" t="b">
        <v>0</v>
      </c>
      <c r="J2601" s="54" t="b">
        <v>1</v>
      </c>
      <c r="K2601" s="63" t="s">
        <v>808</v>
      </c>
      <c r="L2601" s="63" t="s">
        <v>6240</v>
      </c>
      <c r="M2601" s="63" t="s">
        <v>6241</v>
      </c>
      <c r="N2601" s="63" t="s">
        <v>2164</v>
      </c>
    </row>
    <row r="2602" spans="1:14" x14ac:dyDescent="0.2">
      <c r="A2602" s="51">
        <v>2601</v>
      </c>
      <c r="B2602" s="54" t="s">
        <v>808</v>
      </c>
      <c r="C2602" s="47" t="s">
        <v>6256</v>
      </c>
      <c r="D2602" s="47" t="s">
        <v>12841</v>
      </c>
      <c r="E2602" s="47" t="s">
        <v>2164</v>
      </c>
      <c r="F2602" s="55" t="b">
        <v>1</v>
      </c>
      <c r="G2602" s="54" t="b">
        <v>1</v>
      </c>
      <c r="H2602" s="54" t="b">
        <v>1</v>
      </c>
      <c r="I2602" s="65" t="b">
        <v>0</v>
      </c>
      <c r="J2602" s="54" t="b">
        <v>1</v>
      </c>
      <c r="K2602" s="63" t="s">
        <v>808</v>
      </c>
      <c r="L2602" s="63" t="s">
        <v>6256</v>
      </c>
      <c r="M2602" s="63" t="s">
        <v>6257</v>
      </c>
      <c r="N2602" s="63" t="s">
        <v>2164</v>
      </c>
    </row>
    <row r="2603" spans="1:14" x14ac:dyDescent="0.2">
      <c r="A2603" s="51">
        <v>2602</v>
      </c>
      <c r="B2603" s="54" t="s">
        <v>808</v>
      </c>
      <c r="C2603" s="47" t="s">
        <v>6242</v>
      </c>
      <c r="D2603" s="47" t="s">
        <v>12842</v>
      </c>
      <c r="E2603" s="47" t="s">
        <v>2164</v>
      </c>
      <c r="F2603" s="55" t="b">
        <v>1</v>
      </c>
      <c r="G2603" s="54" t="b">
        <v>1</v>
      </c>
      <c r="H2603" s="54" t="b">
        <v>1</v>
      </c>
      <c r="I2603" s="65" t="b">
        <v>0</v>
      </c>
      <c r="J2603" s="54" t="b">
        <v>1</v>
      </c>
      <c r="K2603" s="63" t="s">
        <v>808</v>
      </c>
      <c r="L2603" s="63" t="s">
        <v>6242</v>
      </c>
      <c r="M2603" s="63" t="s">
        <v>6243</v>
      </c>
      <c r="N2603" s="63" t="s">
        <v>2164</v>
      </c>
    </row>
    <row r="2604" spans="1:14" x14ac:dyDescent="0.2">
      <c r="A2604" s="51">
        <v>2603</v>
      </c>
      <c r="B2604" s="54" t="s">
        <v>808</v>
      </c>
      <c r="C2604" s="47" t="s">
        <v>6244</v>
      </c>
      <c r="D2604" s="47" t="s">
        <v>12843</v>
      </c>
      <c r="E2604" s="47" t="s">
        <v>2164</v>
      </c>
      <c r="F2604" s="55" t="b">
        <v>1</v>
      </c>
      <c r="G2604" s="54" t="b">
        <v>1</v>
      </c>
      <c r="H2604" s="54" t="b">
        <v>1</v>
      </c>
      <c r="I2604" s="65" t="b">
        <v>0</v>
      </c>
      <c r="J2604" s="54" t="b">
        <v>1</v>
      </c>
      <c r="K2604" s="63" t="s">
        <v>808</v>
      </c>
      <c r="L2604" s="63" t="s">
        <v>6244</v>
      </c>
      <c r="M2604" s="63" t="s">
        <v>6245</v>
      </c>
      <c r="N2604" s="63" t="s">
        <v>2164</v>
      </c>
    </row>
    <row r="2605" spans="1:14" x14ac:dyDescent="0.2">
      <c r="A2605" s="51">
        <v>2604</v>
      </c>
      <c r="B2605" s="54" t="s">
        <v>808</v>
      </c>
      <c r="C2605" s="47" t="s">
        <v>6246</v>
      </c>
      <c r="D2605" s="47" t="s">
        <v>12844</v>
      </c>
      <c r="E2605" s="47" t="s">
        <v>2164</v>
      </c>
      <c r="F2605" s="55" t="b">
        <v>1</v>
      </c>
      <c r="G2605" s="54" t="b">
        <v>1</v>
      </c>
      <c r="H2605" s="54" t="b">
        <v>1</v>
      </c>
      <c r="I2605" s="65" t="b">
        <v>0</v>
      </c>
      <c r="J2605" s="54" t="b">
        <v>1</v>
      </c>
      <c r="K2605" s="63" t="s">
        <v>808</v>
      </c>
      <c r="L2605" s="63" t="s">
        <v>6246</v>
      </c>
      <c r="M2605" s="63" t="s">
        <v>6247</v>
      </c>
      <c r="N2605" s="63" t="s">
        <v>2164</v>
      </c>
    </row>
    <row r="2606" spans="1:14" x14ac:dyDescent="0.2">
      <c r="A2606" s="51">
        <v>2605</v>
      </c>
      <c r="B2606" s="54" t="s">
        <v>808</v>
      </c>
      <c r="C2606" s="47" t="s">
        <v>6248</v>
      </c>
      <c r="D2606" s="47" t="s">
        <v>12845</v>
      </c>
      <c r="E2606" s="47" t="s">
        <v>2164</v>
      </c>
      <c r="F2606" s="55" t="b">
        <v>1</v>
      </c>
      <c r="G2606" s="54" t="b">
        <v>1</v>
      </c>
      <c r="H2606" s="54" t="b">
        <v>1</v>
      </c>
      <c r="I2606" s="65" t="b">
        <v>0</v>
      </c>
      <c r="J2606" s="54" t="b">
        <v>1</v>
      </c>
      <c r="K2606" s="63" t="s">
        <v>808</v>
      </c>
      <c r="L2606" s="63" t="s">
        <v>6248</v>
      </c>
      <c r="M2606" s="63" t="s">
        <v>6249</v>
      </c>
      <c r="N2606" s="63" t="s">
        <v>2164</v>
      </c>
    </row>
    <row r="2607" spans="1:14" x14ac:dyDescent="0.2">
      <c r="A2607" s="51">
        <v>2606</v>
      </c>
      <c r="B2607" s="54" t="s">
        <v>808</v>
      </c>
      <c r="C2607" s="47" t="s">
        <v>6250</v>
      </c>
      <c r="D2607" s="47" t="s">
        <v>12846</v>
      </c>
      <c r="E2607" s="47" t="s">
        <v>2164</v>
      </c>
      <c r="F2607" s="55" t="b">
        <v>1</v>
      </c>
      <c r="G2607" s="54" t="b">
        <v>1</v>
      </c>
      <c r="H2607" s="54" t="b">
        <v>1</v>
      </c>
      <c r="I2607" s="65" t="b">
        <v>0</v>
      </c>
      <c r="J2607" s="54" t="b">
        <v>1</v>
      </c>
      <c r="K2607" s="63" t="s">
        <v>808</v>
      </c>
      <c r="L2607" s="63" t="s">
        <v>6250</v>
      </c>
      <c r="M2607" s="63" t="s">
        <v>6251</v>
      </c>
      <c r="N2607" s="63" t="s">
        <v>2164</v>
      </c>
    </row>
    <row r="2608" spans="1:14" x14ac:dyDescent="0.2">
      <c r="A2608" s="51">
        <v>2607</v>
      </c>
      <c r="B2608" s="54" t="s">
        <v>808</v>
      </c>
      <c r="C2608" s="47" t="s">
        <v>6252</v>
      </c>
      <c r="D2608" s="47" t="s">
        <v>12848</v>
      </c>
      <c r="E2608" s="47" t="s">
        <v>2164</v>
      </c>
      <c r="F2608" s="55" t="b">
        <v>1</v>
      </c>
      <c r="G2608" s="54" t="b">
        <v>1</v>
      </c>
      <c r="H2608" s="54" t="b">
        <v>1</v>
      </c>
      <c r="I2608" s="65" t="b">
        <v>0</v>
      </c>
      <c r="J2608" s="54" t="b">
        <v>1</v>
      </c>
      <c r="K2608" s="63" t="s">
        <v>808</v>
      </c>
      <c r="L2608" s="63" t="s">
        <v>6252</v>
      </c>
      <c r="M2608" s="63" t="s">
        <v>6253</v>
      </c>
      <c r="N2608" s="63" t="s">
        <v>2164</v>
      </c>
    </row>
    <row r="2609" spans="1:14" x14ac:dyDescent="0.2">
      <c r="A2609" s="51">
        <v>2608</v>
      </c>
      <c r="B2609" s="54" t="s">
        <v>808</v>
      </c>
      <c r="C2609" s="47" t="s">
        <v>6260</v>
      </c>
      <c r="D2609" s="47" t="s">
        <v>12847</v>
      </c>
      <c r="E2609" s="47" t="s">
        <v>2164</v>
      </c>
      <c r="F2609" s="55" t="b">
        <v>1</v>
      </c>
      <c r="G2609" s="54" t="b">
        <v>1</v>
      </c>
      <c r="H2609" s="54" t="b">
        <v>1</v>
      </c>
      <c r="I2609" s="65" t="b">
        <v>0</v>
      </c>
      <c r="J2609" s="54" t="b">
        <v>1</v>
      </c>
      <c r="K2609" s="63" t="s">
        <v>808</v>
      </c>
      <c r="L2609" s="63" t="s">
        <v>6260</v>
      </c>
      <c r="M2609" s="63" t="s">
        <v>6261</v>
      </c>
      <c r="N2609" s="63" t="s">
        <v>2164</v>
      </c>
    </row>
    <row r="2610" spans="1:14" x14ac:dyDescent="0.2">
      <c r="A2610" s="51">
        <v>2609</v>
      </c>
      <c r="B2610" s="54" t="s">
        <v>808</v>
      </c>
      <c r="C2610" s="47" t="s">
        <v>6264</v>
      </c>
      <c r="D2610" s="47" t="s">
        <v>12850</v>
      </c>
      <c r="E2610" s="47" t="s">
        <v>2164</v>
      </c>
      <c r="F2610" s="55" t="b">
        <v>1</v>
      </c>
      <c r="G2610" s="54" t="b">
        <v>1</v>
      </c>
      <c r="H2610" s="54" t="b">
        <v>1</v>
      </c>
      <c r="I2610" s="65" t="b">
        <v>0</v>
      </c>
      <c r="J2610" s="54" t="b">
        <v>1</v>
      </c>
      <c r="K2610" s="63" t="s">
        <v>808</v>
      </c>
      <c r="L2610" s="63" t="s">
        <v>6264</v>
      </c>
      <c r="M2610" s="63" t="s">
        <v>6265</v>
      </c>
      <c r="N2610" s="63" t="s">
        <v>2164</v>
      </c>
    </row>
    <row r="2611" spans="1:14" x14ac:dyDescent="0.2">
      <c r="A2611" s="51">
        <v>2610</v>
      </c>
      <c r="B2611" s="54" t="s">
        <v>808</v>
      </c>
      <c r="C2611" s="47" t="s">
        <v>6262</v>
      </c>
      <c r="D2611" s="47" t="s">
        <v>12849</v>
      </c>
      <c r="E2611" s="47" t="s">
        <v>2164</v>
      </c>
      <c r="F2611" s="55" t="b">
        <v>1</v>
      </c>
      <c r="G2611" s="54" t="b">
        <v>1</v>
      </c>
      <c r="H2611" s="54" t="b">
        <v>1</v>
      </c>
      <c r="I2611" s="65" t="b">
        <v>0</v>
      </c>
      <c r="J2611" s="54" t="b">
        <v>1</v>
      </c>
      <c r="K2611" s="63" t="s">
        <v>808</v>
      </c>
      <c r="L2611" s="63" t="s">
        <v>6262</v>
      </c>
      <c r="M2611" s="63" t="s">
        <v>6263</v>
      </c>
      <c r="N2611" s="63" t="s">
        <v>2164</v>
      </c>
    </row>
    <row r="2612" spans="1:14" x14ac:dyDescent="0.2">
      <c r="A2612" s="51">
        <v>2611</v>
      </c>
      <c r="B2612" s="54" t="s">
        <v>808</v>
      </c>
      <c r="C2612" s="47" t="s">
        <v>6266</v>
      </c>
      <c r="D2612" s="47" t="s">
        <v>12851</v>
      </c>
      <c r="E2612" s="47" t="s">
        <v>2164</v>
      </c>
      <c r="F2612" s="55" t="b">
        <v>1</v>
      </c>
      <c r="G2612" s="54" t="b">
        <v>1</v>
      </c>
      <c r="H2612" s="54" t="b">
        <v>1</v>
      </c>
      <c r="I2612" s="65" t="b">
        <v>0</v>
      </c>
      <c r="J2612" s="54" t="b">
        <v>1</v>
      </c>
      <c r="K2612" s="63" t="s">
        <v>808</v>
      </c>
      <c r="L2612" s="63" t="s">
        <v>6266</v>
      </c>
      <c r="M2612" s="63" t="s">
        <v>6267</v>
      </c>
      <c r="N2612" s="63" t="s">
        <v>2164</v>
      </c>
    </row>
    <row r="2613" spans="1:14" x14ac:dyDescent="0.2">
      <c r="A2613" s="51">
        <v>2612</v>
      </c>
      <c r="B2613" s="54" t="s">
        <v>808</v>
      </c>
      <c r="C2613" s="47" t="s">
        <v>6268</v>
      </c>
      <c r="D2613" s="47" t="s">
        <v>12852</v>
      </c>
      <c r="E2613" s="47" t="s">
        <v>2164</v>
      </c>
      <c r="F2613" s="55" t="b">
        <v>1</v>
      </c>
      <c r="G2613" s="54" t="b">
        <v>1</v>
      </c>
      <c r="H2613" s="54" t="b">
        <v>1</v>
      </c>
      <c r="I2613" s="65" t="b">
        <v>0</v>
      </c>
      <c r="J2613" s="54" t="b">
        <v>1</v>
      </c>
      <c r="K2613" s="63" t="s">
        <v>808</v>
      </c>
      <c r="L2613" s="63" t="s">
        <v>6268</v>
      </c>
      <c r="M2613" s="63" t="s">
        <v>6269</v>
      </c>
      <c r="N2613" s="63" t="s">
        <v>2164</v>
      </c>
    </row>
    <row r="2614" spans="1:14" x14ac:dyDescent="0.2">
      <c r="A2614" s="51">
        <v>2613</v>
      </c>
      <c r="B2614" s="54" t="s">
        <v>808</v>
      </c>
      <c r="C2614" s="47" t="s">
        <v>6270</v>
      </c>
      <c r="D2614" s="47" t="s">
        <v>12853</v>
      </c>
      <c r="E2614" s="47" t="s">
        <v>2164</v>
      </c>
      <c r="F2614" s="55" t="b">
        <v>1</v>
      </c>
      <c r="G2614" s="54" t="b">
        <v>1</v>
      </c>
      <c r="H2614" s="54" t="b">
        <v>1</v>
      </c>
      <c r="I2614" s="65" t="b">
        <v>0</v>
      </c>
      <c r="J2614" s="54" t="b">
        <v>1</v>
      </c>
      <c r="K2614" s="63" t="s">
        <v>808</v>
      </c>
      <c r="L2614" s="63" t="s">
        <v>6270</v>
      </c>
      <c r="M2614" s="63" t="s">
        <v>6271</v>
      </c>
      <c r="N2614" s="63" t="s">
        <v>2164</v>
      </c>
    </row>
    <row r="2615" spans="1:14" x14ac:dyDescent="0.2">
      <c r="A2615" s="51">
        <v>2614</v>
      </c>
      <c r="B2615" s="54" t="s">
        <v>808</v>
      </c>
      <c r="C2615" s="47" t="s">
        <v>6284</v>
      </c>
      <c r="D2615" s="47" t="s">
        <v>12854</v>
      </c>
      <c r="E2615" s="47" t="s">
        <v>2164</v>
      </c>
      <c r="F2615" s="55" t="b">
        <v>1</v>
      </c>
      <c r="G2615" s="54" t="b">
        <v>1</v>
      </c>
      <c r="H2615" s="54" t="b">
        <v>1</v>
      </c>
      <c r="I2615" s="65" t="b">
        <v>0</v>
      </c>
      <c r="J2615" s="54" t="b">
        <v>1</v>
      </c>
      <c r="K2615" s="63" t="s">
        <v>808</v>
      </c>
      <c r="L2615" s="63" t="s">
        <v>6284</v>
      </c>
      <c r="M2615" s="63" t="s">
        <v>6285</v>
      </c>
      <c r="N2615" s="63" t="s">
        <v>2164</v>
      </c>
    </row>
    <row r="2616" spans="1:14" x14ac:dyDescent="0.2">
      <c r="A2616" s="51">
        <v>2615</v>
      </c>
      <c r="B2616" s="54" t="s">
        <v>808</v>
      </c>
      <c r="C2616" s="47" t="s">
        <v>6272</v>
      </c>
      <c r="D2616" s="47" t="s">
        <v>12855</v>
      </c>
      <c r="E2616" s="47" t="s">
        <v>2164</v>
      </c>
      <c r="F2616" s="55" t="b">
        <v>1</v>
      </c>
      <c r="G2616" s="54" t="b">
        <v>1</v>
      </c>
      <c r="H2616" s="54" t="b">
        <v>1</v>
      </c>
      <c r="I2616" s="65" t="b">
        <v>0</v>
      </c>
      <c r="J2616" s="54" t="b">
        <v>1</v>
      </c>
      <c r="K2616" s="63" t="s">
        <v>808</v>
      </c>
      <c r="L2616" s="63" t="s">
        <v>6272</v>
      </c>
      <c r="M2616" s="63" t="s">
        <v>6273</v>
      </c>
      <c r="N2616" s="63" t="s">
        <v>2164</v>
      </c>
    </row>
    <row r="2617" spans="1:14" x14ac:dyDescent="0.2">
      <c r="A2617" s="51">
        <v>2616</v>
      </c>
      <c r="B2617" s="54" t="s">
        <v>808</v>
      </c>
      <c r="C2617" s="47" t="s">
        <v>6276</v>
      </c>
      <c r="D2617" s="47" t="s">
        <v>12856</v>
      </c>
      <c r="E2617" s="47" t="s">
        <v>2164</v>
      </c>
      <c r="F2617" s="55" t="b">
        <v>1</v>
      </c>
      <c r="G2617" s="54" t="b">
        <v>1</v>
      </c>
      <c r="H2617" s="54" t="b">
        <v>1</v>
      </c>
      <c r="I2617" s="65" t="b">
        <v>0</v>
      </c>
      <c r="J2617" s="54" t="b">
        <v>1</v>
      </c>
      <c r="K2617" s="63" t="s">
        <v>808</v>
      </c>
      <c r="L2617" s="63" t="s">
        <v>6276</v>
      </c>
      <c r="M2617" s="63" t="s">
        <v>6277</v>
      </c>
      <c r="N2617" s="63" t="s">
        <v>2164</v>
      </c>
    </row>
    <row r="2618" spans="1:14" x14ac:dyDescent="0.2">
      <c r="A2618" s="51">
        <v>2617</v>
      </c>
      <c r="B2618" s="54" t="s">
        <v>808</v>
      </c>
      <c r="C2618" s="47" t="s">
        <v>6274</v>
      </c>
      <c r="D2618" s="47" t="s">
        <v>12857</v>
      </c>
      <c r="E2618" s="47" t="s">
        <v>2164</v>
      </c>
      <c r="F2618" s="55" t="b">
        <v>1</v>
      </c>
      <c r="G2618" s="54" t="b">
        <v>1</v>
      </c>
      <c r="H2618" s="54" t="b">
        <v>1</v>
      </c>
      <c r="I2618" s="65" t="b">
        <v>0</v>
      </c>
      <c r="J2618" s="54" t="b">
        <v>1</v>
      </c>
      <c r="K2618" s="63" t="s">
        <v>808</v>
      </c>
      <c r="L2618" s="63" t="s">
        <v>6274</v>
      </c>
      <c r="M2618" s="63" t="s">
        <v>6275</v>
      </c>
      <c r="N2618" s="63" t="s">
        <v>2164</v>
      </c>
    </row>
    <row r="2619" spans="1:14" x14ac:dyDescent="0.2">
      <c r="A2619" s="51">
        <v>2618</v>
      </c>
      <c r="B2619" s="54" t="s">
        <v>808</v>
      </c>
      <c r="C2619" s="47" t="s">
        <v>6278</v>
      </c>
      <c r="D2619" s="47" t="s">
        <v>12858</v>
      </c>
      <c r="E2619" s="47" t="s">
        <v>2164</v>
      </c>
      <c r="F2619" s="55" t="b">
        <v>1</v>
      </c>
      <c r="G2619" s="54" t="b">
        <v>1</v>
      </c>
      <c r="H2619" s="54" t="b">
        <v>1</v>
      </c>
      <c r="I2619" s="65" t="b">
        <v>0</v>
      </c>
      <c r="J2619" s="54" t="b">
        <v>1</v>
      </c>
      <c r="K2619" s="63" t="s">
        <v>808</v>
      </c>
      <c r="L2619" s="63" t="s">
        <v>6278</v>
      </c>
      <c r="M2619" s="63" t="s">
        <v>6279</v>
      </c>
      <c r="N2619" s="63" t="s">
        <v>2164</v>
      </c>
    </row>
    <row r="2620" spans="1:14" x14ac:dyDescent="0.2">
      <c r="A2620" s="51">
        <v>2619</v>
      </c>
      <c r="B2620" s="54" t="s">
        <v>808</v>
      </c>
      <c r="C2620" s="47" t="s">
        <v>6280</v>
      </c>
      <c r="D2620" s="47" t="s">
        <v>12859</v>
      </c>
      <c r="E2620" s="47" t="s">
        <v>2164</v>
      </c>
      <c r="F2620" s="55" t="b">
        <v>1</v>
      </c>
      <c r="G2620" s="54" t="b">
        <v>1</v>
      </c>
      <c r="H2620" s="54" t="b">
        <v>1</v>
      </c>
      <c r="I2620" s="65" t="b">
        <v>0</v>
      </c>
      <c r="J2620" s="54" t="b">
        <v>1</v>
      </c>
      <c r="K2620" s="63" t="s">
        <v>808</v>
      </c>
      <c r="L2620" s="63" t="s">
        <v>6280</v>
      </c>
      <c r="M2620" s="63" t="s">
        <v>6281</v>
      </c>
      <c r="N2620" s="63" t="s">
        <v>2164</v>
      </c>
    </row>
    <row r="2621" spans="1:14" x14ac:dyDescent="0.2">
      <c r="A2621" s="51">
        <v>2620</v>
      </c>
      <c r="B2621" s="54" t="s">
        <v>808</v>
      </c>
      <c r="C2621" s="47" t="s">
        <v>6282</v>
      </c>
      <c r="D2621" s="47" t="s">
        <v>12860</v>
      </c>
      <c r="E2621" s="47" t="s">
        <v>2164</v>
      </c>
      <c r="F2621" s="55" t="b">
        <v>1</v>
      </c>
      <c r="G2621" s="54" t="b">
        <v>1</v>
      </c>
      <c r="H2621" s="54" t="b">
        <v>1</v>
      </c>
      <c r="I2621" s="65" t="b">
        <v>0</v>
      </c>
      <c r="J2621" s="54" t="b">
        <v>1</v>
      </c>
      <c r="K2621" s="63" t="s">
        <v>808</v>
      </c>
      <c r="L2621" s="63" t="s">
        <v>6282</v>
      </c>
      <c r="M2621" s="63" t="s">
        <v>6283</v>
      </c>
      <c r="N2621" s="63" t="s">
        <v>2164</v>
      </c>
    </row>
    <row r="2622" spans="1:14" x14ac:dyDescent="0.2">
      <c r="A2622" s="51">
        <v>2621</v>
      </c>
      <c r="B2622" s="54" t="s">
        <v>808</v>
      </c>
      <c r="C2622" s="47" t="s">
        <v>6286</v>
      </c>
      <c r="D2622" s="47" t="s">
        <v>12861</v>
      </c>
      <c r="E2622" s="47" t="s">
        <v>2164</v>
      </c>
      <c r="F2622" s="55" t="b">
        <v>1</v>
      </c>
      <c r="G2622" s="54" t="b">
        <v>1</v>
      </c>
      <c r="H2622" s="54" t="b">
        <v>1</v>
      </c>
      <c r="I2622" s="65" t="b">
        <v>0</v>
      </c>
      <c r="J2622" s="54" t="b">
        <v>1</v>
      </c>
      <c r="K2622" s="63" t="s">
        <v>808</v>
      </c>
      <c r="L2622" s="63" t="s">
        <v>6286</v>
      </c>
      <c r="M2622" s="63" t="s">
        <v>6287</v>
      </c>
      <c r="N2622" s="63" t="s">
        <v>2164</v>
      </c>
    </row>
    <row r="2623" spans="1:14" x14ac:dyDescent="0.2">
      <c r="A2623" s="51">
        <v>2622</v>
      </c>
      <c r="B2623" s="54" t="s">
        <v>808</v>
      </c>
      <c r="C2623" s="47" t="s">
        <v>6290</v>
      </c>
      <c r="D2623" s="47" t="s">
        <v>12862</v>
      </c>
      <c r="E2623" s="47" t="s">
        <v>2164</v>
      </c>
      <c r="F2623" s="55" t="b">
        <v>1</v>
      </c>
      <c r="G2623" s="54" t="b">
        <v>1</v>
      </c>
      <c r="H2623" s="54" t="b">
        <v>1</v>
      </c>
      <c r="I2623" s="65" t="b">
        <v>0</v>
      </c>
      <c r="J2623" s="54" t="b">
        <v>1</v>
      </c>
      <c r="K2623" s="63" t="s">
        <v>808</v>
      </c>
      <c r="L2623" s="63" t="s">
        <v>6290</v>
      </c>
      <c r="M2623" s="63" t="s">
        <v>6291</v>
      </c>
      <c r="N2623" s="63" t="s">
        <v>2164</v>
      </c>
    </row>
    <row r="2624" spans="1:14" x14ac:dyDescent="0.2">
      <c r="A2624" s="51">
        <v>2623</v>
      </c>
      <c r="B2624" s="54" t="s">
        <v>808</v>
      </c>
      <c r="C2624" s="47" t="s">
        <v>6288</v>
      </c>
      <c r="D2624" s="47" t="s">
        <v>12863</v>
      </c>
      <c r="E2624" s="47" t="s">
        <v>2164</v>
      </c>
      <c r="F2624" s="55" t="b">
        <v>1</v>
      </c>
      <c r="G2624" s="54" t="b">
        <v>1</v>
      </c>
      <c r="H2624" s="54" t="b">
        <v>1</v>
      </c>
      <c r="I2624" s="65" t="b">
        <v>0</v>
      </c>
      <c r="J2624" s="54" t="b">
        <v>1</v>
      </c>
      <c r="K2624" s="63" t="s">
        <v>808</v>
      </c>
      <c r="L2624" s="63" t="s">
        <v>6288</v>
      </c>
      <c r="M2624" s="63" t="s">
        <v>6289</v>
      </c>
      <c r="N2624" s="63" t="s">
        <v>2164</v>
      </c>
    </row>
    <row r="2625" spans="1:14" x14ac:dyDescent="0.2">
      <c r="A2625" s="51">
        <v>2624</v>
      </c>
      <c r="B2625" s="54" t="s">
        <v>808</v>
      </c>
      <c r="C2625" s="47" t="s">
        <v>6292</v>
      </c>
      <c r="D2625" s="47" t="s">
        <v>12864</v>
      </c>
      <c r="E2625" s="47" t="s">
        <v>2164</v>
      </c>
      <c r="F2625" s="55" t="b">
        <v>1</v>
      </c>
      <c r="G2625" s="54" t="b">
        <v>1</v>
      </c>
      <c r="H2625" s="54" t="b">
        <v>1</v>
      </c>
      <c r="I2625" s="65" t="b">
        <v>0</v>
      </c>
      <c r="J2625" s="54" t="b">
        <v>1</v>
      </c>
      <c r="K2625" s="63" t="s">
        <v>808</v>
      </c>
      <c r="L2625" s="63" t="s">
        <v>6292</v>
      </c>
      <c r="M2625" s="63" t="s">
        <v>6293</v>
      </c>
      <c r="N2625" s="63" t="s">
        <v>2164</v>
      </c>
    </row>
    <row r="2626" spans="1:14" x14ac:dyDescent="0.2">
      <c r="A2626" s="51">
        <v>2625</v>
      </c>
      <c r="B2626" s="54" t="s">
        <v>808</v>
      </c>
      <c r="C2626" s="47" t="s">
        <v>6294</v>
      </c>
      <c r="D2626" s="47" t="s">
        <v>12865</v>
      </c>
      <c r="E2626" s="47" t="s">
        <v>2164</v>
      </c>
      <c r="F2626" s="55" t="b">
        <v>1</v>
      </c>
      <c r="G2626" s="54" t="b">
        <v>1</v>
      </c>
      <c r="H2626" s="54" t="b">
        <v>1</v>
      </c>
      <c r="I2626" s="65" t="b">
        <v>0</v>
      </c>
      <c r="J2626" s="54" t="b">
        <v>1</v>
      </c>
      <c r="K2626" s="63" t="s">
        <v>808</v>
      </c>
      <c r="L2626" s="63" t="s">
        <v>6294</v>
      </c>
      <c r="M2626" s="63" t="s">
        <v>6295</v>
      </c>
      <c r="N2626" s="63" t="s">
        <v>2164</v>
      </c>
    </row>
    <row r="2627" spans="1:14" x14ac:dyDescent="0.2">
      <c r="A2627" s="51">
        <v>2626</v>
      </c>
      <c r="B2627" s="54" t="s">
        <v>808</v>
      </c>
      <c r="C2627" s="47" t="s">
        <v>6298</v>
      </c>
      <c r="D2627" s="47" t="s">
        <v>12866</v>
      </c>
      <c r="E2627" s="47" t="s">
        <v>2164</v>
      </c>
      <c r="F2627" s="55" t="b">
        <v>1</v>
      </c>
      <c r="G2627" s="54" t="b">
        <v>1</v>
      </c>
      <c r="H2627" s="54" t="b">
        <v>1</v>
      </c>
      <c r="I2627" s="65" t="b">
        <v>0</v>
      </c>
      <c r="J2627" s="54" t="b">
        <v>1</v>
      </c>
      <c r="K2627" s="63" t="s">
        <v>808</v>
      </c>
      <c r="L2627" s="63" t="s">
        <v>6298</v>
      </c>
      <c r="M2627" s="63" t="s">
        <v>6299</v>
      </c>
      <c r="N2627" s="63" t="s">
        <v>2164</v>
      </c>
    </row>
    <row r="2628" spans="1:14" x14ac:dyDescent="0.2">
      <c r="A2628" s="51">
        <v>2627</v>
      </c>
      <c r="B2628" s="54" t="s">
        <v>808</v>
      </c>
      <c r="C2628" s="47" t="s">
        <v>6314</v>
      </c>
      <c r="D2628" s="47" t="s">
        <v>12867</v>
      </c>
      <c r="E2628" s="47" t="s">
        <v>2164</v>
      </c>
      <c r="F2628" s="55" t="b">
        <v>1</v>
      </c>
      <c r="G2628" s="54" t="b">
        <v>1</v>
      </c>
      <c r="H2628" s="54" t="b">
        <v>1</v>
      </c>
      <c r="I2628" s="65" t="b">
        <v>0</v>
      </c>
      <c r="J2628" s="54" t="b">
        <v>1</v>
      </c>
      <c r="K2628" s="63" t="s">
        <v>808</v>
      </c>
      <c r="L2628" s="63" t="s">
        <v>6314</v>
      </c>
      <c r="M2628" s="63" t="s">
        <v>6315</v>
      </c>
      <c r="N2628" s="63" t="s">
        <v>2164</v>
      </c>
    </row>
    <row r="2629" spans="1:14" x14ac:dyDescent="0.2">
      <c r="A2629" s="51">
        <v>2628</v>
      </c>
      <c r="B2629" s="54" t="s">
        <v>808</v>
      </c>
      <c r="C2629" s="47" t="s">
        <v>6300</v>
      </c>
      <c r="D2629" s="47" t="s">
        <v>12868</v>
      </c>
      <c r="E2629" s="47" t="s">
        <v>2164</v>
      </c>
      <c r="F2629" s="55" t="b">
        <v>1</v>
      </c>
      <c r="G2629" s="54" t="b">
        <v>1</v>
      </c>
      <c r="H2629" s="54" t="b">
        <v>1</v>
      </c>
      <c r="I2629" s="65" t="b">
        <v>0</v>
      </c>
      <c r="J2629" s="54" t="b">
        <v>1</v>
      </c>
      <c r="K2629" s="63" t="s">
        <v>808</v>
      </c>
      <c r="L2629" s="63" t="s">
        <v>6300</v>
      </c>
      <c r="M2629" s="63" t="s">
        <v>6301</v>
      </c>
      <c r="N2629" s="63" t="s">
        <v>2164</v>
      </c>
    </row>
    <row r="2630" spans="1:14" x14ac:dyDescent="0.2">
      <c r="A2630" s="51">
        <v>2629</v>
      </c>
      <c r="B2630" s="54" t="s">
        <v>808</v>
      </c>
      <c r="C2630" s="47" t="s">
        <v>6302</v>
      </c>
      <c r="D2630" s="47" t="s">
        <v>12869</v>
      </c>
      <c r="E2630" s="47" t="s">
        <v>2164</v>
      </c>
      <c r="F2630" s="55" t="b">
        <v>1</v>
      </c>
      <c r="G2630" s="54" t="b">
        <v>1</v>
      </c>
      <c r="H2630" s="54" t="b">
        <v>1</v>
      </c>
      <c r="I2630" s="65" t="b">
        <v>0</v>
      </c>
      <c r="J2630" s="54" t="b">
        <v>1</v>
      </c>
      <c r="K2630" s="63" t="s">
        <v>808</v>
      </c>
      <c r="L2630" s="63" t="s">
        <v>6302</v>
      </c>
      <c r="M2630" s="63" t="s">
        <v>6303</v>
      </c>
      <c r="N2630" s="63" t="s">
        <v>2164</v>
      </c>
    </row>
    <row r="2631" spans="1:14" x14ac:dyDescent="0.2">
      <c r="A2631" s="51">
        <v>2630</v>
      </c>
      <c r="B2631" s="54" t="s">
        <v>808</v>
      </c>
      <c r="C2631" s="47" t="s">
        <v>6306</v>
      </c>
      <c r="D2631" s="47" t="s">
        <v>12870</v>
      </c>
      <c r="E2631" s="47" t="s">
        <v>2164</v>
      </c>
      <c r="F2631" s="55" t="b">
        <v>1</v>
      </c>
      <c r="G2631" s="54" t="b">
        <v>1</v>
      </c>
      <c r="H2631" s="54" t="b">
        <v>1</v>
      </c>
      <c r="I2631" s="65" t="b">
        <v>0</v>
      </c>
      <c r="J2631" s="54" t="b">
        <v>1</v>
      </c>
      <c r="K2631" s="63" t="s">
        <v>808</v>
      </c>
      <c r="L2631" s="63" t="s">
        <v>6306</v>
      </c>
      <c r="M2631" s="63" t="s">
        <v>6307</v>
      </c>
      <c r="N2631" s="63" t="s">
        <v>2164</v>
      </c>
    </row>
    <row r="2632" spans="1:14" x14ac:dyDescent="0.2">
      <c r="A2632" s="51">
        <v>2631</v>
      </c>
      <c r="B2632" s="54" t="s">
        <v>808</v>
      </c>
      <c r="C2632" s="47" t="s">
        <v>6308</v>
      </c>
      <c r="D2632" s="47" t="s">
        <v>12871</v>
      </c>
      <c r="E2632" s="47" t="s">
        <v>2164</v>
      </c>
      <c r="F2632" s="55" t="b">
        <v>1</v>
      </c>
      <c r="G2632" s="54" t="b">
        <v>1</v>
      </c>
      <c r="H2632" s="54" t="b">
        <v>1</v>
      </c>
      <c r="I2632" s="65" t="b">
        <v>0</v>
      </c>
      <c r="J2632" s="54" t="b">
        <v>1</v>
      </c>
      <c r="K2632" s="63" t="s">
        <v>808</v>
      </c>
      <c r="L2632" s="63" t="s">
        <v>6308</v>
      </c>
      <c r="M2632" s="63" t="s">
        <v>6309</v>
      </c>
      <c r="N2632" s="63" t="s">
        <v>2164</v>
      </c>
    </row>
    <row r="2633" spans="1:14" x14ac:dyDescent="0.2">
      <c r="A2633" s="51">
        <v>2632</v>
      </c>
      <c r="B2633" s="54" t="s">
        <v>808</v>
      </c>
      <c r="C2633" s="47" t="s">
        <v>6310</v>
      </c>
      <c r="D2633" s="47" t="s">
        <v>12872</v>
      </c>
      <c r="E2633" s="47" t="s">
        <v>2164</v>
      </c>
      <c r="F2633" s="55" t="b">
        <v>1</v>
      </c>
      <c r="G2633" s="54" t="b">
        <v>1</v>
      </c>
      <c r="H2633" s="54" t="b">
        <v>1</v>
      </c>
      <c r="I2633" s="65" t="b">
        <v>0</v>
      </c>
      <c r="J2633" s="54" t="b">
        <v>1</v>
      </c>
      <c r="K2633" s="63" t="s">
        <v>808</v>
      </c>
      <c r="L2633" s="63" t="s">
        <v>6310</v>
      </c>
      <c r="M2633" s="63" t="s">
        <v>6311</v>
      </c>
      <c r="N2633" s="63" t="s">
        <v>2164</v>
      </c>
    </row>
    <row r="2634" spans="1:14" x14ac:dyDescent="0.2">
      <c r="A2634" s="51">
        <v>2633</v>
      </c>
      <c r="B2634" s="54" t="s">
        <v>808</v>
      </c>
      <c r="C2634" s="47" t="s">
        <v>6312</v>
      </c>
      <c r="D2634" s="47" t="s">
        <v>12873</v>
      </c>
      <c r="E2634" s="47" t="s">
        <v>2164</v>
      </c>
      <c r="F2634" s="55" t="b">
        <v>1</v>
      </c>
      <c r="G2634" s="54" t="b">
        <v>1</v>
      </c>
      <c r="H2634" s="54" t="b">
        <v>1</v>
      </c>
      <c r="I2634" s="65" t="b">
        <v>0</v>
      </c>
      <c r="J2634" s="54" t="b">
        <v>1</v>
      </c>
      <c r="K2634" s="63" t="s">
        <v>808</v>
      </c>
      <c r="L2634" s="63" t="s">
        <v>6312</v>
      </c>
      <c r="M2634" s="63" t="s">
        <v>6313</v>
      </c>
      <c r="N2634" s="63" t="s">
        <v>2164</v>
      </c>
    </row>
    <row r="2635" spans="1:14" x14ac:dyDescent="0.2">
      <c r="A2635" s="51">
        <v>2634</v>
      </c>
      <c r="B2635" s="54" t="s">
        <v>808</v>
      </c>
      <c r="C2635" s="47" t="s">
        <v>6316</v>
      </c>
      <c r="D2635" s="47" t="s">
        <v>12874</v>
      </c>
      <c r="E2635" s="47" t="s">
        <v>2164</v>
      </c>
      <c r="F2635" s="55" t="b">
        <v>1</v>
      </c>
      <c r="G2635" s="54" t="b">
        <v>1</v>
      </c>
      <c r="H2635" s="54" t="b">
        <v>1</v>
      </c>
      <c r="I2635" s="65" t="b">
        <v>0</v>
      </c>
      <c r="J2635" s="54" t="b">
        <v>1</v>
      </c>
      <c r="K2635" s="63" t="s">
        <v>808</v>
      </c>
      <c r="L2635" s="63" t="s">
        <v>6316</v>
      </c>
      <c r="M2635" s="63" t="s">
        <v>6317</v>
      </c>
      <c r="N2635" s="63" t="s">
        <v>2164</v>
      </c>
    </row>
    <row r="2636" spans="1:14" x14ac:dyDescent="0.2">
      <c r="A2636" s="51">
        <v>2635</v>
      </c>
      <c r="B2636" s="54" t="s">
        <v>808</v>
      </c>
      <c r="C2636" s="47" t="s">
        <v>6134</v>
      </c>
      <c r="D2636" s="47" t="s">
        <v>6135</v>
      </c>
      <c r="E2636" s="47" t="s">
        <v>12788</v>
      </c>
      <c r="F2636" s="55" t="b">
        <v>1</v>
      </c>
      <c r="G2636" s="54" t="b">
        <v>1</v>
      </c>
      <c r="H2636" s="54" t="b">
        <v>1</v>
      </c>
      <c r="I2636" s="54" t="b">
        <v>1</v>
      </c>
      <c r="J2636" s="65" t="b">
        <v>0</v>
      </c>
      <c r="K2636" s="63" t="s">
        <v>808</v>
      </c>
      <c r="L2636" s="63" t="s">
        <v>6134</v>
      </c>
      <c r="M2636" s="63" t="s">
        <v>6135</v>
      </c>
      <c r="N2636" s="63" t="s">
        <v>2046</v>
      </c>
    </row>
    <row r="2637" spans="1:14" x14ac:dyDescent="0.2">
      <c r="A2637" s="51">
        <v>2636</v>
      </c>
      <c r="B2637" s="54" t="s">
        <v>808</v>
      </c>
      <c r="C2637" s="47" t="s">
        <v>6166</v>
      </c>
      <c r="D2637" s="47" t="s">
        <v>6167</v>
      </c>
      <c r="E2637" s="47" t="s">
        <v>12788</v>
      </c>
      <c r="F2637" s="55" t="b">
        <v>1</v>
      </c>
      <c r="G2637" s="54" t="b">
        <v>1</v>
      </c>
      <c r="H2637" s="54" t="b">
        <v>1</v>
      </c>
      <c r="I2637" s="54" t="b">
        <v>1</v>
      </c>
      <c r="J2637" s="65" t="b">
        <v>0</v>
      </c>
      <c r="K2637" s="63" t="s">
        <v>808</v>
      </c>
      <c r="L2637" s="63" t="s">
        <v>6166</v>
      </c>
      <c r="M2637" s="63" t="s">
        <v>6167</v>
      </c>
      <c r="N2637" s="63" t="s">
        <v>2046</v>
      </c>
    </row>
    <row r="2638" spans="1:14" x14ac:dyDescent="0.2">
      <c r="A2638" s="51">
        <v>2637</v>
      </c>
      <c r="B2638" s="54" t="s">
        <v>808</v>
      </c>
      <c r="C2638" s="47" t="s">
        <v>6170</v>
      </c>
      <c r="D2638" s="47" t="s">
        <v>6171</v>
      </c>
      <c r="E2638" s="47" t="s">
        <v>12788</v>
      </c>
      <c r="F2638" s="55" t="b">
        <v>1</v>
      </c>
      <c r="G2638" s="54" t="b">
        <v>1</v>
      </c>
      <c r="H2638" s="54" t="b">
        <v>1</v>
      </c>
      <c r="I2638" s="54" t="b">
        <v>1</v>
      </c>
      <c r="J2638" s="65" t="b">
        <v>0</v>
      </c>
      <c r="K2638" s="63" t="s">
        <v>808</v>
      </c>
      <c r="L2638" s="63" t="s">
        <v>6170</v>
      </c>
      <c r="M2638" s="63" t="s">
        <v>6171</v>
      </c>
      <c r="N2638" s="63" t="s">
        <v>2046</v>
      </c>
    </row>
    <row r="2639" spans="1:14" x14ac:dyDescent="0.2">
      <c r="A2639" s="51">
        <v>2638</v>
      </c>
      <c r="B2639" s="54" t="s">
        <v>808</v>
      </c>
      <c r="C2639" s="47" t="s">
        <v>6174</v>
      </c>
      <c r="D2639" s="47" t="s">
        <v>6175</v>
      </c>
      <c r="E2639" s="47" t="s">
        <v>12788</v>
      </c>
      <c r="F2639" s="55" t="b">
        <v>1</v>
      </c>
      <c r="G2639" s="54" t="b">
        <v>1</v>
      </c>
      <c r="H2639" s="54" t="b">
        <v>1</v>
      </c>
      <c r="I2639" s="54" t="b">
        <v>1</v>
      </c>
      <c r="J2639" s="65" t="b">
        <v>0</v>
      </c>
      <c r="K2639" s="63" t="s">
        <v>808</v>
      </c>
      <c r="L2639" s="63" t="s">
        <v>6174</v>
      </c>
      <c r="M2639" s="63" t="s">
        <v>6175</v>
      </c>
      <c r="N2639" s="63" t="s">
        <v>2046</v>
      </c>
    </row>
    <row r="2640" spans="1:14" x14ac:dyDescent="0.2">
      <c r="A2640" s="51">
        <v>2639</v>
      </c>
      <c r="B2640" s="54" t="s">
        <v>808</v>
      </c>
      <c r="C2640" s="47" t="s">
        <v>6194</v>
      </c>
      <c r="D2640" s="47" t="s">
        <v>6195</v>
      </c>
      <c r="E2640" s="47" t="s">
        <v>12788</v>
      </c>
      <c r="F2640" s="55" t="b">
        <v>1</v>
      </c>
      <c r="G2640" s="54" t="b">
        <v>1</v>
      </c>
      <c r="H2640" s="54" t="b">
        <v>1</v>
      </c>
      <c r="I2640" s="54" t="b">
        <v>1</v>
      </c>
      <c r="J2640" s="65" t="b">
        <v>0</v>
      </c>
      <c r="K2640" s="63" t="s">
        <v>808</v>
      </c>
      <c r="L2640" s="63" t="s">
        <v>6194</v>
      </c>
      <c r="M2640" s="63" t="s">
        <v>6195</v>
      </c>
      <c r="N2640" s="63" t="s">
        <v>2046</v>
      </c>
    </row>
    <row r="2641" spans="1:14" x14ac:dyDescent="0.2">
      <c r="A2641" s="51">
        <v>2640</v>
      </c>
      <c r="B2641" s="54" t="s">
        <v>808</v>
      </c>
      <c r="C2641" s="47" t="s">
        <v>6254</v>
      </c>
      <c r="D2641" s="47" t="s">
        <v>6255</v>
      </c>
      <c r="E2641" s="47" t="s">
        <v>12788</v>
      </c>
      <c r="F2641" s="55" t="b">
        <v>1</v>
      </c>
      <c r="G2641" s="54" t="b">
        <v>1</v>
      </c>
      <c r="H2641" s="54" t="b">
        <v>1</v>
      </c>
      <c r="I2641" s="54" t="b">
        <v>1</v>
      </c>
      <c r="J2641" s="65" t="b">
        <v>0</v>
      </c>
      <c r="K2641" s="63" t="s">
        <v>808</v>
      </c>
      <c r="L2641" s="63" t="s">
        <v>6254</v>
      </c>
      <c r="M2641" s="63" t="s">
        <v>6255</v>
      </c>
      <c r="N2641" s="63" t="s">
        <v>2046</v>
      </c>
    </row>
    <row r="2642" spans="1:14" x14ac:dyDescent="0.2">
      <c r="A2642" s="51">
        <v>2641</v>
      </c>
      <c r="B2642" s="54" t="s">
        <v>808</v>
      </c>
      <c r="C2642" s="47" t="s">
        <v>6258</v>
      </c>
      <c r="D2642" s="47" t="s">
        <v>6259</v>
      </c>
      <c r="E2642" s="47" t="s">
        <v>12788</v>
      </c>
      <c r="F2642" s="55" t="b">
        <v>1</v>
      </c>
      <c r="G2642" s="54" t="b">
        <v>1</v>
      </c>
      <c r="H2642" s="54" t="b">
        <v>1</v>
      </c>
      <c r="I2642" s="54" t="b">
        <v>1</v>
      </c>
      <c r="J2642" s="65" t="b">
        <v>0</v>
      </c>
      <c r="K2642" s="63" t="s">
        <v>808</v>
      </c>
      <c r="L2642" s="63" t="s">
        <v>6258</v>
      </c>
      <c r="M2642" s="63" t="s">
        <v>6259</v>
      </c>
      <c r="N2642" s="63" t="s">
        <v>2046</v>
      </c>
    </row>
    <row r="2643" spans="1:14" x14ac:dyDescent="0.2">
      <c r="A2643" s="51">
        <v>2642</v>
      </c>
      <c r="B2643" s="54" t="s">
        <v>808</v>
      </c>
      <c r="C2643" s="47" t="s">
        <v>6304</v>
      </c>
      <c r="D2643" s="47" t="s">
        <v>6305</v>
      </c>
      <c r="E2643" s="47" t="s">
        <v>12788</v>
      </c>
      <c r="F2643" s="55" t="b">
        <v>1</v>
      </c>
      <c r="G2643" s="54" t="b">
        <v>1</v>
      </c>
      <c r="H2643" s="54" t="b">
        <v>1</v>
      </c>
      <c r="I2643" s="54" t="b">
        <v>1</v>
      </c>
      <c r="J2643" s="65" t="b">
        <v>0</v>
      </c>
      <c r="K2643" s="63" t="s">
        <v>808</v>
      </c>
      <c r="L2643" s="63" t="s">
        <v>6304</v>
      </c>
      <c r="M2643" s="63" t="s">
        <v>6305</v>
      </c>
      <c r="N2643" s="63" t="s">
        <v>2046</v>
      </c>
    </row>
    <row r="2644" spans="1:14" x14ac:dyDescent="0.2">
      <c r="A2644" s="51">
        <v>2643</v>
      </c>
      <c r="B2644" s="54" t="s">
        <v>808</v>
      </c>
      <c r="C2644" s="47" t="s">
        <v>6296</v>
      </c>
      <c r="D2644" s="47" t="s">
        <v>6297</v>
      </c>
      <c r="E2644" s="47" t="s">
        <v>12788</v>
      </c>
      <c r="F2644" s="55" t="b">
        <v>1</v>
      </c>
      <c r="G2644" s="54" t="b">
        <v>1</v>
      </c>
      <c r="H2644" s="54" t="b">
        <v>1</v>
      </c>
      <c r="I2644" s="54" t="b">
        <v>1</v>
      </c>
      <c r="J2644" s="65" t="b">
        <v>0</v>
      </c>
      <c r="K2644" s="63" t="s">
        <v>808</v>
      </c>
      <c r="L2644" s="63" t="s">
        <v>6296</v>
      </c>
      <c r="M2644" s="63" t="s">
        <v>6297</v>
      </c>
      <c r="N2644" s="63" t="s">
        <v>2046</v>
      </c>
    </row>
    <row r="2645" spans="1:14" x14ac:dyDescent="0.2">
      <c r="A2645" s="51">
        <v>2644</v>
      </c>
      <c r="B2645" s="54" t="s">
        <v>810</v>
      </c>
      <c r="C2645" s="47" t="s">
        <v>6326</v>
      </c>
      <c r="D2645" s="47" t="s">
        <v>6327</v>
      </c>
      <c r="E2645" s="47" t="s">
        <v>2365</v>
      </c>
      <c r="F2645" s="55" t="b">
        <v>1</v>
      </c>
      <c r="G2645" s="54" t="b">
        <v>1</v>
      </c>
      <c r="H2645" s="54" t="b">
        <v>1</v>
      </c>
      <c r="I2645" s="54" t="b">
        <v>1</v>
      </c>
      <c r="J2645" s="54" t="b">
        <v>1</v>
      </c>
      <c r="K2645" s="63" t="s">
        <v>810</v>
      </c>
      <c r="L2645" s="63" t="s">
        <v>6326</v>
      </c>
      <c r="M2645" s="63" t="s">
        <v>6327</v>
      </c>
      <c r="N2645" s="63" t="s">
        <v>2365</v>
      </c>
    </row>
    <row r="2646" spans="1:14" x14ac:dyDescent="0.2">
      <c r="A2646" s="51">
        <v>2645</v>
      </c>
      <c r="B2646" s="54" t="s">
        <v>810</v>
      </c>
      <c r="C2646" s="47" t="s">
        <v>6334</v>
      </c>
      <c r="D2646" s="47" t="s">
        <v>6335</v>
      </c>
      <c r="E2646" s="47" t="s">
        <v>2365</v>
      </c>
      <c r="F2646" s="55" t="b">
        <v>1</v>
      </c>
      <c r="G2646" s="54" t="b">
        <v>1</v>
      </c>
      <c r="H2646" s="54" t="b">
        <v>1</v>
      </c>
      <c r="I2646" s="54" t="b">
        <v>1</v>
      </c>
      <c r="J2646" s="54" t="b">
        <v>1</v>
      </c>
      <c r="K2646" s="63" t="s">
        <v>810</v>
      </c>
      <c r="L2646" s="63" t="s">
        <v>6334</v>
      </c>
      <c r="M2646" s="63" t="s">
        <v>6335</v>
      </c>
      <c r="N2646" s="63" t="s">
        <v>2365</v>
      </c>
    </row>
    <row r="2647" spans="1:14" x14ac:dyDescent="0.2">
      <c r="A2647" s="51">
        <v>2646</v>
      </c>
      <c r="B2647" s="54" t="s">
        <v>810</v>
      </c>
      <c r="C2647" s="47" t="s">
        <v>6330</v>
      </c>
      <c r="D2647" s="47" t="s">
        <v>6331</v>
      </c>
      <c r="E2647" s="47" t="s">
        <v>2365</v>
      </c>
      <c r="F2647" s="55" t="b">
        <v>1</v>
      </c>
      <c r="G2647" s="54" t="b">
        <v>1</v>
      </c>
      <c r="H2647" s="54" t="b">
        <v>1</v>
      </c>
      <c r="I2647" s="54" t="b">
        <v>1</v>
      </c>
      <c r="J2647" s="54" t="b">
        <v>1</v>
      </c>
      <c r="K2647" s="63" t="s">
        <v>810</v>
      </c>
      <c r="L2647" s="63" t="s">
        <v>6330</v>
      </c>
      <c r="M2647" s="63" t="s">
        <v>6331</v>
      </c>
      <c r="N2647" s="63" t="s">
        <v>2365</v>
      </c>
    </row>
    <row r="2648" spans="1:14" x14ac:dyDescent="0.2">
      <c r="A2648" s="51">
        <v>2647</v>
      </c>
      <c r="B2648" s="54" t="s">
        <v>810</v>
      </c>
      <c r="C2648" s="47" t="s">
        <v>6328</v>
      </c>
      <c r="D2648" s="47" t="s">
        <v>6329</v>
      </c>
      <c r="E2648" s="47" t="s">
        <v>2365</v>
      </c>
      <c r="F2648" s="55" t="b">
        <v>1</v>
      </c>
      <c r="G2648" s="54" t="b">
        <v>1</v>
      </c>
      <c r="H2648" s="54" t="b">
        <v>1</v>
      </c>
      <c r="I2648" s="54" t="b">
        <v>1</v>
      </c>
      <c r="J2648" s="54" t="b">
        <v>1</v>
      </c>
      <c r="K2648" s="63" t="s">
        <v>810</v>
      </c>
      <c r="L2648" s="63" t="s">
        <v>6328</v>
      </c>
      <c r="M2648" s="63" t="s">
        <v>6329</v>
      </c>
      <c r="N2648" s="63" t="s">
        <v>2365</v>
      </c>
    </row>
    <row r="2649" spans="1:14" x14ac:dyDescent="0.2">
      <c r="A2649" s="51">
        <v>2648</v>
      </c>
      <c r="B2649" s="54" t="s">
        <v>810</v>
      </c>
      <c r="C2649" s="47" t="s">
        <v>6332</v>
      </c>
      <c r="D2649" s="47" t="s">
        <v>6333</v>
      </c>
      <c r="E2649" s="47" t="s">
        <v>2365</v>
      </c>
      <c r="F2649" s="55" t="b">
        <v>1</v>
      </c>
      <c r="G2649" s="54" t="b">
        <v>1</v>
      </c>
      <c r="H2649" s="54" t="b">
        <v>1</v>
      </c>
      <c r="I2649" s="54" t="b">
        <v>1</v>
      </c>
      <c r="J2649" s="54" t="b">
        <v>1</v>
      </c>
      <c r="K2649" s="63" t="s">
        <v>810</v>
      </c>
      <c r="L2649" s="63" t="s">
        <v>6332</v>
      </c>
      <c r="M2649" s="63" t="s">
        <v>6333</v>
      </c>
      <c r="N2649" s="63" t="s">
        <v>2365</v>
      </c>
    </row>
    <row r="2650" spans="1:14" x14ac:dyDescent="0.2">
      <c r="A2650" s="51">
        <v>2649</v>
      </c>
      <c r="B2650" s="54" t="s">
        <v>810</v>
      </c>
      <c r="C2650" s="47" t="s">
        <v>6336</v>
      </c>
      <c r="D2650" s="47" t="s">
        <v>6337</v>
      </c>
      <c r="E2650" s="47" t="s">
        <v>2365</v>
      </c>
      <c r="F2650" s="55" t="b">
        <v>1</v>
      </c>
      <c r="G2650" s="54" t="b">
        <v>1</v>
      </c>
      <c r="H2650" s="54" t="b">
        <v>1</v>
      </c>
      <c r="I2650" s="54" t="b">
        <v>1</v>
      </c>
      <c r="J2650" s="54" t="b">
        <v>1</v>
      </c>
      <c r="K2650" s="63" t="s">
        <v>810</v>
      </c>
      <c r="L2650" s="63" t="s">
        <v>6336</v>
      </c>
      <c r="M2650" s="63" t="s">
        <v>6337</v>
      </c>
      <c r="N2650" s="63" t="s">
        <v>2365</v>
      </c>
    </row>
    <row r="2651" spans="1:14" x14ac:dyDescent="0.2">
      <c r="A2651" s="51">
        <v>2650</v>
      </c>
      <c r="B2651" s="54" t="s">
        <v>810</v>
      </c>
      <c r="C2651" s="47" t="s">
        <v>6338</v>
      </c>
      <c r="D2651" s="47" t="s">
        <v>6339</v>
      </c>
      <c r="E2651" s="47" t="s">
        <v>2365</v>
      </c>
      <c r="F2651" s="55" t="b">
        <v>1</v>
      </c>
      <c r="G2651" s="54" t="b">
        <v>1</v>
      </c>
      <c r="H2651" s="54" t="b">
        <v>1</v>
      </c>
      <c r="I2651" s="54" t="b">
        <v>1</v>
      </c>
      <c r="J2651" s="54" t="b">
        <v>1</v>
      </c>
      <c r="K2651" s="63" t="s">
        <v>810</v>
      </c>
      <c r="L2651" s="63" t="s">
        <v>6338</v>
      </c>
      <c r="M2651" s="63" t="s">
        <v>6339</v>
      </c>
      <c r="N2651" s="63" t="s">
        <v>2365</v>
      </c>
    </row>
    <row r="2652" spans="1:14" x14ac:dyDescent="0.2">
      <c r="A2652" s="51">
        <v>2651</v>
      </c>
      <c r="B2652" s="54" t="s">
        <v>810</v>
      </c>
      <c r="C2652" s="47" t="s">
        <v>6340</v>
      </c>
      <c r="D2652" s="47" t="s">
        <v>6341</v>
      </c>
      <c r="E2652" s="47" t="s">
        <v>2365</v>
      </c>
      <c r="F2652" s="55" t="b">
        <v>1</v>
      </c>
      <c r="G2652" s="54" t="b">
        <v>1</v>
      </c>
      <c r="H2652" s="54" t="b">
        <v>1</v>
      </c>
      <c r="I2652" s="54" t="b">
        <v>1</v>
      </c>
      <c r="J2652" s="54" t="b">
        <v>1</v>
      </c>
      <c r="K2652" s="63" t="s">
        <v>810</v>
      </c>
      <c r="L2652" s="63" t="s">
        <v>6340</v>
      </c>
      <c r="M2652" s="63" t="s">
        <v>6341</v>
      </c>
      <c r="N2652" s="63" t="s">
        <v>2365</v>
      </c>
    </row>
    <row r="2653" spans="1:14" x14ac:dyDescent="0.2">
      <c r="A2653" s="51">
        <v>2652</v>
      </c>
      <c r="B2653" s="54" t="s">
        <v>812</v>
      </c>
      <c r="C2653" s="47" t="s">
        <v>6350</v>
      </c>
      <c r="D2653" s="47" t="s">
        <v>6351</v>
      </c>
      <c r="E2653" s="47" t="s">
        <v>1790</v>
      </c>
      <c r="F2653" s="55" t="b">
        <v>1</v>
      </c>
      <c r="G2653" s="54" t="b">
        <v>1</v>
      </c>
      <c r="H2653" s="54" t="b">
        <v>1</v>
      </c>
      <c r="I2653" s="54" t="b">
        <v>1</v>
      </c>
      <c r="J2653" s="54" t="b">
        <v>1</v>
      </c>
      <c r="K2653" s="63" t="s">
        <v>812</v>
      </c>
      <c r="L2653" s="63" t="s">
        <v>6350</v>
      </c>
      <c r="M2653" s="63" t="s">
        <v>6351</v>
      </c>
      <c r="N2653" s="63" t="s">
        <v>1790</v>
      </c>
    </row>
    <row r="2654" spans="1:14" x14ac:dyDescent="0.2">
      <c r="A2654" s="51">
        <v>2653</v>
      </c>
      <c r="B2654" s="54" t="s">
        <v>812</v>
      </c>
      <c r="C2654" s="47" t="s">
        <v>6344</v>
      </c>
      <c r="D2654" s="47" t="s">
        <v>6345</v>
      </c>
      <c r="E2654" s="47" t="s">
        <v>1790</v>
      </c>
      <c r="F2654" s="55" t="b">
        <v>1</v>
      </c>
      <c r="G2654" s="54" t="b">
        <v>1</v>
      </c>
      <c r="H2654" s="54" t="b">
        <v>1</v>
      </c>
      <c r="I2654" s="54" t="b">
        <v>1</v>
      </c>
      <c r="J2654" s="54" t="b">
        <v>1</v>
      </c>
      <c r="K2654" s="63" t="s">
        <v>812</v>
      </c>
      <c r="L2654" s="63" t="s">
        <v>6344</v>
      </c>
      <c r="M2654" s="63" t="s">
        <v>6345</v>
      </c>
      <c r="N2654" s="63" t="s">
        <v>1790</v>
      </c>
    </row>
    <row r="2655" spans="1:14" x14ac:dyDescent="0.2">
      <c r="A2655" s="51">
        <v>2654</v>
      </c>
      <c r="B2655" s="54" t="s">
        <v>812</v>
      </c>
      <c r="C2655" s="47" t="s">
        <v>6346</v>
      </c>
      <c r="D2655" s="47" t="s">
        <v>6347</v>
      </c>
      <c r="E2655" s="47" t="s">
        <v>1790</v>
      </c>
      <c r="F2655" s="55" t="b">
        <v>1</v>
      </c>
      <c r="G2655" s="54" t="b">
        <v>1</v>
      </c>
      <c r="H2655" s="54" t="b">
        <v>1</v>
      </c>
      <c r="I2655" s="54" t="b">
        <v>1</v>
      </c>
      <c r="J2655" s="54" t="b">
        <v>1</v>
      </c>
      <c r="K2655" s="63" t="s">
        <v>812</v>
      </c>
      <c r="L2655" s="63" t="s">
        <v>6346</v>
      </c>
      <c r="M2655" s="63" t="s">
        <v>6347</v>
      </c>
      <c r="N2655" s="63" t="s">
        <v>1790</v>
      </c>
    </row>
    <row r="2656" spans="1:14" x14ac:dyDescent="0.2">
      <c r="A2656" s="51">
        <v>2655</v>
      </c>
      <c r="B2656" s="54" t="s">
        <v>812</v>
      </c>
      <c r="C2656" s="47" t="s">
        <v>6342</v>
      </c>
      <c r="D2656" s="47" t="s">
        <v>6343</v>
      </c>
      <c r="E2656" s="47" t="s">
        <v>1790</v>
      </c>
      <c r="F2656" s="55" t="b">
        <v>1</v>
      </c>
      <c r="G2656" s="54" t="b">
        <v>1</v>
      </c>
      <c r="H2656" s="54" t="b">
        <v>1</v>
      </c>
      <c r="I2656" s="54" t="b">
        <v>1</v>
      </c>
      <c r="J2656" s="54" t="b">
        <v>1</v>
      </c>
      <c r="K2656" s="63" t="s">
        <v>812</v>
      </c>
      <c r="L2656" s="63" t="s">
        <v>6342</v>
      </c>
      <c r="M2656" s="63" t="s">
        <v>6343</v>
      </c>
      <c r="N2656" s="63" t="s">
        <v>1790</v>
      </c>
    </row>
    <row r="2657" spans="1:14" x14ac:dyDescent="0.2">
      <c r="A2657" s="51">
        <v>2656</v>
      </c>
      <c r="B2657" s="54" t="s">
        <v>812</v>
      </c>
      <c r="C2657" s="47" t="s">
        <v>6348</v>
      </c>
      <c r="D2657" s="47" t="s">
        <v>6349</v>
      </c>
      <c r="E2657" s="47" t="s">
        <v>1790</v>
      </c>
      <c r="F2657" s="55" t="b">
        <v>1</v>
      </c>
      <c r="G2657" s="54" t="b">
        <v>1</v>
      </c>
      <c r="H2657" s="54" t="b">
        <v>1</v>
      </c>
      <c r="I2657" s="54" t="b">
        <v>1</v>
      </c>
      <c r="J2657" s="54" t="b">
        <v>1</v>
      </c>
      <c r="K2657" s="63" t="s">
        <v>812</v>
      </c>
      <c r="L2657" s="63" t="s">
        <v>6348</v>
      </c>
      <c r="M2657" s="63" t="s">
        <v>6349</v>
      </c>
      <c r="N2657" s="63" t="s">
        <v>1790</v>
      </c>
    </row>
    <row r="2658" spans="1:14" x14ac:dyDescent="0.2">
      <c r="A2658" s="51">
        <v>2657</v>
      </c>
      <c r="B2658" s="54" t="s">
        <v>812</v>
      </c>
      <c r="C2658" s="47" t="s">
        <v>6352</v>
      </c>
      <c r="D2658" s="47" t="s">
        <v>12875</v>
      </c>
      <c r="E2658" s="47" t="s">
        <v>1790</v>
      </c>
      <c r="F2658" s="55" t="b">
        <v>1</v>
      </c>
      <c r="G2658" s="54" t="b">
        <v>1</v>
      </c>
      <c r="H2658" s="54" t="b">
        <v>1</v>
      </c>
      <c r="I2658" s="65" t="b">
        <v>0</v>
      </c>
      <c r="J2658" s="54" t="b">
        <v>1</v>
      </c>
      <c r="K2658" s="63" t="s">
        <v>812</v>
      </c>
      <c r="L2658" s="63" t="s">
        <v>6352</v>
      </c>
      <c r="M2658" s="63" t="s">
        <v>6353</v>
      </c>
      <c r="N2658" s="63" t="s">
        <v>1790</v>
      </c>
    </row>
    <row r="2659" spans="1:14" x14ac:dyDescent="0.2">
      <c r="A2659" s="51">
        <v>2658</v>
      </c>
      <c r="B2659" s="54" t="s">
        <v>812</v>
      </c>
      <c r="C2659" s="47" t="s">
        <v>6358</v>
      </c>
      <c r="D2659" s="47" t="s">
        <v>6359</v>
      </c>
      <c r="E2659" s="47" t="s">
        <v>1790</v>
      </c>
      <c r="F2659" s="55" t="b">
        <v>1</v>
      </c>
      <c r="G2659" s="54" t="b">
        <v>1</v>
      </c>
      <c r="H2659" s="54" t="b">
        <v>1</v>
      </c>
      <c r="I2659" s="54" t="b">
        <v>1</v>
      </c>
      <c r="J2659" s="54" t="b">
        <v>1</v>
      </c>
      <c r="K2659" s="63" t="s">
        <v>812</v>
      </c>
      <c r="L2659" s="63" t="s">
        <v>6358</v>
      </c>
      <c r="M2659" s="63" t="s">
        <v>6359</v>
      </c>
      <c r="N2659" s="63" t="s">
        <v>1790</v>
      </c>
    </row>
    <row r="2660" spans="1:14" x14ac:dyDescent="0.2">
      <c r="A2660" s="51">
        <v>2659</v>
      </c>
      <c r="B2660" s="54" t="s">
        <v>812</v>
      </c>
      <c r="C2660" s="47" t="s">
        <v>6356</v>
      </c>
      <c r="D2660" s="47" t="s">
        <v>12876</v>
      </c>
      <c r="E2660" s="47" t="s">
        <v>1790</v>
      </c>
      <c r="F2660" s="55" t="b">
        <v>1</v>
      </c>
      <c r="G2660" s="54" t="b">
        <v>1</v>
      </c>
      <c r="H2660" s="54" t="b">
        <v>1</v>
      </c>
      <c r="I2660" s="65" t="b">
        <v>0</v>
      </c>
      <c r="J2660" s="54" t="b">
        <v>1</v>
      </c>
      <c r="K2660" s="63" t="s">
        <v>812</v>
      </c>
      <c r="L2660" s="63" t="s">
        <v>6356</v>
      </c>
      <c r="M2660" s="63" t="s">
        <v>6357</v>
      </c>
      <c r="N2660" s="63" t="s">
        <v>1790</v>
      </c>
    </row>
    <row r="2661" spans="1:14" x14ac:dyDescent="0.2">
      <c r="A2661" s="51">
        <v>2660</v>
      </c>
      <c r="B2661" s="54" t="s">
        <v>812</v>
      </c>
      <c r="C2661" s="47" t="s">
        <v>6354</v>
      </c>
      <c r="D2661" s="47" t="s">
        <v>6355</v>
      </c>
      <c r="E2661" s="47" t="s">
        <v>1790</v>
      </c>
      <c r="F2661" s="55" t="b">
        <v>1</v>
      </c>
      <c r="G2661" s="54" t="b">
        <v>1</v>
      </c>
      <c r="H2661" s="54" t="b">
        <v>1</v>
      </c>
      <c r="I2661" s="54" t="b">
        <v>1</v>
      </c>
      <c r="J2661" s="54" t="b">
        <v>1</v>
      </c>
      <c r="K2661" s="63" t="s">
        <v>812</v>
      </c>
      <c r="L2661" s="63" t="s">
        <v>6354</v>
      </c>
      <c r="M2661" s="63" t="s">
        <v>6355</v>
      </c>
      <c r="N2661" s="63" t="s">
        <v>1790</v>
      </c>
    </row>
    <row r="2662" spans="1:14" x14ac:dyDescent="0.2">
      <c r="A2662" s="51">
        <v>2661</v>
      </c>
      <c r="B2662" s="54" t="s">
        <v>812</v>
      </c>
      <c r="C2662" s="47" t="s">
        <v>6360</v>
      </c>
      <c r="D2662" s="47" t="s">
        <v>6361</v>
      </c>
      <c r="E2662" s="47" t="s">
        <v>1790</v>
      </c>
      <c r="F2662" s="55" t="b">
        <v>1</v>
      </c>
      <c r="G2662" s="54" t="b">
        <v>1</v>
      </c>
      <c r="H2662" s="54" t="b">
        <v>1</v>
      </c>
      <c r="I2662" s="54" t="b">
        <v>1</v>
      </c>
      <c r="J2662" s="54" t="b">
        <v>1</v>
      </c>
      <c r="K2662" s="63" t="s">
        <v>812</v>
      </c>
      <c r="L2662" s="63" t="s">
        <v>6360</v>
      </c>
      <c r="M2662" s="63" t="s">
        <v>6361</v>
      </c>
      <c r="N2662" s="63" t="s">
        <v>1790</v>
      </c>
    </row>
    <row r="2663" spans="1:14" x14ac:dyDescent="0.2">
      <c r="A2663" s="51">
        <v>2662</v>
      </c>
      <c r="B2663" s="54" t="s">
        <v>814</v>
      </c>
      <c r="C2663" s="47" t="s">
        <v>6364</v>
      </c>
      <c r="D2663" s="47" t="s">
        <v>6365</v>
      </c>
      <c r="E2663" s="47" t="s">
        <v>1788</v>
      </c>
      <c r="F2663" s="55" t="b">
        <v>1</v>
      </c>
      <c r="G2663" s="54" t="b">
        <v>1</v>
      </c>
      <c r="H2663" s="54" t="b">
        <v>1</v>
      </c>
      <c r="I2663" s="54" t="b">
        <v>1</v>
      </c>
      <c r="J2663" s="54" t="b">
        <v>1</v>
      </c>
      <c r="K2663" s="63" t="s">
        <v>814</v>
      </c>
      <c r="L2663" s="63" t="s">
        <v>6364</v>
      </c>
      <c r="M2663" s="63" t="s">
        <v>6365</v>
      </c>
      <c r="N2663" s="63" t="s">
        <v>1788</v>
      </c>
    </row>
    <row r="2664" spans="1:14" x14ac:dyDescent="0.2">
      <c r="A2664" s="51">
        <v>2663</v>
      </c>
      <c r="B2664" s="54" t="s">
        <v>814</v>
      </c>
      <c r="C2664" s="47" t="s">
        <v>6362</v>
      </c>
      <c r="D2664" s="47" t="s">
        <v>6363</v>
      </c>
      <c r="E2664" s="47" t="s">
        <v>1788</v>
      </c>
      <c r="F2664" s="55" t="b">
        <v>1</v>
      </c>
      <c r="G2664" s="54" t="b">
        <v>1</v>
      </c>
      <c r="H2664" s="54" t="b">
        <v>1</v>
      </c>
      <c r="I2664" s="54" t="b">
        <v>1</v>
      </c>
      <c r="J2664" s="54" t="b">
        <v>1</v>
      </c>
      <c r="K2664" s="63" t="s">
        <v>814</v>
      </c>
      <c r="L2664" s="63" t="s">
        <v>6362</v>
      </c>
      <c r="M2664" s="63" t="s">
        <v>6363</v>
      </c>
      <c r="N2664" s="63" t="s">
        <v>1788</v>
      </c>
    </row>
    <row r="2665" spans="1:14" x14ac:dyDescent="0.2">
      <c r="A2665" s="51">
        <v>2664</v>
      </c>
      <c r="B2665" s="54" t="s">
        <v>814</v>
      </c>
      <c r="C2665" s="47" t="s">
        <v>6370</v>
      </c>
      <c r="D2665" s="47" t="s">
        <v>6371</v>
      </c>
      <c r="E2665" s="47" t="s">
        <v>1788</v>
      </c>
      <c r="F2665" s="55" t="b">
        <v>1</v>
      </c>
      <c r="G2665" s="54" t="b">
        <v>1</v>
      </c>
      <c r="H2665" s="54" t="b">
        <v>1</v>
      </c>
      <c r="I2665" s="54" t="b">
        <v>1</v>
      </c>
      <c r="J2665" s="54" t="b">
        <v>1</v>
      </c>
      <c r="K2665" s="63" t="s">
        <v>814</v>
      </c>
      <c r="L2665" s="63" t="s">
        <v>6370</v>
      </c>
      <c r="M2665" s="63" t="s">
        <v>6371</v>
      </c>
      <c r="N2665" s="63" t="s">
        <v>1788</v>
      </c>
    </row>
    <row r="2666" spans="1:14" x14ac:dyDescent="0.2">
      <c r="A2666" s="51">
        <v>2665</v>
      </c>
      <c r="B2666" s="54" t="s">
        <v>814</v>
      </c>
      <c r="C2666" s="47" t="s">
        <v>6368</v>
      </c>
      <c r="D2666" s="47" t="s">
        <v>6369</v>
      </c>
      <c r="E2666" s="47" t="s">
        <v>1788</v>
      </c>
      <c r="F2666" s="55" t="b">
        <v>1</v>
      </c>
      <c r="G2666" s="54" t="b">
        <v>1</v>
      </c>
      <c r="H2666" s="54" t="b">
        <v>1</v>
      </c>
      <c r="I2666" s="54" t="b">
        <v>1</v>
      </c>
      <c r="J2666" s="54" t="b">
        <v>1</v>
      </c>
      <c r="K2666" s="63" t="s">
        <v>814</v>
      </c>
      <c r="L2666" s="63" t="s">
        <v>6368</v>
      </c>
      <c r="M2666" s="63" t="s">
        <v>6369</v>
      </c>
      <c r="N2666" s="63" t="s">
        <v>1788</v>
      </c>
    </row>
    <row r="2667" spans="1:14" x14ac:dyDescent="0.2">
      <c r="A2667" s="51">
        <v>2666</v>
      </c>
      <c r="B2667" s="54" t="s">
        <v>814</v>
      </c>
      <c r="C2667" s="47" t="s">
        <v>6372</v>
      </c>
      <c r="D2667" s="47" t="s">
        <v>6373</v>
      </c>
      <c r="E2667" s="47" t="s">
        <v>1788</v>
      </c>
      <c r="F2667" s="55" t="b">
        <v>1</v>
      </c>
      <c r="G2667" s="54" t="b">
        <v>1</v>
      </c>
      <c r="H2667" s="54" t="b">
        <v>1</v>
      </c>
      <c r="I2667" s="54" t="b">
        <v>1</v>
      </c>
      <c r="J2667" s="54" t="b">
        <v>1</v>
      </c>
      <c r="K2667" s="63" t="s">
        <v>814</v>
      </c>
      <c r="L2667" s="63" t="s">
        <v>6372</v>
      </c>
      <c r="M2667" s="63" t="s">
        <v>6373</v>
      </c>
      <c r="N2667" s="63" t="s">
        <v>1788</v>
      </c>
    </row>
    <row r="2668" spans="1:14" x14ac:dyDescent="0.2">
      <c r="A2668" s="51">
        <v>2667</v>
      </c>
      <c r="B2668" s="54" t="s">
        <v>814</v>
      </c>
      <c r="C2668" s="47" t="s">
        <v>6374</v>
      </c>
      <c r="D2668" s="47" t="s">
        <v>6375</v>
      </c>
      <c r="E2668" s="47" t="s">
        <v>1788</v>
      </c>
      <c r="F2668" s="55" t="b">
        <v>1</v>
      </c>
      <c r="G2668" s="54" t="b">
        <v>1</v>
      </c>
      <c r="H2668" s="54" t="b">
        <v>1</v>
      </c>
      <c r="I2668" s="54" t="b">
        <v>1</v>
      </c>
      <c r="J2668" s="54" t="b">
        <v>1</v>
      </c>
      <c r="K2668" s="63" t="s">
        <v>814</v>
      </c>
      <c r="L2668" s="63" t="s">
        <v>6374</v>
      </c>
      <c r="M2668" s="63" t="s">
        <v>6375</v>
      </c>
      <c r="N2668" s="63" t="s">
        <v>1788</v>
      </c>
    </row>
    <row r="2669" spans="1:14" x14ac:dyDescent="0.2">
      <c r="A2669" s="51">
        <v>2668</v>
      </c>
      <c r="B2669" s="54" t="s">
        <v>814</v>
      </c>
      <c r="C2669" s="47" t="s">
        <v>6366</v>
      </c>
      <c r="D2669" s="47" t="s">
        <v>6367</v>
      </c>
      <c r="E2669" s="47" t="s">
        <v>1788</v>
      </c>
      <c r="F2669" s="55" t="b">
        <v>1</v>
      </c>
      <c r="G2669" s="54" t="b">
        <v>1</v>
      </c>
      <c r="H2669" s="54" t="b">
        <v>1</v>
      </c>
      <c r="I2669" s="54" t="b">
        <v>1</v>
      </c>
      <c r="J2669" s="54" t="b">
        <v>1</v>
      </c>
      <c r="K2669" s="63" t="s">
        <v>814</v>
      </c>
      <c r="L2669" s="63" t="s">
        <v>6366</v>
      </c>
      <c r="M2669" s="63" t="s">
        <v>6367</v>
      </c>
      <c r="N2669" s="63" t="s">
        <v>1788</v>
      </c>
    </row>
    <row r="2670" spans="1:14" x14ac:dyDescent="0.2">
      <c r="A2670" s="51">
        <v>2669</v>
      </c>
      <c r="B2670" s="54" t="s">
        <v>814</v>
      </c>
      <c r="C2670" s="47" t="s">
        <v>6376</v>
      </c>
      <c r="D2670" s="47" t="s">
        <v>6377</v>
      </c>
      <c r="E2670" s="47" t="s">
        <v>1788</v>
      </c>
      <c r="F2670" s="55" t="b">
        <v>1</v>
      </c>
      <c r="G2670" s="54" t="b">
        <v>1</v>
      </c>
      <c r="H2670" s="54" t="b">
        <v>1</v>
      </c>
      <c r="I2670" s="54" t="b">
        <v>1</v>
      </c>
      <c r="J2670" s="54" t="b">
        <v>1</v>
      </c>
      <c r="K2670" s="63" t="s">
        <v>814</v>
      </c>
      <c r="L2670" s="63" t="s">
        <v>6376</v>
      </c>
      <c r="M2670" s="63" t="s">
        <v>6377</v>
      </c>
      <c r="N2670" s="63" t="s">
        <v>1788</v>
      </c>
    </row>
    <row r="2671" spans="1:14" x14ac:dyDescent="0.2">
      <c r="A2671" s="51">
        <v>2670</v>
      </c>
      <c r="B2671" s="54" t="s">
        <v>814</v>
      </c>
      <c r="C2671" s="47" t="s">
        <v>6378</v>
      </c>
      <c r="D2671" s="47" t="s">
        <v>6379</v>
      </c>
      <c r="E2671" s="47" t="s">
        <v>1788</v>
      </c>
      <c r="F2671" s="55" t="b">
        <v>1</v>
      </c>
      <c r="G2671" s="54" t="b">
        <v>1</v>
      </c>
      <c r="H2671" s="54" t="b">
        <v>1</v>
      </c>
      <c r="I2671" s="54" t="b">
        <v>1</v>
      </c>
      <c r="J2671" s="54" t="b">
        <v>1</v>
      </c>
      <c r="K2671" s="63" t="s">
        <v>814</v>
      </c>
      <c r="L2671" s="63" t="s">
        <v>6378</v>
      </c>
      <c r="M2671" s="63" t="s">
        <v>6379</v>
      </c>
      <c r="N2671" s="63" t="s">
        <v>1788</v>
      </c>
    </row>
    <row r="2672" spans="1:14" x14ac:dyDescent="0.2">
      <c r="A2672" s="51">
        <v>2671</v>
      </c>
      <c r="B2672" s="54" t="s">
        <v>814</v>
      </c>
      <c r="C2672" s="47" t="s">
        <v>6382</v>
      </c>
      <c r="D2672" s="47" t="s">
        <v>6383</v>
      </c>
      <c r="E2672" s="47" t="s">
        <v>1788</v>
      </c>
      <c r="F2672" s="55" t="b">
        <v>1</v>
      </c>
      <c r="G2672" s="54" t="b">
        <v>1</v>
      </c>
      <c r="H2672" s="54" t="b">
        <v>1</v>
      </c>
      <c r="I2672" s="54" t="b">
        <v>1</v>
      </c>
      <c r="J2672" s="54" t="b">
        <v>1</v>
      </c>
      <c r="K2672" s="63" t="s">
        <v>814</v>
      </c>
      <c r="L2672" s="63" t="s">
        <v>6382</v>
      </c>
      <c r="M2672" s="63" t="s">
        <v>6383</v>
      </c>
      <c r="N2672" s="63" t="s">
        <v>1788</v>
      </c>
    </row>
    <row r="2673" spans="1:14" x14ac:dyDescent="0.2">
      <c r="A2673" s="51">
        <v>2672</v>
      </c>
      <c r="B2673" s="54" t="s">
        <v>814</v>
      </c>
      <c r="C2673" s="47" t="s">
        <v>6380</v>
      </c>
      <c r="D2673" s="47" t="s">
        <v>6381</v>
      </c>
      <c r="E2673" s="47" t="s">
        <v>1788</v>
      </c>
      <c r="F2673" s="55" t="b">
        <v>1</v>
      </c>
      <c r="G2673" s="54" t="b">
        <v>1</v>
      </c>
      <c r="H2673" s="54" t="b">
        <v>1</v>
      </c>
      <c r="I2673" s="54" t="b">
        <v>1</v>
      </c>
      <c r="J2673" s="54" t="b">
        <v>1</v>
      </c>
      <c r="K2673" s="63" t="s">
        <v>814</v>
      </c>
      <c r="L2673" s="63" t="s">
        <v>6380</v>
      </c>
      <c r="M2673" s="63" t="s">
        <v>6381</v>
      </c>
      <c r="N2673" s="63" t="s">
        <v>1788</v>
      </c>
    </row>
    <row r="2674" spans="1:14" x14ac:dyDescent="0.2">
      <c r="A2674" s="51">
        <v>2673</v>
      </c>
      <c r="B2674" s="54" t="s">
        <v>814</v>
      </c>
      <c r="C2674" s="47" t="s">
        <v>6384</v>
      </c>
      <c r="D2674" s="47" t="s">
        <v>6385</v>
      </c>
      <c r="E2674" s="47" t="s">
        <v>1788</v>
      </c>
      <c r="F2674" s="55" t="b">
        <v>1</v>
      </c>
      <c r="G2674" s="54" t="b">
        <v>1</v>
      </c>
      <c r="H2674" s="54" t="b">
        <v>1</v>
      </c>
      <c r="I2674" s="54" t="b">
        <v>1</v>
      </c>
      <c r="J2674" s="54" t="b">
        <v>1</v>
      </c>
      <c r="K2674" s="63" t="s">
        <v>814</v>
      </c>
      <c r="L2674" s="63" t="s">
        <v>6384</v>
      </c>
      <c r="M2674" s="63" t="s">
        <v>6385</v>
      </c>
      <c r="N2674" s="63" t="s">
        <v>1788</v>
      </c>
    </row>
    <row r="2675" spans="1:14" x14ac:dyDescent="0.2">
      <c r="A2675" s="51">
        <v>2674</v>
      </c>
      <c r="B2675" s="54" t="s">
        <v>814</v>
      </c>
      <c r="C2675" s="47" t="s">
        <v>6386</v>
      </c>
      <c r="D2675" s="47" t="s">
        <v>6387</v>
      </c>
      <c r="E2675" s="47" t="s">
        <v>1788</v>
      </c>
      <c r="F2675" s="55" t="b">
        <v>1</v>
      </c>
      <c r="G2675" s="54" t="b">
        <v>1</v>
      </c>
      <c r="H2675" s="54" t="b">
        <v>1</v>
      </c>
      <c r="I2675" s="54" t="b">
        <v>1</v>
      </c>
      <c r="J2675" s="54" t="b">
        <v>1</v>
      </c>
      <c r="K2675" s="63" t="s">
        <v>814</v>
      </c>
      <c r="L2675" s="63" t="s">
        <v>6386</v>
      </c>
      <c r="M2675" s="63" t="s">
        <v>6387</v>
      </c>
      <c r="N2675" s="63" t="s">
        <v>1788</v>
      </c>
    </row>
    <row r="2676" spans="1:14" x14ac:dyDescent="0.2">
      <c r="A2676" s="51">
        <v>2675</v>
      </c>
      <c r="B2676" s="54" t="s">
        <v>814</v>
      </c>
      <c r="C2676" s="47" t="s">
        <v>6388</v>
      </c>
      <c r="D2676" s="47" t="s">
        <v>12877</v>
      </c>
      <c r="E2676" s="47" t="s">
        <v>1788</v>
      </c>
      <c r="F2676" s="55" t="b">
        <v>1</v>
      </c>
      <c r="G2676" s="54" t="b">
        <v>1</v>
      </c>
      <c r="H2676" s="54" t="b">
        <v>1</v>
      </c>
      <c r="I2676" s="65" t="b">
        <v>0</v>
      </c>
      <c r="J2676" s="54" t="b">
        <v>1</v>
      </c>
      <c r="K2676" s="63" t="s">
        <v>814</v>
      </c>
      <c r="L2676" s="63" t="s">
        <v>6388</v>
      </c>
      <c r="M2676" s="63" t="s">
        <v>6389</v>
      </c>
      <c r="N2676" s="63" t="s">
        <v>1788</v>
      </c>
    </row>
    <row r="2677" spans="1:14" x14ac:dyDescent="0.2">
      <c r="A2677" s="51">
        <v>2676</v>
      </c>
      <c r="B2677" s="54" t="s">
        <v>814</v>
      </c>
      <c r="C2677" s="47" t="s">
        <v>6390</v>
      </c>
      <c r="D2677" s="47" t="s">
        <v>6391</v>
      </c>
      <c r="E2677" s="47" t="s">
        <v>1788</v>
      </c>
      <c r="F2677" s="55" t="b">
        <v>1</v>
      </c>
      <c r="G2677" s="54" t="b">
        <v>1</v>
      </c>
      <c r="H2677" s="54" t="b">
        <v>1</v>
      </c>
      <c r="I2677" s="54" t="b">
        <v>1</v>
      </c>
      <c r="J2677" s="54" t="b">
        <v>1</v>
      </c>
      <c r="K2677" s="63" t="s">
        <v>814</v>
      </c>
      <c r="L2677" s="63" t="s">
        <v>6390</v>
      </c>
      <c r="M2677" s="63" t="s">
        <v>6391</v>
      </c>
      <c r="N2677" s="63" t="s">
        <v>1788</v>
      </c>
    </row>
    <row r="2678" spans="1:14" x14ac:dyDescent="0.2">
      <c r="A2678" s="51">
        <v>2677</v>
      </c>
      <c r="B2678" s="56" t="s">
        <v>816</v>
      </c>
      <c r="C2678" s="47" t="s">
        <v>6416</v>
      </c>
      <c r="D2678" s="47" t="s">
        <v>6417</v>
      </c>
      <c r="E2678" s="47" t="s">
        <v>6395</v>
      </c>
      <c r="F2678" s="55" t="b">
        <v>1</v>
      </c>
      <c r="G2678" s="65" t="b">
        <v>0</v>
      </c>
      <c r="H2678" s="54" t="b">
        <v>1</v>
      </c>
      <c r="I2678" s="54" t="b">
        <v>1</v>
      </c>
      <c r="J2678" s="54" t="b">
        <v>1</v>
      </c>
      <c r="K2678" s="63" t="s">
        <v>6392</v>
      </c>
      <c r="L2678" s="63" t="s">
        <v>6416</v>
      </c>
      <c r="M2678" s="63" t="s">
        <v>6417</v>
      </c>
      <c r="N2678" s="63" t="s">
        <v>6395</v>
      </c>
    </row>
    <row r="2679" spans="1:14" x14ac:dyDescent="0.2">
      <c r="A2679" s="51">
        <v>2678</v>
      </c>
      <c r="B2679" s="56" t="s">
        <v>816</v>
      </c>
      <c r="C2679" s="47" t="s">
        <v>6393</v>
      </c>
      <c r="D2679" s="47" t="s">
        <v>6394</v>
      </c>
      <c r="E2679" s="47" t="s">
        <v>6395</v>
      </c>
      <c r="F2679" s="55" t="b">
        <v>1</v>
      </c>
      <c r="G2679" s="65" t="b">
        <v>0</v>
      </c>
      <c r="H2679" s="54" t="b">
        <v>1</v>
      </c>
      <c r="I2679" s="54" t="b">
        <v>1</v>
      </c>
      <c r="J2679" s="54" t="b">
        <v>1</v>
      </c>
      <c r="K2679" s="63" t="s">
        <v>6392</v>
      </c>
      <c r="L2679" s="63" t="s">
        <v>6393</v>
      </c>
      <c r="M2679" s="63" t="s">
        <v>6394</v>
      </c>
      <c r="N2679" s="63" t="s">
        <v>6395</v>
      </c>
    </row>
    <row r="2680" spans="1:14" x14ac:dyDescent="0.2">
      <c r="A2680" s="51">
        <v>2679</v>
      </c>
      <c r="B2680" s="56" t="s">
        <v>816</v>
      </c>
      <c r="C2680" s="47" t="s">
        <v>6418</v>
      </c>
      <c r="D2680" s="47" t="s">
        <v>6419</v>
      </c>
      <c r="E2680" s="47" t="s">
        <v>6395</v>
      </c>
      <c r="F2680" s="55" t="b">
        <v>1</v>
      </c>
      <c r="G2680" s="65" t="b">
        <v>0</v>
      </c>
      <c r="H2680" s="54" t="b">
        <v>1</v>
      </c>
      <c r="I2680" s="54" t="b">
        <v>1</v>
      </c>
      <c r="J2680" s="54" t="b">
        <v>1</v>
      </c>
      <c r="K2680" s="63" t="s">
        <v>6392</v>
      </c>
      <c r="L2680" s="63" t="s">
        <v>6418</v>
      </c>
      <c r="M2680" s="63" t="s">
        <v>6419</v>
      </c>
      <c r="N2680" s="63" t="s">
        <v>6395</v>
      </c>
    </row>
    <row r="2681" spans="1:14" x14ac:dyDescent="0.2">
      <c r="A2681" s="51">
        <v>2680</v>
      </c>
      <c r="B2681" s="56" t="s">
        <v>816</v>
      </c>
      <c r="C2681" s="47" t="s">
        <v>6420</v>
      </c>
      <c r="D2681" s="47" t="s">
        <v>6421</v>
      </c>
      <c r="E2681" s="47" t="s">
        <v>6395</v>
      </c>
      <c r="F2681" s="55" t="b">
        <v>1</v>
      </c>
      <c r="G2681" s="65" t="b">
        <v>0</v>
      </c>
      <c r="H2681" s="54" t="b">
        <v>1</v>
      </c>
      <c r="I2681" s="54" t="b">
        <v>1</v>
      </c>
      <c r="J2681" s="54" t="b">
        <v>1</v>
      </c>
      <c r="K2681" s="63" t="s">
        <v>6392</v>
      </c>
      <c r="L2681" s="63" t="s">
        <v>6420</v>
      </c>
      <c r="M2681" s="63" t="s">
        <v>6421</v>
      </c>
      <c r="N2681" s="63" t="s">
        <v>6395</v>
      </c>
    </row>
    <row r="2682" spans="1:14" x14ac:dyDescent="0.2">
      <c r="A2682" s="51">
        <v>2681</v>
      </c>
      <c r="B2682" s="56" t="s">
        <v>816</v>
      </c>
      <c r="C2682" s="47" t="s">
        <v>6396</v>
      </c>
      <c r="D2682" s="47" t="s">
        <v>6397</v>
      </c>
      <c r="E2682" s="47" t="s">
        <v>6395</v>
      </c>
      <c r="F2682" s="55" t="b">
        <v>1</v>
      </c>
      <c r="G2682" s="65" t="b">
        <v>0</v>
      </c>
      <c r="H2682" s="54" t="b">
        <v>1</v>
      </c>
      <c r="I2682" s="54" t="b">
        <v>1</v>
      </c>
      <c r="J2682" s="54" t="b">
        <v>1</v>
      </c>
      <c r="K2682" s="63" t="s">
        <v>6392</v>
      </c>
      <c r="L2682" s="63" t="s">
        <v>6396</v>
      </c>
      <c r="M2682" s="63" t="s">
        <v>6397</v>
      </c>
      <c r="N2682" s="63" t="s">
        <v>6395</v>
      </c>
    </row>
    <row r="2683" spans="1:14" x14ac:dyDescent="0.2">
      <c r="A2683" s="51">
        <v>2682</v>
      </c>
      <c r="B2683" s="56" t="s">
        <v>816</v>
      </c>
      <c r="C2683" s="47" t="s">
        <v>6398</v>
      </c>
      <c r="D2683" s="47" t="s">
        <v>6399</v>
      </c>
      <c r="E2683" s="47" t="s">
        <v>6395</v>
      </c>
      <c r="F2683" s="55" t="b">
        <v>1</v>
      </c>
      <c r="G2683" s="65" t="b">
        <v>0</v>
      </c>
      <c r="H2683" s="54" t="b">
        <v>1</v>
      </c>
      <c r="I2683" s="54" t="b">
        <v>1</v>
      </c>
      <c r="J2683" s="54" t="b">
        <v>1</v>
      </c>
      <c r="K2683" s="63" t="s">
        <v>6392</v>
      </c>
      <c r="L2683" s="63" t="s">
        <v>6398</v>
      </c>
      <c r="M2683" s="63" t="s">
        <v>6399</v>
      </c>
      <c r="N2683" s="63" t="s">
        <v>6395</v>
      </c>
    </row>
    <row r="2684" spans="1:14" x14ac:dyDescent="0.2">
      <c r="A2684" s="51">
        <v>2683</v>
      </c>
      <c r="B2684" s="56" t="s">
        <v>816</v>
      </c>
      <c r="C2684" s="47" t="s">
        <v>6400</v>
      </c>
      <c r="D2684" s="47" t="s">
        <v>12878</v>
      </c>
      <c r="E2684" s="47" t="s">
        <v>6395</v>
      </c>
      <c r="F2684" s="55" t="b">
        <v>1</v>
      </c>
      <c r="G2684" s="65" t="b">
        <v>0</v>
      </c>
      <c r="H2684" s="54" t="b">
        <v>1</v>
      </c>
      <c r="I2684" s="65" t="b">
        <v>0</v>
      </c>
      <c r="J2684" s="54" t="b">
        <v>1</v>
      </c>
      <c r="K2684" s="63" t="s">
        <v>6392</v>
      </c>
      <c r="L2684" s="63" t="s">
        <v>6400</v>
      </c>
      <c r="M2684" s="63" t="s">
        <v>6401</v>
      </c>
      <c r="N2684" s="63" t="s">
        <v>6395</v>
      </c>
    </row>
    <row r="2685" spans="1:14" x14ac:dyDescent="0.2">
      <c r="A2685" s="51">
        <v>2684</v>
      </c>
      <c r="B2685" s="56" t="s">
        <v>816</v>
      </c>
      <c r="C2685" s="47" t="s">
        <v>6402</v>
      </c>
      <c r="D2685" s="47" t="s">
        <v>6403</v>
      </c>
      <c r="E2685" s="47" t="s">
        <v>6395</v>
      </c>
      <c r="F2685" s="55" t="b">
        <v>1</v>
      </c>
      <c r="G2685" s="65" t="b">
        <v>0</v>
      </c>
      <c r="H2685" s="54" t="b">
        <v>1</v>
      </c>
      <c r="I2685" s="54" t="b">
        <v>1</v>
      </c>
      <c r="J2685" s="54" t="b">
        <v>1</v>
      </c>
      <c r="K2685" s="63" t="s">
        <v>6392</v>
      </c>
      <c r="L2685" s="63" t="s">
        <v>6402</v>
      </c>
      <c r="M2685" s="63" t="s">
        <v>6403</v>
      </c>
      <c r="N2685" s="63" t="s">
        <v>6395</v>
      </c>
    </row>
    <row r="2686" spans="1:14" x14ac:dyDescent="0.2">
      <c r="A2686" s="51">
        <v>2685</v>
      </c>
      <c r="B2686" s="56" t="s">
        <v>816</v>
      </c>
      <c r="C2686" s="47" t="s">
        <v>6404</v>
      </c>
      <c r="D2686" s="47" t="s">
        <v>6405</v>
      </c>
      <c r="E2686" s="47" t="s">
        <v>6395</v>
      </c>
      <c r="F2686" s="55" t="b">
        <v>1</v>
      </c>
      <c r="G2686" s="65" t="b">
        <v>0</v>
      </c>
      <c r="H2686" s="54" t="b">
        <v>1</v>
      </c>
      <c r="I2686" s="54" t="b">
        <v>1</v>
      </c>
      <c r="J2686" s="54" t="b">
        <v>1</v>
      </c>
      <c r="K2686" s="63" t="s">
        <v>6392</v>
      </c>
      <c r="L2686" s="63" t="s">
        <v>6404</v>
      </c>
      <c r="M2686" s="63" t="s">
        <v>6405</v>
      </c>
      <c r="N2686" s="63" t="s">
        <v>6395</v>
      </c>
    </row>
    <row r="2687" spans="1:14" x14ac:dyDescent="0.2">
      <c r="A2687" s="51">
        <v>2686</v>
      </c>
      <c r="B2687" s="56" t="s">
        <v>816</v>
      </c>
      <c r="C2687" s="47" t="s">
        <v>6408</v>
      </c>
      <c r="D2687" s="47" t="s">
        <v>6409</v>
      </c>
      <c r="E2687" s="47" t="s">
        <v>6395</v>
      </c>
      <c r="F2687" s="55" t="b">
        <v>1</v>
      </c>
      <c r="G2687" s="65" t="b">
        <v>0</v>
      </c>
      <c r="H2687" s="54" t="b">
        <v>1</v>
      </c>
      <c r="I2687" s="54" t="b">
        <v>1</v>
      </c>
      <c r="J2687" s="54" t="b">
        <v>1</v>
      </c>
      <c r="K2687" s="63" t="s">
        <v>6392</v>
      </c>
      <c r="L2687" s="63" t="s">
        <v>6408</v>
      </c>
      <c r="M2687" s="63" t="s">
        <v>6409</v>
      </c>
      <c r="N2687" s="63" t="s">
        <v>6395</v>
      </c>
    </row>
    <row r="2688" spans="1:14" x14ac:dyDescent="0.2">
      <c r="A2688" s="51">
        <v>2687</v>
      </c>
      <c r="B2688" s="56" t="s">
        <v>816</v>
      </c>
      <c r="C2688" s="47" t="s">
        <v>6422</v>
      </c>
      <c r="D2688" s="47" t="s">
        <v>6423</v>
      </c>
      <c r="E2688" s="47" t="s">
        <v>6395</v>
      </c>
      <c r="F2688" s="55" t="b">
        <v>1</v>
      </c>
      <c r="G2688" s="65" t="b">
        <v>0</v>
      </c>
      <c r="H2688" s="54" t="b">
        <v>1</v>
      </c>
      <c r="I2688" s="54" t="b">
        <v>1</v>
      </c>
      <c r="J2688" s="54" t="b">
        <v>1</v>
      </c>
      <c r="K2688" s="63" t="s">
        <v>6392</v>
      </c>
      <c r="L2688" s="63" t="s">
        <v>6422</v>
      </c>
      <c r="M2688" s="63" t="s">
        <v>6423</v>
      </c>
      <c r="N2688" s="63" t="s">
        <v>6395</v>
      </c>
    </row>
    <row r="2689" spans="1:14" x14ac:dyDescent="0.2">
      <c r="A2689" s="51">
        <v>2688</v>
      </c>
      <c r="B2689" s="56" t="s">
        <v>816</v>
      </c>
      <c r="C2689" s="47" t="s">
        <v>6406</v>
      </c>
      <c r="D2689" s="47" t="s">
        <v>6407</v>
      </c>
      <c r="E2689" s="47" t="s">
        <v>6395</v>
      </c>
      <c r="F2689" s="55" t="b">
        <v>1</v>
      </c>
      <c r="G2689" s="65" t="b">
        <v>0</v>
      </c>
      <c r="H2689" s="54" t="b">
        <v>1</v>
      </c>
      <c r="I2689" s="54" t="b">
        <v>1</v>
      </c>
      <c r="J2689" s="54" t="b">
        <v>1</v>
      </c>
      <c r="K2689" s="63" t="s">
        <v>6392</v>
      </c>
      <c r="L2689" s="63" t="s">
        <v>6406</v>
      </c>
      <c r="M2689" s="63" t="s">
        <v>6407</v>
      </c>
      <c r="N2689" s="63" t="s">
        <v>6395</v>
      </c>
    </row>
    <row r="2690" spans="1:14" x14ac:dyDescent="0.2">
      <c r="A2690" s="51">
        <v>2689</v>
      </c>
      <c r="B2690" s="56" t="s">
        <v>816</v>
      </c>
      <c r="C2690" s="47" t="s">
        <v>6424</v>
      </c>
      <c r="D2690" s="47" t="s">
        <v>6425</v>
      </c>
      <c r="E2690" s="47" t="s">
        <v>6395</v>
      </c>
      <c r="F2690" s="55" t="b">
        <v>1</v>
      </c>
      <c r="G2690" s="65" t="b">
        <v>0</v>
      </c>
      <c r="H2690" s="54" t="b">
        <v>1</v>
      </c>
      <c r="I2690" s="54" t="b">
        <v>1</v>
      </c>
      <c r="J2690" s="54" t="b">
        <v>1</v>
      </c>
      <c r="K2690" s="63" t="s">
        <v>6392</v>
      </c>
      <c r="L2690" s="63" t="s">
        <v>6424</v>
      </c>
      <c r="M2690" s="63" t="s">
        <v>6425</v>
      </c>
      <c r="N2690" s="63" t="s">
        <v>6395</v>
      </c>
    </row>
    <row r="2691" spans="1:14" x14ac:dyDescent="0.2">
      <c r="A2691" s="51">
        <v>2690</v>
      </c>
      <c r="B2691" s="56" t="s">
        <v>816</v>
      </c>
      <c r="C2691" s="47" t="s">
        <v>6426</v>
      </c>
      <c r="D2691" s="47" t="s">
        <v>6427</v>
      </c>
      <c r="E2691" s="47" t="s">
        <v>6395</v>
      </c>
      <c r="F2691" s="55" t="b">
        <v>1</v>
      </c>
      <c r="G2691" s="65" t="b">
        <v>0</v>
      </c>
      <c r="H2691" s="54" t="b">
        <v>1</v>
      </c>
      <c r="I2691" s="54" t="b">
        <v>1</v>
      </c>
      <c r="J2691" s="54" t="b">
        <v>1</v>
      </c>
      <c r="K2691" s="63" t="s">
        <v>6392</v>
      </c>
      <c r="L2691" s="63" t="s">
        <v>6426</v>
      </c>
      <c r="M2691" s="63" t="s">
        <v>6427</v>
      </c>
      <c r="N2691" s="63" t="s">
        <v>6395</v>
      </c>
    </row>
    <row r="2692" spans="1:14" x14ac:dyDescent="0.2">
      <c r="A2692" s="51">
        <v>2691</v>
      </c>
      <c r="B2692" s="56" t="s">
        <v>816</v>
      </c>
      <c r="C2692" s="47" t="s">
        <v>6412</v>
      </c>
      <c r="D2692" s="47" t="s">
        <v>6413</v>
      </c>
      <c r="E2692" s="47" t="s">
        <v>6395</v>
      </c>
      <c r="F2692" s="55" t="b">
        <v>1</v>
      </c>
      <c r="G2692" s="65" t="b">
        <v>0</v>
      </c>
      <c r="H2692" s="54" t="b">
        <v>1</v>
      </c>
      <c r="I2692" s="54" t="b">
        <v>1</v>
      </c>
      <c r="J2692" s="54" t="b">
        <v>1</v>
      </c>
      <c r="K2692" s="63" t="s">
        <v>6392</v>
      </c>
      <c r="L2692" s="63" t="s">
        <v>6412</v>
      </c>
      <c r="M2692" s="63" t="s">
        <v>6413</v>
      </c>
      <c r="N2692" s="63" t="s">
        <v>6395</v>
      </c>
    </row>
    <row r="2693" spans="1:14" x14ac:dyDescent="0.2">
      <c r="A2693" s="51">
        <v>2692</v>
      </c>
      <c r="B2693" s="56" t="s">
        <v>816</v>
      </c>
      <c r="C2693" s="47" t="s">
        <v>6428</v>
      </c>
      <c r="D2693" s="47" t="s">
        <v>6429</v>
      </c>
      <c r="E2693" s="47" t="s">
        <v>6395</v>
      </c>
      <c r="F2693" s="55" t="b">
        <v>1</v>
      </c>
      <c r="G2693" s="65" t="b">
        <v>0</v>
      </c>
      <c r="H2693" s="54" t="b">
        <v>1</v>
      </c>
      <c r="I2693" s="54" t="b">
        <v>1</v>
      </c>
      <c r="J2693" s="54" t="b">
        <v>1</v>
      </c>
      <c r="K2693" s="63" t="s">
        <v>6392</v>
      </c>
      <c r="L2693" s="63" t="s">
        <v>6428</v>
      </c>
      <c r="M2693" s="63" t="s">
        <v>6429</v>
      </c>
      <c r="N2693" s="63" t="s">
        <v>6395</v>
      </c>
    </row>
    <row r="2694" spans="1:14" x14ac:dyDescent="0.2">
      <c r="A2694" s="51">
        <v>2693</v>
      </c>
      <c r="B2694" s="56" t="s">
        <v>816</v>
      </c>
      <c r="C2694" s="47" t="s">
        <v>6430</v>
      </c>
      <c r="D2694" s="47" t="s">
        <v>6431</v>
      </c>
      <c r="E2694" s="47" t="s">
        <v>6395</v>
      </c>
      <c r="F2694" s="55" t="b">
        <v>1</v>
      </c>
      <c r="G2694" s="65" t="b">
        <v>0</v>
      </c>
      <c r="H2694" s="54" t="b">
        <v>1</v>
      </c>
      <c r="I2694" s="54" t="b">
        <v>1</v>
      </c>
      <c r="J2694" s="54" t="b">
        <v>1</v>
      </c>
      <c r="K2694" s="63" t="s">
        <v>6392</v>
      </c>
      <c r="L2694" s="63" t="s">
        <v>6430</v>
      </c>
      <c r="M2694" s="63" t="s">
        <v>6431</v>
      </c>
      <c r="N2694" s="63" t="s">
        <v>6395</v>
      </c>
    </row>
    <row r="2695" spans="1:14" x14ac:dyDescent="0.2">
      <c r="A2695" s="51">
        <v>2694</v>
      </c>
      <c r="B2695" s="56" t="s">
        <v>816</v>
      </c>
      <c r="C2695" s="47" t="s">
        <v>6436</v>
      </c>
      <c r="D2695" s="47" t="s">
        <v>6437</v>
      </c>
      <c r="E2695" s="47" t="s">
        <v>6395</v>
      </c>
      <c r="F2695" s="55" t="b">
        <v>1</v>
      </c>
      <c r="G2695" s="65" t="b">
        <v>0</v>
      </c>
      <c r="H2695" s="54" t="b">
        <v>1</v>
      </c>
      <c r="I2695" s="54" t="b">
        <v>1</v>
      </c>
      <c r="J2695" s="54" t="b">
        <v>1</v>
      </c>
      <c r="K2695" s="63" t="s">
        <v>6392</v>
      </c>
      <c r="L2695" s="63" t="s">
        <v>6436</v>
      </c>
      <c r="M2695" s="63" t="s">
        <v>6437</v>
      </c>
      <c r="N2695" s="63" t="s">
        <v>6395</v>
      </c>
    </row>
    <row r="2696" spans="1:14" x14ac:dyDescent="0.2">
      <c r="A2696" s="51">
        <v>2695</v>
      </c>
      <c r="B2696" s="56" t="s">
        <v>816</v>
      </c>
      <c r="C2696" s="47" t="s">
        <v>6410</v>
      </c>
      <c r="D2696" s="47" t="s">
        <v>6411</v>
      </c>
      <c r="E2696" s="47" t="s">
        <v>6395</v>
      </c>
      <c r="F2696" s="55" t="b">
        <v>1</v>
      </c>
      <c r="G2696" s="65" t="b">
        <v>0</v>
      </c>
      <c r="H2696" s="54" t="b">
        <v>1</v>
      </c>
      <c r="I2696" s="54" t="b">
        <v>1</v>
      </c>
      <c r="J2696" s="54" t="b">
        <v>1</v>
      </c>
      <c r="K2696" s="63" t="s">
        <v>6392</v>
      </c>
      <c r="L2696" s="63" t="s">
        <v>6410</v>
      </c>
      <c r="M2696" s="63" t="s">
        <v>6411</v>
      </c>
      <c r="N2696" s="63" t="s">
        <v>6395</v>
      </c>
    </row>
    <row r="2697" spans="1:14" x14ac:dyDescent="0.2">
      <c r="A2697" s="51">
        <v>2696</v>
      </c>
      <c r="B2697" s="56" t="s">
        <v>816</v>
      </c>
      <c r="C2697" s="47" t="s">
        <v>6432</v>
      </c>
      <c r="D2697" s="47" t="s">
        <v>6433</v>
      </c>
      <c r="E2697" s="47" t="s">
        <v>6395</v>
      </c>
      <c r="F2697" s="55" t="b">
        <v>1</v>
      </c>
      <c r="G2697" s="65" t="b">
        <v>0</v>
      </c>
      <c r="H2697" s="54" t="b">
        <v>1</v>
      </c>
      <c r="I2697" s="54" t="b">
        <v>1</v>
      </c>
      <c r="J2697" s="54" t="b">
        <v>1</v>
      </c>
      <c r="K2697" s="63" t="s">
        <v>6392</v>
      </c>
      <c r="L2697" s="63" t="s">
        <v>6432</v>
      </c>
      <c r="M2697" s="63" t="s">
        <v>6433</v>
      </c>
      <c r="N2697" s="63" t="s">
        <v>6395</v>
      </c>
    </row>
    <row r="2698" spans="1:14" x14ac:dyDescent="0.2">
      <c r="A2698" s="51">
        <v>2697</v>
      </c>
      <c r="B2698" s="56" t="s">
        <v>816</v>
      </c>
      <c r="C2698" s="47" t="s">
        <v>6434</v>
      </c>
      <c r="D2698" s="47" t="s">
        <v>12879</v>
      </c>
      <c r="E2698" s="47" t="s">
        <v>6395</v>
      </c>
      <c r="F2698" s="55" t="b">
        <v>1</v>
      </c>
      <c r="G2698" s="65" t="b">
        <v>0</v>
      </c>
      <c r="H2698" s="54" t="b">
        <v>1</v>
      </c>
      <c r="I2698" s="65" t="b">
        <v>0</v>
      </c>
      <c r="J2698" s="54" t="b">
        <v>1</v>
      </c>
      <c r="K2698" s="63" t="s">
        <v>6392</v>
      </c>
      <c r="L2698" s="63" t="s">
        <v>6434</v>
      </c>
      <c r="M2698" s="63" t="s">
        <v>6435</v>
      </c>
      <c r="N2698" s="63" t="s">
        <v>6395</v>
      </c>
    </row>
    <row r="2699" spans="1:14" x14ac:dyDescent="0.2">
      <c r="A2699" s="51">
        <v>2698</v>
      </c>
      <c r="B2699" s="56" t="s">
        <v>816</v>
      </c>
      <c r="C2699" s="47" t="s">
        <v>6414</v>
      </c>
      <c r="D2699" s="47" t="s">
        <v>6415</v>
      </c>
      <c r="E2699" s="47" t="s">
        <v>6395</v>
      </c>
      <c r="F2699" s="55" t="b">
        <v>1</v>
      </c>
      <c r="G2699" s="65" t="b">
        <v>0</v>
      </c>
      <c r="H2699" s="54" t="b">
        <v>1</v>
      </c>
      <c r="I2699" s="54" t="b">
        <v>1</v>
      </c>
      <c r="J2699" s="54" t="b">
        <v>1</v>
      </c>
      <c r="K2699" s="63" t="s">
        <v>6392</v>
      </c>
      <c r="L2699" s="63" t="s">
        <v>6414</v>
      </c>
      <c r="M2699" s="63" t="s">
        <v>6415</v>
      </c>
      <c r="N2699" s="63" t="s">
        <v>6395</v>
      </c>
    </row>
    <row r="2700" spans="1:14" x14ac:dyDescent="0.2">
      <c r="A2700" s="51">
        <v>2699</v>
      </c>
      <c r="B2700" s="54" t="s">
        <v>818</v>
      </c>
      <c r="C2700" s="47" t="s">
        <v>6438</v>
      </c>
      <c r="D2700" s="47" t="s">
        <v>6439</v>
      </c>
      <c r="E2700" s="47" t="s">
        <v>3162</v>
      </c>
      <c r="F2700" s="55" t="b">
        <v>1</v>
      </c>
      <c r="G2700" s="54" t="b">
        <v>1</v>
      </c>
      <c r="H2700" s="54" t="b">
        <v>1</v>
      </c>
      <c r="I2700" s="54" t="b">
        <v>1</v>
      </c>
      <c r="J2700" s="54" t="b">
        <v>1</v>
      </c>
      <c r="K2700" s="63" t="s">
        <v>818</v>
      </c>
      <c r="L2700" s="63" t="s">
        <v>6438</v>
      </c>
      <c r="M2700" s="63" t="s">
        <v>6439</v>
      </c>
      <c r="N2700" s="63" t="s">
        <v>3162</v>
      </c>
    </row>
    <row r="2701" spans="1:14" x14ac:dyDescent="0.2">
      <c r="A2701" s="51">
        <v>2700</v>
      </c>
      <c r="B2701" s="54" t="s">
        <v>818</v>
      </c>
      <c r="C2701" s="47" t="s">
        <v>6440</v>
      </c>
      <c r="D2701" s="47" t="s">
        <v>6441</v>
      </c>
      <c r="E2701" s="47" t="s">
        <v>3162</v>
      </c>
      <c r="F2701" s="55" t="b">
        <v>1</v>
      </c>
      <c r="G2701" s="54" t="b">
        <v>1</v>
      </c>
      <c r="H2701" s="54" t="b">
        <v>1</v>
      </c>
      <c r="I2701" s="54" t="b">
        <v>1</v>
      </c>
      <c r="J2701" s="54" t="b">
        <v>1</v>
      </c>
      <c r="K2701" s="63" t="s">
        <v>818</v>
      </c>
      <c r="L2701" s="63" t="s">
        <v>6440</v>
      </c>
      <c r="M2701" s="63" t="s">
        <v>6441</v>
      </c>
      <c r="N2701" s="63" t="s">
        <v>3162</v>
      </c>
    </row>
    <row r="2702" spans="1:14" x14ac:dyDescent="0.2">
      <c r="A2702" s="51">
        <v>2701</v>
      </c>
      <c r="B2702" s="54" t="s">
        <v>818</v>
      </c>
      <c r="C2702" s="47" t="s">
        <v>6442</v>
      </c>
      <c r="D2702" s="47" t="s">
        <v>6443</v>
      </c>
      <c r="E2702" s="47" t="s">
        <v>3162</v>
      </c>
      <c r="F2702" s="55" t="b">
        <v>1</v>
      </c>
      <c r="G2702" s="54" t="b">
        <v>1</v>
      </c>
      <c r="H2702" s="54" t="b">
        <v>1</v>
      </c>
      <c r="I2702" s="54" t="b">
        <v>1</v>
      </c>
      <c r="J2702" s="54" t="b">
        <v>1</v>
      </c>
      <c r="K2702" s="63" t="s">
        <v>818</v>
      </c>
      <c r="L2702" s="63" t="s">
        <v>6442</v>
      </c>
      <c r="M2702" s="63" t="s">
        <v>6443</v>
      </c>
      <c r="N2702" s="63" t="s">
        <v>3162</v>
      </c>
    </row>
    <row r="2703" spans="1:14" x14ac:dyDescent="0.2">
      <c r="A2703" s="51">
        <v>2702</v>
      </c>
      <c r="B2703" s="54" t="s">
        <v>818</v>
      </c>
      <c r="C2703" s="47" t="s">
        <v>6444</v>
      </c>
      <c r="D2703" s="47" t="s">
        <v>6445</v>
      </c>
      <c r="E2703" s="47" t="s">
        <v>3162</v>
      </c>
      <c r="F2703" s="55" t="b">
        <v>1</v>
      </c>
      <c r="G2703" s="54" t="b">
        <v>1</v>
      </c>
      <c r="H2703" s="54" t="b">
        <v>1</v>
      </c>
      <c r="I2703" s="54" t="b">
        <v>1</v>
      </c>
      <c r="J2703" s="54" t="b">
        <v>1</v>
      </c>
      <c r="K2703" s="63" t="s">
        <v>818</v>
      </c>
      <c r="L2703" s="63" t="s">
        <v>6444</v>
      </c>
      <c r="M2703" s="63" t="s">
        <v>6445</v>
      </c>
      <c r="N2703" s="63" t="s">
        <v>3162</v>
      </c>
    </row>
    <row r="2704" spans="1:14" x14ac:dyDescent="0.2">
      <c r="A2704" s="51">
        <v>2703</v>
      </c>
      <c r="B2704" s="54" t="s">
        <v>818</v>
      </c>
      <c r="C2704" s="47" t="s">
        <v>6446</v>
      </c>
      <c r="D2704" s="47" t="s">
        <v>6447</v>
      </c>
      <c r="E2704" s="47" t="s">
        <v>3162</v>
      </c>
      <c r="F2704" s="55" t="b">
        <v>1</v>
      </c>
      <c r="G2704" s="54" t="b">
        <v>1</v>
      </c>
      <c r="H2704" s="54" t="b">
        <v>1</v>
      </c>
      <c r="I2704" s="54" t="b">
        <v>1</v>
      </c>
      <c r="J2704" s="54" t="b">
        <v>1</v>
      </c>
      <c r="K2704" s="63" t="s">
        <v>818</v>
      </c>
      <c r="L2704" s="63" t="s">
        <v>6446</v>
      </c>
      <c r="M2704" s="63" t="s">
        <v>6447</v>
      </c>
      <c r="N2704" s="63" t="s">
        <v>3162</v>
      </c>
    </row>
    <row r="2705" spans="1:14" x14ac:dyDescent="0.2">
      <c r="A2705" s="51">
        <v>2704</v>
      </c>
      <c r="B2705" s="54" t="s">
        <v>818</v>
      </c>
      <c r="C2705" s="47" t="s">
        <v>6448</v>
      </c>
      <c r="D2705" s="47" t="s">
        <v>6449</v>
      </c>
      <c r="E2705" s="47" t="s">
        <v>3162</v>
      </c>
      <c r="F2705" s="55" t="b">
        <v>1</v>
      </c>
      <c r="G2705" s="54" t="b">
        <v>1</v>
      </c>
      <c r="H2705" s="54" t="b">
        <v>1</v>
      </c>
      <c r="I2705" s="54" t="b">
        <v>1</v>
      </c>
      <c r="J2705" s="54" t="b">
        <v>1</v>
      </c>
      <c r="K2705" s="63" t="s">
        <v>818</v>
      </c>
      <c r="L2705" s="63" t="s">
        <v>6448</v>
      </c>
      <c r="M2705" s="63" t="s">
        <v>6449</v>
      </c>
      <c r="N2705" s="63" t="s">
        <v>3162</v>
      </c>
    </row>
    <row r="2706" spans="1:14" x14ac:dyDescent="0.2">
      <c r="A2706" s="51">
        <v>2705</v>
      </c>
      <c r="B2706" s="54" t="s">
        <v>818</v>
      </c>
      <c r="C2706" s="47" t="s">
        <v>6450</v>
      </c>
      <c r="D2706" s="47" t="s">
        <v>6451</v>
      </c>
      <c r="E2706" s="47" t="s">
        <v>3162</v>
      </c>
      <c r="F2706" s="55" t="b">
        <v>1</v>
      </c>
      <c r="G2706" s="54" t="b">
        <v>1</v>
      </c>
      <c r="H2706" s="54" t="b">
        <v>1</v>
      </c>
      <c r="I2706" s="54" t="b">
        <v>1</v>
      </c>
      <c r="J2706" s="54" t="b">
        <v>1</v>
      </c>
      <c r="K2706" s="63" t="s">
        <v>818</v>
      </c>
      <c r="L2706" s="63" t="s">
        <v>6450</v>
      </c>
      <c r="M2706" s="63" t="s">
        <v>6451</v>
      </c>
      <c r="N2706" s="63" t="s">
        <v>3162</v>
      </c>
    </row>
    <row r="2707" spans="1:14" x14ac:dyDescent="0.2">
      <c r="A2707" s="51">
        <v>2706</v>
      </c>
      <c r="B2707" s="54" t="s">
        <v>818</v>
      </c>
      <c r="C2707" s="47" t="s">
        <v>6452</v>
      </c>
      <c r="D2707" s="47" t="s">
        <v>6453</v>
      </c>
      <c r="E2707" s="47" t="s">
        <v>3162</v>
      </c>
      <c r="F2707" s="55" t="b">
        <v>1</v>
      </c>
      <c r="G2707" s="54" t="b">
        <v>1</v>
      </c>
      <c r="H2707" s="54" t="b">
        <v>1</v>
      </c>
      <c r="I2707" s="54" t="b">
        <v>1</v>
      </c>
      <c r="J2707" s="54" t="b">
        <v>1</v>
      </c>
      <c r="K2707" s="63" t="s">
        <v>818</v>
      </c>
      <c r="L2707" s="63" t="s">
        <v>6452</v>
      </c>
      <c r="M2707" s="63" t="s">
        <v>6453</v>
      </c>
      <c r="N2707" s="63" t="s">
        <v>3162</v>
      </c>
    </row>
    <row r="2708" spans="1:14" x14ac:dyDescent="0.2">
      <c r="A2708" s="51">
        <v>2707</v>
      </c>
      <c r="B2708" s="54" t="s">
        <v>818</v>
      </c>
      <c r="C2708" s="47" t="s">
        <v>6454</v>
      </c>
      <c r="D2708" s="47" t="s">
        <v>6455</v>
      </c>
      <c r="E2708" s="47" t="s">
        <v>3162</v>
      </c>
      <c r="F2708" s="55" t="b">
        <v>1</v>
      </c>
      <c r="G2708" s="54" t="b">
        <v>1</v>
      </c>
      <c r="H2708" s="54" t="b">
        <v>1</v>
      </c>
      <c r="I2708" s="54" t="b">
        <v>1</v>
      </c>
      <c r="J2708" s="54" t="b">
        <v>1</v>
      </c>
      <c r="K2708" s="63" t="s">
        <v>818</v>
      </c>
      <c r="L2708" s="63" t="s">
        <v>6454</v>
      </c>
      <c r="M2708" s="63" t="s">
        <v>6455</v>
      </c>
      <c r="N2708" s="63" t="s">
        <v>3162</v>
      </c>
    </row>
    <row r="2709" spans="1:14" x14ac:dyDescent="0.2">
      <c r="A2709" s="51">
        <v>2708</v>
      </c>
      <c r="B2709" s="54" t="s">
        <v>818</v>
      </c>
      <c r="C2709" s="47" t="s">
        <v>6456</v>
      </c>
      <c r="D2709" s="47" t="s">
        <v>6457</v>
      </c>
      <c r="E2709" s="47" t="s">
        <v>3162</v>
      </c>
      <c r="F2709" s="55" t="b">
        <v>1</v>
      </c>
      <c r="G2709" s="54" t="b">
        <v>1</v>
      </c>
      <c r="H2709" s="54" t="b">
        <v>1</v>
      </c>
      <c r="I2709" s="54" t="b">
        <v>1</v>
      </c>
      <c r="J2709" s="54" t="b">
        <v>1</v>
      </c>
      <c r="K2709" s="63" t="s">
        <v>818</v>
      </c>
      <c r="L2709" s="63" t="s">
        <v>6456</v>
      </c>
      <c r="M2709" s="63" t="s">
        <v>6457</v>
      </c>
      <c r="N2709" s="63" t="s">
        <v>3162</v>
      </c>
    </row>
    <row r="2710" spans="1:14" x14ac:dyDescent="0.2">
      <c r="A2710" s="51">
        <v>2709</v>
      </c>
      <c r="B2710" s="54" t="s">
        <v>818</v>
      </c>
      <c r="C2710" s="47" t="s">
        <v>6458</v>
      </c>
      <c r="D2710" s="47" t="s">
        <v>6459</v>
      </c>
      <c r="E2710" s="47" t="s">
        <v>3162</v>
      </c>
      <c r="F2710" s="55" t="b">
        <v>1</v>
      </c>
      <c r="G2710" s="54" t="b">
        <v>1</v>
      </c>
      <c r="H2710" s="54" t="b">
        <v>1</v>
      </c>
      <c r="I2710" s="54" t="b">
        <v>1</v>
      </c>
      <c r="J2710" s="54" t="b">
        <v>1</v>
      </c>
      <c r="K2710" s="63" t="s">
        <v>818</v>
      </c>
      <c r="L2710" s="63" t="s">
        <v>6458</v>
      </c>
      <c r="M2710" s="63" t="s">
        <v>6459</v>
      </c>
      <c r="N2710" s="63" t="s">
        <v>3162</v>
      </c>
    </row>
    <row r="2711" spans="1:14" x14ac:dyDescent="0.2">
      <c r="A2711" s="51">
        <v>2710</v>
      </c>
      <c r="B2711" s="54" t="s">
        <v>820</v>
      </c>
      <c r="C2711" s="47" t="s">
        <v>12880</v>
      </c>
      <c r="D2711" s="47" t="s">
        <v>12881</v>
      </c>
      <c r="E2711" s="47" t="s">
        <v>12882</v>
      </c>
      <c r="F2711" s="55" t="b">
        <v>1</v>
      </c>
      <c r="G2711" s="65" t="b">
        <v>0</v>
      </c>
      <c r="H2711" s="65" t="b">
        <v>0</v>
      </c>
      <c r="I2711" s="65" t="b">
        <v>0</v>
      </c>
      <c r="J2711" s="65" t="b">
        <v>0</v>
      </c>
    </row>
    <row r="2712" spans="1:14" x14ac:dyDescent="0.2">
      <c r="A2712" s="51">
        <v>2711</v>
      </c>
      <c r="B2712" s="54" t="s">
        <v>820</v>
      </c>
      <c r="C2712" s="47" t="s">
        <v>12883</v>
      </c>
      <c r="D2712" s="47" t="s">
        <v>12884</v>
      </c>
      <c r="E2712" s="47" t="s">
        <v>12885</v>
      </c>
      <c r="F2712" s="55" t="b">
        <v>1</v>
      </c>
      <c r="G2712" s="65" t="b">
        <v>0</v>
      </c>
      <c r="H2712" s="65" t="b">
        <v>0</v>
      </c>
      <c r="I2712" s="65" t="b">
        <v>0</v>
      </c>
      <c r="J2712" s="65" t="b">
        <v>0</v>
      </c>
    </row>
    <row r="2713" spans="1:14" x14ac:dyDescent="0.2">
      <c r="A2713" s="51">
        <v>2712</v>
      </c>
      <c r="B2713" s="54" t="s">
        <v>820</v>
      </c>
      <c r="C2713" s="47" t="s">
        <v>12886</v>
      </c>
      <c r="D2713" s="47" t="s">
        <v>12887</v>
      </c>
      <c r="E2713" s="47" t="s">
        <v>12882</v>
      </c>
      <c r="F2713" s="55" t="b">
        <v>1</v>
      </c>
      <c r="G2713" s="65" t="b">
        <v>0</v>
      </c>
      <c r="H2713" s="65" t="b">
        <v>0</v>
      </c>
      <c r="I2713" s="65" t="b">
        <v>0</v>
      </c>
      <c r="J2713" s="65" t="b">
        <v>0</v>
      </c>
    </row>
    <row r="2714" spans="1:14" x14ac:dyDescent="0.2">
      <c r="A2714" s="51">
        <v>2713</v>
      </c>
      <c r="B2714" s="54" t="s">
        <v>820</v>
      </c>
      <c r="C2714" s="47" t="s">
        <v>12888</v>
      </c>
      <c r="D2714" s="47" t="s">
        <v>12889</v>
      </c>
      <c r="E2714" s="47" t="s">
        <v>12882</v>
      </c>
      <c r="F2714" s="55" t="b">
        <v>1</v>
      </c>
      <c r="G2714" s="65" t="b">
        <v>0</v>
      </c>
      <c r="H2714" s="65" t="b">
        <v>0</v>
      </c>
      <c r="I2714" s="65" t="b">
        <v>0</v>
      </c>
      <c r="J2714" s="65" t="b">
        <v>0</v>
      </c>
    </row>
    <row r="2715" spans="1:14" x14ac:dyDescent="0.2">
      <c r="A2715" s="51">
        <v>2714</v>
      </c>
      <c r="B2715" s="54" t="s">
        <v>820</v>
      </c>
      <c r="C2715" s="47" t="s">
        <v>12890</v>
      </c>
      <c r="D2715" s="47" t="s">
        <v>12891</v>
      </c>
      <c r="E2715" s="47" t="s">
        <v>12892</v>
      </c>
      <c r="F2715" s="55" t="b">
        <v>1</v>
      </c>
      <c r="G2715" s="65" t="b">
        <v>0</v>
      </c>
      <c r="H2715" s="65" t="b">
        <v>0</v>
      </c>
      <c r="I2715" s="65" t="b">
        <v>0</v>
      </c>
      <c r="J2715" s="65" t="b">
        <v>0</v>
      </c>
    </row>
    <row r="2716" spans="1:14" x14ac:dyDescent="0.2">
      <c r="A2716" s="51">
        <v>2715</v>
      </c>
      <c r="B2716" s="54" t="s">
        <v>820</v>
      </c>
      <c r="C2716" s="47" t="s">
        <v>12893</v>
      </c>
      <c r="D2716" s="47" t="s">
        <v>12894</v>
      </c>
      <c r="E2716" s="47" t="s">
        <v>12882</v>
      </c>
      <c r="F2716" s="55" t="b">
        <v>1</v>
      </c>
      <c r="G2716" s="65" t="b">
        <v>0</v>
      </c>
      <c r="H2716" s="65" t="b">
        <v>0</v>
      </c>
      <c r="I2716" s="65" t="b">
        <v>0</v>
      </c>
      <c r="J2716" s="65" t="b">
        <v>0</v>
      </c>
    </row>
    <row r="2717" spans="1:14" x14ac:dyDescent="0.2">
      <c r="A2717" s="51">
        <v>2716</v>
      </c>
      <c r="B2717" s="54" t="s">
        <v>820</v>
      </c>
      <c r="C2717" s="47" t="s">
        <v>12895</v>
      </c>
      <c r="D2717" s="47" t="s">
        <v>12896</v>
      </c>
      <c r="E2717" s="47" t="s">
        <v>12892</v>
      </c>
      <c r="F2717" s="55" t="b">
        <v>1</v>
      </c>
      <c r="G2717" s="65" t="b">
        <v>0</v>
      </c>
      <c r="H2717" s="65" t="b">
        <v>0</v>
      </c>
      <c r="I2717" s="65" t="b">
        <v>0</v>
      </c>
      <c r="J2717" s="65" t="b">
        <v>0</v>
      </c>
    </row>
    <row r="2718" spans="1:14" x14ac:dyDescent="0.2">
      <c r="A2718" s="51">
        <v>2717</v>
      </c>
      <c r="B2718" s="54" t="s">
        <v>820</v>
      </c>
      <c r="C2718" s="47" t="s">
        <v>12897</v>
      </c>
      <c r="D2718" s="47" t="s">
        <v>12898</v>
      </c>
      <c r="E2718" s="47" t="s">
        <v>12892</v>
      </c>
      <c r="F2718" s="55" t="b">
        <v>1</v>
      </c>
      <c r="G2718" s="65" t="b">
        <v>0</v>
      </c>
      <c r="H2718" s="65" t="b">
        <v>0</v>
      </c>
      <c r="I2718" s="65" t="b">
        <v>0</v>
      </c>
      <c r="J2718" s="65" t="b">
        <v>0</v>
      </c>
    </row>
    <row r="2719" spans="1:14" x14ac:dyDescent="0.2">
      <c r="A2719" s="51">
        <v>2718</v>
      </c>
      <c r="B2719" s="54" t="s">
        <v>820</v>
      </c>
      <c r="C2719" s="47" t="s">
        <v>12899</v>
      </c>
      <c r="D2719" s="47" t="s">
        <v>12900</v>
      </c>
      <c r="E2719" s="47" t="s">
        <v>12882</v>
      </c>
      <c r="F2719" s="55" t="b">
        <v>1</v>
      </c>
      <c r="G2719" s="65" t="b">
        <v>0</v>
      </c>
      <c r="H2719" s="65" t="b">
        <v>0</v>
      </c>
      <c r="I2719" s="65" t="b">
        <v>0</v>
      </c>
      <c r="J2719" s="65" t="b">
        <v>0</v>
      </c>
    </row>
    <row r="2720" spans="1:14" x14ac:dyDescent="0.2">
      <c r="A2720" s="51">
        <v>2719</v>
      </c>
      <c r="B2720" s="54" t="s">
        <v>820</v>
      </c>
      <c r="C2720" s="47" t="s">
        <v>12901</v>
      </c>
      <c r="D2720" s="47" t="s">
        <v>12902</v>
      </c>
      <c r="E2720" s="47" t="s">
        <v>12882</v>
      </c>
      <c r="F2720" s="55" t="b">
        <v>1</v>
      </c>
      <c r="G2720" s="65" t="b">
        <v>0</v>
      </c>
      <c r="H2720" s="65" t="b">
        <v>0</v>
      </c>
      <c r="I2720" s="65" t="b">
        <v>0</v>
      </c>
      <c r="J2720" s="65" t="b">
        <v>0</v>
      </c>
    </row>
    <row r="2721" spans="1:10" x14ac:dyDescent="0.2">
      <c r="A2721" s="51">
        <v>2720</v>
      </c>
      <c r="B2721" s="54" t="s">
        <v>820</v>
      </c>
      <c r="C2721" s="47" t="s">
        <v>12903</v>
      </c>
      <c r="D2721" s="47" t="s">
        <v>12904</v>
      </c>
      <c r="E2721" s="47" t="s">
        <v>12882</v>
      </c>
      <c r="F2721" s="55" t="b">
        <v>1</v>
      </c>
      <c r="G2721" s="65" t="b">
        <v>0</v>
      </c>
      <c r="H2721" s="65" t="b">
        <v>0</v>
      </c>
      <c r="I2721" s="65" t="b">
        <v>0</v>
      </c>
      <c r="J2721" s="65" t="b">
        <v>0</v>
      </c>
    </row>
    <row r="2722" spans="1:10" x14ac:dyDescent="0.2">
      <c r="A2722" s="51">
        <v>2721</v>
      </c>
      <c r="B2722" s="54" t="s">
        <v>820</v>
      </c>
      <c r="C2722" s="47" t="s">
        <v>12905</v>
      </c>
      <c r="D2722" s="47" t="s">
        <v>12906</v>
      </c>
      <c r="E2722" s="47" t="s">
        <v>12882</v>
      </c>
      <c r="F2722" s="55" t="b">
        <v>1</v>
      </c>
      <c r="G2722" s="65" t="b">
        <v>0</v>
      </c>
      <c r="H2722" s="65" t="b">
        <v>0</v>
      </c>
      <c r="I2722" s="65" t="b">
        <v>0</v>
      </c>
      <c r="J2722" s="65" t="b">
        <v>0</v>
      </c>
    </row>
    <row r="2723" spans="1:10" x14ac:dyDescent="0.2">
      <c r="A2723" s="51">
        <v>2722</v>
      </c>
      <c r="B2723" s="54" t="s">
        <v>820</v>
      </c>
      <c r="C2723" s="47" t="s">
        <v>12907</v>
      </c>
      <c r="D2723" s="47" t="s">
        <v>12908</v>
      </c>
      <c r="E2723" s="47" t="s">
        <v>12882</v>
      </c>
      <c r="F2723" s="55" t="b">
        <v>1</v>
      </c>
      <c r="G2723" s="65" t="b">
        <v>0</v>
      </c>
      <c r="H2723" s="65" t="b">
        <v>0</v>
      </c>
      <c r="I2723" s="65" t="b">
        <v>0</v>
      </c>
      <c r="J2723" s="65" t="b">
        <v>0</v>
      </c>
    </row>
    <row r="2724" spans="1:10" x14ac:dyDescent="0.2">
      <c r="A2724" s="51">
        <v>2723</v>
      </c>
      <c r="B2724" s="54" t="s">
        <v>820</v>
      </c>
      <c r="C2724" s="47" t="s">
        <v>12909</v>
      </c>
      <c r="D2724" s="47" t="s">
        <v>12910</v>
      </c>
      <c r="E2724" s="47" t="s">
        <v>12892</v>
      </c>
      <c r="F2724" s="55" t="b">
        <v>1</v>
      </c>
      <c r="G2724" s="65" t="b">
        <v>0</v>
      </c>
      <c r="H2724" s="65" t="b">
        <v>0</v>
      </c>
      <c r="I2724" s="65" t="b">
        <v>0</v>
      </c>
      <c r="J2724" s="65" t="b">
        <v>0</v>
      </c>
    </row>
    <row r="2725" spans="1:10" x14ac:dyDescent="0.2">
      <c r="A2725" s="51">
        <v>2724</v>
      </c>
      <c r="B2725" s="54" t="s">
        <v>820</v>
      </c>
      <c r="C2725" s="47" t="s">
        <v>12913</v>
      </c>
      <c r="D2725" s="47" t="s">
        <v>12914</v>
      </c>
      <c r="E2725" s="47" t="s">
        <v>12885</v>
      </c>
      <c r="F2725" s="55" t="b">
        <v>1</v>
      </c>
      <c r="G2725" s="65" t="b">
        <v>0</v>
      </c>
      <c r="H2725" s="65" t="b">
        <v>0</v>
      </c>
      <c r="I2725" s="65" t="b">
        <v>0</v>
      </c>
      <c r="J2725" s="65" t="b">
        <v>0</v>
      </c>
    </row>
    <row r="2726" spans="1:10" x14ac:dyDescent="0.2">
      <c r="A2726" s="51">
        <v>2725</v>
      </c>
      <c r="B2726" s="54" t="s">
        <v>820</v>
      </c>
      <c r="C2726" s="47" t="s">
        <v>12911</v>
      </c>
      <c r="D2726" s="47" t="s">
        <v>12912</v>
      </c>
      <c r="E2726" s="47" t="s">
        <v>12882</v>
      </c>
      <c r="F2726" s="55" t="b">
        <v>1</v>
      </c>
      <c r="G2726" s="65" t="b">
        <v>0</v>
      </c>
      <c r="H2726" s="65" t="b">
        <v>0</v>
      </c>
      <c r="I2726" s="65" t="b">
        <v>0</v>
      </c>
      <c r="J2726" s="65" t="b">
        <v>0</v>
      </c>
    </row>
    <row r="2727" spans="1:10" x14ac:dyDescent="0.2">
      <c r="A2727" s="51">
        <v>2726</v>
      </c>
      <c r="B2727" s="54" t="s">
        <v>820</v>
      </c>
      <c r="C2727" s="47" t="s">
        <v>12915</v>
      </c>
      <c r="D2727" s="47" t="s">
        <v>12916</v>
      </c>
      <c r="E2727" s="47" t="s">
        <v>12892</v>
      </c>
      <c r="F2727" s="55" t="b">
        <v>1</v>
      </c>
      <c r="G2727" s="65" t="b">
        <v>0</v>
      </c>
      <c r="H2727" s="65" t="b">
        <v>0</v>
      </c>
      <c r="I2727" s="65" t="b">
        <v>0</v>
      </c>
      <c r="J2727" s="65" t="b">
        <v>0</v>
      </c>
    </row>
    <row r="2728" spans="1:10" x14ac:dyDescent="0.2">
      <c r="A2728" s="51">
        <v>2727</v>
      </c>
      <c r="B2728" s="54" t="s">
        <v>820</v>
      </c>
      <c r="C2728" s="47" t="s">
        <v>12917</v>
      </c>
      <c r="D2728" s="47" t="s">
        <v>12918</v>
      </c>
      <c r="E2728" s="47" t="s">
        <v>12882</v>
      </c>
      <c r="F2728" s="55" t="b">
        <v>1</v>
      </c>
      <c r="G2728" s="65" t="b">
        <v>0</v>
      </c>
      <c r="H2728" s="65" t="b">
        <v>0</v>
      </c>
      <c r="I2728" s="65" t="b">
        <v>0</v>
      </c>
      <c r="J2728" s="65" t="b">
        <v>0</v>
      </c>
    </row>
    <row r="2729" spans="1:10" x14ac:dyDescent="0.2">
      <c r="A2729" s="51">
        <v>2728</v>
      </c>
      <c r="B2729" s="54" t="s">
        <v>820</v>
      </c>
      <c r="C2729" s="47" t="s">
        <v>12919</v>
      </c>
      <c r="D2729" s="47" t="s">
        <v>12920</v>
      </c>
      <c r="E2729" s="47" t="s">
        <v>12882</v>
      </c>
      <c r="F2729" s="55" t="b">
        <v>1</v>
      </c>
      <c r="G2729" s="65" t="b">
        <v>0</v>
      </c>
      <c r="H2729" s="65" t="b">
        <v>0</v>
      </c>
      <c r="I2729" s="65" t="b">
        <v>0</v>
      </c>
      <c r="J2729" s="65" t="b">
        <v>0</v>
      </c>
    </row>
    <row r="2730" spans="1:10" x14ac:dyDescent="0.2">
      <c r="A2730" s="51">
        <v>2729</v>
      </c>
      <c r="B2730" s="54" t="s">
        <v>820</v>
      </c>
      <c r="C2730" s="47" t="s">
        <v>12923</v>
      </c>
      <c r="D2730" s="47" t="s">
        <v>12924</v>
      </c>
      <c r="E2730" s="47" t="s">
        <v>12885</v>
      </c>
      <c r="F2730" s="55" t="b">
        <v>1</v>
      </c>
      <c r="G2730" s="65" t="b">
        <v>0</v>
      </c>
      <c r="H2730" s="65" t="b">
        <v>0</v>
      </c>
      <c r="I2730" s="65" t="b">
        <v>0</v>
      </c>
      <c r="J2730" s="65" t="b">
        <v>0</v>
      </c>
    </row>
    <row r="2731" spans="1:10" x14ac:dyDescent="0.2">
      <c r="A2731" s="51">
        <v>2730</v>
      </c>
      <c r="B2731" s="54" t="s">
        <v>820</v>
      </c>
      <c r="C2731" s="47" t="s">
        <v>12921</v>
      </c>
      <c r="D2731" s="47" t="s">
        <v>12922</v>
      </c>
      <c r="E2731" s="47" t="s">
        <v>12882</v>
      </c>
      <c r="F2731" s="55" t="b">
        <v>1</v>
      </c>
      <c r="G2731" s="65" t="b">
        <v>0</v>
      </c>
      <c r="H2731" s="65" t="b">
        <v>0</v>
      </c>
      <c r="I2731" s="65" t="b">
        <v>0</v>
      </c>
      <c r="J2731" s="65" t="b">
        <v>0</v>
      </c>
    </row>
    <row r="2732" spans="1:10" x14ac:dyDescent="0.2">
      <c r="A2732" s="51">
        <v>2731</v>
      </c>
      <c r="B2732" s="54" t="s">
        <v>820</v>
      </c>
      <c r="C2732" s="47" t="s">
        <v>12925</v>
      </c>
      <c r="D2732" s="47" t="s">
        <v>12926</v>
      </c>
      <c r="E2732" s="47" t="s">
        <v>12882</v>
      </c>
      <c r="F2732" s="55" t="b">
        <v>1</v>
      </c>
      <c r="G2732" s="65" t="b">
        <v>0</v>
      </c>
      <c r="H2732" s="65" t="b">
        <v>0</v>
      </c>
      <c r="I2732" s="65" t="b">
        <v>0</v>
      </c>
      <c r="J2732" s="65" t="b">
        <v>0</v>
      </c>
    </row>
    <row r="2733" spans="1:10" x14ac:dyDescent="0.2">
      <c r="A2733" s="51">
        <v>2732</v>
      </c>
      <c r="B2733" s="54" t="s">
        <v>820</v>
      </c>
      <c r="C2733" s="47" t="s">
        <v>12927</v>
      </c>
      <c r="D2733" s="47" t="s">
        <v>12928</v>
      </c>
      <c r="E2733" s="47" t="s">
        <v>12882</v>
      </c>
      <c r="F2733" s="55" t="b">
        <v>1</v>
      </c>
      <c r="G2733" s="65" t="b">
        <v>0</v>
      </c>
      <c r="H2733" s="65" t="b">
        <v>0</v>
      </c>
      <c r="I2733" s="65" t="b">
        <v>0</v>
      </c>
      <c r="J2733" s="65" t="b">
        <v>0</v>
      </c>
    </row>
    <row r="2734" spans="1:10" x14ac:dyDescent="0.2">
      <c r="A2734" s="51">
        <v>2733</v>
      </c>
      <c r="B2734" s="54" t="s">
        <v>820</v>
      </c>
      <c r="C2734" s="47" t="s">
        <v>12929</v>
      </c>
      <c r="D2734" s="47" t="s">
        <v>12930</v>
      </c>
      <c r="E2734" s="47" t="s">
        <v>12882</v>
      </c>
      <c r="F2734" s="55" t="b">
        <v>1</v>
      </c>
      <c r="G2734" s="65" t="b">
        <v>0</v>
      </c>
      <c r="H2734" s="65" t="b">
        <v>0</v>
      </c>
      <c r="I2734" s="65" t="b">
        <v>0</v>
      </c>
      <c r="J2734" s="65" t="b">
        <v>0</v>
      </c>
    </row>
    <row r="2735" spans="1:10" x14ac:dyDescent="0.2">
      <c r="A2735" s="51">
        <v>2734</v>
      </c>
      <c r="B2735" s="54" t="s">
        <v>820</v>
      </c>
      <c r="C2735" s="47" t="s">
        <v>12931</v>
      </c>
      <c r="D2735" s="47" t="s">
        <v>12932</v>
      </c>
      <c r="E2735" s="47" t="s">
        <v>12882</v>
      </c>
      <c r="F2735" s="55" t="b">
        <v>1</v>
      </c>
      <c r="G2735" s="65" t="b">
        <v>0</v>
      </c>
      <c r="H2735" s="65" t="b">
        <v>0</v>
      </c>
      <c r="I2735" s="65" t="b">
        <v>0</v>
      </c>
      <c r="J2735" s="65" t="b">
        <v>0</v>
      </c>
    </row>
    <row r="2736" spans="1:10" x14ac:dyDescent="0.2">
      <c r="A2736" s="51">
        <v>2735</v>
      </c>
      <c r="B2736" s="54" t="s">
        <v>820</v>
      </c>
      <c r="C2736" s="47" t="s">
        <v>12933</v>
      </c>
      <c r="D2736" s="47" t="s">
        <v>12934</v>
      </c>
      <c r="E2736" s="47" t="s">
        <v>12882</v>
      </c>
      <c r="F2736" s="55" t="b">
        <v>1</v>
      </c>
      <c r="G2736" s="65" t="b">
        <v>0</v>
      </c>
      <c r="H2736" s="65" t="b">
        <v>0</v>
      </c>
      <c r="I2736" s="65" t="b">
        <v>0</v>
      </c>
      <c r="J2736" s="65" t="b">
        <v>0</v>
      </c>
    </row>
    <row r="2737" spans="1:10" x14ac:dyDescent="0.2">
      <c r="A2737" s="51">
        <v>2736</v>
      </c>
      <c r="B2737" s="54" t="s">
        <v>820</v>
      </c>
      <c r="C2737" s="47" t="s">
        <v>12935</v>
      </c>
      <c r="D2737" s="47" t="s">
        <v>12936</v>
      </c>
      <c r="E2737" s="47" t="s">
        <v>12882</v>
      </c>
      <c r="F2737" s="55" t="b">
        <v>1</v>
      </c>
      <c r="G2737" s="65" t="b">
        <v>0</v>
      </c>
      <c r="H2737" s="65" t="b">
        <v>0</v>
      </c>
      <c r="I2737" s="65" t="b">
        <v>0</v>
      </c>
      <c r="J2737" s="65" t="b">
        <v>0</v>
      </c>
    </row>
    <row r="2738" spans="1:10" x14ac:dyDescent="0.2">
      <c r="A2738" s="51">
        <v>2737</v>
      </c>
      <c r="B2738" s="54" t="s">
        <v>820</v>
      </c>
      <c r="C2738" s="47" t="s">
        <v>12937</v>
      </c>
      <c r="D2738" s="47" t="s">
        <v>12938</v>
      </c>
      <c r="E2738" s="47" t="s">
        <v>12892</v>
      </c>
      <c r="F2738" s="55" t="b">
        <v>1</v>
      </c>
      <c r="G2738" s="65" t="b">
        <v>0</v>
      </c>
      <c r="H2738" s="65" t="b">
        <v>0</v>
      </c>
      <c r="I2738" s="65" t="b">
        <v>0</v>
      </c>
      <c r="J2738" s="65" t="b">
        <v>0</v>
      </c>
    </row>
    <row r="2739" spans="1:10" x14ac:dyDescent="0.2">
      <c r="A2739" s="51">
        <v>2738</v>
      </c>
      <c r="B2739" s="54" t="s">
        <v>820</v>
      </c>
      <c r="C2739" s="47" t="s">
        <v>12939</v>
      </c>
      <c r="D2739" s="47" t="s">
        <v>12940</v>
      </c>
      <c r="E2739" s="47" t="s">
        <v>12892</v>
      </c>
      <c r="F2739" s="55" t="b">
        <v>1</v>
      </c>
      <c r="G2739" s="65" t="b">
        <v>0</v>
      </c>
      <c r="H2739" s="65" t="b">
        <v>0</v>
      </c>
      <c r="I2739" s="65" t="b">
        <v>0</v>
      </c>
      <c r="J2739" s="65" t="b">
        <v>0</v>
      </c>
    </row>
    <row r="2740" spans="1:10" x14ac:dyDescent="0.2">
      <c r="A2740" s="51">
        <v>2739</v>
      </c>
      <c r="B2740" s="54" t="s">
        <v>820</v>
      </c>
      <c r="C2740" s="47" t="s">
        <v>12941</v>
      </c>
      <c r="D2740" s="47" t="s">
        <v>12942</v>
      </c>
      <c r="E2740" s="47" t="s">
        <v>12882</v>
      </c>
      <c r="F2740" s="55" t="b">
        <v>1</v>
      </c>
      <c r="G2740" s="65" t="b">
        <v>0</v>
      </c>
      <c r="H2740" s="65" t="b">
        <v>0</v>
      </c>
      <c r="I2740" s="65" t="b">
        <v>0</v>
      </c>
      <c r="J2740" s="65" t="b">
        <v>0</v>
      </c>
    </row>
    <row r="2741" spans="1:10" x14ac:dyDescent="0.2">
      <c r="A2741" s="51">
        <v>2740</v>
      </c>
      <c r="B2741" s="54" t="s">
        <v>820</v>
      </c>
      <c r="C2741" s="47" t="s">
        <v>12943</v>
      </c>
      <c r="D2741" s="47" t="s">
        <v>12944</v>
      </c>
      <c r="E2741" s="47" t="s">
        <v>12885</v>
      </c>
      <c r="F2741" s="55" t="b">
        <v>1</v>
      </c>
      <c r="G2741" s="65" t="b">
        <v>0</v>
      </c>
      <c r="H2741" s="65" t="b">
        <v>0</v>
      </c>
      <c r="I2741" s="65" t="b">
        <v>0</v>
      </c>
      <c r="J2741" s="65" t="b">
        <v>0</v>
      </c>
    </row>
    <row r="2742" spans="1:10" x14ac:dyDescent="0.2">
      <c r="A2742" s="51">
        <v>2741</v>
      </c>
      <c r="B2742" s="54" t="s">
        <v>820</v>
      </c>
      <c r="C2742" s="47" t="s">
        <v>12945</v>
      </c>
      <c r="D2742" s="47" t="s">
        <v>12946</v>
      </c>
      <c r="E2742" s="47" t="s">
        <v>12885</v>
      </c>
      <c r="F2742" s="55" t="b">
        <v>1</v>
      </c>
      <c r="G2742" s="65" t="b">
        <v>0</v>
      </c>
      <c r="H2742" s="65" t="b">
        <v>0</v>
      </c>
      <c r="I2742" s="65" t="b">
        <v>0</v>
      </c>
      <c r="J2742" s="65" t="b">
        <v>0</v>
      </c>
    </row>
    <row r="2743" spans="1:10" x14ac:dyDescent="0.2">
      <c r="A2743" s="51">
        <v>2742</v>
      </c>
      <c r="B2743" s="54" t="s">
        <v>820</v>
      </c>
      <c r="C2743" s="47" t="s">
        <v>12947</v>
      </c>
      <c r="D2743" s="47" t="s">
        <v>12948</v>
      </c>
      <c r="E2743" s="47" t="s">
        <v>12882</v>
      </c>
      <c r="F2743" s="55" t="b">
        <v>1</v>
      </c>
      <c r="G2743" s="65" t="b">
        <v>0</v>
      </c>
      <c r="H2743" s="65" t="b">
        <v>0</v>
      </c>
      <c r="I2743" s="65" t="b">
        <v>0</v>
      </c>
      <c r="J2743" s="65" t="b">
        <v>0</v>
      </c>
    </row>
    <row r="2744" spans="1:10" x14ac:dyDescent="0.2">
      <c r="A2744" s="51">
        <v>2743</v>
      </c>
      <c r="B2744" s="54" t="s">
        <v>820</v>
      </c>
      <c r="C2744" s="47" t="s">
        <v>12949</v>
      </c>
      <c r="D2744" s="47" t="s">
        <v>12950</v>
      </c>
      <c r="E2744" s="47" t="s">
        <v>12882</v>
      </c>
      <c r="F2744" s="55" t="b">
        <v>1</v>
      </c>
      <c r="G2744" s="65" t="b">
        <v>0</v>
      </c>
      <c r="H2744" s="65" t="b">
        <v>0</v>
      </c>
      <c r="I2744" s="65" t="b">
        <v>0</v>
      </c>
      <c r="J2744" s="65" t="b">
        <v>0</v>
      </c>
    </row>
    <row r="2745" spans="1:10" x14ac:dyDescent="0.2">
      <c r="A2745" s="51">
        <v>2744</v>
      </c>
      <c r="B2745" s="54" t="s">
        <v>820</v>
      </c>
      <c r="C2745" s="47" t="s">
        <v>12951</v>
      </c>
      <c r="D2745" s="47" t="s">
        <v>12952</v>
      </c>
      <c r="E2745" s="47" t="s">
        <v>12882</v>
      </c>
      <c r="F2745" s="55" t="b">
        <v>1</v>
      </c>
      <c r="G2745" s="65" t="b">
        <v>0</v>
      </c>
      <c r="H2745" s="65" t="b">
        <v>0</v>
      </c>
      <c r="I2745" s="65" t="b">
        <v>0</v>
      </c>
      <c r="J2745" s="65" t="b">
        <v>0</v>
      </c>
    </row>
    <row r="2746" spans="1:10" x14ac:dyDescent="0.2">
      <c r="A2746" s="51">
        <v>2745</v>
      </c>
      <c r="B2746" s="54" t="s">
        <v>820</v>
      </c>
      <c r="C2746" s="47" t="s">
        <v>12953</v>
      </c>
      <c r="D2746" s="47" t="s">
        <v>12954</v>
      </c>
      <c r="E2746" s="47" t="s">
        <v>12882</v>
      </c>
      <c r="F2746" s="55" t="b">
        <v>1</v>
      </c>
      <c r="G2746" s="65" t="b">
        <v>0</v>
      </c>
      <c r="H2746" s="65" t="b">
        <v>0</v>
      </c>
      <c r="I2746" s="65" t="b">
        <v>0</v>
      </c>
      <c r="J2746" s="65" t="b">
        <v>0</v>
      </c>
    </row>
    <row r="2747" spans="1:10" x14ac:dyDescent="0.2">
      <c r="A2747" s="51">
        <v>2746</v>
      </c>
      <c r="B2747" s="54" t="s">
        <v>820</v>
      </c>
      <c r="C2747" s="47" t="s">
        <v>12955</v>
      </c>
      <c r="D2747" s="47" t="s">
        <v>12956</v>
      </c>
      <c r="E2747" s="47" t="s">
        <v>12882</v>
      </c>
      <c r="F2747" s="55" t="b">
        <v>1</v>
      </c>
      <c r="G2747" s="65" t="b">
        <v>0</v>
      </c>
      <c r="H2747" s="65" t="b">
        <v>0</v>
      </c>
      <c r="I2747" s="65" t="b">
        <v>0</v>
      </c>
      <c r="J2747" s="65" t="b">
        <v>0</v>
      </c>
    </row>
    <row r="2748" spans="1:10" x14ac:dyDescent="0.2">
      <c r="A2748" s="51">
        <v>2747</v>
      </c>
      <c r="B2748" s="54" t="s">
        <v>820</v>
      </c>
      <c r="C2748" s="47" t="s">
        <v>12957</v>
      </c>
      <c r="D2748" s="47" t="s">
        <v>12958</v>
      </c>
      <c r="E2748" s="47" t="s">
        <v>12882</v>
      </c>
      <c r="F2748" s="55" t="b">
        <v>1</v>
      </c>
      <c r="G2748" s="65" t="b">
        <v>0</v>
      </c>
      <c r="H2748" s="65" t="b">
        <v>0</v>
      </c>
      <c r="I2748" s="65" t="b">
        <v>0</v>
      </c>
      <c r="J2748" s="65" t="b">
        <v>0</v>
      </c>
    </row>
    <row r="2749" spans="1:10" x14ac:dyDescent="0.2">
      <c r="A2749" s="51">
        <v>2748</v>
      </c>
      <c r="B2749" s="54" t="s">
        <v>820</v>
      </c>
      <c r="C2749" s="47" t="s">
        <v>12959</v>
      </c>
      <c r="D2749" s="47" t="s">
        <v>12960</v>
      </c>
      <c r="E2749" s="47" t="s">
        <v>12892</v>
      </c>
      <c r="F2749" s="55" t="b">
        <v>1</v>
      </c>
      <c r="G2749" s="65" t="b">
        <v>0</v>
      </c>
      <c r="H2749" s="65" t="b">
        <v>0</v>
      </c>
      <c r="I2749" s="65" t="b">
        <v>0</v>
      </c>
      <c r="J2749" s="65" t="b">
        <v>0</v>
      </c>
    </row>
    <row r="2750" spans="1:10" x14ac:dyDescent="0.2">
      <c r="A2750" s="51">
        <v>2749</v>
      </c>
      <c r="B2750" s="54" t="s">
        <v>820</v>
      </c>
      <c r="C2750" s="47" t="s">
        <v>12961</v>
      </c>
      <c r="D2750" s="47" t="s">
        <v>12962</v>
      </c>
      <c r="E2750" s="47" t="s">
        <v>12882</v>
      </c>
      <c r="F2750" s="55" t="b">
        <v>1</v>
      </c>
      <c r="G2750" s="65" t="b">
        <v>0</v>
      </c>
      <c r="H2750" s="65" t="b">
        <v>0</v>
      </c>
      <c r="I2750" s="65" t="b">
        <v>0</v>
      </c>
      <c r="J2750" s="65" t="b">
        <v>0</v>
      </c>
    </row>
    <row r="2751" spans="1:10" x14ac:dyDescent="0.2">
      <c r="A2751" s="51">
        <v>2750</v>
      </c>
      <c r="B2751" s="54" t="s">
        <v>820</v>
      </c>
      <c r="C2751" s="47" t="s">
        <v>12963</v>
      </c>
      <c r="D2751" s="47" t="s">
        <v>12964</v>
      </c>
      <c r="E2751" s="47" t="s">
        <v>12882</v>
      </c>
      <c r="F2751" s="55" t="b">
        <v>1</v>
      </c>
      <c r="G2751" s="65" t="b">
        <v>0</v>
      </c>
      <c r="H2751" s="65" t="b">
        <v>0</v>
      </c>
      <c r="I2751" s="65" t="b">
        <v>0</v>
      </c>
      <c r="J2751" s="65" t="b">
        <v>0</v>
      </c>
    </row>
    <row r="2752" spans="1:10" x14ac:dyDescent="0.2">
      <c r="A2752" s="51">
        <v>2751</v>
      </c>
      <c r="B2752" s="54" t="s">
        <v>820</v>
      </c>
      <c r="C2752" s="47" t="s">
        <v>12965</v>
      </c>
      <c r="D2752" s="47" t="s">
        <v>12966</v>
      </c>
      <c r="E2752" s="47" t="s">
        <v>12882</v>
      </c>
      <c r="F2752" s="55" t="b">
        <v>1</v>
      </c>
      <c r="G2752" s="65" t="b">
        <v>0</v>
      </c>
      <c r="H2752" s="65" t="b">
        <v>0</v>
      </c>
      <c r="I2752" s="65" t="b">
        <v>0</v>
      </c>
      <c r="J2752" s="65" t="b">
        <v>0</v>
      </c>
    </row>
    <row r="2753" spans="1:10" x14ac:dyDescent="0.2">
      <c r="A2753" s="51">
        <v>2752</v>
      </c>
      <c r="B2753" s="54" t="s">
        <v>820</v>
      </c>
      <c r="C2753" s="47" t="s">
        <v>12969</v>
      </c>
      <c r="D2753" s="47" t="s">
        <v>12970</v>
      </c>
      <c r="E2753" s="47" t="s">
        <v>12885</v>
      </c>
      <c r="F2753" s="55" t="b">
        <v>1</v>
      </c>
      <c r="G2753" s="65" t="b">
        <v>0</v>
      </c>
      <c r="H2753" s="65" t="b">
        <v>0</v>
      </c>
      <c r="I2753" s="65" t="b">
        <v>0</v>
      </c>
      <c r="J2753" s="65" t="b">
        <v>0</v>
      </c>
    </row>
    <row r="2754" spans="1:10" x14ac:dyDescent="0.2">
      <c r="A2754" s="51">
        <v>2753</v>
      </c>
      <c r="B2754" s="54" t="s">
        <v>820</v>
      </c>
      <c r="C2754" s="47" t="s">
        <v>12967</v>
      </c>
      <c r="D2754" s="47" t="s">
        <v>12968</v>
      </c>
      <c r="E2754" s="47" t="s">
        <v>12882</v>
      </c>
      <c r="F2754" s="55" t="b">
        <v>1</v>
      </c>
      <c r="G2754" s="65" t="b">
        <v>0</v>
      </c>
      <c r="H2754" s="65" t="b">
        <v>0</v>
      </c>
      <c r="I2754" s="65" t="b">
        <v>0</v>
      </c>
      <c r="J2754" s="65" t="b">
        <v>0</v>
      </c>
    </row>
    <row r="2755" spans="1:10" x14ac:dyDescent="0.2">
      <c r="A2755" s="51">
        <v>2754</v>
      </c>
      <c r="B2755" s="54" t="s">
        <v>820</v>
      </c>
      <c r="C2755" s="47" t="s">
        <v>12971</v>
      </c>
      <c r="D2755" s="47" t="s">
        <v>12972</v>
      </c>
      <c r="E2755" s="47" t="s">
        <v>12882</v>
      </c>
      <c r="F2755" s="55" t="b">
        <v>1</v>
      </c>
      <c r="G2755" s="65" t="b">
        <v>0</v>
      </c>
      <c r="H2755" s="65" t="b">
        <v>0</v>
      </c>
      <c r="I2755" s="65" t="b">
        <v>0</v>
      </c>
      <c r="J2755" s="65" t="b">
        <v>0</v>
      </c>
    </row>
    <row r="2756" spans="1:10" x14ac:dyDescent="0.2">
      <c r="A2756" s="51">
        <v>2755</v>
      </c>
      <c r="B2756" s="54" t="s">
        <v>820</v>
      </c>
      <c r="C2756" s="47" t="s">
        <v>12973</v>
      </c>
      <c r="D2756" s="47" t="s">
        <v>12974</v>
      </c>
      <c r="E2756" s="47" t="s">
        <v>12882</v>
      </c>
      <c r="F2756" s="55" t="b">
        <v>1</v>
      </c>
      <c r="G2756" s="65" t="b">
        <v>0</v>
      </c>
      <c r="H2756" s="65" t="b">
        <v>0</v>
      </c>
      <c r="I2756" s="65" t="b">
        <v>0</v>
      </c>
      <c r="J2756" s="65" t="b">
        <v>0</v>
      </c>
    </row>
    <row r="2757" spans="1:10" x14ac:dyDescent="0.2">
      <c r="A2757" s="51">
        <v>2756</v>
      </c>
      <c r="B2757" s="54" t="s">
        <v>820</v>
      </c>
      <c r="C2757" s="47" t="s">
        <v>12975</v>
      </c>
      <c r="D2757" s="47" t="s">
        <v>12976</v>
      </c>
      <c r="E2757" s="47" t="s">
        <v>12882</v>
      </c>
      <c r="F2757" s="55" t="b">
        <v>1</v>
      </c>
      <c r="G2757" s="65" t="b">
        <v>0</v>
      </c>
      <c r="H2757" s="65" t="b">
        <v>0</v>
      </c>
      <c r="I2757" s="65" t="b">
        <v>0</v>
      </c>
      <c r="J2757" s="65" t="b">
        <v>0</v>
      </c>
    </row>
    <row r="2758" spans="1:10" x14ac:dyDescent="0.2">
      <c r="A2758" s="51">
        <v>2757</v>
      </c>
      <c r="B2758" s="54" t="s">
        <v>820</v>
      </c>
      <c r="C2758" s="47" t="s">
        <v>12977</v>
      </c>
      <c r="D2758" s="47" t="s">
        <v>12978</v>
      </c>
      <c r="E2758" s="47" t="s">
        <v>12882</v>
      </c>
      <c r="F2758" s="55" t="b">
        <v>1</v>
      </c>
      <c r="G2758" s="65" t="b">
        <v>0</v>
      </c>
      <c r="H2758" s="65" t="b">
        <v>0</v>
      </c>
      <c r="I2758" s="65" t="b">
        <v>0</v>
      </c>
      <c r="J2758" s="65" t="b">
        <v>0</v>
      </c>
    </row>
    <row r="2759" spans="1:10" x14ac:dyDescent="0.2">
      <c r="A2759" s="51">
        <v>2758</v>
      </c>
      <c r="B2759" s="54" t="s">
        <v>820</v>
      </c>
      <c r="C2759" s="47" t="s">
        <v>12979</v>
      </c>
      <c r="D2759" s="47" t="s">
        <v>12980</v>
      </c>
      <c r="E2759" s="47" t="s">
        <v>12882</v>
      </c>
      <c r="F2759" s="55" t="b">
        <v>1</v>
      </c>
      <c r="G2759" s="65" t="b">
        <v>0</v>
      </c>
      <c r="H2759" s="65" t="b">
        <v>0</v>
      </c>
      <c r="I2759" s="65" t="b">
        <v>0</v>
      </c>
      <c r="J2759" s="65" t="b">
        <v>0</v>
      </c>
    </row>
    <row r="2760" spans="1:10" x14ac:dyDescent="0.2">
      <c r="A2760" s="51">
        <v>2759</v>
      </c>
      <c r="B2760" s="54" t="s">
        <v>820</v>
      </c>
      <c r="C2760" s="47" t="s">
        <v>12981</v>
      </c>
      <c r="D2760" s="47" t="s">
        <v>12982</v>
      </c>
      <c r="E2760" s="47" t="s">
        <v>12882</v>
      </c>
      <c r="F2760" s="55" t="b">
        <v>1</v>
      </c>
      <c r="G2760" s="65" t="b">
        <v>0</v>
      </c>
      <c r="H2760" s="65" t="b">
        <v>0</v>
      </c>
      <c r="I2760" s="65" t="b">
        <v>0</v>
      </c>
      <c r="J2760" s="65" t="b">
        <v>0</v>
      </c>
    </row>
    <row r="2761" spans="1:10" x14ac:dyDescent="0.2">
      <c r="A2761" s="51">
        <v>2760</v>
      </c>
      <c r="B2761" s="54" t="s">
        <v>820</v>
      </c>
      <c r="C2761" s="47" t="s">
        <v>12983</v>
      </c>
      <c r="D2761" s="47" t="s">
        <v>12984</v>
      </c>
      <c r="E2761" s="47" t="s">
        <v>12882</v>
      </c>
      <c r="F2761" s="55" t="b">
        <v>1</v>
      </c>
      <c r="G2761" s="65" t="b">
        <v>0</v>
      </c>
      <c r="H2761" s="65" t="b">
        <v>0</v>
      </c>
      <c r="I2761" s="65" t="b">
        <v>0</v>
      </c>
      <c r="J2761" s="65" t="b">
        <v>0</v>
      </c>
    </row>
    <row r="2762" spans="1:10" x14ac:dyDescent="0.2">
      <c r="A2762" s="51">
        <v>2761</v>
      </c>
      <c r="B2762" s="54" t="s">
        <v>820</v>
      </c>
      <c r="C2762" s="47" t="s">
        <v>12985</v>
      </c>
      <c r="D2762" s="47" t="s">
        <v>12986</v>
      </c>
      <c r="E2762" s="47" t="s">
        <v>12882</v>
      </c>
      <c r="F2762" s="55" t="b">
        <v>1</v>
      </c>
      <c r="G2762" s="65" t="b">
        <v>0</v>
      </c>
      <c r="H2762" s="65" t="b">
        <v>0</v>
      </c>
      <c r="I2762" s="65" t="b">
        <v>0</v>
      </c>
      <c r="J2762" s="65" t="b">
        <v>0</v>
      </c>
    </row>
    <row r="2763" spans="1:10" x14ac:dyDescent="0.2">
      <c r="A2763" s="51">
        <v>2762</v>
      </c>
      <c r="B2763" s="54" t="s">
        <v>820</v>
      </c>
      <c r="C2763" s="47" t="s">
        <v>12987</v>
      </c>
      <c r="D2763" s="47" t="s">
        <v>12988</v>
      </c>
      <c r="E2763" s="47" t="s">
        <v>12882</v>
      </c>
      <c r="F2763" s="55" t="b">
        <v>1</v>
      </c>
      <c r="G2763" s="65" t="b">
        <v>0</v>
      </c>
      <c r="H2763" s="65" t="b">
        <v>0</v>
      </c>
      <c r="I2763" s="65" t="b">
        <v>0</v>
      </c>
      <c r="J2763" s="65" t="b">
        <v>0</v>
      </c>
    </row>
    <row r="2764" spans="1:10" x14ac:dyDescent="0.2">
      <c r="A2764" s="51">
        <v>2763</v>
      </c>
      <c r="B2764" s="54" t="s">
        <v>820</v>
      </c>
      <c r="C2764" s="47" t="s">
        <v>12989</v>
      </c>
      <c r="D2764" s="47" t="s">
        <v>12990</v>
      </c>
      <c r="E2764" s="47" t="s">
        <v>12882</v>
      </c>
      <c r="F2764" s="55" t="b">
        <v>1</v>
      </c>
      <c r="G2764" s="65" t="b">
        <v>0</v>
      </c>
      <c r="H2764" s="65" t="b">
        <v>0</v>
      </c>
      <c r="I2764" s="65" t="b">
        <v>0</v>
      </c>
      <c r="J2764" s="65" t="b">
        <v>0</v>
      </c>
    </row>
    <row r="2765" spans="1:10" x14ac:dyDescent="0.2">
      <c r="A2765" s="51">
        <v>2764</v>
      </c>
      <c r="B2765" s="54" t="s">
        <v>820</v>
      </c>
      <c r="C2765" s="47" t="s">
        <v>12991</v>
      </c>
      <c r="D2765" s="47" t="s">
        <v>12992</v>
      </c>
      <c r="E2765" s="47" t="s">
        <v>12882</v>
      </c>
      <c r="F2765" s="55" t="b">
        <v>1</v>
      </c>
      <c r="G2765" s="65" t="b">
        <v>0</v>
      </c>
      <c r="H2765" s="65" t="b">
        <v>0</v>
      </c>
      <c r="I2765" s="65" t="b">
        <v>0</v>
      </c>
      <c r="J2765" s="65" t="b">
        <v>0</v>
      </c>
    </row>
    <row r="2766" spans="1:10" x14ac:dyDescent="0.2">
      <c r="A2766" s="51">
        <v>2765</v>
      </c>
      <c r="B2766" s="54" t="s">
        <v>820</v>
      </c>
      <c r="C2766" s="47" t="s">
        <v>12993</v>
      </c>
      <c r="D2766" s="47" t="s">
        <v>12994</v>
      </c>
      <c r="E2766" s="47" t="s">
        <v>12882</v>
      </c>
      <c r="F2766" s="55" t="b">
        <v>1</v>
      </c>
      <c r="G2766" s="65" t="b">
        <v>0</v>
      </c>
      <c r="H2766" s="65" t="b">
        <v>0</v>
      </c>
      <c r="I2766" s="65" t="b">
        <v>0</v>
      </c>
      <c r="J2766" s="65" t="b">
        <v>0</v>
      </c>
    </row>
    <row r="2767" spans="1:10" x14ac:dyDescent="0.2">
      <c r="A2767" s="51">
        <v>2766</v>
      </c>
      <c r="B2767" s="54" t="s">
        <v>820</v>
      </c>
      <c r="C2767" s="47" t="s">
        <v>12995</v>
      </c>
      <c r="D2767" s="47" t="s">
        <v>12996</v>
      </c>
      <c r="E2767" s="47" t="s">
        <v>12885</v>
      </c>
      <c r="F2767" s="55" t="b">
        <v>1</v>
      </c>
      <c r="G2767" s="65" t="b">
        <v>0</v>
      </c>
      <c r="H2767" s="65" t="b">
        <v>0</v>
      </c>
      <c r="I2767" s="65" t="b">
        <v>0</v>
      </c>
      <c r="J2767" s="65" t="b">
        <v>0</v>
      </c>
    </row>
    <row r="2768" spans="1:10" x14ac:dyDescent="0.2">
      <c r="A2768" s="51">
        <v>2767</v>
      </c>
      <c r="B2768" s="54" t="s">
        <v>820</v>
      </c>
      <c r="C2768" s="47" t="s">
        <v>12997</v>
      </c>
      <c r="D2768" s="47" t="s">
        <v>12998</v>
      </c>
      <c r="E2768" s="47" t="s">
        <v>12882</v>
      </c>
      <c r="F2768" s="55" t="b">
        <v>1</v>
      </c>
      <c r="G2768" s="65" t="b">
        <v>0</v>
      </c>
      <c r="H2768" s="65" t="b">
        <v>0</v>
      </c>
      <c r="I2768" s="65" t="b">
        <v>0</v>
      </c>
      <c r="J2768" s="65" t="b">
        <v>0</v>
      </c>
    </row>
    <row r="2769" spans="1:14" x14ac:dyDescent="0.2">
      <c r="A2769" s="51">
        <v>2768</v>
      </c>
      <c r="B2769" s="54" t="s">
        <v>820</v>
      </c>
      <c r="C2769" s="47" t="s">
        <v>12999</v>
      </c>
      <c r="D2769" s="47" t="s">
        <v>13000</v>
      </c>
      <c r="E2769" s="47" t="s">
        <v>12892</v>
      </c>
      <c r="F2769" s="55" t="b">
        <v>1</v>
      </c>
      <c r="G2769" s="65" t="b">
        <v>0</v>
      </c>
      <c r="H2769" s="65" t="b">
        <v>0</v>
      </c>
      <c r="I2769" s="65" t="b">
        <v>0</v>
      </c>
      <c r="J2769" s="65" t="b">
        <v>0</v>
      </c>
    </row>
    <row r="2770" spans="1:14" x14ac:dyDescent="0.2">
      <c r="A2770" s="51">
        <v>2769</v>
      </c>
      <c r="B2770" s="54" t="s">
        <v>820</v>
      </c>
      <c r="C2770" s="47" t="s">
        <v>13001</v>
      </c>
      <c r="D2770" s="47" t="s">
        <v>13002</v>
      </c>
      <c r="E2770" s="47" t="s">
        <v>12882</v>
      </c>
      <c r="F2770" s="55" t="b">
        <v>1</v>
      </c>
      <c r="G2770" s="65" t="b">
        <v>0</v>
      </c>
      <c r="H2770" s="65" t="b">
        <v>0</v>
      </c>
      <c r="I2770" s="65" t="b">
        <v>0</v>
      </c>
      <c r="J2770" s="65" t="b">
        <v>0</v>
      </c>
    </row>
    <row r="2771" spans="1:14" x14ac:dyDescent="0.2">
      <c r="A2771" s="51">
        <v>2770</v>
      </c>
      <c r="B2771" s="54" t="s">
        <v>820</v>
      </c>
      <c r="C2771" s="47" t="s">
        <v>6460</v>
      </c>
      <c r="D2771" s="47" t="s">
        <v>6461</v>
      </c>
      <c r="E2771" s="48" t="s">
        <v>1788</v>
      </c>
      <c r="F2771" s="66" t="b">
        <v>0</v>
      </c>
      <c r="G2771" s="65" t="b">
        <v>0</v>
      </c>
      <c r="H2771" s="65" t="b">
        <v>0</v>
      </c>
      <c r="I2771" s="65" t="b">
        <v>0</v>
      </c>
      <c r="J2771" s="65" t="b">
        <v>0</v>
      </c>
    </row>
    <row r="2772" spans="1:14" x14ac:dyDescent="0.2">
      <c r="A2772" s="51">
        <v>2771</v>
      </c>
      <c r="B2772" s="54" t="s">
        <v>820</v>
      </c>
      <c r="C2772" s="47" t="s">
        <v>6464</v>
      </c>
      <c r="D2772" s="47" t="s">
        <v>6465</v>
      </c>
      <c r="E2772" s="48" t="s">
        <v>1788</v>
      </c>
      <c r="F2772" s="66" t="b">
        <v>0</v>
      </c>
      <c r="G2772" s="65" t="b">
        <v>0</v>
      </c>
      <c r="H2772" s="65" t="b">
        <v>0</v>
      </c>
      <c r="I2772" s="65" t="b">
        <v>0</v>
      </c>
      <c r="J2772" s="65" t="b">
        <v>0</v>
      </c>
    </row>
    <row r="2773" spans="1:14" x14ac:dyDescent="0.2">
      <c r="A2773" s="51">
        <v>2772</v>
      </c>
      <c r="B2773" s="54" t="s">
        <v>820</v>
      </c>
      <c r="C2773" s="47" t="s">
        <v>6462</v>
      </c>
      <c r="D2773" s="47" t="s">
        <v>6463</v>
      </c>
      <c r="E2773" s="48" t="s">
        <v>1788</v>
      </c>
      <c r="F2773" s="66" t="b">
        <v>0</v>
      </c>
      <c r="G2773" s="65" t="b">
        <v>0</v>
      </c>
      <c r="H2773" s="65" t="b">
        <v>0</v>
      </c>
      <c r="I2773" s="65" t="b">
        <v>0</v>
      </c>
      <c r="J2773" s="65" t="b">
        <v>0</v>
      </c>
    </row>
    <row r="2774" spans="1:14" x14ac:dyDescent="0.2">
      <c r="A2774" s="51">
        <v>2773</v>
      </c>
      <c r="B2774" s="54" t="s">
        <v>820</v>
      </c>
      <c r="C2774" s="47" t="s">
        <v>6466</v>
      </c>
      <c r="D2774" s="47" t="s">
        <v>6467</v>
      </c>
      <c r="E2774" s="48" t="s">
        <v>1788</v>
      </c>
      <c r="F2774" s="66" t="b">
        <v>0</v>
      </c>
      <c r="G2774" s="65" t="b">
        <v>0</v>
      </c>
      <c r="H2774" s="65" t="b">
        <v>0</v>
      </c>
      <c r="I2774" s="65" t="b">
        <v>0</v>
      </c>
      <c r="J2774" s="65" t="b">
        <v>0</v>
      </c>
    </row>
    <row r="2775" spans="1:14" x14ac:dyDescent="0.2">
      <c r="A2775" s="51">
        <v>2774</v>
      </c>
      <c r="B2775" s="54" t="s">
        <v>820</v>
      </c>
      <c r="C2775" s="47" t="s">
        <v>6468</v>
      </c>
      <c r="D2775" s="47" t="s">
        <v>6469</v>
      </c>
      <c r="E2775" s="48" t="s">
        <v>1788</v>
      </c>
      <c r="F2775" s="66" t="b">
        <v>0</v>
      </c>
      <c r="G2775" s="65" t="b">
        <v>0</v>
      </c>
      <c r="H2775" s="65" t="b">
        <v>0</v>
      </c>
      <c r="I2775" s="65" t="b">
        <v>0</v>
      </c>
      <c r="J2775" s="65" t="b">
        <v>0</v>
      </c>
    </row>
    <row r="2776" spans="1:14" x14ac:dyDescent="0.2">
      <c r="A2776" s="51">
        <v>2775</v>
      </c>
      <c r="B2776" s="54" t="s">
        <v>820</v>
      </c>
      <c r="C2776" s="47" t="s">
        <v>6478</v>
      </c>
      <c r="D2776" s="47" t="s">
        <v>6479</v>
      </c>
      <c r="E2776" s="48" t="s">
        <v>1788</v>
      </c>
      <c r="F2776" s="66" t="b">
        <v>0</v>
      </c>
      <c r="G2776" s="65" t="b">
        <v>0</v>
      </c>
      <c r="H2776" s="65" t="b">
        <v>0</v>
      </c>
      <c r="I2776" s="65" t="b">
        <v>0</v>
      </c>
      <c r="J2776" s="65" t="b">
        <v>0</v>
      </c>
    </row>
    <row r="2777" spans="1:14" x14ac:dyDescent="0.2">
      <c r="A2777" s="51">
        <v>2776</v>
      </c>
      <c r="B2777" s="54" t="s">
        <v>820</v>
      </c>
      <c r="C2777" s="47" t="s">
        <v>6470</v>
      </c>
      <c r="D2777" s="47" t="s">
        <v>6471</v>
      </c>
      <c r="E2777" s="48" t="s">
        <v>1788</v>
      </c>
      <c r="F2777" s="66" t="b">
        <v>0</v>
      </c>
      <c r="G2777" s="65" t="b">
        <v>0</v>
      </c>
      <c r="H2777" s="65" t="b">
        <v>0</v>
      </c>
      <c r="I2777" s="65" t="b">
        <v>0</v>
      </c>
      <c r="J2777" s="65" t="b">
        <v>0</v>
      </c>
    </row>
    <row r="2778" spans="1:14" x14ac:dyDescent="0.2">
      <c r="A2778" s="51">
        <v>2777</v>
      </c>
      <c r="B2778" s="54" t="s">
        <v>820</v>
      </c>
      <c r="C2778" s="47" t="s">
        <v>6472</v>
      </c>
      <c r="D2778" s="47" t="s">
        <v>6473</v>
      </c>
      <c r="E2778" s="48" t="s">
        <v>1788</v>
      </c>
      <c r="F2778" s="66" t="b">
        <v>0</v>
      </c>
      <c r="G2778" s="65" t="b">
        <v>0</v>
      </c>
      <c r="H2778" s="65" t="b">
        <v>0</v>
      </c>
      <c r="I2778" s="65" t="b">
        <v>0</v>
      </c>
      <c r="J2778" s="65" t="b">
        <v>0</v>
      </c>
    </row>
    <row r="2779" spans="1:14" x14ac:dyDescent="0.2">
      <c r="A2779" s="51">
        <v>2778</v>
      </c>
      <c r="B2779" s="54" t="s">
        <v>820</v>
      </c>
      <c r="C2779" s="47" t="s">
        <v>6474</v>
      </c>
      <c r="D2779" s="47" t="s">
        <v>6475</v>
      </c>
      <c r="E2779" s="48" t="s">
        <v>1788</v>
      </c>
      <c r="F2779" s="66" t="b">
        <v>0</v>
      </c>
      <c r="G2779" s="65" t="b">
        <v>0</v>
      </c>
      <c r="H2779" s="65" t="b">
        <v>0</v>
      </c>
      <c r="I2779" s="65" t="b">
        <v>0</v>
      </c>
      <c r="J2779" s="65" t="b">
        <v>0</v>
      </c>
    </row>
    <row r="2780" spans="1:14" x14ac:dyDescent="0.2">
      <c r="A2780" s="51">
        <v>2779</v>
      </c>
      <c r="B2780" s="54" t="s">
        <v>820</v>
      </c>
      <c r="C2780" s="47" t="s">
        <v>6476</v>
      </c>
      <c r="D2780" s="47" t="s">
        <v>6477</v>
      </c>
      <c r="E2780" s="48" t="s">
        <v>1788</v>
      </c>
      <c r="F2780" s="66" t="b">
        <v>0</v>
      </c>
      <c r="G2780" s="65" t="b">
        <v>0</v>
      </c>
      <c r="H2780" s="65" t="b">
        <v>0</v>
      </c>
      <c r="I2780" s="65" t="b">
        <v>0</v>
      </c>
      <c r="J2780" s="65" t="b">
        <v>0</v>
      </c>
    </row>
    <row r="2781" spans="1:14" x14ac:dyDescent="0.2">
      <c r="A2781" s="51">
        <v>2780</v>
      </c>
      <c r="E2781" s="48"/>
      <c r="G2781" s="65" t="b">
        <v>0</v>
      </c>
      <c r="H2781" s="65" t="b">
        <v>0</v>
      </c>
      <c r="I2781" s="65" t="b">
        <v>0</v>
      </c>
      <c r="J2781" s="65" t="b">
        <v>0</v>
      </c>
      <c r="K2781" s="63" t="s">
        <v>820</v>
      </c>
      <c r="L2781" s="63" t="s">
        <v>6460</v>
      </c>
      <c r="M2781" s="63" t="s">
        <v>6461</v>
      </c>
      <c r="N2781" s="63" t="s">
        <v>1788</v>
      </c>
    </row>
    <row r="2782" spans="1:14" x14ac:dyDescent="0.2">
      <c r="A2782" s="51">
        <v>2781</v>
      </c>
      <c r="E2782" s="48"/>
      <c r="G2782" s="65" t="b">
        <v>0</v>
      </c>
      <c r="H2782" s="65" t="b">
        <v>0</v>
      </c>
      <c r="I2782" s="65" t="b">
        <v>0</v>
      </c>
      <c r="J2782" s="65" t="b">
        <v>0</v>
      </c>
      <c r="K2782" s="63" t="s">
        <v>820</v>
      </c>
      <c r="L2782" s="63" t="s">
        <v>6464</v>
      </c>
      <c r="M2782" s="63" t="s">
        <v>6465</v>
      </c>
      <c r="N2782" s="63" t="s">
        <v>1788</v>
      </c>
    </row>
    <row r="2783" spans="1:14" x14ac:dyDescent="0.2">
      <c r="A2783" s="51">
        <v>2782</v>
      </c>
      <c r="E2783" s="48"/>
      <c r="G2783" s="65" t="b">
        <v>0</v>
      </c>
      <c r="H2783" s="65" t="b">
        <v>0</v>
      </c>
      <c r="I2783" s="65" t="b">
        <v>0</v>
      </c>
      <c r="J2783" s="65" t="b">
        <v>0</v>
      </c>
      <c r="K2783" s="63" t="s">
        <v>820</v>
      </c>
      <c r="L2783" s="63" t="s">
        <v>6462</v>
      </c>
      <c r="M2783" s="63" t="s">
        <v>6463</v>
      </c>
      <c r="N2783" s="63" t="s">
        <v>1788</v>
      </c>
    </row>
    <row r="2784" spans="1:14" x14ac:dyDescent="0.2">
      <c r="A2784" s="51">
        <v>2783</v>
      </c>
      <c r="E2784" s="48"/>
      <c r="G2784" s="65" t="b">
        <v>0</v>
      </c>
      <c r="H2784" s="65" t="b">
        <v>0</v>
      </c>
      <c r="I2784" s="65" t="b">
        <v>0</v>
      </c>
      <c r="J2784" s="65" t="b">
        <v>0</v>
      </c>
      <c r="K2784" s="63" t="s">
        <v>820</v>
      </c>
      <c r="L2784" s="63" t="s">
        <v>6466</v>
      </c>
      <c r="M2784" s="63" t="s">
        <v>6467</v>
      </c>
      <c r="N2784" s="63" t="s">
        <v>1788</v>
      </c>
    </row>
    <row r="2785" spans="1:14" x14ac:dyDescent="0.2">
      <c r="A2785" s="51">
        <v>2784</v>
      </c>
      <c r="E2785" s="48"/>
      <c r="G2785" s="65" t="b">
        <v>0</v>
      </c>
      <c r="H2785" s="65" t="b">
        <v>0</v>
      </c>
      <c r="I2785" s="65" t="b">
        <v>0</v>
      </c>
      <c r="J2785" s="65" t="b">
        <v>0</v>
      </c>
      <c r="K2785" s="63" t="s">
        <v>820</v>
      </c>
      <c r="L2785" s="63" t="s">
        <v>6468</v>
      </c>
      <c r="M2785" s="63" t="s">
        <v>6469</v>
      </c>
      <c r="N2785" s="63" t="s">
        <v>1788</v>
      </c>
    </row>
    <row r="2786" spans="1:14" x14ac:dyDescent="0.2">
      <c r="A2786" s="51">
        <v>2785</v>
      </c>
      <c r="E2786" s="48"/>
      <c r="G2786" s="65" t="b">
        <v>0</v>
      </c>
      <c r="H2786" s="65" t="b">
        <v>0</v>
      </c>
      <c r="I2786" s="65" t="b">
        <v>0</v>
      </c>
      <c r="J2786" s="65" t="b">
        <v>0</v>
      </c>
      <c r="K2786" s="63" t="s">
        <v>820</v>
      </c>
      <c r="L2786" s="63" t="s">
        <v>6478</v>
      </c>
      <c r="M2786" s="63" t="s">
        <v>6479</v>
      </c>
      <c r="N2786" s="63" t="s">
        <v>1788</v>
      </c>
    </row>
    <row r="2787" spans="1:14" x14ac:dyDescent="0.2">
      <c r="A2787" s="51">
        <v>2786</v>
      </c>
      <c r="E2787" s="48"/>
      <c r="G2787" s="65" t="b">
        <v>0</v>
      </c>
      <c r="H2787" s="65" t="b">
        <v>0</v>
      </c>
      <c r="I2787" s="65" t="b">
        <v>0</v>
      </c>
      <c r="J2787" s="65" t="b">
        <v>0</v>
      </c>
      <c r="K2787" s="63" t="s">
        <v>820</v>
      </c>
      <c r="L2787" s="63" t="s">
        <v>6470</v>
      </c>
      <c r="M2787" s="63" t="s">
        <v>6471</v>
      </c>
      <c r="N2787" s="63" t="s">
        <v>1788</v>
      </c>
    </row>
    <row r="2788" spans="1:14" x14ac:dyDescent="0.2">
      <c r="A2788" s="51">
        <v>2787</v>
      </c>
      <c r="E2788" s="48"/>
      <c r="G2788" s="65" t="b">
        <v>0</v>
      </c>
      <c r="H2788" s="65" t="b">
        <v>0</v>
      </c>
      <c r="I2788" s="65" t="b">
        <v>0</v>
      </c>
      <c r="J2788" s="65" t="b">
        <v>0</v>
      </c>
      <c r="K2788" s="63" t="s">
        <v>820</v>
      </c>
      <c r="L2788" s="63" t="s">
        <v>6472</v>
      </c>
      <c r="M2788" s="63" t="s">
        <v>6473</v>
      </c>
      <c r="N2788" s="63" t="s">
        <v>1788</v>
      </c>
    </row>
    <row r="2789" spans="1:14" x14ac:dyDescent="0.2">
      <c r="A2789" s="51">
        <v>2788</v>
      </c>
      <c r="E2789" s="48"/>
      <c r="G2789" s="65" t="b">
        <v>0</v>
      </c>
      <c r="H2789" s="65" t="b">
        <v>0</v>
      </c>
      <c r="I2789" s="65" t="b">
        <v>0</v>
      </c>
      <c r="J2789" s="65" t="b">
        <v>0</v>
      </c>
      <c r="K2789" s="63" t="s">
        <v>820</v>
      </c>
      <c r="L2789" s="63" t="s">
        <v>6474</v>
      </c>
      <c r="M2789" s="63" t="s">
        <v>6475</v>
      </c>
      <c r="N2789" s="63" t="s">
        <v>1788</v>
      </c>
    </row>
    <row r="2790" spans="1:14" x14ac:dyDescent="0.2">
      <c r="A2790" s="51">
        <v>2789</v>
      </c>
      <c r="E2790" s="48"/>
      <c r="G2790" s="65" t="b">
        <v>0</v>
      </c>
      <c r="H2790" s="65" t="b">
        <v>0</v>
      </c>
      <c r="I2790" s="65" t="b">
        <v>0</v>
      </c>
      <c r="J2790" s="65" t="b">
        <v>0</v>
      </c>
      <c r="K2790" s="63" t="s">
        <v>820</v>
      </c>
      <c r="L2790" s="63" t="s">
        <v>6476</v>
      </c>
      <c r="M2790" s="63" t="s">
        <v>6477</v>
      </c>
      <c r="N2790" s="63" t="s">
        <v>1788</v>
      </c>
    </row>
    <row r="2791" spans="1:14" x14ac:dyDescent="0.2">
      <c r="A2791" s="51">
        <v>2790</v>
      </c>
      <c r="B2791" s="54" t="s">
        <v>822</v>
      </c>
      <c r="C2791" s="47" t="s">
        <v>13003</v>
      </c>
      <c r="D2791" s="47" t="s">
        <v>13004</v>
      </c>
      <c r="E2791" s="47" t="s">
        <v>1790</v>
      </c>
      <c r="F2791" s="55" t="b">
        <v>1</v>
      </c>
      <c r="G2791" s="65" t="b">
        <v>0</v>
      </c>
      <c r="H2791" s="65" t="b">
        <v>0</v>
      </c>
      <c r="I2791" s="65" t="b">
        <v>0</v>
      </c>
      <c r="J2791" s="65" t="b">
        <v>0</v>
      </c>
    </row>
    <row r="2792" spans="1:14" x14ac:dyDescent="0.2">
      <c r="A2792" s="51">
        <v>2791</v>
      </c>
      <c r="B2792" s="54" t="s">
        <v>822</v>
      </c>
      <c r="C2792" s="47" t="s">
        <v>13005</v>
      </c>
      <c r="D2792" s="47" t="s">
        <v>13006</v>
      </c>
      <c r="E2792" s="47" t="s">
        <v>1790</v>
      </c>
      <c r="F2792" s="55" t="b">
        <v>1</v>
      </c>
      <c r="G2792" s="65" t="b">
        <v>0</v>
      </c>
      <c r="H2792" s="65" t="b">
        <v>0</v>
      </c>
      <c r="I2792" s="65" t="b">
        <v>0</v>
      </c>
      <c r="J2792" s="65" t="b">
        <v>0</v>
      </c>
    </row>
    <row r="2793" spans="1:14" x14ac:dyDescent="0.2">
      <c r="A2793" s="51">
        <v>2792</v>
      </c>
      <c r="B2793" s="54" t="s">
        <v>822</v>
      </c>
      <c r="C2793" s="47" t="s">
        <v>6480</v>
      </c>
      <c r="D2793" s="47" t="s">
        <v>1642</v>
      </c>
      <c r="E2793" s="47" t="s">
        <v>1790</v>
      </c>
      <c r="F2793" s="55" t="b">
        <v>1</v>
      </c>
      <c r="G2793" s="54" t="b">
        <v>1</v>
      </c>
      <c r="H2793" s="54" t="b">
        <v>1</v>
      </c>
      <c r="I2793" s="54" t="b">
        <v>1</v>
      </c>
      <c r="J2793" s="54" t="b">
        <v>1</v>
      </c>
      <c r="K2793" s="63" t="s">
        <v>822</v>
      </c>
      <c r="L2793" s="63" t="s">
        <v>6480</v>
      </c>
      <c r="M2793" s="63" t="s">
        <v>1642</v>
      </c>
      <c r="N2793" s="63" t="s">
        <v>1790</v>
      </c>
    </row>
    <row r="2794" spans="1:14" x14ac:dyDescent="0.2">
      <c r="A2794" s="51">
        <v>2793</v>
      </c>
      <c r="G2794" s="65" t="b">
        <v>0</v>
      </c>
      <c r="H2794" s="65" t="b">
        <v>0</v>
      </c>
      <c r="I2794" s="65" t="b">
        <v>0</v>
      </c>
      <c r="J2794" s="65" t="b">
        <v>0</v>
      </c>
      <c r="K2794" s="63" t="s">
        <v>822</v>
      </c>
      <c r="L2794" s="63" t="s">
        <v>6480</v>
      </c>
      <c r="M2794" s="63" t="s">
        <v>6481</v>
      </c>
      <c r="N2794" s="63" t="s">
        <v>1790</v>
      </c>
    </row>
    <row r="2795" spans="1:14" x14ac:dyDescent="0.2">
      <c r="A2795" s="51">
        <v>2794</v>
      </c>
      <c r="G2795" s="65" t="b">
        <v>0</v>
      </c>
      <c r="H2795" s="65" t="b">
        <v>0</v>
      </c>
      <c r="I2795" s="65" t="b">
        <v>0</v>
      </c>
      <c r="J2795" s="65" t="b">
        <v>0</v>
      </c>
      <c r="K2795" s="63" t="s">
        <v>822</v>
      </c>
      <c r="L2795" s="63" t="s">
        <v>6480</v>
      </c>
      <c r="M2795" s="63" t="s">
        <v>6482</v>
      </c>
      <c r="N2795" s="63" t="s">
        <v>1790</v>
      </c>
    </row>
    <row r="2796" spans="1:14" x14ac:dyDescent="0.2">
      <c r="A2796" s="51">
        <v>2795</v>
      </c>
      <c r="G2796" s="65" t="b">
        <v>0</v>
      </c>
      <c r="H2796" s="65" t="b">
        <v>0</v>
      </c>
      <c r="I2796" s="65" t="b">
        <v>0</v>
      </c>
      <c r="J2796" s="65" t="b">
        <v>0</v>
      </c>
      <c r="K2796" s="63" t="s">
        <v>1112</v>
      </c>
      <c r="L2796" s="63" t="s">
        <v>6483</v>
      </c>
      <c r="M2796" s="63" t="s">
        <v>6484</v>
      </c>
      <c r="N2796" s="63" t="s">
        <v>2164</v>
      </c>
    </row>
    <row r="2797" spans="1:14" x14ac:dyDescent="0.2">
      <c r="A2797" s="51">
        <v>2796</v>
      </c>
      <c r="B2797" s="56" t="s">
        <v>826</v>
      </c>
      <c r="C2797" s="47" t="s">
        <v>6485</v>
      </c>
      <c r="D2797" s="47" t="s">
        <v>6486</v>
      </c>
      <c r="E2797" s="47" t="s">
        <v>2164</v>
      </c>
      <c r="F2797" s="55" t="b">
        <v>1</v>
      </c>
      <c r="G2797" s="65" t="b">
        <v>0</v>
      </c>
      <c r="H2797" s="54" t="b">
        <v>1</v>
      </c>
      <c r="I2797" s="54" t="b">
        <v>1</v>
      </c>
      <c r="J2797" s="54" t="b">
        <v>1</v>
      </c>
      <c r="K2797" s="63" t="s">
        <v>1112</v>
      </c>
      <c r="L2797" s="63" t="s">
        <v>6485</v>
      </c>
      <c r="M2797" s="63" t="s">
        <v>6486</v>
      </c>
      <c r="N2797" s="63" t="s">
        <v>2164</v>
      </c>
    </row>
    <row r="2798" spans="1:14" x14ac:dyDescent="0.2">
      <c r="A2798" s="51">
        <v>2797</v>
      </c>
      <c r="B2798" s="56" t="s">
        <v>826</v>
      </c>
      <c r="C2798" s="47" t="s">
        <v>6487</v>
      </c>
      <c r="D2798" s="47" t="s">
        <v>6488</v>
      </c>
      <c r="E2798" s="47" t="s">
        <v>2164</v>
      </c>
      <c r="F2798" s="55" t="b">
        <v>1</v>
      </c>
      <c r="G2798" s="65" t="b">
        <v>0</v>
      </c>
      <c r="H2798" s="54" t="b">
        <v>1</v>
      </c>
      <c r="I2798" s="54" t="b">
        <v>1</v>
      </c>
      <c r="J2798" s="54" t="b">
        <v>1</v>
      </c>
      <c r="K2798" s="63" t="s">
        <v>1112</v>
      </c>
      <c r="L2798" s="63" t="s">
        <v>6487</v>
      </c>
      <c r="M2798" s="63" t="s">
        <v>6488</v>
      </c>
      <c r="N2798" s="63" t="s">
        <v>2164</v>
      </c>
    </row>
    <row r="2799" spans="1:14" x14ac:dyDescent="0.2">
      <c r="A2799" s="51">
        <v>2798</v>
      </c>
      <c r="B2799" s="56" t="s">
        <v>826</v>
      </c>
      <c r="C2799" s="47" t="s">
        <v>6489</v>
      </c>
      <c r="D2799" s="47" t="s">
        <v>6490</v>
      </c>
      <c r="E2799" s="47" t="s">
        <v>2164</v>
      </c>
      <c r="F2799" s="55" t="b">
        <v>1</v>
      </c>
      <c r="G2799" s="65" t="b">
        <v>0</v>
      </c>
      <c r="H2799" s="54" t="b">
        <v>1</v>
      </c>
      <c r="I2799" s="54" t="b">
        <v>1</v>
      </c>
      <c r="J2799" s="54" t="b">
        <v>1</v>
      </c>
      <c r="K2799" s="63" t="s">
        <v>1112</v>
      </c>
      <c r="L2799" s="63" t="s">
        <v>6489</v>
      </c>
      <c r="M2799" s="63" t="s">
        <v>6490</v>
      </c>
      <c r="N2799" s="63" t="s">
        <v>2164</v>
      </c>
    </row>
    <row r="2800" spans="1:14" x14ac:dyDescent="0.2">
      <c r="A2800" s="51">
        <v>2799</v>
      </c>
      <c r="B2800" s="56" t="s">
        <v>826</v>
      </c>
      <c r="C2800" s="47" t="s">
        <v>6491</v>
      </c>
      <c r="D2800" s="47" t="s">
        <v>6492</v>
      </c>
      <c r="E2800" s="47" t="s">
        <v>2164</v>
      </c>
      <c r="F2800" s="55" t="b">
        <v>1</v>
      </c>
      <c r="G2800" s="65" t="b">
        <v>0</v>
      </c>
      <c r="H2800" s="54" t="b">
        <v>1</v>
      </c>
      <c r="I2800" s="54" t="b">
        <v>1</v>
      </c>
      <c r="J2800" s="54" t="b">
        <v>1</v>
      </c>
      <c r="K2800" s="63" t="s">
        <v>1112</v>
      </c>
      <c r="L2800" s="63" t="s">
        <v>6491</v>
      </c>
      <c r="M2800" s="63" t="s">
        <v>6492</v>
      </c>
      <c r="N2800" s="63" t="s">
        <v>2164</v>
      </c>
    </row>
    <row r="2801" spans="1:14" x14ac:dyDescent="0.2">
      <c r="A2801" s="51">
        <v>2800</v>
      </c>
      <c r="B2801" s="56" t="s">
        <v>826</v>
      </c>
      <c r="C2801" s="47" t="s">
        <v>6493</v>
      </c>
      <c r="D2801" s="47" t="s">
        <v>6494</v>
      </c>
      <c r="E2801" s="47" t="s">
        <v>2164</v>
      </c>
      <c r="F2801" s="55" t="b">
        <v>1</v>
      </c>
      <c r="G2801" s="65" t="b">
        <v>0</v>
      </c>
      <c r="H2801" s="54" t="b">
        <v>1</v>
      </c>
      <c r="I2801" s="54" t="b">
        <v>1</v>
      </c>
      <c r="J2801" s="54" t="b">
        <v>1</v>
      </c>
      <c r="K2801" s="63" t="s">
        <v>1112</v>
      </c>
      <c r="L2801" s="63" t="s">
        <v>6493</v>
      </c>
      <c r="M2801" s="63" t="s">
        <v>6494</v>
      </c>
      <c r="N2801" s="63" t="s">
        <v>2164</v>
      </c>
    </row>
    <row r="2802" spans="1:14" x14ac:dyDescent="0.2">
      <c r="A2802" s="51">
        <v>2801</v>
      </c>
      <c r="B2802" s="56" t="s">
        <v>826</v>
      </c>
      <c r="C2802" s="47" t="s">
        <v>6495</v>
      </c>
      <c r="D2802" s="47" t="s">
        <v>6496</v>
      </c>
      <c r="E2802" s="47" t="s">
        <v>2164</v>
      </c>
      <c r="F2802" s="55" t="b">
        <v>1</v>
      </c>
      <c r="G2802" s="65" t="b">
        <v>0</v>
      </c>
      <c r="H2802" s="54" t="b">
        <v>1</v>
      </c>
      <c r="I2802" s="54" t="b">
        <v>1</v>
      </c>
      <c r="J2802" s="54" t="b">
        <v>1</v>
      </c>
      <c r="K2802" s="63" t="s">
        <v>1112</v>
      </c>
      <c r="L2802" s="63" t="s">
        <v>6495</v>
      </c>
      <c r="M2802" s="63" t="s">
        <v>6496</v>
      </c>
      <c r="N2802" s="63" t="s">
        <v>2164</v>
      </c>
    </row>
    <row r="2803" spans="1:14" x14ac:dyDescent="0.2">
      <c r="A2803" s="51">
        <v>2802</v>
      </c>
      <c r="B2803" s="56" t="s">
        <v>826</v>
      </c>
      <c r="C2803" s="47" t="s">
        <v>6497</v>
      </c>
      <c r="D2803" s="47" t="s">
        <v>6498</v>
      </c>
      <c r="E2803" s="47" t="s">
        <v>2164</v>
      </c>
      <c r="F2803" s="55" t="b">
        <v>1</v>
      </c>
      <c r="G2803" s="65" t="b">
        <v>0</v>
      </c>
      <c r="H2803" s="54" t="b">
        <v>1</v>
      </c>
      <c r="I2803" s="54" t="b">
        <v>1</v>
      </c>
      <c r="J2803" s="54" t="b">
        <v>1</v>
      </c>
      <c r="K2803" s="63" t="s">
        <v>1112</v>
      </c>
      <c r="L2803" s="63" t="s">
        <v>6497</v>
      </c>
      <c r="M2803" s="63" t="s">
        <v>6498</v>
      </c>
      <c r="N2803" s="63" t="s">
        <v>2164</v>
      </c>
    </row>
    <row r="2804" spans="1:14" x14ac:dyDescent="0.2">
      <c r="A2804" s="51">
        <v>2803</v>
      </c>
      <c r="B2804" s="56"/>
      <c r="G2804" s="65" t="b">
        <v>0</v>
      </c>
      <c r="H2804" s="65" t="b">
        <v>0</v>
      </c>
      <c r="I2804" s="65" t="b">
        <v>0</v>
      </c>
      <c r="J2804" s="65" t="b">
        <v>0</v>
      </c>
      <c r="K2804" s="63" t="s">
        <v>1112</v>
      </c>
      <c r="L2804" s="63" t="s">
        <v>6499</v>
      </c>
      <c r="M2804" s="63" t="s">
        <v>6500</v>
      </c>
      <c r="N2804" s="63" t="s">
        <v>2164</v>
      </c>
    </row>
    <row r="2805" spans="1:14" x14ac:dyDescent="0.2">
      <c r="A2805" s="51">
        <v>2804</v>
      </c>
      <c r="B2805" s="56" t="s">
        <v>826</v>
      </c>
      <c r="C2805" s="47" t="s">
        <v>6617</v>
      </c>
      <c r="D2805" s="47" t="s">
        <v>6618</v>
      </c>
      <c r="E2805" s="47" t="s">
        <v>2164</v>
      </c>
      <c r="F2805" s="55" t="b">
        <v>1</v>
      </c>
      <c r="G2805" s="65" t="b">
        <v>0</v>
      </c>
      <c r="H2805" s="54" t="b">
        <v>1</v>
      </c>
      <c r="I2805" s="54" t="b">
        <v>1</v>
      </c>
      <c r="J2805" s="54" t="b">
        <v>1</v>
      </c>
      <c r="K2805" s="63" t="s">
        <v>1112</v>
      </c>
      <c r="L2805" s="63" t="s">
        <v>6617</v>
      </c>
      <c r="M2805" s="63" t="s">
        <v>6618</v>
      </c>
      <c r="N2805" s="63" t="s">
        <v>2164</v>
      </c>
    </row>
    <row r="2806" spans="1:14" x14ac:dyDescent="0.2">
      <c r="A2806" s="51">
        <v>2805</v>
      </c>
      <c r="B2806" s="56" t="s">
        <v>826</v>
      </c>
      <c r="C2806" s="47" t="s">
        <v>6619</v>
      </c>
      <c r="D2806" s="47" t="s">
        <v>6620</v>
      </c>
      <c r="E2806" s="47" t="s">
        <v>2164</v>
      </c>
      <c r="F2806" s="55" t="b">
        <v>1</v>
      </c>
      <c r="G2806" s="65" t="b">
        <v>0</v>
      </c>
      <c r="H2806" s="54" t="b">
        <v>1</v>
      </c>
      <c r="I2806" s="54" t="b">
        <v>1</v>
      </c>
      <c r="J2806" s="54" t="b">
        <v>1</v>
      </c>
      <c r="K2806" s="63" t="s">
        <v>1112</v>
      </c>
      <c r="L2806" s="63" t="s">
        <v>6619</v>
      </c>
      <c r="M2806" s="63" t="s">
        <v>6620</v>
      </c>
      <c r="N2806" s="63" t="s">
        <v>2164</v>
      </c>
    </row>
    <row r="2807" spans="1:14" x14ac:dyDescent="0.2">
      <c r="A2807" s="51">
        <v>2806</v>
      </c>
      <c r="B2807" s="56" t="s">
        <v>826</v>
      </c>
      <c r="C2807" s="47" t="s">
        <v>6623</v>
      </c>
      <c r="D2807" s="47" t="s">
        <v>6624</v>
      </c>
      <c r="E2807" s="47" t="s">
        <v>2164</v>
      </c>
      <c r="F2807" s="55" t="b">
        <v>1</v>
      </c>
      <c r="G2807" s="65" t="b">
        <v>0</v>
      </c>
      <c r="H2807" s="54" t="b">
        <v>1</v>
      </c>
      <c r="I2807" s="54" t="b">
        <v>1</v>
      </c>
      <c r="J2807" s="54" t="b">
        <v>1</v>
      </c>
      <c r="K2807" s="63" t="s">
        <v>1112</v>
      </c>
      <c r="L2807" s="63" t="s">
        <v>6623</v>
      </c>
      <c r="M2807" s="63" t="s">
        <v>6624</v>
      </c>
      <c r="N2807" s="63" t="s">
        <v>2164</v>
      </c>
    </row>
    <row r="2808" spans="1:14" x14ac:dyDescent="0.2">
      <c r="A2808" s="51">
        <v>2807</v>
      </c>
      <c r="B2808" s="56" t="s">
        <v>826</v>
      </c>
      <c r="C2808" s="47" t="s">
        <v>6621</v>
      </c>
      <c r="D2808" s="47" t="s">
        <v>6622</v>
      </c>
      <c r="E2808" s="47" t="s">
        <v>2164</v>
      </c>
      <c r="F2808" s="55" t="b">
        <v>1</v>
      </c>
      <c r="G2808" s="65" t="b">
        <v>0</v>
      </c>
      <c r="H2808" s="54" t="b">
        <v>1</v>
      </c>
      <c r="I2808" s="54" t="b">
        <v>1</v>
      </c>
      <c r="J2808" s="54" t="b">
        <v>1</v>
      </c>
      <c r="K2808" s="63" t="s">
        <v>1112</v>
      </c>
      <c r="L2808" s="63" t="s">
        <v>6621</v>
      </c>
      <c r="M2808" s="63" t="s">
        <v>6622</v>
      </c>
      <c r="N2808" s="63" t="s">
        <v>2164</v>
      </c>
    </row>
    <row r="2809" spans="1:14" x14ac:dyDescent="0.2">
      <c r="A2809" s="51">
        <v>2808</v>
      </c>
      <c r="B2809" s="56" t="s">
        <v>826</v>
      </c>
      <c r="C2809" s="47" t="s">
        <v>6625</v>
      </c>
      <c r="D2809" s="47" t="s">
        <v>6626</v>
      </c>
      <c r="E2809" s="47" t="s">
        <v>2164</v>
      </c>
      <c r="F2809" s="55" t="b">
        <v>1</v>
      </c>
      <c r="G2809" s="65" t="b">
        <v>0</v>
      </c>
      <c r="H2809" s="54" t="b">
        <v>1</v>
      </c>
      <c r="I2809" s="54" t="b">
        <v>1</v>
      </c>
      <c r="J2809" s="54" t="b">
        <v>1</v>
      </c>
      <c r="K2809" s="63" t="s">
        <v>1112</v>
      </c>
      <c r="L2809" s="63" t="s">
        <v>6625</v>
      </c>
      <c r="M2809" s="63" t="s">
        <v>6626</v>
      </c>
      <c r="N2809" s="63" t="s">
        <v>2164</v>
      </c>
    </row>
    <row r="2810" spans="1:14" x14ac:dyDescent="0.2">
      <c r="A2810" s="51">
        <v>2809</v>
      </c>
      <c r="B2810" s="56"/>
      <c r="G2810" s="65" t="b">
        <v>0</v>
      </c>
      <c r="H2810" s="65" t="b">
        <v>0</v>
      </c>
      <c r="I2810" s="65" t="b">
        <v>0</v>
      </c>
      <c r="J2810" s="65" t="b">
        <v>0</v>
      </c>
      <c r="K2810" s="63" t="s">
        <v>1112</v>
      </c>
      <c r="L2810" s="63" t="s">
        <v>6627</v>
      </c>
      <c r="M2810" s="63" t="s">
        <v>6628</v>
      </c>
      <c r="N2810" s="63" t="s">
        <v>2164</v>
      </c>
    </row>
    <row r="2811" spans="1:14" x14ac:dyDescent="0.2">
      <c r="A2811" s="51">
        <v>2810</v>
      </c>
      <c r="B2811" s="56" t="s">
        <v>826</v>
      </c>
      <c r="C2811" s="47" t="s">
        <v>6629</v>
      </c>
      <c r="D2811" s="47" t="s">
        <v>6630</v>
      </c>
      <c r="E2811" s="47" t="s">
        <v>2164</v>
      </c>
      <c r="F2811" s="55" t="b">
        <v>1</v>
      </c>
      <c r="G2811" s="65" t="b">
        <v>0</v>
      </c>
      <c r="H2811" s="54" t="b">
        <v>1</v>
      </c>
      <c r="I2811" s="54" t="b">
        <v>1</v>
      </c>
      <c r="J2811" s="54" t="b">
        <v>1</v>
      </c>
      <c r="K2811" s="63" t="s">
        <v>1112</v>
      </c>
      <c r="L2811" s="63" t="s">
        <v>6629</v>
      </c>
      <c r="M2811" s="63" t="s">
        <v>6630</v>
      </c>
      <c r="N2811" s="63" t="s">
        <v>2164</v>
      </c>
    </row>
    <row r="2812" spans="1:14" x14ac:dyDescent="0.2">
      <c r="A2812" s="51">
        <v>2811</v>
      </c>
      <c r="B2812" s="56"/>
      <c r="G2812" s="65" t="b">
        <v>0</v>
      </c>
      <c r="H2812" s="65" t="b">
        <v>0</v>
      </c>
      <c r="I2812" s="65" t="b">
        <v>0</v>
      </c>
      <c r="J2812" s="65" t="b">
        <v>0</v>
      </c>
      <c r="K2812" s="63" t="s">
        <v>1112</v>
      </c>
      <c r="L2812" s="63" t="s">
        <v>6521</v>
      </c>
      <c r="M2812" s="63" t="s">
        <v>6522</v>
      </c>
      <c r="N2812" s="63" t="s">
        <v>2164</v>
      </c>
    </row>
    <row r="2813" spans="1:14" x14ac:dyDescent="0.2">
      <c r="A2813" s="51">
        <v>2812</v>
      </c>
      <c r="B2813" s="56" t="s">
        <v>826</v>
      </c>
      <c r="C2813" s="47" t="s">
        <v>6523</v>
      </c>
      <c r="D2813" s="47" t="s">
        <v>6524</v>
      </c>
      <c r="E2813" s="47" t="s">
        <v>2164</v>
      </c>
      <c r="F2813" s="55" t="b">
        <v>1</v>
      </c>
      <c r="G2813" s="65" t="b">
        <v>0</v>
      </c>
      <c r="H2813" s="54" t="b">
        <v>1</v>
      </c>
      <c r="I2813" s="54" t="b">
        <v>1</v>
      </c>
      <c r="J2813" s="54" t="b">
        <v>1</v>
      </c>
      <c r="K2813" s="63" t="s">
        <v>1112</v>
      </c>
      <c r="L2813" s="63" t="s">
        <v>6523</v>
      </c>
      <c r="M2813" s="63" t="s">
        <v>6524</v>
      </c>
      <c r="N2813" s="63" t="s">
        <v>2164</v>
      </c>
    </row>
    <row r="2814" spans="1:14" x14ac:dyDescent="0.2">
      <c r="A2814" s="51">
        <v>2813</v>
      </c>
      <c r="B2814" s="56" t="s">
        <v>826</v>
      </c>
      <c r="C2814" s="47" t="s">
        <v>6527</v>
      </c>
      <c r="D2814" s="47" t="s">
        <v>6528</v>
      </c>
      <c r="E2814" s="47" t="s">
        <v>2164</v>
      </c>
      <c r="F2814" s="55" t="b">
        <v>1</v>
      </c>
      <c r="G2814" s="65" t="b">
        <v>0</v>
      </c>
      <c r="H2814" s="54" t="b">
        <v>1</v>
      </c>
      <c r="I2814" s="54" t="b">
        <v>1</v>
      </c>
      <c r="J2814" s="54" t="b">
        <v>1</v>
      </c>
      <c r="K2814" s="63" t="s">
        <v>1112</v>
      </c>
      <c r="L2814" s="63" t="s">
        <v>6527</v>
      </c>
      <c r="M2814" s="63" t="s">
        <v>6528</v>
      </c>
      <c r="N2814" s="63" t="s">
        <v>2164</v>
      </c>
    </row>
    <row r="2815" spans="1:14" x14ac:dyDescent="0.2">
      <c r="A2815" s="51">
        <v>2814</v>
      </c>
      <c r="B2815" s="56" t="s">
        <v>826</v>
      </c>
      <c r="C2815" s="47" t="s">
        <v>6529</v>
      </c>
      <c r="D2815" s="47" t="s">
        <v>6530</v>
      </c>
      <c r="E2815" s="47" t="s">
        <v>2164</v>
      </c>
      <c r="F2815" s="55" t="b">
        <v>1</v>
      </c>
      <c r="G2815" s="65" t="b">
        <v>0</v>
      </c>
      <c r="H2815" s="54" t="b">
        <v>1</v>
      </c>
      <c r="I2815" s="54" t="b">
        <v>1</v>
      </c>
      <c r="J2815" s="54" t="b">
        <v>1</v>
      </c>
      <c r="K2815" s="63" t="s">
        <v>1112</v>
      </c>
      <c r="L2815" s="63" t="s">
        <v>6529</v>
      </c>
      <c r="M2815" s="63" t="s">
        <v>6530</v>
      </c>
      <c r="N2815" s="63" t="s">
        <v>2164</v>
      </c>
    </row>
    <row r="2816" spans="1:14" x14ac:dyDescent="0.2">
      <c r="A2816" s="51">
        <v>2815</v>
      </c>
      <c r="B2816" s="56" t="s">
        <v>826</v>
      </c>
      <c r="C2816" s="47" t="s">
        <v>6505</v>
      </c>
      <c r="D2816" s="47" t="s">
        <v>6506</v>
      </c>
      <c r="E2816" s="47" t="s">
        <v>2164</v>
      </c>
      <c r="F2816" s="55" t="b">
        <v>1</v>
      </c>
      <c r="G2816" s="65" t="b">
        <v>0</v>
      </c>
      <c r="H2816" s="54" t="b">
        <v>1</v>
      </c>
      <c r="I2816" s="54" t="b">
        <v>1</v>
      </c>
      <c r="J2816" s="54" t="b">
        <v>1</v>
      </c>
      <c r="K2816" s="63" t="s">
        <v>1112</v>
      </c>
      <c r="L2816" s="63" t="s">
        <v>6505</v>
      </c>
      <c r="M2816" s="63" t="s">
        <v>6506</v>
      </c>
      <c r="N2816" s="63" t="s">
        <v>2164</v>
      </c>
    </row>
    <row r="2817" spans="1:14" x14ac:dyDescent="0.2">
      <c r="A2817" s="51">
        <v>2816</v>
      </c>
      <c r="B2817" s="56" t="s">
        <v>826</v>
      </c>
      <c r="C2817" s="47" t="s">
        <v>6507</v>
      </c>
      <c r="D2817" s="47" t="s">
        <v>6508</v>
      </c>
      <c r="E2817" s="47" t="s">
        <v>2164</v>
      </c>
      <c r="F2817" s="55" t="b">
        <v>1</v>
      </c>
      <c r="G2817" s="65" t="b">
        <v>0</v>
      </c>
      <c r="H2817" s="54" t="b">
        <v>1</v>
      </c>
      <c r="I2817" s="54" t="b">
        <v>1</v>
      </c>
      <c r="J2817" s="54" t="b">
        <v>1</v>
      </c>
      <c r="K2817" s="63" t="s">
        <v>1112</v>
      </c>
      <c r="L2817" s="63" t="s">
        <v>6507</v>
      </c>
      <c r="M2817" s="63" t="s">
        <v>6508</v>
      </c>
      <c r="N2817" s="63" t="s">
        <v>2164</v>
      </c>
    </row>
    <row r="2818" spans="1:14" x14ac:dyDescent="0.2">
      <c r="A2818" s="51">
        <v>2817</v>
      </c>
      <c r="B2818" s="56" t="s">
        <v>826</v>
      </c>
      <c r="C2818" s="47" t="s">
        <v>6509</v>
      </c>
      <c r="D2818" s="47" t="s">
        <v>6510</v>
      </c>
      <c r="E2818" s="47" t="s">
        <v>2164</v>
      </c>
      <c r="F2818" s="55" t="b">
        <v>1</v>
      </c>
      <c r="G2818" s="65" t="b">
        <v>0</v>
      </c>
      <c r="H2818" s="54" t="b">
        <v>1</v>
      </c>
      <c r="I2818" s="54" t="b">
        <v>1</v>
      </c>
      <c r="J2818" s="54" t="b">
        <v>1</v>
      </c>
      <c r="K2818" s="63" t="s">
        <v>1112</v>
      </c>
      <c r="L2818" s="63" t="s">
        <v>6509</v>
      </c>
      <c r="M2818" s="63" t="s">
        <v>6510</v>
      </c>
      <c r="N2818" s="63" t="s">
        <v>2164</v>
      </c>
    </row>
    <row r="2819" spans="1:14" x14ac:dyDescent="0.2">
      <c r="A2819" s="51">
        <v>2818</v>
      </c>
      <c r="B2819" s="56" t="s">
        <v>826</v>
      </c>
      <c r="C2819" s="47" t="s">
        <v>6513</v>
      </c>
      <c r="D2819" s="47" t="s">
        <v>6514</v>
      </c>
      <c r="E2819" s="47" t="s">
        <v>2164</v>
      </c>
      <c r="F2819" s="55" t="b">
        <v>1</v>
      </c>
      <c r="G2819" s="65" t="b">
        <v>0</v>
      </c>
      <c r="H2819" s="54" t="b">
        <v>1</v>
      </c>
      <c r="I2819" s="54" t="b">
        <v>1</v>
      </c>
      <c r="J2819" s="54" t="b">
        <v>1</v>
      </c>
      <c r="K2819" s="63" t="s">
        <v>1112</v>
      </c>
      <c r="L2819" s="63" t="s">
        <v>6513</v>
      </c>
      <c r="M2819" s="63" t="s">
        <v>6514</v>
      </c>
      <c r="N2819" s="63" t="s">
        <v>2164</v>
      </c>
    </row>
    <row r="2820" spans="1:14" x14ac:dyDescent="0.2">
      <c r="A2820" s="51">
        <v>2819</v>
      </c>
      <c r="B2820" s="56" t="s">
        <v>826</v>
      </c>
      <c r="C2820" s="47" t="s">
        <v>6511</v>
      </c>
      <c r="D2820" s="47" t="s">
        <v>6512</v>
      </c>
      <c r="E2820" s="47" t="s">
        <v>2164</v>
      </c>
      <c r="F2820" s="55" t="b">
        <v>1</v>
      </c>
      <c r="G2820" s="65" t="b">
        <v>0</v>
      </c>
      <c r="H2820" s="54" t="b">
        <v>1</v>
      </c>
      <c r="I2820" s="54" t="b">
        <v>1</v>
      </c>
      <c r="J2820" s="54" t="b">
        <v>1</v>
      </c>
      <c r="K2820" s="63" t="s">
        <v>1112</v>
      </c>
      <c r="L2820" s="63" t="s">
        <v>6511</v>
      </c>
      <c r="M2820" s="63" t="s">
        <v>6512</v>
      </c>
      <c r="N2820" s="63" t="s">
        <v>2164</v>
      </c>
    </row>
    <row r="2821" spans="1:14" x14ac:dyDescent="0.2">
      <c r="A2821" s="51">
        <v>2820</v>
      </c>
      <c r="B2821" s="56" t="s">
        <v>826</v>
      </c>
      <c r="C2821" s="47" t="s">
        <v>6515</v>
      </c>
      <c r="D2821" s="47" t="s">
        <v>6516</v>
      </c>
      <c r="E2821" s="47" t="s">
        <v>2164</v>
      </c>
      <c r="F2821" s="55" t="b">
        <v>1</v>
      </c>
      <c r="G2821" s="65" t="b">
        <v>0</v>
      </c>
      <c r="H2821" s="54" t="b">
        <v>1</v>
      </c>
      <c r="I2821" s="54" t="b">
        <v>1</v>
      </c>
      <c r="J2821" s="54" t="b">
        <v>1</v>
      </c>
      <c r="K2821" s="63" t="s">
        <v>1112</v>
      </c>
      <c r="L2821" s="63" t="s">
        <v>6515</v>
      </c>
      <c r="M2821" s="63" t="s">
        <v>6516</v>
      </c>
      <c r="N2821" s="63" t="s">
        <v>2164</v>
      </c>
    </row>
    <row r="2822" spans="1:14" x14ac:dyDescent="0.2">
      <c r="A2822" s="51">
        <v>2821</v>
      </c>
      <c r="B2822" s="56" t="s">
        <v>826</v>
      </c>
      <c r="C2822" s="47" t="s">
        <v>6517</v>
      </c>
      <c r="D2822" s="47" t="s">
        <v>6518</v>
      </c>
      <c r="E2822" s="47" t="s">
        <v>2164</v>
      </c>
      <c r="F2822" s="55" t="b">
        <v>1</v>
      </c>
      <c r="G2822" s="65" t="b">
        <v>0</v>
      </c>
      <c r="H2822" s="54" t="b">
        <v>1</v>
      </c>
      <c r="I2822" s="54" t="b">
        <v>1</v>
      </c>
      <c r="J2822" s="54" t="b">
        <v>1</v>
      </c>
      <c r="K2822" s="63" t="s">
        <v>1112</v>
      </c>
      <c r="L2822" s="63" t="s">
        <v>6517</v>
      </c>
      <c r="M2822" s="63" t="s">
        <v>6518</v>
      </c>
      <c r="N2822" s="63" t="s">
        <v>2164</v>
      </c>
    </row>
    <row r="2823" spans="1:14" x14ac:dyDescent="0.2">
      <c r="A2823" s="51">
        <v>2822</v>
      </c>
      <c r="B2823" s="56"/>
      <c r="G2823" s="65" t="b">
        <v>0</v>
      </c>
      <c r="H2823" s="65" t="b">
        <v>0</v>
      </c>
      <c r="I2823" s="65" t="b">
        <v>0</v>
      </c>
      <c r="J2823" s="65" t="b">
        <v>0</v>
      </c>
      <c r="K2823" s="63" t="s">
        <v>1112</v>
      </c>
      <c r="L2823" s="63" t="s">
        <v>6519</v>
      </c>
      <c r="M2823" s="63" t="s">
        <v>6520</v>
      </c>
      <c r="N2823" s="63" t="s">
        <v>2164</v>
      </c>
    </row>
    <row r="2824" spans="1:14" x14ac:dyDescent="0.2">
      <c r="A2824" s="51">
        <v>2823</v>
      </c>
      <c r="B2824" s="56"/>
      <c r="G2824" s="65" t="b">
        <v>0</v>
      </c>
      <c r="H2824" s="65" t="b">
        <v>0</v>
      </c>
      <c r="I2824" s="65" t="b">
        <v>0</v>
      </c>
      <c r="J2824" s="65" t="b">
        <v>0</v>
      </c>
      <c r="K2824" s="63" t="s">
        <v>1112</v>
      </c>
      <c r="L2824" s="63" t="s">
        <v>6525</v>
      </c>
      <c r="M2824" s="63" t="s">
        <v>6526</v>
      </c>
      <c r="N2824" s="63" t="s">
        <v>2164</v>
      </c>
    </row>
    <row r="2825" spans="1:14" x14ac:dyDescent="0.2">
      <c r="A2825" s="51">
        <v>2824</v>
      </c>
      <c r="B2825" s="56" t="s">
        <v>826</v>
      </c>
      <c r="C2825" s="47" t="s">
        <v>6649</v>
      </c>
      <c r="D2825" s="47" t="s">
        <v>6650</v>
      </c>
      <c r="E2825" s="47" t="s">
        <v>2164</v>
      </c>
      <c r="F2825" s="55" t="b">
        <v>1</v>
      </c>
      <c r="G2825" s="65" t="b">
        <v>0</v>
      </c>
      <c r="H2825" s="54" t="b">
        <v>1</v>
      </c>
      <c r="I2825" s="54" t="b">
        <v>1</v>
      </c>
      <c r="J2825" s="54" t="b">
        <v>1</v>
      </c>
      <c r="K2825" s="63" t="s">
        <v>1112</v>
      </c>
      <c r="L2825" s="63" t="s">
        <v>6649</v>
      </c>
      <c r="M2825" s="63" t="s">
        <v>6650</v>
      </c>
      <c r="N2825" s="63" t="s">
        <v>2164</v>
      </c>
    </row>
    <row r="2826" spans="1:14" x14ac:dyDescent="0.2">
      <c r="A2826" s="51">
        <v>2825</v>
      </c>
      <c r="B2826" s="56"/>
      <c r="G2826" s="65" t="b">
        <v>0</v>
      </c>
      <c r="H2826" s="65" t="b">
        <v>0</v>
      </c>
      <c r="I2826" s="65" t="b">
        <v>0</v>
      </c>
      <c r="J2826" s="65" t="b">
        <v>0</v>
      </c>
      <c r="K2826" s="63" t="s">
        <v>1112</v>
      </c>
      <c r="L2826" s="63" t="s">
        <v>6631</v>
      </c>
      <c r="M2826" s="63" t="s">
        <v>6632</v>
      </c>
      <c r="N2826" s="63" t="s">
        <v>2164</v>
      </c>
    </row>
    <row r="2827" spans="1:14" x14ac:dyDescent="0.2">
      <c r="A2827" s="51">
        <v>2826</v>
      </c>
      <c r="B2827" s="56" t="s">
        <v>826</v>
      </c>
      <c r="C2827" s="47" t="s">
        <v>6633</v>
      </c>
      <c r="D2827" s="47" t="s">
        <v>6634</v>
      </c>
      <c r="E2827" s="47" t="s">
        <v>2164</v>
      </c>
      <c r="F2827" s="55" t="b">
        <v>1</v>
      </c>
      <c r="G2827" s="65" t="b">
        <v>0</v>
      </c>
      <c r="H2827" s="54" t="b">
        <v>1</v>
      </c>
      <c r="I2827" s="54" t="b">
        <v>1</v>
      </c>
      <c r="J2827" s="54" t="b">
        <v>1</v>
      </c>
      <c r="K2827" s="63" t="s">
        <v>1112</v>
      </c>
      <c r="L2827" s="63" t="s">
        <v>6633</v>
      </c>
      <c r="M2827" s="63" t="s">
        <v>6634</v>
      </c>
      <c r="N2827" s="63" t="s">
        <v>2164</v>
      </c>
    </row>
    <row r="2828" spans="1:14" x14ac:dyDescent="0.2">
      <c r="A2828" s="51">
        <v>2827</v>
      </c>
      <c r="B2828" s="56" t="s">
        <v>826</v>
      </c>
      <c r="C2828" s="47" t="s">
        <v>6635</v>
      </c>
      <c r="D2828" s="47" t="s">
        <v>6636</v>
      </c>
      <c r="E2828" s="47" t="s">
        <v>2164</v>
      </c>
      <c r="F2828" s="55" t="b">
        <v>1</v>
      </c>
      <c r="G2828" s="65" t="b">
        <v>0</v>
      </c>
      <c r="H2828" s="54" t="b">
        <v>1</v>
      </c>
      <c r="I2828" s="54" t="b">
        <v>1</v>
      </c>
      <c r="J2828" s="54" t="b">
        <v>1</v>
      </c>
      <c r="K2828" s="63" t="s">
        <v>1112</v>
      </c>
      <c r="L2828" s="63" t="s">
        <v>6635</v>
      </c>
      <c r="M2828" s="63" t="s">
        <v>6636</v>
      </c>
      <c r="N2828" s="63" t="s">
        <v>2164</v>
      </c>
    </row>
    <row r="2829" spans="1:14" x14ac:dyDescent="0.2">
      <c r="A2829" s="51">
        <v>2828</v>
      </c>
      <c r="B2829" s="56" t="s">
        <v>826</v>
      </c>
      <c r="C2829" s="47" t="s">
        <v>6531</v>
      </c>
      <c r="D2829" s="47" t="s">
        <v>6532</v>
      </c>
      <c r="E2829" s="47" t="s">
        <v>2164</v>
      </c>
      <c r="F2829" s="55" t="b">
        <v>1</v>
      </c>
      <c r="G2829" s="65" t="b">
        <v>0</v>
      </c>
      <c r="H2829" s="54" t="b">
        <v>1</v>
      </c>
      <c r="I2829" s="54" t="b">
        <v>1</v>
      </c>
      <c r="J2829" s="54" t="b">
        <v>1</v>
      </c>
      <c r="K2829" s="63" t="s">
        <v>1112</v>
      </c>
      <c r="L2829" s="63" t="s">
        <v>6531</v>
      </c>
      <c r="M2829" s="63" t="s">
        <v>6532</v>
      </c>
      <c r="N2829" s="63" t="s">
        <v>2164</v>
      </c>
    </row>
    <row r="2830" spans="1:14" x14ac:dyDescent="0.2">
      <c r="A2830" s="51">
        <v>2829</v>
      </c>
      <c r="B2830" s="56" t="s">
        <v>826</v>
      </c>
      <c r="C2830" s="47" t="s">
        <v>6533</v>
      </c>
      <c r="D2830" s="47" t="s">
        <v>6534</v>
      </c>
      <c r="E2830" s="47" t="s">
        <v>2164</v>
      </c>
      <c r="F2830" s="55" t="b">
        <v>1</v>
      </c>
      <c r="G2830" s="65" t="b">
        <v>0</v>
      </c>
      <c r="H2830" s="54" t="b">
        <v>1</v>
      </c>
      <c r="I2830" s="54" t="b">
        <v>1</v>
      </c>
      <c r="J2830" s="54" t="b">
        <v>1</v>
      </c>
      <c r="K2830" s="63" t="s">
        <v>1112</v>
      </c>
      <c r="L2830" s="63" t="s">
        <v>6533</v>
      </c>
      <c r="M2830" s="63" t="s">
        <v>6534</v>
      </c>
      <c r="N2830" s="63" t="s">
        <v>2164</v>
      </c>
    </row>
    <row r="2831" spans="1:14" x14ac:dyDescent="0.2">
      <c r="A2831" s="51">
        <v>2830</v>
      </c>
      <c r="B2831" s="56" t="s">
        <v>826</v>
      </c>
      <c r="C2831" s="47" t="s">
        <v>6539</v>
      </c>
      <c r="D2831" s="47" t="s">
        <v>6540</v>
      </c>
      <c r="E2831" s="47" t="s">
        <v>2164</v>
      </c>
      <c r="F2831" s="55" t="b">
        <v>1</v>
      </c>
      <c r="G2831" s="65" t="b">
        <v>0</v>
      </c>
      <c r="H2831" s="54" t="b">
        <v>1</v>
      </c>
      <c r="I2831" s="54" t="b">
        <v>1</v>
      </c>
      <c r="J2831" s="54" t="b">
        <v>1</v>
      </c>
      <c r="K2831" s="63" t="s">
        <v>1112</v>
      </c>
      <c r="L2831" s="63" t="s">
        <v>6539</v>
      </c>
      <c r="M2831" s="63" t="s">
        <v>6540</v>
      </c>
      <c r="N2831" s="63" t="s">
        <v>2164</v>
      </c>
    </row>
    <row r="2832" spans="1:14" x14ac:dyDescent="0.2">
      <c r="A2832" s="51">
        <v>2831</v>
      </c>
      <c r="B2832" s="56" t="s">
        <v>826</v>
      </c>
      <c r="C2832" s="47" t="s">
        <v>6535</v>
      </c>
      <c r="D2832" s="47" t="s">
        <v>6536</v>
      </c>
      <c r="E2832" s="47" t="s">
        <v>2164</v>
      </c>
      <c r="F2832" s="55" t="b">
        <v>1</v>
      </c>
      <c r="G2832" s="65" t="b">
        <v>0</v>
      </c>
      <c r="H2832" s="54" t="b">
        <v>1</v>
      </c>
      <c r="I2832" s="54" t="b">
        <v>1</v>
      </c>
      <c r="J2832" s="54" t="b">
        <v>1</v>
      </c>
      <c r="K2832" s="63" t="s">
        <v>1112</v>
      </c>
      <c r="L2832" s="63" t="s">
        <v>6535</v>
      </c>
      <c r="M2832" s="63" t="s">
        <v>6536</v>
      </c>
      <c r="N2832" s="63" t="s">
        <v>2164</v>
      </c>
    </row>
    <row r="2833" spans="1:14" x14ac:dyDescent="0.2">
      <c r="A2833" s="51">
        <v>2832</v>
      </c>
      <c r="B2833" s="56"/>
      <c r="G2833" s="65" t="b">
        <v>0</v>
      </c>
      <c r="H2833" s="65" t="b">
        <v>0</v>
      </c>
      <c r="I2833" s="65" t="b">
        <v>0</v>
      </c>
      <c r="J2833" s="65" t="b">
        <v>0</v>
      </c>
      <c r="K2833" s="63" t="s">
        <v>1112</v>
      </c>
      <c r="L2833" s="63" t="s">
        <v>6537</v>
      </c>
      <c r="M2833" s="63" t="s">
        <v>6538</v>
      </c>
      <c r="N2833" s="63" t="s">
        <v>2164</v>
      </c>
    </row>
    <row r="2834" spans="1:14" x14ac:dyDescent="0.2">
      <c r="A2834" s="51">
        <v>2833</v>
      </c>
      <c r="B2834" s="56"/>
      <c r="G2834" s="65" t="b">
        <v>0</v>
      </c>
      <c r="H2834" s="65" t="b">
        <v>0</v>
      </c>
      <c r="I2834" s="65" t="b">
        <v>0</v>
      </c>
      <c r="J2834" s="65" t="b">
        <v>0</v>
      </c>
      <c r="K2834" s="63" t="s">
        <v>1112</v>
      </c>
      <c r="L2834" s="63" t="s">
        <v>6541</v>
      </c>
      <c r="M2834" s="63" t="s">
        <v>6542</v>
      </c>
      <c r="N2834" s="63" t="s">
        <v>2164</v>
      </c>
    </row>
    <row r="2835" spans="1:14" x14ac:dyDescent="0.2">
      <c r="A2835" s="51">
        <v>2834</v>
      </c>
      <c r="B2835" s="56" t="s">
        <v>826</v>
      </c>
      <c r="C2835" s="47" t="s">
        <v>6543</v>
      </c>
      <c r="D2835" s="47" t="s">
        <v>6544</v>
      </c>
      <c r="E2835" s="47" t="s">
        <v>2164</v>
      </c>
      <c r="F2835" s="55" t="b">
        <v>1</v>
      </c>
      <c r="G2835" s="65" t="b">
        <v>0</v>
      </c>
      <c r="H2835" s="54" t="b">
        <v>1</v>
      </c>
      <c r="I2835" s="54" t="b">
        <v>1</v>
      </c>
      <c r="J2835" s="54" t="b">
        <v>1</v>
      </c>
      <c r="K2835" s="63" t="s">
        <v>1112</v>
      </c>
      <c r="L2835" s="63" t="s">
        <v>6543</v>
      </c>
      <c r="M2835" s="63" t="s">
        <v>6544</v>
      </c>
      <c r="N2835" s="63" t="s">
        <v>2164</v>
      </c>
    </row>
    <row r="2836" spans="1:14" x14ac:dyDescent="0.2">
      <c r="A2836" s="51">
        <v>2835</v>
      </c>
      <c r="B2836" s="56" t="s">
        <v>826</v>
      </c>
      <c r="C2836" s="47" t="s">
        <v>6545</v>
      </c>
      <c r="D2836" s="47" t="s">
        <v>6546</v>
      </c>
      <c r="E2836" s="47" t="s">
        <v>2164</v>
      </c>
      <c r="F2836" s="55" t="b">
        <v>1</v>
      </c>
      <c r="G2836" s="65" t="b">
        <v>0</v>
      </c>
      <c r="H2836" s="54" t="b">
        <v>1</v>
      </c>
      <c r="I2836" s="54" t="b">
        <v>1</v>
      </c>
      <c r="J2836" s="54" t="b">
        <v>1</v>
      </c>
      <c r="K2836" s="63" t="s">
        <v>1112</v>
      </c>
      <c r="L2836" s="63" t="s">
        <v>6545</v>
      </c>
      <c r="M2836" s="63" t="s">
        <v>6546</v>
      </c>
      <c r="N2836" s="63" t="s">
        <v>2164</v>
      </c>
    </row>
    <row r="2837" spans="1:14" x14ac:dyDescent="0.2">
      <c r="A2837" s="51">
        <v>2836</v>
      </c>
      <c r="B2837" s="56" t="s">
        <v>826</v>
      </c>
      <c r="C2837" s="47" t="s">
        <v>6547</v>
      </c>
      <c r="D2837" s="47" t="s">
        <v>6548</v>
      </c>
      <c r="E2837" s="47" t="s">
        <v>2164</v>
      </c>
      <c r="F2837" s="55" t="b">
        <v>1</v>
      </c>
      <c r="G2837" s="65" t="b">
        <v>0</v>
      </c>
      <c r="H2837" s="54" t="b">
        <v>1</v>
      </c>
      <c r="I2837" s="54" t="b">
        <v>1</v>
      </c>
      <c r="J2837" s="54" t="b">
        <v>1</v>
      </c>
      <c r="K2837" s="63" t="s">
        <v>1112</v>
      </c>
      <c r="L2837" s="63" t="s">
        <v>6547</v>
      </c>
      <c r="M2837" s="63" t="s">
        <v>6548</v>
      </c>
      <c r="N2837" s="63" t="s">
        <v>2164</v>
      </c>
    </row>
    <row r="2838" spans="1:14" x14ac:dyDescent="0.2">
      <c r="A2838" s="51">
        <v>2837</v>
      </c>
      <c r="B2838" s="56" t="s">
        <v>826</v>
      </c>
      <c r="C2838" s="47" t="s">
        <v>6549</v>
      </c>
      <c r="D2838" s="47" t="s">
        <v>6550</v>
      </c>
      <c r="E2838" s="47" t="s">
        <v>2164</v>
      </c>
      <c r="F2838" s="55" t="b">
        <v>1</v>
      </c>
      <c r="G2838" s="65" t="b">
        <v>0</v>
      </c>
      <c r="H2838" s="54" t="b">
        <v>1</v>
      </c>
      <c r="I2838" s="54" t="b">
        <v>1</v>
      </c>
      <c r="J2838" s="54" t="b">
        <v>1</v>
      </c>
      <c r="K2838" s="63" t="s">
        <v>1112</v>
      </c>
      <c r="L2838" s="63" t="s">
        <v>6549</v>
      </c>
      <c r="M2838" s="63" t="s">
        <v>6550</v>
      </c>
      <c r="N2838" s="63" t="s">
        <v>2164</v>
      </c>
    </row>
    <row r="2839" spans="1:14" x14ac:dyDescent="0.2">
      <c r="A2839" s="51">
        <v>2838</v>
      </c>
      <c r="B2839" s="56" t="s">
        <v>826</v>
      </c>
      <c r="C2839" s="47" t="s">
        <v>6551</v>
      </c>
      <c r="D2839" s="47" t="s">
        <v>6552</v>
      </c>
      <c r="E2839" s="47" t="s">
        <v>2164</v>
      </c>
      <c r="F2839" s="55" t="b">
        <v>1</v>
      </c>
      <c r="G2839" s="65" t="b">
        <v>0</v>
      </c>
      <c r="H2839" s="54" t="b">
        <v>1</v>
      </c>
      <c r="I2839" s="54" t="b">
        <v>1</v>
      </c>
      <c r="J2839" s="54" t="b">
        <v>1</v>
      </c>
      <c r="K2839" s="63" t="s">
        <v>1112</v>
      </c>
      <c r="L2839" s="63" t="s">
        <v>6551</v>
      </c>
      <c r="M2839" s="63" t="s">
        <v>6552</v>
      </c>
      <c r="N2839" s="63" t="s">
        <v>2164</v>
      </c>
    </row>
    <row r="2840" spans="1:14" x14ac:dyDescent="0.2">
      <c r="A2840" s="51">
        <v>2839</v>
      </c>
      <c r="B2840" s="56" t="s">
        <v>826</v>
      </c>
      <c r="C2840" s="47" t="s">
        <v>6553</v>
      </c>
      <c r="D2840" s="47" t="s">
        <v>6554</v>
      </c>
      <c r="E2840" s="47" t="s">
        <v>2164</v>
      </c>
      <c r="F2840" s="55" t="b">
        <v>1</v>
      </c>
      <c r="G2840" s="65" t="b">
        <v>0</v>
      </c>
      <c r="H2840" s="54" t="b">
        <v>1</v>
      </c>
      <c r="I2840" s="54" t="b">
        <v>1</v>
      </c>
      <c r="J2840" s="54" t="b">
        <v>1</v>
      </c>
      <c r="K2840" s="63" t="s">
        <v>1112</v>
      </c>
      <c r="L2840" s="63" t="s">
        <v>6553</v>
      </c>
      <c r="M2840" s="63" t="s">
        <v>6554</v>
      </c>
      <c r="N2840" s="63" t="s">
        <v>2164</v>
      </c>
    </row>
    <row r="2841" spans="1:14" x14ac:dyDescent="0.2">
      <c r="A2841" s="51">
        <v>2840</v>
      </c>
      <c r="B2841" s="56" t="s">
        <v>826</v>
      </c>
      <c r="C2841" s="47" t="s">
        <v>6555</v>
      </c>
      <c r="D2841" s="47" t="s">
        <v>6556</v>
      </c>
      <c r="E2841" s="47" t="s">
        <v>2164</v>
      </c>
      <c r="F2841" s="55" t="b">
        <v>1</v>
      </c>
      <c r="G2841" s="65" t="b">
        <v>0</v>
      </c>
      <c r="H2841" s="54" t="b">
        <v>1</v>
      </c>
      <c r="I2841" s="54" t="b">
        <v>1</v>
      </c>
      <c r="J2841" s="54" t="b">
        <v>1</v>
      </c>
      <c r="K2841" s="63" t="s">
        <v>1112</v>
      </c>
      <c r="L2841" s="63" t="s">
        <v>6555</v>
      </c>
      <c r="M2841" s="63" t="s">
        <v>6556</v>
      </c>
      <c r="N2841" s="63" t="s">
        <v>2164</v>
      </c>
    </row>
    <row r="2842" spans="1:14" x14ac:dyDescent="0.2">
      <c r="A2842" s="51">
        <v>2841</v>
      </c>
      <c r="B2842" s="56" t="s">
        <v>826</v>
      </c>
      <c r="C2842" s="47" t="s">
        <v>6557</v>
      </c>
      <c r="D2842" s="47" t="s">
        <v>6558</v>
      </c>
      <c r="E2842" s="47" t="s">
        <v>2164</v>
      </c>
      <c r="F2842" s="55" t="b">
        <v>1</v>
      </c>
      <c r="G2842" s="65" t="b">
        <v>0</v>
      </c>
      <c r="H2842" s="54" t="b">
        <v>1</v>
      </c>
      <c r="I2842" s="54" t="b">
        <v>1</v>
      </c>
      <c r="J2842" s="54" t="b">
        <v>1</v>
      </c>
      <c r="K2842" s="63" t="s">
        <v>1112</v>
      </c>
      <c r="L2842" s="63" t="s">
        <v>6557</v>
      </c>
      <c r="M2842" s="63" t="s">
        <v>6558</v>
      </c>
      <c r="N2842" s="63" t="s">
        <v>2164</v>
      </c>
    </row>
    <row r="2843" spans="1:14" x14ac:dyDescent="0.2">
      <c r="A2843" s="51">
        <v>2842</v>
      </c>
      <c r="B2843" s="56" t="s">
        <v>826</v>
      </c>
      <c r="C2843" s="47" t="s">
        <v>6559</v>
      </c>
      <c r="D2843" s="47" t="s">
        <v>6560</v>
      </c>
      <c r="E2843" s="47" t="s">
        <v>2164</v>
      </c>
      <c r="F2843" s="55" t="b">
        <v>1</v>
      </c>
      <c r="G2843" s="65" t="b">
        <v>0</v>
      </c>
      <c r="H2843" s="54" t="b">
        <v>1</v>
      </c>
      <c r="I2843" s="54" t="b">
        <v>1</v>
      </c>
      <c r="J2843" s="54" t="b">
        <v>1</v>
      </c>
      <c r="K2843" s="63" t="s">
        <v>1112</v>
      </c>
      <c r="L2843" s="63" t="s">
        <v>6559</v>
      </c>
      <c r="M2843" s="63" t="s">
        <v>6560</v>
      </c>
      <c r="N2843" s="63" t="s">
        <v>2164</v>
      </c>
    </row>
    <row r="2844" spans="1:14" x14ac:dyDescent="0.2">
      <c r="A2844" s="51">
        <v>2843</v>
      </c>
      <c r="B2844" s="56" t="s">
        <v>826</v>
      </c>
      <c r="C2844" s="47" t="s">
        <v>6561</v>
      </c>
      <c r="D2844" s="47" t="s">
        <v>6562</v>
      </c>
      <c r="E2844" s="47" t="s">
        <v>2164</v>
      </c>
      <c r="F2844" s="55" t="b">
        <v>1</v>
      </c>
      <c r="G2844" s="65" t="b">
        <v>0</v>
      </c>
      <c r="H2844" s="54" t="b">
        <v>1</v>
      </c>
      <c r="I2844" s="54" t="b">
        <v>1</v>
      </c>
      <c r="J2844" s="54" t="b">
        <v>1</v>
      </c>
      <c r="K2844" s="63" t="s">
        <v>1112</v>
      </c>
      <c r="L2844" s="63" t="s">
        <v>6561</v>
      </c>
      <c r="M2844" s="63" t="s">
        <v>6562</v>
      </c>
      <c r="N2844" s="63" t="s">
        <v>2164</v>
      </c>
    </row>
    <row r="2845" spans="1:14" x14ac:dyDescent="0.2">
      <c r="A2845" s="51">
        <v>2844</v>
      </c>
      <c r="B2845" s="56" t="s">
        <v>826</v>
      </c>
      <c r="C2845" s="47" t="s">
        <v>6567</v>
      </c>
      <c r="D2845" s="47" t="s">
        <v>13008</v>
      </c>
      <c r="E2845" s="47" t="s">
        <v>2164</v>
      </c>
      <c r="F2845" s="55" t="b">
        <v>1</v>
      </c>
      <c r="G2845" s="65" t="b">
        <v>0</v>
      </c>
      <c r="H2845" s="54" t="b">
        <v>1</v>
      </c>
      <c r="I2845" s="65" t="b">
        <v>0</v>
      </c>
      <c r="J2845" s="54" t="b">
        <v>1</v>
      </c>
      <c r="K2845" s="63" t="s">
        <v>1112</v>
      </c>
      <c r="L2845" s="63" t="s">
        <v>6567</v>
      </c>
      <c r="M2845" s="63" t="s">
        <v>6568</v>
      </c>
      <c r="N2845" s="63" t="s">
        <v>2164</v>
      </c>
    </row>
    <row r="2846" spans="1:14" x14ac:dyDescent="0.2">
      <c r="A2846" s="51">
        <v>2845</v>
      </c>
      <c r="B2846" s="56" t="s">
        <v>826</v>
      </c>
      <c r="C2846" s="47" t="s">
        <v>6563</v>
      </c>
      <c r="D2846" s="47" t="s">
        <v>6564</v>
      </c>
      <c r="E2846" s="47" t="s">
        <v>2164</v>
      </c>
      <c r="F2846" s="55" t="b">
        <v>1</v>
      </c>
      <c r="G2846" s="65" t="b">
        <v>0</v>
      </c>
      <c r="H2846" s="54" t="b">
        <v>1</v>
      </c>
      <c r="I2846" s="54" t="b">
        <v>1</v>
      </c>
      <c r="J2846" s="54" t="b">
        <v>1</v>
      </c>
      <c r="K2846" s="63" t="s">
        <v>1112</v>
      </c>
      <c r="L2846" s="63" t="s">
        <v>6563</v>
      </c>
      <c r="M2846" s="63" t="s">
        <v>6564</v>
      </c>
      <c r="N2846" s="63" t="s">
        <v>2164</v>
      </c>
    </row>
    <row r="2847" spans="1:14" x14ac:dyDescent="0.2">
      <c r="A2847" s="51">
        <v>2846</v>
      </c>
      <c r="B2847" s="56" t="s">
        <v>826</v>
      </c>
      <c r="C2847" s="47" t="s">
        <v>6565</v>
      </c>
      <c r="D2847" s="47" t="s">
        <v>6566</v>
      </c>
      <c r="E2847" s="47" t="s">
        <v>2164</v>
      </c>
      <c r="F2847" s="55" t="b">
        <v>1</v>
      </c>
      <c r="G2847" s="65" t="b">
        <v>0</v>
      </c>
      <c r="H2847" s="54" t="b">
        <v>1</v>
      </c>
      <c r="I2847" s="54" t="b">
        <v>1</v>
      </c>
      <c r="J2847" s="54" t="b">
        <v>1</v>
      </c>
      <c r="K2847" s="63" t="s">
        <v>1112</v>
      </c>
      <c r="L2847" s="63" t="s">
        <v>6565</v>
      </c>
      <c r="M2847" s="63" t="s">
        <v>6566</v>
      </c>
      <c r="N2847" s="63" t="s">
        <v>2164</v>
      </c>
    </row>
    <row r="2848" spans="1:14" x14ac:dyDescent="0.2">
      <c r="A2848" s="51">
        <v>2847</v>
      </c>
      <c r="B2848" s="56" t="s">
        <v>826</v>
      </c>
      <c r="C2848" s="47" t="s">
        <v>6569</v>
      </c>
      <c r="D2848" s="47" t="s">
        <v>6570</v>
      </c>
      <c r="E2848" s="47" t="s">
        <v>2164</v>
      </c>
      <c r="F2848" s="55" t="b">
        <v>1</v>
      </c>
      <c r="G2848" s="65" t="b">
        <v>0</v>
      </c>
      <c r="H2848" s="54" t="b">
        <v>1</v>
      </c>
      <c r="I2848" s="54" t="b">
        <v>1</v>
      </c>
      <c r="J2848" s="54" t="b">
        <v>1</v>
      </c>
      <c r="K2848" s="63" t="s">
        <v>1112</v>
      </c>
      <c r="L2848" s="63" t="s">
        <v>6569</v>
      </c>
      <c r="M2848" s="63" t="s">
        <v>6570</v>
      </c>
      <c r="N2848" s="63" t="s">
        <v>2164</v>
      </c>
    </row>
    <row r="2849" spans="1:14" x14ac:dyDescent="0.2">
      <c r="A2849" s="51">
        <v>2848</v>
      </c>
      <c r="B2849" s="56" t="s">
        <v>826</v>
      </c>
      <c r="C2849" s="47" t="s">
        <v>6571</v>
      </c>
      <c r="D2849" s="47" t="s">
        <v>6572</v>
      </c>
      <c r="E2849" s="47" t="s">
        <v>2164</v>
      </c>
      <c r="F2849" s="55" t="b">
        <v>1</v>
      </c>
      <c r="G2849" s="65" t="b">
        <v>0</v>
      </c>
      <c r="H2849" s="54" t="b">
        <v>1</v>
      </c>
      <c r="I2849" s="54" t="b">
        <v>1</v>
      </c>
      <c r="J2849" s="54" t="b">
        <v>1</v>
      </c>
      <c r="K2849" s="63" t="s">
        <v>1112</v>
      </c>
      <c r="L2849" s="63" t="s">
        <v>6571</v>
      </c>
      <c r="M2849" s="63" t="s">
        <v>6572</v>
      </c>
      <c r="N2849" s="63" t="s">
        <v>2164</v>
      </c>
    </row>
    <row r="2850" spans="1:14" x14ac:dyDescent="0.2">
      <c r="A2850" s="51">
        <v>2849</v>
      </c>
      <c r="B2850" s="56" t="s">
        <v>826</v>
      </c>
      <c r="C2850" s="47" t="s">
        <v>6573</v>
      </c>
      <c r="D2850" s="47" t="s">
        <v>6574</v>
      </c>
      <c r="E2850" s="47" t="s">
        <v>2164</v>
      </c>
      <c r="F2850" s="55" t="b">
        <v>1</v>
      </c>
      <c r="G2850" s="65" t="b">
        <v>0</v>
      </c>
      <c r="H2850" s="54" t="b">
        <v>1</v>
      </c>
      <c r="I2850" s="54" t="b">
        <v>1</v>
      </c>
      <c r="J2850" s="54" t="b">
        <v>1</v>
      </c>
      <c r="K2850" s="63" t="s">
        <v>1112</v>
      </c>
      <c r="L2850" s="63" t="s">
        <v>6573</v>
      </c>
      <c r="M2850" s="63" t="s">
        <v>6574</v>
      </c>
      <c r="N2850" s="63" t="s">
        <v>2164</v>
      </c>
    </row>
    <row r="2851" spans="1:14" x14ac:dyDescent="0.2">
      <c r="A2851" s="51">
        <v>2850</v>
      </c>
      <c r="B2851" s="56" t="s">
        <v>826</v>
      </c>
      <c r="C2851" s="47" t="s">
        <v>6575</v>
      </c>
      <c r="D2851" s="47" t="s">
        <v>6576</v>
      </c>
      <c r="E2851" s="47" t="s">
        <v>2164</v>
      </c>
      <c r="F2851" s="55" t="b">
        <v>1</v>
      </c>
      <c r="G2851" s="65" t="b">
        <v>0</v>
      </c>
      <c r="H2851" s="54" t="b">
        <v>1</v>
      </c>
      <c r="I2851" s="54" t="b">
        <v>1</v>
      </c>
      <c r="J2851" s="54" t="b">
        <v>1</v>
      </c>
      <c r="K2851" s="63" t="s">
        <v>1112</v>
      </c>
      <c r="L2851" s="63" t="s">
        <v>6575</v>
      </c>
      <c r="M2851" s="63" t="s">
        <v>6576</v>
      </c>
      <c r="N2851" s="63" t="s">
        <v>2164</v>
      </c>
    </row>
    <row r="2852" spans="1:14" x14ac:dyDescent="0.2">
      <c r="A2852" s="51">
        <v>2851</v>
      </c>
      <c r="B2852" s="56"/>
      <c r="G2852" s="65" t="b">
        <v>0</v>
      </c>
      <c r="H2852" s="65" t="b">
        <v>0</v>
      </c>
      <c r="I2852" s="65" t="b">
        <v>0</v>
      </c>
      <c r="J2852" s="65" t="b">
        <v>0</v>
      </c>
      <c r="K2852" s="63" t="s">
        <v>1112</v>
      </c>
      <c r="L2852" s="63" t="s">
        <v>6579</v>
      </c>
      <c r="M2852" s="63" t="s">
        <v>6580</v>
      </c>
      <c r="N2852" s="63" t="s">
        <v>2164</v>
      </c>
    </row>
    <row r="2853" spans="1:14" x14ac:dyDescent="0.2">
      <c r="A2853" s="51">
        <v>2852</v>
      </c>
      <c r="B2853" s="56" t="s">
        <v>826</v>
      </c>
      <c r="C2853" s="47" t="s">
        <v>6577</v>
      </c>
      <c r="D2853" s="47" t="s">
        <v>6578</v>
      </c>
      <c r="E2853" s="47" t="s">
        <v>2164</v>
      </c>
      <c r="F2853" s="55" t="b">
        <v>1</v>
      </c>
      <c r="G2853" s="65" t="b">
        <v>0</v>
      </c>
      <c r="H2853" s="54" t="b">
        <v>1</v>
      </c>
      <c r="I2853" s="54" t="b">
        <v>1</v>
      </c>
      <c r="J2853" s="54" t="b">
        <v>1</v>
      </c>
      <c r="K2853" s="63" t="s">
        <v>1112</v>
      </c>
      <c r="L2853" s="63" t="s">
        <v>6577</v>
      </c>
      <c r="M2853" s="63" t="s">
        <v>6578</v>
      </c>
      <c r="N2853" s="63" t="s">
        <v>2164</v>
      </c>
    </row>
    <row r="2854" spans="1:14" x14ac:dyDescent="0.2">
      <c r="A2854" s="51">
        <v>2853</v>
      </c>
      <c r="B2854" s="56" t="s">
        <v>826</v>
      </c>
      <c r="C2854" s="47" t="s">
        <v>6583</v>
      </c>
      <c r="D2854" s="47" t="s">
        <v>6584</v>
      </c>
      <c r="E2854" s="47" t="s">
        <v>2164</v>
      </c>
      <c r="F2854" s="55" t="b">
        <v>1</v>
      </c>
      <c r="G2854" s="65" t="b">
        <v>0</v>
      </c>
      <c r="H2854" s="54" t="b">
        <v>1</v>
      </c>
      <c r="I2854" s="54" t="b">
        <v>1</v>
      </c>
      <c r="J2854" s="54" t="b">
        <v>1</v>
      </c>
      <c r="K2854" s="63" t="s">
        <v>1112</v>
      </c>
      <c r="L2854" s="63" t="s">
        <v>6583</v>
      </c>
      <c r="M2854" s="63" t="s">
        <v>6584</v>
      </c>
      <c r="N2854" s="63" t="s">
        <v>2164</v>
      </c>
    </row>
    <row r="2855" spans="1:14" x14ac:dyDescent="0.2">
      <c r="A2855" s="51">
        <v>2854</v>
      </c>
      <c r="B2855" s="56" t="s">
        <v>826</v>
      </c>
      <c r="C2855" s="47" t="s">
        <v>6581</v>
      </c>
      <c r="D2855" s="47" t="s">
        <v>6582</v>
      </c>
      <c r="E2855" s="47" t="s">
        <v>2164</v>
      </c>
      <c r="F2855" s="55" t="b">
        <v>1</v>
      </c>
      <c r="G2855" s="65" t="b">
        <v>0</v>
      </c>
      <c r="H2855" s="54" t="b">
        <v>1</v>
      </c>
      <c r="I2855" s="54" t="b">
        <v>1</v>
      </c>
      <c r="J2855" s="54" t="b">
        <v>1</v>
      </c>
      <c r="K2855" s="63" t="s">
        <v>1112</v>
      </c>
      <c r="L2855" s="63" t="s">
        <v>6581</v>
      </c>
      <c r="M2855" s="63" t="s">
        <v>6582</v>
      </c>
      <c r="N2855" s="63" t="s">
        <v>2164</v>
      </c>
    </row>
    <row r="2856" spans="1:14" x14ac:dyDescent="0.2">
      <c r="A2856" s="51">
        <v>2855</v>
      </c>
      <c r="B2856" s="56" t="s">
        <v>826</v>
      </c>
      <c r="C2856" s="47" t="s">
        <v>6585</v>
      </c>
      <c r="D2856" s="47" t="s">
        <v>6586</v>
      </c>
      <c r="E2856" s="47" t="s">
        <v>2164</v>
      </c>
      <c r="F2856" s="55" t="b">
        <v>1</v>
      </c>
      <c r="G2856" s="65" t="b">
        <v>0</v>
      </c>
      <c r="H2856" s="54" t="b">
        <v>1</v>
      </c>
      <c r="I2856" s="54" t="b">
        <v>1</v>
      </c>
      <c r="J2856" s="54" t="b">
        <v>1</v>
      </c>
      <c r="K2856" s="63" t="s">
        <v>1112</v>
      </c>
      <c r="L2856" s="63" t="s">
        <v>6585</v>
      </c>
      <c r="M2856" s="63" t="s">
        <v>6586</v>
      </c>
      <c r="N2856" s="63" t="s">
        <v>2164</v>
      </c>
    </row>
    <row r="2857" spans="1:14" x14ac:dyDescent="0.2">
      <c r="A2857" s="51">
        <v>2856</v>
      </c>
      <c r="B2857" s="56" t="s">
        <v>826</v>
      </c>
      <c r="C2857" s="47" t="s">
        <v>6587</v>
      </c>
      <c r="D2857" s="47" t="s">
        <v>6588</v>
      </c>
      <c r="E2857" s="47" t="s">
        <v>2164</v>
      </c>
      <c r="F2857" s="55" t="b">
        <v>1</v>
      </c>
      <c r="G2857" s="65" t="b">
        <v>0</v>
      </c>
      <c r="H2857" s="54" t="b">
        <v>1</v>
      </c>
      <c r="I2857" s="54" t="b">
        <v>1</v>
      </c>
      <c r="J2857" s="54" t="b">
        <v>1</v>
      </c>
      <c r="K2857" s="63" t="s">
        <v>1112</v>
      </c>
      <c r="L2857" s="63" t="s">
        <v>6587</v>
      </c>
      <c r="M2857" s="63" t="s">
        <v>6588</v>
      </c>
      <c r="N2857" s="63" t="s">
        <v>2164</v>
      </c>
    </row>
    <row r="2858" spans="1:14" x14ac:dyDescent="0.2">
      <c r="A2858" s="51">
        <v>2857</v>
      </c>
      <c r="B2858" s="56" t="s">
        <v>826</v>
      </c>
      <c r="C2858" s="47" t="s">
        <v>6589</v>
      </c>
      <c r="D2858" s="47" t="s">
        <v>6590</v>
      </c>
      <c r="E2858" s="47" t="s">
        <v>2164</v>
      </c>
      <c r="F2858" s="55" t="b">
        <v>1</v>
      </c>
      <c r="G2858" s="65" t="b">
        <v>0</v>
      </c>
      <c r="H2858" s="54" t="b">
        <v>1</v>
      </c>
      <c r="I2858" s="54" t="b">
        <v>1</v>
      </c>
      <c r="J2858" s="54" t="b">
        <v>1</v>
      </c>
      <c r="K2858" s="63" t="s">
        <v>1112</v>
      </c>
      <c r="L2858" s="63" t="s">
        <v>6589</v>
      </c>
      <c r="M2858" s="63" t="s">
        <v>6590</v>
      </c>
      <c r="N2858" s="63" t="s">
        <v>2164</v>
      </c>
    </row>
    <row r="2859" spans="1:14" x14ac:dyDescent="0.2">
      <c r="A2859" s="51">
        <v>2858</v>
      </c>
      <c r="B2859" s="56" t="s">
        <v>826</v>
      </c>
      <c r="C2859" s="47" t="s">
        <v>6591</v>
      </c>
      <c r="D2859" s="47" t="s">
        <v>6592</v>
      </c>
      <c r="E2859" s="47" t="s">
        <v>2164</v>
      </c>
      <c r="F2859" s="55" t="b">
        <v>1</v>
      </c>
      <c r="G2859" s="65" t="b">
        <v>0</v>
      </c>
      <c r="H2859" s="54" t="b">
        <v>1</v>
      </c>
      <c r="I2859" s="54" t="b">
        <v>1</v>
      </c>
      <c r="J2859" s="54" t="b">
        <v>1</v>
      </c>
      <c r="K2859" s="63" t="s">
        <v>1112</v>
      </c>
      <c r="L2859" s="63" t="s">
        <v>6591</v>
      </c>
      <c r="M2859" s="63" t="s">
        <v>6592</v>
      </c>
      <c r="N2859" s="63" t="s">
        <v>2164</v>
      </c>
    </row>
    <row r="2860" spans="1:14" x14ac:dyDescent="0.2">
      <c r="A2860" s="51">
        <v>2859</v>
      </c>
      <c r="B2860" s="56" t="s">
        <v>826</v>
      </c>
      <c r="C2860" s="47" t="s">
        <v>6593</v>
      </c>
      <c r="D2860" s="47" t="s">
        <v>6594</v>
      </c>
      <c r="E2860" s="47" t="s">
        <v>2164</v>
      </c>
      <c r="F2860" s="55" t="b">
        <v>1</v>
      </c>
      <c r="G2860" s="65" t="b">
        <v>0</v>
      </c>
      <c r="H2860" s="54" t="b">
        <v>1</v>
      </c>
      <c r="I2860" s="54" t="b">
        <v>1</v>
      </c>
      <c r="J2860" s="54" t="b">
        <v>1</v>
      </c>
      <c r="K2860" s="63" t="s">
        <v>1112</v>
      </c>
      <c r="L2860" s="63" t="s">
        <v>6593</v>
      </c>
      <c r="M2860" s="63" t="s">
        <v>6594</v>
      </c>
      <c r="N2860" s="63" t="s">
        <v>2164</v>
      </c>
    </row>
    <row r="2861" spans="1:14" x14ac:dyDescent="0.2">
      <c r="A2861" s="51">
        <v>2860</v>
      </c>
      <c r="B2861" s="56" t="s">
        <v>826</v>
      </c>
      <c r="C2861" s="47" t="s">
        <v>6595</v>
      </c>
      <c r="D2861" s="47" t="s">
        <v>6596</v>
      </c>
      <c r="E2861" s="47" t="s">
        <v>2164</v>
      </c>
      <c r="F2861" s="55" t="b">
        <v>1</v>
      </c>
      <c r="G2861" s="65" t="b">
        <v>0</v>
      </c>
      <c r="H2861" s="54" t="b">
        <v>1</v>
      </c>
      <c r="I2861" s="54" t="b">
        <v>1</v>
      </c>
      <c r="J2861" s="54" t="b">
        <v>1</v>
      </c>
      <c r="K2861" s="63" t="s">
        <v>1112</v>
      </c>
      <c r="L2861" s="63" t="s">
        <v>6595</v>
      </c>
      <c r="M2861" s="63" t="s">
        <v>6596</v>
      </c>
      <c r="N2861" s="63" t="s">
        <v>2164</v>
      </c>
    </row>
    <row r="2862" spans="1:14" x14ac:dyDescent="0.2">
      <c r="A2862" s="51">
        <v>2861</v>
      </c>
      <c r="B2862" s="56" t="s">
        <v>826</v>
      </c>
      <c r="C2862" s="47" t="s">
        <v>6597</v>
      </c>
      <c r="D2862" s="47" t="s">
        <v>6598</v>
      </c>
      <c r="E2862" s="47" t="s">
        <v>2164</v>
      </c>
      <c r="F2862" s="55" t="b">
        <v>1</v>
      </c>
      <c r="G2862" s="65" t="b">
        <v>0</v>
      </c>
      <c r="H2862" s="54" t="b">
        <v>1</v>
      </c>
      <c r="I2862" s="54" t="b">
        <v>1</v>
      </c>
      <c r="J2862" s="54" t="b">
        <v>1</v>
      </c>
      <c r="K2862" s="63" t="s">
        <v>1112</v>
      </c>
      <c r="L2862" s="63" t="s">
        <v>6597</v>
      </c>
      <c r="M2862" s="63" t="s">
        <v>6598</v>
      </c>
      <c r="N2862" s="63" t="s">
        <v>2164</v>
      </c>
    </row>
    <row r="2863" spans="1:14" x14ac:dyDescent="0.2">
      <c r="A2863" s="51">
        <v>2862</v>
      </c>
      <c r="B2863" s="56"/>
      <c r="G2863" s="65" t="b">
        <v>0</v>
      </c>
      <c r="H2863" s="65" t="b">
        <v>0</v>
      </c>
      <c r="I2863" s="65" t="b">
        <v>0</v>
      </c>
      <c r="J2863" s="65" t="b">
        <v>0</v>
      </c>
      <c r="K2863" s="63" t="s">
        <v>1112</v>
      </c>
      <c r="L2863" s="63" t="s">
        <v>6599</v>
      </c>
      <c r="M2863" s="63" t="s">
        <v>6600</v>
      </c>
      <c r="N2863" s="63" t="s">
        <v>2164</v>
      </c>
    </row>
    <row r="2864" spans="1:14" x14ac:dyDescent="0.2">
      <c r="A2864" s="51">
        <v>2863</v>
      </c>
      <c r="B2864" s="56" t="s">
        <v>826</v>
      </c>
      <c r="C2864" s="47" t="s">
        <v>6611</v>
      </c>
      <c r="D2864" s="47" t="s">
        <v>6612</v>
      </c>
      <c r="E2864" s="47" t="s">
        <v>2164</v>
      </c>
      <c r="F2864" s="55" t="b">
        <v>1</v>
      </c>
      <c r="G2864" s="65" t="b">
        <v>0</v>
      </c>
      <c r="H2864" s="54" t="b">
        <v>1</v>
      </c>
      <c r="I2864" s="54" t="b">
        <v>1</v>
      </c>
      <c r="J2864" s="54" t="b">
        <v>1</v>
      </c>
      <c r="K2864" s="63" t="s">
        <v>1112</v>
      </c>
      <c r="L2864" s="63" t="s">
        <v>6611</v>
      </c>
      <c r="M2864" s="63" t="s">
        <v>6612</v>
      </c>
      <c r="N2864" s="63" t="s">
        <v>2164</v>
      </c>
    </row>
    <row r="2865" spans="1:14" x14ac:dyDescent="0.2">
      <c r="A2865" s="51">
        <v>2864</v>
      </c>
      <c r="B2865" s="56" t="s">
        <v>826</v>
      </c>
      <c r="C2865" s="47" t="s">
        <v>6601</v>
      </c>
      <c r="D2865" s="47" t="s">
        <v>6602</v>
      </c>
      <c r="E2865" s="47" t="s">
        <v>2164</v>
      </c>
      <c r="F2865" s="55" t="b">
        <v>1</v>
      </c>
      <c r="G2865" s="65" t="b">
        <v>0</v>
      </c>
      <c r="H2865" s="54" t="b">
        <v>1</v>
      </c>
      <c r="I2865" s="54" t="b">
        <v>1</v>
      </c>
      <c r="J2865" s="54" t="b">
        <v>1</v>
      </c>
      <c r="K2865" s="63" t="s">
        <v>1112</v>
      </c>
      <c r="L2865" s="63" t="s">
        <v>6601</v>
      </c>
      <c r="M2865" s="63" t="s">
        <v>6602</v>
      </c>
      <c r="N2865" s="63" t="s">
        <v>2164</v>
      </c>
    </row>
    <row r="2866" spans="1:14" x14ac:dyDescent="0.2">
      <c r="A2866" s="51">
        <v>2865</v>
      </c>
      <c r="B2866" s="56" t="s">
        <v>826</v>
      </c>
      <c r="C2866" s="47" t="s">
        <v>6603</v>
      </c>
      <c r="D2866" s="47" t="s">
        <v>6604</v>
      </c>
      <c r="E2866" s="47" t="s">
        <v>2164</v>
      </c>
      <c r="F2866" s="55" t="b">
        <v>1</v>
      </c>
      <c r="G2866" s="65" t="b">
        <v>0</v>
      </c>
      <c r="H2866" s="54" t="b">
        <v>1</v>
      </c>
      <c r="I2866" s="54" t="b">
        <v>1</v>
      </c>
      <c r="J2866" s="54" t="b">
        <v>1</v>
      </c>
      <c r="K2866" s="63" t="s">
        <v>1112</v>
      </c>
      <c r="L2866" s="63" t="s">
        <v>6603</v>
      </c>
      <c r="M2866" s="63" t="s">
        <v>6604</v>
      </c>
      <c r="N2866" s="63" t="s">
        <v>2164</v>
      </c>
    </row>
    <row r="2867" spans="1:14" x14ac:dyDescent="0.2">
      <c r="A2867" s="51">
        <v>2866</v>
      </c>
      <c r="B2867" s="56" t="s">
        <v>826</v>
      </c>
      <c r="C2867" s="47" t="s">
        <v>6605</v>
      </c>
      <c r="D2867" s="47" t="s">
        <v>6606</v>
      </c>
      <c r="E2867" s="47" t="s">
        <v>2164</v>
      </c>
      <c r="F2867" s="55" t="b">
        <v>1</v>
      </c>
      <c r="G2867" s="65" t="b">
        <v>0</v>
      </c>
      <c r="H2867" s="54" t="b">
        <v>1</v>
      </c>
      <c r="I2867" s="54" t="b">
        <v>1</v>
      </c>
      <c r="J2867" s="54" t="b">
        <v>1</v>
      </c>
      <c r="K2867" s="63" t="s">
        <v>1112</v>
      </c>
      <c r="L2867" s="63" t="s">
        <v>6605</v>
      </c>
      <c r="M2867" s="63" t="s">
        <v>6606</v>
      </c>
      <c r="N2867" s="63" t="s">
        <v>2164</v>
      </c>
    </row>
    <row r="2868" spans="1:14" x14ac:dyDescent="0.2">
      <c r="A2868" s="51">
        <v>2867</v>
      </c>
      <c r="B2868" s="56" t="s">
        <v>826</v>
      </c>
      <c r="C2868" s="47" t="s">
        <v>6607</v>
      </c>
      <c r="D2868" s="47" t="s">
        <v>6608</v>
      </c>
      <c r="E2868" s="47" t="s">
        <v>2164</v>
      </c>
      <c r="F2868" s="55" t="b">
        <v>1</v>
      </c>
      <c r="G2868" s="65" t="b">
        <v>0</v>
      </c>
      <c r="H2868" s="54" t="b">
        <v>1</v>
      </c>
      <c r="I2868" s="54" t="b">
        <v>1</v>
      </c>
      <c r="J2868" s="54" t="b">
        <v>1</v>
      </c>
      <c r="K2868" s="63" t="s">
        <v>1112</v>
      </c>
      <c r="L2868" s="63" t="s">
        <v>6607</v>
      </c>
      <c r="M2868" s="63" t="s">
        <v>6608</v>
      </c>
      <c r="N2868" s="63" t="s">
        <v>2164</v>
      </c>
    </row>
    <row r="2869" spans="1:14" x14ac:dyDescent="0.2">
      <c r="A2869" s="51">
        <v>2868</v>
      </c>
      <c r="B2869" s="56" t="s">
        <v>826</v>
      </c>
      <c r="C2869" s="47" t="s">
        <v>6609</v>
      </c>
      <c r="D2869" s="47" t="s">
        <v>6610</v>
      </c>
      <c r="E2869" s="47" t="s">
        <v>2164</v>
      </c>
      <c r="F2869" s="55" t="b">
        <v>1</v>
      </c>
      <c r="G2869" s="65" t="b">
        <v>0</v>
      </c>
      <c r="H2869" s="54" t="b">
        <v>1</v>
      </c>
      <c r="I2869" s="54" t="b">
        <v>1</v>
      </c>
      <c r="J2869" s="54" t="b">
        <v>1</v>
      </c>
      <c r="K2869" s="63" t="s">
        <v>1112</v>
      </c>
      <c r="L2869" s="63" t="s">
        <v>6609</v>
      </c>
      <c r="M2869" s="63" t="s">
        <v>6610</v>
      </c>
      <c r="N2869" s="63" t="s">
        <v>2164</v>
      </c>
    </row>
    <row r="2870" spans="1:14" x14ac:dyDescent="0.2">
      <c r="A2870" s="51">
        <v>2869</v>
      </c>
      <c r="B2870" s="56" t="s">
        <v>826</v>
      </c>
      <c r="C2870" s="47" t="s">
        <v>6613</v>
      </c>
      <c r="D2870" s="47" t="s">
        <v>6614</v>
      </c>
      <c r="E2870" s="47" t="s">
        <v>2164</v>
      </c>
      <c r="F2870" s="55" t="b">
        <v>1</v>
      </c>
      <c r="G2870" s="65" t="b">
        <v>0</v>
      </c>
      <c r="H2870" s="54" t="b">
        <v>1</v>
      </c>
      <c r="I2870" s="54" t="b">
        <v>1</v>
      </c>
      <c r="J2870" s="54" t="b">
        <v>1</v>
      </c>
      <c r="K2870" s="63" t="s">
        <v>1112</v>
      </c>
      <c r="L2870" s="63" t="s">
        <v>6613</v>
      </c>
      <c r="M2870" s="63" t="s">
        <v>6614</v>
      </c>
      <c r="N2870" s="63" t="s">
        <v>2164</v>
      </c>
    </row>
    <row r="2871" spans="1:14" x14ac:dyDescent="0.2">
      <c r="A2871" s="51">
        <v>2870</v>
      </c>
      <c r="B2871" s="56" t="s">
        <v>826</v>
      </c>
      <c r="C2871" s="47" t="s">
        <v>6615</v>
      </c>
      <c r="D2871" s="47" t="s">
        <v>6616</v>
      </c>
      <c r="E2871" s="47" t="s">
        <v>2164</v>
      </c>
      <c r="F2871" s="55" t="b">
        <v>1</v>
      </c>
      <c r="G2871" s="65" t="b">
        <v>0</v>
      </c>
      <c r="H2871" s="54" t="b">
        <v>1</v>
      </c>
      <c r="I2871" s="54" t="b">
        <v>1</v>
      </c>
      <c r="J2871" s="54" t="b">
        <v>1</v>
      </c>
      <c r="K2871" s="63" t="s">
        <v>1112</v>
      </c>
      <c r="L2871" s="63" t="s">
        <v>6615</v>
      </c>
      <c r="M2871" s="63" t="s">
        <v>6616</v>
      </c>
      <c r="N2871" s="63" t="s">
        <v>2164</v>
      </c>
    </row>
    <row r="2872" spans="1:14" x14ac:dyDescent="0.2">
      <c r="A2872" s="51">
        <v>2871</v>
      </c>
      <c r="B2872" s="56"/>
      <c r="G2872" s="65" t="b">
        <v>0</v>
      </c>
      <c r="H2872" s="65" t="b">
        <v>0</v>
      </c>
      <c r="I2872" s="65" t="b">
        <v>0</v>
      </c>
      <c r="J2872" s="65" t="b">
        <v>0</v>
      </c>
      <c r="K2872" s="63" t="s">
        <v>1112</v>
      </c>
      <c r="L2872" s="63" t="s">
        <v>6503</v>
      </c>
      <c r="M2872" s="63" t="s">
        <v>6504</v>
      </c>
      <c r="N2872" s="63" t="s">
        <v>2164</v>
      </c>
    </row>
    <row r="2873" spans="1:14" x14ac:dyDescent="0.2">
      <c r="A2873" s="51">
        <v>2872</v>
      </c>
      <c r="B2873" s="56" t="s">
        <v>826</v>
      </c>
      <c r="C2873" s="47" t="s">
        <v>6501</v>
      </c>
      <c r="D2873" s="47" t="s">
        <v>6502</v>
      </c>
      <c r="E2873" s="47" t="s">
        <v>2164</v>
      </c>
      <c r="F2873" s="55" t="b">
        <v>1</v>
      </c>
      <c r="G2873" s="65" t="b">
        <v>0</v>
      </c>
      <c r="H2873" s="54" t="b">
        <v>1</v>
      </c>
      <c r="I2873" s="54" t="b">
        <v>1</v>
      </c>
      <c r="J2873" s="54" t="b">
        <v>1</v>
      </c>
      <c r="K2873" s="63" t="s">
        <v>1112</v>
      </c>
      <c r="L2873" s="63" t="s">
        <v>6501</v>
      </c>
      <c r="M2873" s="63" t="s">
        <v>6502</v>
      </c>
      <c r="N2873" s="63" t="s">
        <v>2164</v>
      </c>
    </row>
    <row r="2874" spans="1:14" x14ac:dyDescent="0.2">
      <c r="A2874" s="51">
        <v>2873</v>
      </c>
      <c r="B2874" s="56"/>
      <c r="G2874" s="65" t="b">
        <v>0</v>
      </c>
      <c r="H2874" s="65" t="b">
        <v>0</v>
      </c>
      <c r="I2874" s="65" t="b">
        <v>0</v>
      </c>
      <c r="J2874" s="65" t="b">
        <v>0</v>
      </c>
      <c r="K2874" s="63" t="s">
        <v>1112</v>
      </c>
      <c r="L2874" s="63" t="s">
        <v>6637</v>
      </c>
      <c r="M2874" s="63" t="s">
        <v>6638</v>
      </c>
      <c r="N2874" s="63" t="s">
        <v>2164</v>
      </c>
    </row>
    <row r="2875" spans="1:14" x14ac:dyDescent="0.2">
      <c r="A2875" s="51">
        <v>2874</v>
      </c>
      <c r="B2875" s="56" t="s">
        <v>826</v>
      </c>
      <c r="C2875" s="47" t="s">
        <v>6639</v>
      </c>
      <c r="D2875" s="47" t="s">
        <v>6640</v>
      </c>
      <c r="E2875" s="47" t="s">
        <v>2164</v>
      </c>
      <c r="F2875" s="55" t="b">
        <v>1</v>
      </c>
      <c r="G2875" s="65" t="b">
        <v>0</v>
      </c>
      <c r="H2875" s="54" t="b">
        <v>1</v>
      </c>
      <c r="I2875" s="54" t="b">
        <v>1</v>
      </c>
      <c r="J2875" s="54" t="b">
        <v>1</v>
      </c>
      <c r="K2875" s="63" t="s">
        <v>1112</v>
      </c>
      <c r="L2875" s="63" t="s">
        <v>6639</v>
      </c>
      <c r="M2875" s="63" t="s">
        <v>6640</v>
      </c>
      <c r="N2875" s="63" t="s">
        <v>2164</v>
      </c>
    </row>
    <row r="2876" spans="1:14" x14ac:dyDescent="0.2">
      <c r="A2876" s="51">
        <v>2875</v>
      </c>
      <c r="B2876" s="56" t="s">
        <v>826</v>
      </c>
      <c r="C2876" s="47" t="s">
        <v>6641</v>
      </c>
      <c r="D2876" s="47" t="s">
        <v>6642</v>
      </c>
      <c r="E2876" s="47" t="s">
        <v>2164</v>
      </c>
      <c r="F2876" s="55" t="b">
        <v>1</v>
      </c>
      <c r="G2876" s="65" t="b">
        <v>0</v>
      </c>
      <c r="H2876" s="54" t="b">
        <v>1</v>
      </c>
      <c r="I2876" s="54" t="b">
        <v>1</v>
      </c>
      <c r="J2876" s="54" t="b">
        <v>1</v>
      </c>
      <c r="K2876" s="63" t="s">
        <v>1112</v>
      </c>
      <c r="L2876" s="63" t="s">
        <v>6641</v>
      </c>
      <c r="M2876" s="63" t="s">
        <v>6642</v>
      </c>
      <c r="N2876" s="63" t="s">
        <v>2164</v>
      </c>
    </row>
    <row r="2877" spans="1:14" x14ac:dyDescent="0.2">
      <c r="A2877" s="51">
        <v>2876</v>
      </c>
      <c r="B2877" s="56" t="s">
        <v>826</v>
      </c>
      <c r="C2877" s="47" t="s">
        <v>6643</v>
      </c>
      <c r="D2877" s="47" t="s">
        <v>13007</v>
      </c>
      <c r="E2877" s="47" t="s">
        <v>2164</v>
      </c>
      <c r="F2877" s="55" t="b">
        <v>1</v>
      </c>
      <c r="G2877" s="65" t="b">
        <v>0</v>
      </c>
      <c r="H2877" s="54" t="b">
        <v>1</v>
      </c>
      <c r="I2877" s="65" t="b">
        <v>0</v>
      </c>
      <c r="J2877" s="54" t="b">
        <v>1</v>
      </c>
      <c r="K2877" s="63" t="s">
        <v>1112</v>
      </c>
      <c r="L2877" s="63" t="s">
        <v>6643</v>
      </c>
      <c r="M2877" s="63" t="s">
        <v>6644</v>
      </c>
      <c r="N2877" s="63" t="s">
        <v>2164</v>
      </c>
    </row>
    <row r="2878" spans="1:14" x14ac:dyDescent="0.2">
      <c r="A2878" s="51">
        <v>2877</v>
      </c>
      <c r="B2878" s="56" t="s">
        <v>826</v>
      </c>
      <c r="C2878" s="47" t="s">
        <v>6645</v>
      </c>
      <c r="D2878" s="47" t="s">
        <v>6646</v>
      </c>
      <c r="E2878" s="47" t="s">
        <v>2164</v>
      </c>
      <c r="F2878" s="55" t="b">
        <v>1</v>
      </c>
      <c r="G2878" s="65" t="b">
        <v>0</v>
      </c>
      <c r="H2878" s="54" t="b">
        <v>1</v>
      </c>
      <c r="I2878" s="54" t="b">
        <v>1</v>
      </c>
      <c r="J2878" s="54" t="b">
        <v>1</v>
      </c>
      <c r="K2878" s="63" t="s">
        <v>1112</v>
      </c>
      <c r="L2878" s="63" t="s">
        <v>6645</v>
      </c>
      <c r="M2878" s="63" t="s">
        <v>6646</v>
      </c>
      <c r="N2878" s="63" t="s">
        <v>2164</v>
      </c>
    </row>
    <row r="2879" spans="1:14" x14ac:dyDescent="0.2">
      <c r="A2879" s="51">
        <v>2878</v>
      </c>
      <c r="B2879" s="56"/>
      <c r="G2879" s="65" t="b">
        <v>0</v>
      </c>
      <c r="H2879" s="65" t="b">
        <v>0</v>
      </c>
      <c r="I2879" s="65" t="b">
        <v>0</v>
      </c>
      <c r="J2879" s="65" t="b">
        <v>0</v>
      </c>
      <c r="K2879" s="63" t="s">
        <v>1112</v>
      </c>
      <c r="L2879" s="63" t="s">
        <v>6647</v>
      </c>
      <c r="M2879" s="63" t="s">
        <v>6648</v>
      </c>
      <c r="N2879" s="63" t="s">
        <v>2164</v>
      </c>
    </row>
    <row r="2880" spans="1:14" x14ac:dyDescent="0.2">
      <c r="A2880" s="51">
        <v>2879</v>
      </c>
      <c r="B2880" s="56" t="s">
        <v>826</v>
      </c>
      <c r="C2880" s="47" t="s">
        <v>13009</v>
      </c>
      <c r="D2880" s="47" t="s">
        <v>13010</v>
      </c>
      <c r="E2880" s="47" t="s">
        <v>2046</v>
      </c>
      <c r="F2880" s="55" t="b">
        <v>1</v>
      </c>
      <c r="G2880" s="65" t="b">
        <v>0</v>
      </c>
      <c r="H2880" s="65" t="b">
        <v>0</v>
      </c>
      <c r="I2880" s="65" t="b">
        <v>0</v>
      </c>
      <c r="J2880" s="65" t="b">
        <v>0</v>
      </c>
    </row>
    <row r="2881" spans="1:14" x14ac:dyDescent="0.2">
      <c r="A2881" s="51">
        <v>2880</v>
      </c>
      <c r="B2881" s="54" t="s">
        <v>828</v>
      </c>
      <c r="C2881" s="47" t="s">
        <v>6659</v>
      </c>
      <c r="D2881" s="47" t="s">
        <v>6660</v>
      </c>
      <c r="E2881" s="47" t="s">
        <v>1719</v>
      </c>
      <c r="F2881" s="55" t="b">
        <v>1</v>
      </c>
      <c r="G2881" s="54" t="b">
        <v>1</v>
      </c>
      <c r="H2881" s="54" t="b">
        <v>1</v>
      </c>
      <c r="I2881" s="54" t="b">
        <v>1</v>
      </c>
      <c r="J2881" s="54" t="b">
        <v>1</v>
      </c>
      <c r="K2881" s="63" t="s">
        <v>828</v>
      </c>
      <c r="L2881" s="63" t="s">
        <v>6659</v>
      </c>
      <c r="M2881" s="63" t="s">
        <v>6660</v>
      </c>
      <c r="N2881" s="63" t="s">
        <v>1719</v>
      </c>
    </row>
    <row r="2882" spans="1:14" x14ac:dyDescent="0.2">
      <c r="A2882" s="51">
        <v>2881</v>
      </c>
      <c r="B2882" s="54" t="s">
        <v>828</v>
      </c>
      <c r="C2882" s="47" t="s">
        <v>6653</v>
      </c>
      <c r="D2882" s="47" t="s">
        <v>6654</v>
      </c>
      <c r="E2882" s="47" t="s">
        <v>1719</v>
      </c>
      <c r="F2882" s="55" t="b">
        <v>1</v>
      </c>
      <c r="G2882" s="54" t="b">
        <v>1</v>
      </c>
      <c r="H2882" s="54" t="b">
        <v>1</v>
      </c>
      <c r="I2882" s="54" t="b">
        <v>1</v>
      </c>
      <c r="J2882" s="54" t="b">
        <v>1</v>
      </c>
      <c r="K2882" s="63" t="s">
        <v>828</v>
      </c>
      <c r="L2882" s="63" t="s">
        <v>6653</v>
      </c>
      <c r="M2882" s="63" t="s">
        <v>6654</v>
      </c>
      <c r="N2882" s="63" t="s">
        <v>1719</v>
      </c>
    </row>
    <row r="2883" spans="1:14" x14ac:dyDescent="0.2">
      <c r="A2883" s="51">
        <v>2882</v>
      </c>
      <c r="B2883" s="54" t="s">
        <v>828</v>
      </c>
      <c r="C2883" s="47" t="s">
        <v>6655</v>
      </c>
      <c r="D2883" s="47" t="s">
        <v>6656</v>
      </c>
      <c r="E2883" s="47" t="s">
        <v>1719</v>
      </c>
      <c r="F2883" s="55" t="b">
        <v>1</v>
      </c>
      <c r="G2883" s="54" t="b">
        <v>1</v>
      </c>
      <c r="H2883" s="54" t="b">
        <v>1</v>
      </c>
      <c r="I2883" s="54" t="b">
        <v>1</v>
      </c>
      <c r="J2883" s="54" t="b">
        <v>1</v>
      </c>
      <c r="K2883" s="63" t="s">
        <v>828</v>
      </c>
      <c r="L2883" s="63" t="s">
        <v>6655</v>
      </c>
      <c r="M2883" s="63" t="s">
        <v>6656</v>
      </c>
      <c r="N2883" s="63" t="s">
        <v>1719</v>
      </c>
    </row>
    <row r="2884" spans="1:14" x14ac:dyDescent="0.2">
      <c r="A2884" s="51">
        <v>2883</v>
      </c>
      <c r="B2884" s="54" t="s">
        <v>828</v>
      </c>
      <c r="C2884" s="47" t="s">
        <v>6657</v>
      </c>
      <c r="D2884" s="47" t="s">
        <v>6658</v>
      </c>
      <c r="E2884" s="47" t="s">
        <v>1719</v>
      </c>
      <c r="F2884" s="55" t="b">
        <v>1</v>
      </c>
      <c r="G2884" s="54" t="b">
        <v>1</v>
      </c>
      <c r="H2884" s="54" t="b">
        <v>1</v>
      </c>
      <c r="I2884" s="54" t="b">
        <v>1</v>
      </c>
      <c r="J2884" s="54" t="b">
        <v>1</v>
      </c>
      <c r="K2884" s="63" t="s">
        <v>828</v>
      </c>
      <c r="L2884" s="63" t="s">
        <v>6657</v>
      </c>
      <c r="M2884" s="63" t="s">
        <v>6658</v>
      </c>
      <c r="N2884" s="63" t="s">
        <v>1719</v>
      </c>
    </row>
    <row r="2885" spans="1:14" x14ac:dyDescent="0.2">
      <c r="A2885" s="51">
        <v>2884</v>
      </c>
      <c r="B2885" s="54" t="s">
        <v>828</v>
      </c>
      <c r="C2885" s="47" t="s">
        <v>6651</v>
      </c>
      <c r="D2885" s="47" t="s">
        <v>6652</v>
      </c>
      <c r="E2885" s="47" t="s">
        <v>1719</v>
      </c>
      <c r="F2885" s="55" t="b">
        <v>1</v>
      </c>
      <c r="G2885" s="54" t="b">
        <v>1</v>
      </c>
      <c r="H2885" s="54" t="b">
        <v>1</v>
      </c>
      <c r="I2885" s="54" t="b">
        <v>1</v>
      </c>
      <c r="J2885" s="54" t="b">
        <v>1</v>
      </c>
      <c r="K2885" s="63" t="s">
        <v>828</v>
      </c>
      <c r="L2885" s="63" t="s">
        <v>6651</v>
      </c>
      <c r="M2885" s="63" t="s">
        <v>6652</v>
      </c>
      <c r="N2885" s="63" t="s">
        <v>1719</v>
      </c>
    </row>
    <row r="2886" spans="1:14" x14ac:dyDescent="0.2">
      <c r="A2886" s="51">
        <v>2885</v>
      </c>
      <c r="B2886" s="54" t="s">
        <v>828</v>
      </c>
      <c r="C2886" s="47" t="s">
        <v>6661</v>
      </c>
      <c r="D2886" s="47" t="s">
        <v>6662</v>
      </c>
      <c r="E2886" s="47" t="s">
        <v>1719</v>
      </c>
      <c r="F2886" s="55" t="b">
        <v>1</v>
      </c>
      <c r="G2886" s="54" t="b">
        <v>1</v>
      </c>
      <c r="H2886" s="54" t="b">
        <v>1</v>
      </c>
      <c r="I2886" s="54" t="b">
        <v>1</v>
      </c>
      <c r="J2886" s="54" t="b">
        <v>1</v>
      </c>
      <c r="K2886" s="63" t="s">
        <v>828</v>
      </c>
      <c r="L2886" s="63" t="s">
        <v>6661</v>
      </c>
      <c r="M2886" s="63" t="s">
        <v>6662</v>
      </c>
      <c r="N2886" s="63" t="s">
        <v>1719</v>
      </c>
    </row>
    <row r="2887" spans="1:14" x14ac:dyDescent="0.2">
      <c r="A2887" s="51">
        <v>2886</v>
      </c>
      <c r="B2887" s="54" t="s">
        <v>830</v>
      </c>
      <c r="C2887" s="47" t="s">
        <v>6663</v>
      </c>
      <c r="D2887" s="47" t="s">
        <v>6664</v>
      </c>
      <c r="E2887" s="47" t="s">
        <v>1790</v>
      </c>
      <c r="F2887" s="55" t="b">
        <v>1</v>
      </c>
      <c r="G2887" s="54" t="b">
        <v>1</v>
      </c>
      <c r="H2887" s="54" t="b">
        <v>1</v>
      </c>
      <c r="I2887" s="54" t="b">
        <v>1</v>
      </c>
      <c r="J2887" s="54" t="b">
        <v>1</v>
      </c>
      <c r="K2887" s="63" t="s">
        <v>830</v>
      </c>
      <c r="L2887" s="63" t="s">
        <v>6663</v>
      </c>
      <c r="M2887" s="63" t="s">
        <v>6664</v>
      </c>
      <c r="N2887" s="63" t="s">
        <v>1790</v>
      </c>
    </row>
    <row r="2888" spans="1:14" x14ac:dyDescent="0.2">
      <c r="A2888" s="51">
        <v>2887</v>
      </c>
      <c r="B2888" s="54" t="s">
        <v>830</v>
      </c>
      <c r="C2888" s="47" t="s">
        <v>6665</v>
      </c>
      <c r="D2888" s="47" t="s">
        <v>6666</v>
      </c>
      <c r="E2888" s="47" t="s">
        <v>1790</v>
      </c>
      <c r="F2888" s="55" t="b">
        <v>1</v>
      </c>
      <c r="G2888" s="54" t="b">
        <v>1</v>
      </c>
      <c r="H2888" s="54" t="b">
        <v>1</v>
      </c>
      <c r="I2888" s="54" t="b">
        <v>1</v>
      </c>
      <c r="J2888" s="54" t="b">
        <v>1</v>
      </c>
      <c r="K2888" s="63" t="s">
        <v>830</v>
      </c>
      <c r="L2888" s="63" t="s">
        <v>6665</v>
      </c>
      <c r="M2888" s="63" t="s">
        <v>6666</v>
      </c>
      <c r="N2888" s="63" t="s">
        <v>1790</v>
      </c>
    </row>
    <row r="2889" spans="1:14" x14ac:dyDescent="0.2">
      <c r="A2889" s="51">
        <v>2888</v>
      </c>
      <c r="B2889" s="54" t="s">
        <v>830</v>
      </c>
      <c r="C2889" s="47" t="s">
        <v>6667</v>
      </c>
      <c r="D2889" s="47" t="s">
        <v>6668</v>
      </c>
      <c r="E2889" s="48" t="s">
        <v>2087</v>
      </c>
      <c r="F2889" s="66" t="b">
        <v>0</v>
      </c>
      <c r="G2889" s="54" t="b">
        <v>1</v>
      </c>
      <c r="H2889" s="54" t="b">
        <v>1</v>
      </c>
      <c r="I2889" s="54" t="b">
        <v>1</v>
      </c>
      <c r="J2889" s="54" t="b">
        <v>1</v>
      </c>
      <c r="K2889" s="63" t="s">
        <v>830</v>
      </c>
      <c r="L2889" s="63" t="s">
        <v>6667</v>
      </c>
      <c r="M2889" s="63" t="s">
        <v>6668</v>
      </c>
      <c r="N2889" s="63" t="s">
        <v>2087</v>
      </c>
    </row>
    <row r="2890" spans="1:14" x14ac:dyDescent="0.2">
      <c r="A2890" s="51">
        <v>2889</v>
      </c>
      <c r="E2890" s="48"/>
      <c r="G2890" s="65" t="b">
        <v>0</v>
      </c>
      <c r="H2890" s="65" t="b">
        <v>0</v>
      </c>
      <c r="I2890" s="65" t="b">
        <v>0</v>
      </c>
      <c r="J2890" s="65" t="b">
        <v>0</v>
      </c>
      <c r="K2890" s="63" t="s">
        <v>830</v>
      </c>
      <c r="L2890" s="63" t="s">
        <v>6667</v>
      </c>
      <c r="M2890" s="63" t="s">
        <v>6727</v>
      </c>
      <c r="N2890" s="63" t="s">
        <v>2087</v>
      </c>
    </row>
    <row r="2891" spans="1:14" x14ac:dyDescent="0.2">
      <c r="A2891" s="51">
        <v>2890</v>
      </c>
      <c r="B2891" s="54" t="s">
        <v>830</v>
      </c>
      <c r="C2891" s="47" t="s">
        <v>6669</v>
      </c>
      <c r="D2891" s="47" t="s">
        <v>6670</v>
      </c>
      <c r="E2891" s="47" t="s">
        <v>1790</v>
      </c>
      <c r="F2891" s="55" t="b">
        <v>1</v>
      </c>
      <c r="G2891" s="54" t="b">
        <v>1</v>
      </c>
      <c r="H2891" s="54" t="b">
        <v>1</v>
      </c>
      <c r="I2891" s="54" t="b">
        <v>1</v>
      </c>
      <c r="J2891" s="54" t="b">
        <v>1</v>
      </c>
      <c r="K2891" s="63" t="s">
        <v>830</v>
      </c>
      <c r="L2891" s="63" t="s">
        <v>6669</v>
      </c>
      <c r="M2891" s="63" t="s">
        <v>6670</v>
      </c>
      <c r="N2891" s="63" t="s">
        <v>1790</v>
      </c>
    </row>
    <row r="2892" spans="1:14" x14ac:dyDescent="0.2">
      <c r="A2892" s="51">
        <v>2891</v>
      </c>
      <c r="B2892" s="54" t="s">
        <v>830</v>
      </c>
      <c r="C2892" s="47" t="s">
        <v>6671</v>
      </c>
      <c r="D2892" s="47" t="s">
        <v>6672</v>
      </c>
      <c r="E2892" s="47" t="s">
        <v>1790</v>
      </c>
      <c r="F2892" s="55" t="b">
        <v>1</v>
      </c>
      <c r="G2892" s="54" t="b">
        <v>1</v>
      </c>
      <c r="H2892" s="54" t="b">
        <v>1</v>
      </c>
      <c r="I2892" s="54" t="b">
        <v>1</v>
      </c>
      <c r="J2892" s="54" t="b">
        <v>1</v>
      </c>
      <c r="K2892" s="63" t="s">
        <v>830</v>
      </c>
      <c r="L2892" s="63" t="s">
        <v>6671</v>
      </c>
      <c r="M2892" s="63" t="s">
        <v>6672</v>
      </c>
      <c r="N2892" s="63" t="s">
        <v>1790</v>
      </c>
    </row>
    <row r="2893" spans="1:14" x14ac:dyDescent="0.2">
      <c r="A2893" s="51">
        <v>2892</v>
      </c>
      <c r="B2893" s="54" t="s">
        <v>830</v>
      </c>
      <c r="C2893" s="47" t="s">
        <v>6673</v>
      </c>
      <c r="D2893" s="47" t="s">
        <v>6674</v>
      </c>
      <c r="E2893" s="47" t="s">
        <v>1790</v>
      </c>
      <c r="F2893" s="55" t="b">
        <v>1</v>
      </c>
      <c r="G2893" s="54" t="b">
        <v>1</v>
      </c>
      <c r="H2893" s="54" t="b">
        <v>1</v>
      </c>
      <c r="I2893" s="54" t="b">
        <v>1</v>
      </c>
      <c r="J2893" s="54" t="b">
        <v>1</v>
      </c>
      <c r="K2893" s="63" t="s">
        <v>830</v>
      </c>
      <c r="L2893" s="63" t="s">
        <v>6673</v>
      </c>
      <c r="M2893" s="63" t="s">
        <v>6674</v>
      </c>
      <c r="N2893" s="63" t="s">
        <v>1790</v>
      </c>
    </row>
    <row r="2894" spans="1:14" x14ac:dyDescent="0.2">
      <c r="A2894" s="51">
        <v>2893</v>
      </c>
      <c r="B2894" s="54" t="s">
        <v>830</v>
      </c>
      <c r="C2894" s="47" t="s">
        <v>6675</v>
      </c>
      <c r="D2894" s="47" t="s">
        <v>6676</v>
      </c>
      <c r="E2894" s="47" t="s">
        <v>1790</v>
      </c>
      <c r="F2894" s="55" t="b">
        <v>1</v>
      </c>
      <c r="G2894" s="54" t="b">
        <v>1</v>
      </c>
      <c r="H2894" s="54" t="b">
        <v>1</v>
      </c>
      <c r="I2894" s="54" t="b">
        <v>1</v>
      </c>
      <c r="J2894" s="54" t="b">
        <v>1</v>
      </c>
      <c r="K2894" s="63" t="s">
        <v>830</v>
      </c>
      <c r="L2894" s="63" t="s">
        <v>6675</v>
      </c>
      <c r="M2894" s="63" t="s">
        <v>6676</v>
      </c>
      <c r="N2894" s="63" t="s">
        <v>1790</v>
      </c>
    </row>
    <row r="2895" spans="1:14" x14ac:dyDescent="0.2">
      <c r="A2895" s="51">
        <v>2894</v>
      </c>
      <c r="B2895" s="54" t="s">
        <v>830</v>
      </c>
      <c r="C2895" s="47" t="s">
        <v>6677</v>
      </c>
      <c r="D2895" s="47" t="s">
        <v>6678</v>
      </c>
      <c r="E2895" s="47" t="s">
        <v>1790</v>
      </c>
      <c r="F2895" s="55" t="b">
        <v>1</v>
      </c>
      <c r="G2895" s="54" t="b">
        <v>1</v>
      </c>
      <c r="H2895" s="54" t="b">
        <v>1</v>
      </c>
      <c r="I2895" s="54" t="b">
        <v>1</v>
      </c>
      <c r="J2895" s="54" t="b">
        <v>1</v>
      </c>
      <c r="K2895" s="63" t="s">
        <v>830</v>
      </c>
      <c r="L2895" s="63" t="s">
        <v>6677</v>
      </c>
      <c r="M2895" s="63" t="s">
        <v>6678</v>
      </c>
      <c r="N2895" s="63" t="s">
        <v>1790</v>
      </c>
    </row>
    <row r="2896" spans="1:14" x14ac:dyDescent="0.2">
      <c r="A2896" s="51">
        <v>2895</v>
      </c>
      <c r="B2896" s="54" t="s">
        <v>830</v>
      </c>
      <c r="C2896" s="47" t="s">
        <v>6679</v>
      </c>
      <c r="D2896" s="47" t="s">
        <v>6680</v>
      </c>
      <c r="E2896" s="47" t="s">
        <v>1790</v>
      </c>
      <c r="F2896" s="55" t="b">
        <v>1</v>
      </c>
      <c r="G2896" s="54" t="b">
        <v>1</v>
      </c>
      <c r="H2896" s="54" t="b">
        <v>1</v>
      </c>
      <c r="I2896" s="54" t="b">
        <v>1</v>
      </c>
      <c r="J2896" s="54" t="b">
        <v>1</v>
      </c>
      <c r="K2896" s="63" t="s">
        <v>830</v>
      </c>
      <c r="L2896" s="63" t="s">
        <v>6679</v>
      </c>
      <c r="M2896" s="63" t="s">
        <v>6680</v>
      </c>
      <c r="N2896" s="63" t="s">
        <v>1790</v>
      </c>
    </row>
    <row r="2897" spans="1:14" x14ac:dyDescent="0.2">
      <c r="A2897" s="51">
        <v>2896</v>
      </c>
      <c r="B2897" s="54" t="s">
        <v>830</v>
      </c>
      <c r="C2897" s="47" t="s">
        <v>6681</v>
      </c>
      <c r="D2897" s="47" t="s">
        <v>6682</v>
      </c>
      <c r="E2897" s="47" t="s">
        <v>1790</v>
      </c>
      <c r="F2897" s="55" t="b">
        <v>1</v>
      </c>
      <c r="G2897" s="54" t="b">
        <v>1</v>
      </c>
      <c r="H2897" s="54" t="b">
        <v>1</v>
      </c>
      <c r="I2897" s="54" t="b">
        <v>1</v>
      </c>
      <c r="J2897" s="54" t="b">
        <v>1</v>
      </c>
      <c r="K2897" s="63" t="s">
        <v>830</v>
      </c>
      <c r="L2897" s="63" t="s">
        <v>6681</v>
      </c>
      <c r="M2897" s="63" t="s">
        <v>6682</v>
      </c>
      <c r="N2897" s="63" t="s">
        <v>1790</v>
      </c>
    </row>
    <row r="2898" spans="1:14" x14ac:dyDescent="0.2">
      <c r="A2898" s="51">
        <v>2897</v>
      </c>
      <c r="B2898" s="54" t="s">
        <v>830</v>
      </c>
      <c r="C2898" s="47" t="s">
        <v>6685</v>
      </c>
      <c r="D2898" s="47" t="s">
        <v>6686</v>
      </c>
      <c r="E2898" s="47" t="s">
        <v>1790</v>
      </c>
      <c r="F2898" s="55" t="b">
        <v>1</v>
      </c>
      <c r="G2898" s="54" t="b">
        <v>1</v>
      </c>
      <c r="H2898" s="54" t="b">
        <v>1</v>
      </c>
      <c r="I2898" s="54" t="b">
        <v>1</v>
      </c>
      <c r="J2898" s="54" t="b">
        <v>1</v>
      </c>
      <c r="K2898" s="63" t="s">
        <v>830</v>
      </c>
      <c r="L2898" s="63" t="s">
        <v>6685</v>
      </c>
      <c r="M2898" s="63" t="s">
        <v>6686</v>
      </c>
      <c r="N2898" s="63" t="s">
        <v>1790</v>
      </c>
    </row>
    <row r="2899" spans="1:14" x14ac:dyDescent="0.2">
      <c r="A2899" s="51">
        <v>2898</v>
      </c>
      <c r="B2899" s="54" t="s">
        <v>830</v>
      </c>
      <c r="C2899" s="47" t="s">
        <v>6683</v>
      </c>
      <c r="D2899" s="47" t="s">
        <v>6684</v>
      </c>
      <c r="E2899" s="47" t="s">
        <v>1790</v>
      </c>
      <c r="F2899" s="55" t="b">
        <v>1</v>
      </c>
      <c r="G2899" s="54" t="b">
        <v>1</v>
      </c>
      <c r="H2899" s="54" t="b">
        <v>1</v>
      </c>
      <c r="I2899" s="54" t="b">
        <v>1</v>
      </c>
      <c r="J2899" s="54" t="b">
        <v>1</v>
      </c>
      <c r="K2899" s="63" t="s">
        <v>830</v>
      </c>
      <c r="L2899" s="63" t="s">
        <v>6683</v>
      </c>
      <c r="M2899" s="63" t="s">
        <v>6684</v>
      </c>
      <c r="N2899" s="63" t="s">
        <v>1790</v>
      </c>
    </row>
    <row r="2900" spans="1:14" x14ac:dyDescent="0.2">
      <c r="A2900" s="51">
        <v>2899</v>
      </c>
      <c r="B2900" s="54" t="s">
        <v>830</v>
      </c>
      <c r="C2900" s="47" t="s">
        <v>6691</v>
      </c>
      <c r="D2900" s="47" t="s">
        <v>6692</v>
      </c>
      <c r="E2900" s="47" t="s">
        <v>1790</v>
      </c>
      <c r="F2900" s="55" t="b">
        <v>1</v>
      </c>
      <c r="G2900" s="54" t="b">
        <v>1</v>
      </c>
      <c r="H2900" s="54" t="b">
        <v>1</v>
      </c>
      <c r="I2900" s="54" t="b">
        <v>1</v>
      </c>
      <c r="J2900" s="54" t="b">
        <v>1</v>
      </c>
      <c r="K2900" s="63" t="s">
        <v>830</v>
      </c>
      <c r="L2900" s="63" t="s">
        <v>6691</v>
      </c>
      <c r="M2900" s="63" t="s">
        <v>6692</v>
      </c>
      <c r="N2900" s="63" t="s">
        <v>1790</v>
      </c>
    </row>
    <row r="2901" spans="1:14" x14ac:dyDescent="0.2">
      <c r="A2901" s="51">
        <v>2900</v>
      </c>
      <c r="B2901" s="54" t="s">
        <v>830</v>
      </c>
      <c r="C2901" s="47" t="s">
        <v>6689</v>
      </c>
      <c r="D2901" s="47" t="s">
        <v>6690</v>
      </c>
      <c r="E2901" s="47" t="s">
        <v>1790</v>
      </c>
      <c r="F2901" s="55" t="b">
        <v>1</v>
      </c>
      <c r="G2901" s="54" t="b">
        <v>1</v>
      </c>
      <c r="H2901" s="54" t="b">
        <v>1</v>
      </c>
      <c r="I2901" s="54" t="b">
        <v>1</v>
      </c>
      <c r="J2901" s="54" t="b">
        <v>1</v>
      </c>
      <c r="K2901" s="63" t="s">
        <v>830</v>
      </c>
      <c r="L2901" s="63" t="s">
        <v>6689</v>
      </c>
      <c r="M2901" s="63" t="s">
        <v>6690</v>
      </c>
      <c r="N2901" s="63" t="s">
        <v>1790</v>
      </c>
    </row>
    <row r="2902" spans="1:14" x14ac:dyDescent="0.2">
      <c r="A2902" s="51">
        <v>2901</v>
      </c>
      <c r="B2902" s="54" t="s">
        <v>830</v>
      </c>
      <c r="C2902" s="47" t="s">
        <v>6687</v>
      </c>
      <c r="D2902" s="47" t="s">
        <v>6688</v>
      </c>
      <c r="E2902" s="47" t="s">
        <v>1790</v>
      </c>
      <c r="F2902" s="55" t="b">
        <v>1</v>
      </c>
      <c r="G2902" s="54" t="b">
        <v>1</v>
      </c>
      <c r="H2902" s="54" t="b">
        <v>1</v>
      </c>
      <c r="I2902" s="54" t="b">
        <v>1</v>
      </c>
      <c r="J2902" s="54" t="b">
        <v>1</v>
      </c>
      <c r="K2902" s="63" t="s">
        <v>830</v>
      </c>
      <c r="L2902" s="63" t="s">
        <v>6687</v>
      </c>
      <c r="M2902" s="63" t="s">
        <v>6688</v>
      </c>
      <c r="N2902" s="63" t="s">
        <v>1790</v>
      </c>
    </row>
    <row r="2903" spans="1:14" x14ac:dyDescent="0.2">
      <c r="A2903" s="51">
        <v>2902</v>
      </c>
      <c r="B2903" s="54" t="s">
        <v>830</v>
      </c>
      <c r="C2903" s="47" t="s">
        <v>6693</v>
      </c>
      <c r="D2903" s="47" t="s">
        <v>6694</v>
      </c>
      <c r="E2903" s="47" t="s">
        <v>1790</v>
      </c>
      <c r="F2903" s="55" t="b">
        <v>1</v>
      </c>
      <c r="G2903" s="54" t="b">
        <v>1</v>
      </c>
      <c r="H2903" s="54" t="b">
        <v>1</v>
      </c>
      <c r="I2903" s="54" t="b">
        <v>1</v>
      </c>
      <c r="J2903" s="54" t="b">
        <v>1</v>
      </c>
      <c r="K2903" s="63" t="s">
        <v>830</v>
      </c>
      <c r="L2903" s="63" t="s">
        <v>6693</v>
      </c>
      <c r="M2903" s="63" t="s">
        <v>6694</v>
      </c>
      <c r="N2903" s="63" t="s">
        <v>1790</v>
      </c>
    </row>
    <row r="2904" spans="1:14" x14ac:dyDescent="0.2">
      <c r="A2904" s="51">
        <v>2903</v>
      </c>
      <c r="B2904" s="54" t="s">
        <v>830</v>
      </c>
      <c r="C2904" s="47" t="s">
        <v>6695</v>
      </c>
      <c r="D2904" s="47" t="s">
        <v>6696</v>
      </c>
      <c r="E2904" s="47" t="s">
        <v>1790</v>
      </c>
      <c r="F2904" s="55" t="b">
        <v>1</v>
      </c>
      <c r="G2904" s="54" t="b">
        <v>1</v>
      </c>
      <c r="H2904" s="54" t="b">
        <v>1</v>
      </c>
      <c r="I2904" s="54" t="b">
        <v>1</v>
      </c>
      <c r="J2904" s="54" t="b">
        <v>1</v>
      </c>
      <c r="K2904" s="63" t="s">
        <v>830</v>
      </c>
      <c r="L2904" s="63" t="s">
        <v>6695</v>
      </c>
      <c r="M2904" s="63" t="s">
        <v>6696</v>
      </c>
      <c r="N2904" s="63" t="s">
        <v>1790</v>
      </c>
    </row>
    <row r="2905" spans="1:14" x14ac:dyDescent="0.2">
      <c r="A2905" s="51">
        <v>2904</v>
      </c>
      <c r="B2905" s="54" t="s">
        <v>830</v>
      </c>
      <c r="C2905" s="47" t="s">
        <v>6697</v>
      </c>
      <c r="D2905" s="47" t="s">
        <v>6698</v>
      </c>
      <c r="E2905" s="47" t="s">
        <v>1790</v>
      </c>
      <c r="F2905" s="55" t="b">
        <v>1</v>
      </c>
      <c r="G2905" s="54" t="b">
        <v>1</v>
      </c>
      <c r="H2905" s="54" t="b">
        <v>1</v>
      </c>
      <c r="I2905" s="54" t="b">
        <v>1</v>
      </c>
      <c r="J2905" s="54" t="b">
        <v>1</v>
      </c>
      <c r="K2905" s="63" t="s">
        <v>830</v>
      </c>
      <c r="L2905" s="63" t="s">
        <v>6697</v>
      </c>
      <c r="M2905" s="63" t="s">
        <v>6698</v>
      </c>
      <c r="N2905" s="63" t="s">
        <v>1790</v>
      </c>
    </row>
    <row r="2906" spans="1:14" x14ac:dyDescent="0.2">
      <c r="A2906" s="51">
        <v>2905</v>
      </c>
      <c r="B2906" s="54" t="s">
        <v>830</v>
      </c>
      <c r="C2906" s="47" t="s">
        <v>6705</v>
      </c>
      <c r="D2906" s="47" t="s">
        <v>6706</v>
      </c>
      <c r="E2906" s="48" t="s">
        <v>2087</v>
      </c>
      <c r="F2906" s="66" t="b">
        <v>0</v>
      </c>
      <c r="G2906" s="54" t="b">
        <v>1</v>
      </c>
      <c r="H2906" s="54" t="b">
        <v>1</v>
      </c>
      <c r="I2906" s="54" t="b">
        <v>1</v>
      </c>
      <c r="J2906" s="54" t="b">
        <v>1</v>
      </c>
      <c r="K2906" s="63" t="s">
        <v>830</v>
      </c>
      <c r="L2906" s="63" t="s">
        <v>6705</v>
      </c>
      <c r="M2906" s="63" t="s">
        <v>6706</v>
      </c>
      <c r="N2906" s="63" t="s">
        <v>2087</v>
      </c>
    </row>
    <row r="2907" spans="1:14" x14ac:dyDescent="0.2">
      <c r="A2907" s="51">
        <v>2906</v>
      </c>
      <c r="E2907" s="48"/>
      <c r="G2907" s="65" t="b">
        <v>0</v>
      </c>
      <c r="H2907" s="65" t="b">
        <v>0</v>
      </c>
      <c r="I2907" s="65" t="b">
        <v>0</v>
      </c>
      <c r="J2907" s="65" t="b">
        <v>0</v>
      </c>
      <c r="K2907" s="63" t="s">
        <v>830</v>
      </c>
      <c r="L2907" s="63" t="s">
        <v>6705</v>
      </c>
      <c r="M2907" s="63" t="s">
        <v>6725</v>
      </c>
      <c r="N2907" s="63" t="s">
        <v>2087</v>
      </c>
    </row>
    <row r="2908" spans="1:14" x14ac:dyDescent="0.2">
      <c r="A2908" s="51">
        <v>2907</v>
      </c>
      <c r="B2908" s="54" t="s">
        <v>830</v>
      </c>
      <c r="C2908" s="47" t="s">
        <v>6701</v>
      </c>
      <c r="D2908" s="47" t="s">
        <v>6702</v>
      </c>
      <c r="E2908" s="47" t="s">
        <v>1790</v>
      </c>
      <c r="F2908" s="55" t="b">
        <v>1</v>
      </c>
      <c r="G2908" s="54" t="b">
        <v>1</v>
      </c>
      <c r="H2908" s="54" t="b">
        <v>1</v>
      </c>
      <c r="I2908" s="54" t="b">
        <v>1</v>
      </c>
      <c r="J2908" s="54" t="b">
        <v>1</v>
      </c>
      <c r="K2908" s="63" t="s">
        <v>830</v>
      </c>
      <c r="L2908" s="63" t="s">
        <v>6701</v>
      </c>
      <c r="M2908" s="63" t="s">
        <v>6702</v>
      </c>
      <c r="N2908" s="63" t="s">
        <v>1790</v>
      </c>
    </row>
    <row r="2909" spans="1:14" x14ac:dyDescent="0.2">
      <c r="A2909" s="51">
        <v>2908</v>
      </c>
      <c r="B2909" s="54" t="s">
        <v>830</v>
      </c>
      <c r="C2909" s="47" t="s">
        <v>6699</v>
      </c>
      <c r="D2909" s="47" t="s">
        <v>6700</v>
      </c>
      <c r="E2909" s="47" t="s">
        <v>1790</v>
      </c>
      <c r="F2909" s="55" t="b">
        <v>1</v>
      </c>
      <c r="G2909" s="54" t="b">
        <v>1</v>
      </c>
      <c r="H2909" s="54" t="b">
        <v>1</v>
      </c>
      <c r="I2909" s="54" t="b">
        <v>1</v>
      </c>
      <c r="J2909" s="54" t="b">
        <v>1</v>
      </c>
      <c r="K2909" s="63" t="s">
        <v>830</v>
      </c>
      <c r="L2909" s="63" t="s">
        <v>6699</v>
      </c>
      <c r="M2909" s="63" t="s">
        <v>6700</v>
      </c>
      <c r="N2909" s="63" t="s">
        <v>1790</v>
      </c>
    </row>
    <row r="2910" spans="1:14" x14ac:dyDescent="0.2">
      <c r="A2910" s="51">
        <v>2909</v>
      </c>
      <c r="B2910" s="54" t="s">
        <v>830</v>
      </c>
      <c r="C2910" s="47" t="s">
        <v>6711</v>
      </c>
      <c r="D2910" s="47" t="s">
        <v>6712</v>
      </c>
      <c r="E2910" s="47" t="s">
        <v>1790</v>
      </c>
      <c r="F2910" s="55" t="b">
        <v>1</v>
      </c>
      <c r="G2910" s="54" t="b">
        <v>1</v>
      </c>
      <c r="H2910" s="54" t="b">
        <v>1</v>
      </c>
      <c r="I2910" s="54" t="b">
        <v>1</v>
      </c>
      <c r="J2910" s="54" t="b">
        <v>1</v>
      </c>
      <c r="K2910" s="63" t="s">
        <v>830</v>
      </c>
      <c r="L2910" s="63" t="s">
        <v>6711</v>
      </c>
      <c r="M2910" s="63" t="s">
        <v>6712</v>
      </c>
      <c r="N2910" s="63" t="s">
        <v>1790</v>
      </c>
    </row>
    <row r="2911" spans="1:14" x14ac:dyDescent="0.2">
      <c r="A2911" s="51">
        <v>2910</v>
      </c>
      <c r="B2911" s="54" t="s">
        <v>830</v>
      </c>
      <c r="C2911" s="47" t="s">
        <v>6703</v>
      </c>
      <c r="D2911" s="47" t="s">
        <v>6704</v>
      </c>
      <c r="E2911" s="47" t="s">
        <v>1790</v>
      </c>
      <c r="F2911" s="55" t="b">
        <v>1</v>
      </c>
      <c r="G2911" s="54" t="b">
        <v>1</v>
      </c>
      <c r="H2911" s="54" t="b">
        <v>1</v>
      </c>
      <c r="I2911" s="54" t="b">
        <v>1</v>
      </c>
      <c r="J2911" s="54" t="b">
        <v>1</v>
      </c>
      <c r="K2911" s="63" t="s">
        <v>830</v>
      </c>
      <c r="L2911" s="63" t="s">
        <v>6703</v>
      </c>
      <c r="M2911" s="63" t="s">
        <v>6704</v>
      </c>
      <c r="N2911" s="63" t="s">
        <v>1790</v>
      </c>
    </row>
    <row r="2912" spans="1:14" x14ac:dyDescent="0.2">
      <c r="A2912" s="51">
        <v>2911</v>
      </c>
      <c r="B2912" s="54" t="s">
        <v>830</v>
      </c>
      <c r="C2912" s="47" t="s">
        <v>6707</v>
      </c>
      <c r="D2912" s="47" t="s">
        <v>6708</v>
      </c>
      <c r="E2912" s="47" t="s">
        <v>1790</v>
      </c>
      <c r="F2912" s="55" t="b">
        <v>1</v>
      </c>
      <c r="G2912" s="54" t="b">
        <v>1</v>
      </c>
      <c r="H2912" s="54" t="b">
        <v>1</v>
      </c>
      <c r="I2912" s="54" t="b">
        <v>1</v>
      </c>
      <c r="J2912" s="54" t="b">
        <v>1</v>
      </c>
      <c r="K2912" s="63" t="s">
        <v>830</v>
      </c>
      <c r="L2912" s="63" t="s">
        <v>6707</v>
      </c>
      <c r="M2912" s="63" t="s">
        <v>6708</v>
      </c>
      <c r="N2912" s="63" t="s">
        <v>1790</v>
      </c>
    </row>
    <row r="2913" spans="1:14" x14ac:dyDescent="0.2">
      <c r="A2913" s="51">
        <v>2912</v>
      </c>
      <c r="B2913" s="54" t="s">
        <v>830</v>
      </c>
      <c r="C2913" s="47" t="s">
        <v>6709</v>
      </c>
      <c r="D2913" s="47" t="s">
        <v>6710</v>
      </c>
      <c r="E2913" s="47" t="s">
        <v>1790</v>
      </c>
      <c r="F2913" s="55" t="b">
        <v>1</v>
      </c>
      <c r="G2913" s="54" t="b">
        <v>1</v>
      </c>
      <c r="H2913" s="54" t="b">
        <v>1</v>
      </c>
      <c r="I2913" s="54" t="b">
        <v>1</v>
      </c>
      <c r="J2913" s="54" t="b">
        <v>1</v>
      </c>
      <c r="K2913" s="63" t="s">
        <v>830</v>
      </c>
      <c r="L2913" s="63" t="s">
        <v>6709</v>
      </c>
      <c r="M2913" s="63" t="s">
        <v>6710</v>
      </c>
      <c r="N2913" s="63" t="s">
        <v>1790</v>
      </c>
    </row>
    <row r="2914" spans="1:14" x14ac:dyDescent="0.2">
      <c r="A2914" s="51">
        <v>2913</v>
      </c>
      <c r="B2914" s="54" t="s">
        <v>830</v>
      </c>
      <c r="C2914" s="47" t="s">
        <v>6713</v>
      </c>
      <c r="D2914" s="47" t="s">
        <v>6714</v>
      </c>
      <c r="E2914" s="47" t="s">
        <v>1790</v>
      </c>
      <c r="F2914" s="55" t="b">
        <v>1</v>
      </c>
      <c r="G2914" s="54" t="b">
        <v>1</v>
      </c>
      <c r="H2914" s="54" t="b">
        <v>1</v>
      </c>
      <c r="I2914" s="54" t="b">
        <v>1</v>
      </c>
      <c r="J2914" s="54" t="b">
        <v>1</v>
      </c>
      <c r="K2914" s="63" t="s">
        <v>830</v>
      </c>
      <c r="L2914" s="63" t="s">
        <v>6713</v>
      </c>
      <c r="M2914" s="63" t="s">
        <v>6714</v>
      </c>
      <c r="N2914" s="63" t="s">
        <v>1790</v>
      </c>
    </row>
    <row r="2915" spans="1:14" x14ac:dyDescent="0.2">
      <c r="A2915" s="51">
        <v>2914</v>
      </c>
      <c r="B2915" s="54" t="s">
        <v>830</v>
      </c>
      <c r="C2915" s="47" t="s">
        <v>6715</v>
      </c>
      <c r="D2915" s="47" t="s">
        <v>6716</v>
      </c>
      <c r="E2915" s="47" t="s">
        <v>1790</v>
      </c>
      <c r="F2915" s="55" t="b">
        <v>1</v>
      </c>
      <c r="G2915" s="54" t="b">
        <v>1</v>
      </c>
      <c r="H2915" s="54" t="b">
        <v>1</v>
      </c>
      <c r="I2915" s="54" t="b">
        <v>1</v>
      </c>
      <c r="J2915" s="54" t="b">
        <v>1</v>
      </c>
      <c r="K2915" s="63" t="s">
        <v>830</v>
      </c>
      <c r="L2915" s="63" t="s">
        <v>6715</v>
      </c>
      <c r="M2915" s="63" t="s">
        <v>6716</v>
      </c>
      <c r="N2915" s="63" t="s">
        <v>1790</v>
      </c>
    </row>
    <row r="2916" spans="1:14" x14ac:dyDescent="0.2">
      <c r="A2916" s="51">
        <v>2915</v>
      </c>
      <c r="B2916" s="54" t="s">
        <v>830</v>
      </c>
      <c r="C2916" s="47" t="s">
        <v>6719</v>
      </c>
      <c r="D2916" s="47" t="s">
        <v>6720</v>
      </c>
      <c r="E2916" s="48" t="s">
        <v>2087</v>
      </c>
      <c r="F2916" s="66" t="b">
        <v>0</v>
      </c>
      <c r="G2916" s="54" t="b">
        <v>1</v>
      </c>
      <c r="H2916" s="54" t="b">
        <v>1</v>
      </c>
      <c r="I2916" s="54" t="b">
        <v>1</v>
      </c>
      <c r="J2916" s="54" t="b">
        <v>1</v>
      </c>
      <c r="K2916" s="63" t="s">
        <v>830</v>
      </c>
      <c r="L2916" s="63" t="s">
        <v>6719</v>
      </c>
      <c r="M2916" s="63" t="s">
        <v>6720</v>
      </c>
      <c r="N2916" s="63" t="s">
        <v>2087</v>
      </c>
    </row>
    <row r="2917" spans="1:14" x14ac:dyDescent="0.2">
      <c r="A2917" s="51">
        <v>2916</v>
      </c>
      <c r="E2917" s="48"/>
      <c r="G2917" s="65" t="b">
        <v>0</v>
      </c>
      <c r="H2917" s="65" t="b">
        <v>0</v>
      </c>
      <c r="I2917" s="65" t="b">
        <v>0</v>
      </c>
      <c r="J2917" s="65" t="b">
        <v>0</v>
      </c>
      <c r="K2917" s="63" t="s">
        <v>830</v>
      </c>
      <c r="L2917" s="63" t="s">
        <v>6719</v>
      </c>
      <c r="M2917" s="63" t="s">
        <v>6726</v>
      </c>
      <c r="N2917" s="63" t="s">
        <v>2087</v>
      </c>
    </row>
    <row r="2918" spans="1:14" x14ac:dyDescent="0.2">
      <c r="A2918" s="51">
        <v>2917</v>
      </c>
      <c r="B2918" s="54" t="s">
        <v>830</v>
      </c>
      <c r="C2918" s="47" t="s">
        <v>6717</v>
      </c>
      <c r="D2918" s="47" t="s">
        <v>6718</v>
      </c>
      <c r="E2918" s="47" t="s">
        <v>1790</v>
      </c>
      <c r="F2918" s="55" t="b">
        <v>1</v>
      </c>
      <c r="G2918" s="54" t="b">
        <v>1</v>
      </c>
      <c r="H2918" s="54" t="b">
        <v>1</v>
      </c>
      <c r="I2918" s="54" t="b">
        <v>1</v>
      </c>
      <c r="J2918" s="54" t="b">
        <v>1</v>
      </c>
      <c r="K2918" s="63" t="s">
        <v>830</v>
      </c>
      <c r="L2918" s="63" t="s">
        <v>6717</v>
      </c>
      <c r="M2918" s="63" t="s">
        <v>6718</v>
      </c>
      <c r="N2918" s="63" t="s">
        <v>1790</v>
      </c>
    </row>
    <row r="2919" spans="1:14" x14ac:dyDescent="0.2">
      <c r="A2919" s="51">
        <v>2918</v>
      </c>
      <c r="B2919" s="54" t="s">
        <v>830</v>
      </c>
      <c r="C2919" s="47" t="s">
        <v>6721</v>
      </c>
      <c r="D2919" s="47" t="s">
        <v>6722</v>
      </c>
      <c r="E2919" s="47" t="s">
        <v>1790</v>
      </c>
      <c r="F2919" s="55" t="b">
        <v>1</v>
      </c>
      <c r="G2919" s="54" t="b">
        <v>1</v>
      </c>
      <c r="H2919" s="54" t="b">
        <v>1</v>
      </c>
      <c r="I2919" s="54" t="b">
        <v>1</v>
      </c>
      <c r="J2919" s="54" t="b">
        <v>1</v>
      </c>
      <c r="K2919" s="63" t="s">
        <v>830</v>
      </c>
      <c r="L2919" s="63" t="s">
        <v>6721</v>
      </c>
      <c r="M2919" s="63" t="s">
        <v>6722</v>
      </c>
      <c r="N2919" s="63" t="s">
        <v>1790</v>
      </c>
    </row>
    <row r="2920" spans="1:14" x14ac:dyDescent="0.2">
      <c r="A2920" s="51">
        <v>2919</v>
      </c>
      <c r="B2920" s="54" t="s">
        <v>830</v>
      </c>
      <c r="C2920" s="47" t="s">
        <v>6723</v>
      </c>
      <c r="D2920" s="47" t="s">
        <v>6724</v>
      </c>
      <c r="E2920" s="47" t="s">
        <v>1790</v>
      </c>
      <c r="F2920" s="55" t="b">
        <v>1</v>
      </c>
      <c r="G2920" s="54" t="b">
        <v>1</v>
      </c>
      <c r="H2920" s="54" t="b">
        <v>1</v>
      </c>
      <c r="I2920" s="54" t="b">
        <v>1</v>
      </c>
      <c r="J2920" s="54" t="b">
        <v>1</v>
      </c>
      <c r="K2920" s="63" t="s">
        <v>830</v>
      </c>
      <c r="L2920" s="63" t="s">
        <v>6723</v>
      </c>
      <c r="M2920" s="63" t="s">
        <v>6724</v>
      </c>
      <c r="N2920" s="63" t="s">
        <v>1790</v>
      </c>
    </row>
    <row r="2921" spans="1:14" x14ac:dyDescent="0.2">
      <c r="A2921" s="51">
        <v>2920</v>
      </c>
      <c r="B2921" s="54" t="s">
        <v>832</v>
      </c>
      <c r="C2921" s="47" t="s">
        <v>6728</v>
      </c>
      <c r="D2921" s="47" t="s">
        <v>6729</v>
      </c>
      <c r="E2921" s="47" t="s">
        <v>2113</v>
      </c>
      <c r="F2921" s="55" t="b">
        <v>1</v>
      </c>
      <c r="G2921" s="54" t="b">
        <v>1</v>
      </c>
      <c r="H2921" s="54" t="b">
        <v>1</v>
      </c>
      <c r="I2921" s="54" t="b">
        <v>1</v>
      </c>
      <c r="J2921" s="54" t="b">
        <v>1</v>
      </c>
      <c r="K2921" s="63" t="s">
        <v>832</v>
      </c>
      <c r="L2921" s="63" t="s">
        <v>6728</v>
      </c>
      <c r="M2921" s="63" t="s">
        <v>6729</v>
      </c>
      <c r="N2921" s="63" t="s">
        <v>2113</v>
      </c>
    </row>
    <row r="2922" spans="1:14" x14ac:dyDescent="0.2">
      <c r="A2922" s="51">
        <v>2921</v>
      </c>
      <c r="B2922" s="54" t="s">
        <v>832</v>
      </c>
      <c r="C2922" s="47" t="s">
        <v>6730</v>
      </c>
      <c r="D2922" s="47" t="s">
        <v>6731</v>
      </c>
      <c r="E2922" s="47" t="s">
        <v>2113</v>
      </c>
      <c r="F2922" s="55" t="b">
        <v>1</v>
      </c>
      <c r="G2922" s="54" t="b">
        <v>1</v>
      </c>
      <c r="H2922" s="54" t="b">
        <v>1</v>
      </c>
      <c r="I2922" s="54" t="b">
        <v>1</v>
      </c>
      <c r="J2922" s="54" t="b">
        <v>1</v>
      </c>
      <c r="K2922" s="63" t="s">
        <v>832</v>
      </c>
      <c r="L2922" s="63" t="s">
        <v>6730</v>
      </c>
      <c r="M2922" s="63" t="s">
        <v>6731</v>
      </c>
      <c r="N2922" s="63" t="s">
        <v>2113</v>
      </c>
    </row>
    <row r="2923" spans="1:14" x14ac:dyDescent="0.2">
      <c r="A2923" s="51">
        <v>2922</v>
      </c>
      <c r="B2923" s="54" t="s">
        <v>832</v>
      </c>
      <c r="C2923" s="47" t="s">
        <v>6732</v>
      </c>
      <c r="D2923" s="47" t="s">
        <v>6733</v>
      </c>
      <c r="E2923" s="47" t="s">
        <v>2113</v>
      </c>
      <c r="F2923" s="55" t="b">
        <v>1</v>
      </c>
      <c r="G2923" s="54" t="b">
        <v>1</v>
      </c>
      <c r="H2923" s="54" t="b">
        <v>1</v>
      </c>
      <c r="I2923" s="54" t="b">
        <v>1</v>
      </c>
      <c r="J2923" s="54" t="b">
        <v>1</v>
      </c>
      <c r="K2923" s="63" t="s">
        <v>832</v>
      </c>
      <c r="L2923" s="63" t="s">
        <v>6732</v>
      </c>
      <c r="M2923" s="63" t="s">
        <v>6733</v>
      </c>
      <c r="N2923" s="63" t="s">
        <v>2113</v>
      </c>
    </row>
    <row r="2924" spans="1:14" x14ac:dyDescent="0.2">
      <c r="A2924" s="51">
        <v>2923</v>
      </c>
      <c r="B2924" s="54" t="s">
        <v>832</v>
      </c>
      <c r="C2924" s="47" t="s">
        <v>6734</v>
      </c>
      <c r="D2924" s="47" t="s">
        <v>6735</v>
      </c>
      <c r="E2924" s="47" t="s">
        <v>2113</v>
      </c>
      <c r="F2924" s="55" t="b">
        <v>1</v>
      </c>
      <c r="G2924" s="54" t="b">
        <v>1</v>
      </c>
      <c r="H2924" s="54" t="b">
        <v>1</v>
      </c>
      <c r="I2924" s="54" t="b">
        <v>1</v>
      </c>
      <c r="J2924" s="54" t="b">
        <v>1</v>
      </c>
      <c r="K2924" s="63" t="s">
        <v>832</v>
      </c>
      <c r="L2924" s="63" t="s">
        <v>6734</v>
      </c>
      <c r="M2924" s="63" t="s">
        <v>6735</v>
      </c>
      <c r="N2924" s="63" t="s">
        <v>2113</v>
      </c>
    </row>
    <row r="2925" spans="1:14" x14ac:dyDescent="0.2">
      <c r="A2925" s="51">
        <v>2924</v>
      </c>
      <c r="B2925" s="54" t="s">
        <v>832</v>
      </c>
      <c r="C2925" s="47" t="s">
        <v>6736</v>
      </c>
      <c r="D2925" s="47" t="s">
        <v>6737</v>
      </c>
      <c r="E2925" s="47" t="s">
        <v>2113</v>
      </c>
      <c r="F2925" s="55" t="b">
        <v>1</v>
      </c>
      <c r="G2925" s="54" t="b">
        <v>1</v>
      </c>
      <c r="H2925" s="54" t="b">
        <v>1</v>
      </c>
      <c r="I2925" s="54" t="b">
        <v>1</v>
      </c>
      <c r="J2925" s="54" t="b">
        <v>1</v>
      </c>
      <c r="K2925" s="63" t="s">
        <v>832</v>
      </c>
      <c r="L2925" s="63" t="s">
        <v>6736</v>
      </c>
      <c r="M2925" s="63" t="s">
        <v>6737</v>
      </c>
      <c r="N2925" s="63" t="s">
        <v>2113</v>
      </c>
    </row>
    <row r="2926" spans="1:14" x14ac:dyDescent="0.2">
      <c r="A2926" s="51">
        <v>2925</v>
      </c>
      <c r="B2926" s="54" t="s">
        <v>832</v>
      </c>
      <c r="C2926" s="47" t="s">
        <v>6738</v>
      </c>
      <c r="D2926" s="47" t="s">
        <v>6739</v>
      </c>
      <c r="E2926" s="47" t="s">
        <v>2113</v>
      </c>
      <c r="F2926" s="55" t="b">
        <v>1</v>
      </c>
      <c r="G2926" s="54" t="b">
        <v>1</v>
      </c>
      <c r="H2926" s="54" t="b">
        <v>1</v>
      </c>
      <c r="I2926" s="54" t="b">
        <v>1</v>
      </c>
      <c r="J2926" s="54" t="b">
        <v>1</v>
      </c>
      <c r="K2926" s="63" t="s">
        <v>832</v>
      </c>
      <c r="L2926" s="63" t="s">
        <v>6738</v>
      </c>
      <c r="M2926" s="63" t="s">
        <v>6739</v>
      </c>
      <c r="N2926" s="63" t="s">
        <v>2113</v>
      </c>
    </row>
    <row r="2927" spans="1:14" x14ac:dyDescent="0.2">
      <c r="A2927" s="51">
        <v>2926</v>
      </c>
      <c r="B2927" s="54" t="s">
        <v>832</v>
      </c>
      <c r="C2927" s="47" t="s">
        <v>6744</v>
      </c>
      <c r="D2927" s="47" t="s">
        <v>6745</v>
      </c>
      <c r="E2927" s="47" t="s">
        <v>2113</v>
      </c>
      <c r="F2927" s="55" t="b">
        <v>1</v>
      </c>
      <c r="G2927" s="54" t="b">
        <v>1</v>
      </c>
      <c r="H2927" s="54" t="b">
        <v>1</v>
      </c>
      <c r="I2927" s="54" t="b">
        <v>1</v>
      </c>
      <c r="J2927" s="54" t="b">
        <v>1</v>
      </c>
      <c r="K2927" s="63" t="s">
        <v>832</v>
      </c>
      <c r="L2927" s="63" t="s">
        <v>6744</v>
      </c>
      <c r="M2927" s="63" t="s">
        <v>6745</v>
      </c>
      <c r="N2927" s="63" t="s">
        <v>2113</v>
      </c>
    </row>
    <row r="2928" spans="1:14" x14ac:dyDescent="0.2">
      <c r="A2928" s="51">
        <v>2927</v>
      </c>
      <c r="B2928" s="54" t="s">
        <v>832</v>
      </c>
      <c r="C2928" s="47" t="s">
        <v>6740</v>
      </c>
      <c r="D2928" s="47" t="s">
        <v>6741</v>
      </c>
      <c r="E2928" s="47" t="s">
        <v>2113</v>
      </c>
      <c r="F2928" s="55" t="b">
        <v>1</v>
      </c>
      <c r="G2928" s="54" t="b">
        <v>1</v>
      </c>
      <c r="H2928" s="54" t="b">
        <v>1</v>
      </c>
      <c r="I2928" s="54" t="b">
        <v>1</v>
      </c>
      <c r="J2928" s="54" t="b">
        <v>1</v>
      </c>
      <c r="K2928" s="63" t="s">
        <v>832</v>
      </c>
      <c r="L2928" s="63" t="s">
        <v>6740</v>
      </c>
      <c r="M2928" s="63" t="s">
        <v>6741</v>
      </c>
      <c r="N2928" s="63" t="s">
        <v>2113</v>
      </c>
    </row>
    <row r="2929" spans="1:14" x14ac:dyDescent="0.2">
      <c r="A2929" s="51">
        <v>2928</v>
      </c>
      <c r="B2929" s="54" t="s">
        <v>832</v>
      </c>
      <c r="C2929" s="47" t="s">
        <v>6742</v>
      </c>
      <c r="D2929" s="47" t="s">
        <v>6743</v>
      </c>
      <c r="E2929" s="47" t="s">
        <v>2113</v>
      </c>
      <c r="F2929" s="55" t="b">
        <v>1</v>
      </c>
      <c r="G2929" s="54" t="b">
        <v>1</v>
      </c>
      <c r="H2929" s="54" t="b">
        <v>1</v>
      </c>
      <c r="I2929" s="54" t="b">
        <v>1</v>
      </c>
      <c r="J2929" s="54" t="b">
        <v>1</v>
      </c>
      <c r="K2929" s="63" t="s">
        <v>832</v>
      </c>
      <c r="L2929" s="63" t="s">
        <v>6742</v>
      </c>
      <c r="M2929" s="63" t="s">
        <v>6743</v>
      </c>
      <c r="N2929" s="63" t="s">
        <v>2113</v>
      </c>
    </row>
    <row r="2930" spans="1:14" x14ac:dyDescent="0.2">
      <c r="A2930" s="51">
        <v>2929</v>
      </c>
      <c r="B2930" s="54" t="s">
        <v>832</v>
      </c>
      <c r="C2930" s="47" t="s">
        <v>6750</v>
      </c>
      <c r="D2930" s="47" t="s">
        <v>6751</v>
      </c>
      <c r="E2930" s="47" t="s">
        <v>2113</v>
      </c>
      <c r="F2930" s="55" t="b">
        <v>1</v>
      </c>
      <c r="G2930" s="54" t="b">
        <v>1</v>
      </c>
      <c r="H2930" s="54" t="b">
        <v>1</v>
      </c>
      <c r="I2930" s="54" t="b">
        <v>1</v>
      </c>
      <c r="J2930" s="54" t="b">
        <v>1</v>
      </c>
      <c r="K2930" s="63" t="s">
        <v>832</v>
      </c>
      <c r="L2930" s="63" t="s">
        <v>6750</v>
      </c>
      <c r="M2930" s="63" t="s">
        <v>6751</v>
      </c>
      <c r="N2930" s="63" t="s">
        <v>2113</v>
      </c>
    </row>
    <row r="2931" spans="1:14" x14ac:dyDescent="0.2">
      <c r="A2931" s="51">
        <v>2930</v>
      </c>
      <c r="B2931" s="54" t="s">
        <v>832</v>
      </c>
      <c r="C2931" s="47" t="s">
        <v>6752</v>
      </c>
      <c r="D2931" s="47" t="s">
        <v>6753</v>
      </c>
      <c r="E2931" s="47" t="s">
        <v>2113</v>
      </c>
      <c r="F2931" s="55" t="b">
        <v>1</v>
      </c>
      <c r="G2931" s="54" t="b">
        <v>1</v>
      </c>
      <c r="H2931" s="54" t="b">
        <v>1</v>
      </c>
      <c r="I2931" s="54" t="b">
        <v>1</v>
      </c>
      <c r="J2931" s="54" t="b">
        <v>1</v>
      </c>
      <c r="K2931" s="63" t="s">
        <v>832</v>
      </c>
      <c r="L2931" s="63" t="s">
        <v>6752</v>
      </c>
      <c r="M2931" s="63" t="s">
        <v>6753</v>
      </c>
      <c r="N2931" s="63" t="s">
        <v>2113</v>
      </c>
    </row>
    <row r="2932" spans="1:14" x14ac:dyDescent="0.2">
      <c r="A2932" s="51">
        <v>2931</v>
      </c>
      <c r="B2932" s="54" t="s">
        <v>832</v>
      </c>
      <c r="C2932" s="47" t="s">
        <v>6746</v>
      </c>
      <c r="D2932" s="47" t="s">
        <v>6747</v>
      </c>
      <c r="E2932" s="47" t="s">
        <v>2113</v>
      </c>
      <c r="F2932" s="55" t="b">
        <v>1</v>
      </c>
      <c r="G2932" s="54" t="b">
        <v>1</v>
      </c>
      <c r="H2932" s="54" t="b">
        <v>1</v>
      </c>
      <c r="I2932" s="54" t="b">
        <v>1</v>
      </c>
      <c r="J2932" s="54" t="b">
        <v>1</v>
      </c>
      <c r="K2932" s="63" t="s">
        <v>832</v>
      </c>
      <c r="L2932" s="63" t="s">
        <v>6746</v>
      </c>
      <c r="M2932" s="63" t="s">
        <v>6747</v>
      </c>
      <c r="N2932" s="63" t="s">
        <v>2113</v>
      </c>
    </row>
    <row r="2933" spans="1:14" x14ac:dyDescent="0.2">
      <c r="A2933" s="51">
        <v>2932</v>
      </c>
      <c r="B2933" s="54" t="s">
        <v>832</v>
      </c>
      <c r="C2933" s="47" t="s">
        <v>6748</v>
      </c>
      <c r="D2933" s="47" t="s">
        <v>6749</v>
      </c>
      <c r="E2933" s="47" t="s">
        <v>2113</v>
      </c>
      <c r="F2933" s="55" t="b">
        <v>1</v>
      </c>
      <c r="G2933" s="54" t="b">
        <v>1</v>
      </c>
      <c r="H2933" s="54" t="b">
        <v>1</v>
      </c>
      <c r="I2933" s="54" t="b">
        <v>1</v>
      </c>
      <c r="J2933" s="54" t="b">
        <v>1</v>
      </c>
      <c r="K2933" s="63" t="s">
        <v>832</v>
      </c>
      <c r="L2933" s="63" t="s">
        <v>6748</v>
      </c>
      <c r="M2933" s="63" t="s">
        <v>6749</v>
      </c>
      <c r="N2933" s="63" t="s">
        <v>2113</v>
      </c>
    </row>
    <row r="2934" spans="1:14" x14ac:dyDescent="0.2">
      <c r="A2934" s="51">
        <v>2933</v>
      </c>
      <c r="B2934" s="54" t="s">
        <v>832</v>
      </c>
      <c r="C2934" s="47" t="s">
        <v>6754</v>
      </c>
      <c r="D2934" s="47" t="s">
        <v>13011</v>
      </c>
      <c r="E2934" s="47" t="s">
        <v>6756</v>
      </c>
      <c r="F2934" s="55" t="b">
        <v>1</v>
      </c>
      <c r="G2934" s="54" t="b">
        <v>1</v>
      </c>
      <c r="H2934" s="54" t="b">
        <v>1</v>
      </c>
      <c r="I2934" s="65" t="b">
        <v>0</v>
      </c>
      <c r="J2934" s="54" t="b">
        <v>1</v>
      </c>
      <c r="K2934" s="63" t="s">
        <v>832</v>
      </c>
      <c r="L2934" s="63" t="s">
        <v>6754</v>
      </c>
      <c r="M2934" s="63" t="s">
        <v>6755</v>
      </c>
      <c r="N2934" s="63" t="s">
        <v>6756</v>
      </c>
    </row>
    <row r="2935" spans="1:14" x14ac:dyDescent="0.2">
      <c r="A2935" s="51">
        <v>2934</v>
      </c>
      <c r="B2935" s="54" t="s">
        <v>832</v>
      </c>
      <c r="C2935" s="47" t="s">
        <v>6757</v>
      </c>
      <c r="D2935" s="47" t="s">
        <v>13012</v>
      </c>
      <c r="E2935" s="47" t="s">
        <v>6756</v>
      </c>
      <c r="F2935" s="55" t="b">
        <v>1</v>
      </c>
      <c r="G2935" s="54" t="b">
        <v>1</v>
      </c>
      <c r="H2935" s="54" t="b">
        <v>1</v>
      </c>
      <c r="I2935" s="65" t="b">
        <v>0</v>
      </c>
      <c r="J2935" s="54" t="b">
        <v>1</v>
      </c>
      <c r="K2935" s="63" t="s">
        <v>832</v>
      </c>
      <c r="L2935" s="63" t="s">
        <v>6757</v>
      </c>
      <c r="M2935" s="63" t="s">
        <v>6758</v>
      </c>
      <c r="N2935" s="63" t="s">
        <v>6756</v>
      </c>
    </row>
    <row r="2936" spans="1:14" x14ac:dyDescent="0.2">
      <c r="A2936" s="51">
        <v>2935</v>
      </c>
      <c r="B2936" s="54" t="s">
        <v>832</v>
      </c>
      <c r="C2936" s="47" t="s">
        <v>6759</v>
      </c>
      <c r="D2936" s="47" t="s">
        <v>13013</v>
      </c>
      <c r="E2936" s="47" t="s">
        <v>6756</v>
      </c>
      <c r="F2936" s="55" t="b">
        <v>1</v>
      </c>
      <c r="G2936" s="54" t="b">
        <v>1</v>
      </c>
      <c r="H2936" s="54" t="b">
        <v>1</v>
      </c>
      <c r="I2936" s="65" t="b">
        <v>0</v>
      </c>
      <c r="J2936" s="54" t="b">
        <v>1</v>
      </c>
      <c r="K2936" s="63" t="s">
        <v>832</v>
      </c>
      <c r="L2936" s="63" t="s">
        <v>6759</v>
      </c>
      <c r="M2936" s="63" t="s">
        <v>6760</v>
      </c>
      <c r="N2936" s="63" t="s">
        <v>6756</v>
      </c>
    </row>
    <row r="2937" spans="1:14" x14ac:dyDescent="0.2">
      <c r="A2937" s="51">
        <v>2936</v>
      </c>
      <c r="B2937" s="54" t="s">
        <v>834</v>
      </c>
      <c r="C2937" s="47" t="s">
        <v>6766</v>
      </c>
      <c r="D2937" s="47" t="s">
        <v>6768</v>
      </c>
      <c r="E2937" s="48" t="s">
        <v>6763</v>
      </c>
      <c r="F2937" s="66" t="b">
        <v>0</v>
      </c>
      <c r="G2937" s="54" t="b">
        <v>1</v>
      </c>
      <c r="H2937" s="54" t="b">
        <v>1</v>
      </c>
      <c r="I2937" s="65" t="b">
        <v>0</v>
      </c>
      <c r="J2937" s="54" t="b">
        <v>1</v>
      </c>
      <c r="K2937" s="63" t="s">
        <v>834</v>
      </c>
      <c r="L2937" s="63" t="s">
        <v>6766</v>
      </c>
      <c r="M2937" s="63" t="s">
        <v>6767</v>
      </c>
      <c r="N2937" s="63" t="s">
        <v>6763</v>
      </c>
    </row>
    <row r="2938" spans="1:14" x14ac:dyDescent="0.2">
      <c r="A2938" s="51">
        <v>2937</v>
      </c>
      <c r="E2938" s="48"/>
      <c r="G2938" s="65" t="b">
        <v>0</v>
      </c>
      <c r="H2938" s="65" t="b">
        <v>0</v>
      </c>
      <c r="I2938" s="65" t="b">
        <v>0</v>
      </c>
      <c r="J2938" s="65" t="b">
        <v>0</v>
      </c>
      <c r="K2938" s="63" t="s">
        <v>834</v>
      </c>
      <c r="L2938" s="63" t="s">
        <v>6766</v>
      </c>
      <c r="M2938" s="63" t="s">
        <v>6768</v>
      </c>
      <c r="N2938" s="63" t="s">
        <v>6763</v>
      </c>
    </row>
    <row r="2939" spans="1:14" x14ac:dyDescent="0.2">
      <c r="A2939" s="51">
        <v>2938</v>
      </c>
      <c r="B2939" s="54" t="s">
        <v>834</v>
      </c>
      <c r="C2939" s="47" t="s">
        <v>6761</v>
      </c>
      <c r="D2939" s="47" t="s">
        <v>6762</v>
      </c>
      <c r="E2939" s="48" t="s">
        <v>6763</v>
      </c>
      <c r="F2939" s="66" t="b">
        <v>0</v>
      </c>
      <c r="G2939" s="54" t="b">
        <v>1</v>
      </c>
      <c r="H2939" s="54" t="b">
        <v>1</v>
      </c>
      <c r="I2939" s="54" t="b">
        <v>1</v>
      </c>
      <c r="J2939" s="54" t="b">
        <v>1</v>
      </c>
      <c r="K2939" s="63" t="s">
        <v>834</v>
      </c>
      <c r="L2939" s="63" t="s">
        <v>6761</v>
      </c>
      <c r="M2939" s="63" t="s">
        <v>6762</v>
      </c>
      <c r="N2939" s="63" t="s">
        <v>6763</v>
      </c>
    </row>
    <row r="2940" spans="1:14" x14ac:dyDescent="0.2">
      <c r="A2940" s="51">
        <v>2939</v>
      </c>
      <c r="E2940" s="48"/>
      <c r="G2940" s="65" t="b">
        <v>0</v>
      </c>
      <c r="H2940" s="65" t="b">
        <v>0</v>
      </c>
      <c r="I2940" s="65" t="b">
        <v>0</v>
      </c>
      <c r="J2940" s="65" t="b">
        <v>0</v>
      </c>
      <c r="K2940" s="63" t="s">
        <v>834</v>
      </c>
      <c r="L2940" s="63" t="s">
        <v>6761</v>
      </c>
      <c r="M2940" s="63" t="s">
        <v>6833</v>
      </c>
      <c r="N2940" s="63" t="s">
        <v>6763</v>
      </c>
    </row>
    <row r="2941" spans="1:14" x14ac:dyDescent="0.2">
      <c r="A2941" s="51">
        <v>2940</v>
      </c>
      <c r="B2941" s="54" t="s">
        <v>834</v>
      </c>
      <c r="C2941" s="47" t="s">
        <v>6764</v>
      </c>
      <c r="D2941" s="47" t="s">
        <v>6769</v>
      </c>
      <c r="E2941" s="48" t="s">
        <v>6763</v>
      </c>
      <c r="F2941" s="66" t="b">
        <v>0</v>
      </c>
      <c r="G2941" s="54" t="b">
        <v>1</v>
      </c>
      <c r="H2941" s="54" t="b">
        <v>1</v>
      </c>
      <c r="I2941" s="65" t="b">
        <v>0</v>
      </c>
      <c r="J2941" s="54" t="b">
        <v>1</v>
      </c>
      <c r="K2941" s="63" t="s">
        <v>834</v>
      </c>
      <c r="L2941" s="63" t="s">
        <v>6764</v>
      </c>
      <c r="M2941" s="63" t="s">
        <v>6765</v>
      </c>
      <c r="N2941" s="63" t="s">
        <v>6763</v>
      </c>
    </row>
    <row r="2942" spans="1:14" x14ac:dyDescent="0.2">
      <c r="A2942" s="51">
        <v>2941</v>
      </c>
      <c r="E2942" s="48"/>
      <c r="G2942" s="65" t="b">
        <v>0</v>
      </c>
      <c r="H2942" s="65" t="b">
        <v>0</v>
      </c>
      <c r="I2942" s="65" t="b">
        <v>0</v>
      </c>
      <c r="J2942" s="65" t="b">
        <v>0</v>
      </c>
      <c r="K2942" s="63" t="s">
        <v>834</v>
      </c>
      <c r="L2942" s="63" t="s">
        <v>6764</v>
      </c>
      <c r="M2942" s="63" t="s">
        <v>6769</v>
      </c>
      <c r="N2942" s="63" t="s">
        <v>6763</v>
      </c>
    </row>
    <row r="2943" spans="1:14" x14ac:dyDescent="0.2">
      <c r="A2943" s="51">
        <v>2942</v>
      </c>
      <c r="B2943" s="54" t="s">
        <v>834</v>
      </c>
      <c r="C2943" s="47" t="s">
        <v>6777</v>
      </c>
      <c r="D2943" s="47" t="s">
        <v>6778</v>
      </c>
      <c r="E2943" s="48" t="s">
        <v>6763</v>
      </c>
      <c r="F2943" s="66" t="b">
        <v>0</v>
      </c>
      <c r="G2943" s="54" t="b">
        <v>1</v>
      </c>
      <c r="H2943" s="54" t="b">
        <v>1</v>
      </c>
      <c r="I2943" s="54" t="b">
        <v>1</v>
      </c>
      <c r="J2943" s="54" t="b">
        <v>1</v>
      </c>
      <c r="K2943" s="63" t="s">
        <v>834</v>
      </c>
      <c r="L2943" s="63" t="s">
        <v>6777</v>
      </c>
      <c r="M2943" s="63" t="s">
        <v>6778</v>
      </c>
      <c r="N2943" s="63" t="s">
        <v>6763</v>
      </c>
    </row>
    <row r="2944" spans="1:14" x14ac:dyDescent="0.2">
      <c r="A2944" s="51">
        <v>2943</v>
      </c>
      <c r="E2944" s="48"/>
      <c r="G2944" s="65" t="b">
        <v>0</v>
      </c>
      <c r="H2944" s="65" t="b">
        <v>0</v>
      </c>
      <c r="I2944" s="65" t="b">
        <v>0</v>
      </c>
      <c r="J2944" s="65" t="b">
        <v>0</v>
      </c>
      <c r="K2944" s="63" t="s">
        <v>834</v>
      </c>
      <c r="L2944" s="63" t="s">
        <v>6777</v>
      </c>
      <c r="M2944" s="63" t="s">
        <v>6803</v>
      </c>
      <c r="N2944" s="63" t="s">
        <v>6763</v>
      </c>
    </row>
    <row r="2945" spans="1:14" x14ac:dyDescent="0.2">
      <c r="A2945" s="51">
        <v>2944</v>
      </c>
      <c r="B2945" s="54" t="s">
        <v>834</v>
      </c>
      <c r="C2945" s="47" t="s">
        <v>6781</v>
      </c>
      <c r="D2945" s="47" t="s">
        <v>6782</v>
      </c>
      <c r="E2945" s="48" t="s">
        <v>6763</v>
      </c>
      <c r="F2945" s="66" t="b">
        <v>0</v>
      </c>
      <c r="G2945" s="54" t="b">
        <v>1</v>
      </c>
      <c r="H2945" s="54" t="b">
        <v>1</v>
      </c>
      <c r="I2945" s="54" t="b">
        <v>1</v>
      </c>
      <c r="J2945" s="54" t="b">
        <v>1</v>
      </c>
      <c r="K2945" s="63" t="s">
        <v>834</v>
      </c>
      <c r="L2945" s="63" t="s">
        <v>6781</v>
      </c>
      <c r="M2945" s="63" t="s">
        <v>6782</v>
      </c>
      <c r="N2945" s="63" t="s">
        <v>6763</v>
      </c>
    </row>
    <row r="2946" spans="1:14" x14ac:dyDescent="0.2">
      <c r="A2946" s="51">
        <v>2945</v>
      </c>
      <c r="E2946" s="48"/>
      <c r="G2946" s="65" t="b">
        <v>0</v>
      </c>
      <c r="H2946" s="65" t="b">
        <v>0</v>
      </c>
      <c r="I2946" s="65" t="b">
        <v>0</v>
      </c>
      <c r="J2946" s="65" t="b">
        <v>0</v>
      </c>
      <c r="K2946" s="63" t="s">
        <v>834</v>
      </c>
      <c r="L2946" s="63" t="s">
        <v>6781</v>
      </c>
      <c r="M2946" s="63" t="s">
        <v>6842</v>
      </c>
      <c r="N2946" s="63" t="s">
        <v>6763</v>
      </c>
    </row>
    <row r="2947" spans="1:14" x14ac:dyDescent="0.2">
      <c r="A2947" s="51">
        <v>2946</v>
      </c>
      <c r="B2947" s="54" t="s">
        <v>834</v>
      </c>
      <c r="C2947" s="47" t="s">
        <v>6794</v>
      </c>
      <c r="D2947" s="47" t="s">
        <v>6795</v>
      </c>
      <c r="E2947" s="48" t="s">
        <v>6763</v>
      </c>
      <c r="F2947" s="66" t="b">
        <v>0</v>
      </c>
      <c r="G2947" s="54" t="b">
        <v>1</v>
      </c>
      <c r="H2947" s="54" t="b">
        <v>1</v>
      </c>
      <c r="I2947" s="54" t="b">
        <v>1</v>
      </c>
      <c r="J2947" s="54" t="b">
        <v>1</v>
      </c>
      <c r="K2947" s="63" t="s">
        <v>834</v>
      </c>
      <c r="L2947" s="63" t="s">
        <v>6794</v>
      </c>
      <c r="M2947" s="63" t="s">
        <v>6795</v>
      </c>
      <c r="N2947" s="63" t="s">
        <v>6763</v>
      </c>
    </row>
    <row r="2948" spans="1:14" x14ac:dyDescent="0.2">
      <c r="A2948" s="51">
        <v>2947</v>
      </c>
      <c r="E2948" s="48"/>
      <c r="G2948" s="65" t="b">
        <v>0</v>
      </c>
      <c r="H2948" s="65" t="b">
        <v>0</v>
      </c>
      <c r="I2948" s="65" t="b">
        <v>0</v>
      </c>
      <c r="J2948" s="65" t="b">
        <v>0</v>
      </c>
      <c r="K2948" s="63" t="s">
        <v>834</v>
      </c>
      <c r="L2948" s="63" t="s">
        <v>6794</v>
      </c>
      <c r="M2948" s="63" t="s">
        <v>6802</v>
      </c>
      <c r="N2948" s="63" t="s">
        <v>6763</v>
      </c>
    </row>
    <row r="2949" spans="1:14" x14ac:dyDescent="0.2">
      <c r="A2949" s="51">
        <v>2948</v>
      </c>
      <c r="B2949" s="54" t="s">
        <v>834</v>
      </c>
      <c r="C2949" s="47" t="s">
        <v>6790</v>
      </c>
      <c r="D2949" s="47" t="s">
        <v>6838</v>
      </c>
      <c r="E2949" s="48" t="s">
        <v>6763</v>
      </c>
      <c r="F2949" s="66" t="b">
        <v>0</v>
      </c>
      <c r="G2949" s="54" t="b">
        <v>1</v>
      </c>
      <c r="H2949" s="54" t="b">
        <v>1</v>
      </c>
      <c r="I2949" s="65" t="b">
        <v>0</v>
      </c>
      <c r="J2949" s="54" t="b">
        <v>1</v>
      </c>
      <c r="K2949" s="63" t="s">
        <v>834</v>
      </c>
      <c r="L2949" s="63" t="s">
        <v>6790</v>
      </c>
      <c r="M2949" s="63" t="s">
        <v>6791</v>
      </c>
      <c r="N2949" s="63" t="s">
        <v>6763</v>
      </c>
    </row>
    <row r="2950" spans="1:14" x14ac:dyDescent="0.2">
      <c r="A2950" s="51">
        <v>2949</v>
      </c>
      <c r="E2950" s="48"/>
      <c r="G2950" s="65" t="b">
        <v>0</v>
      </c>
      <c r="H2950" s="65" t="b">
        <v>0</v>
      </c>
      <c r="I2950" s="65" t="b">
        <v>0</v>
      </c>
      <c r="J2950" s="65" t="b">
        <v>0</v>
      </c>
      <c r="K2950" s="63" t="s">
        <v>834</v>
      </c>
      <c r="L2950" s="63" t="s">
        <v>6790</v>
      </c>
      <c r="M2950" s="63" t="s">
        <v>6838</v>
      </c>
      <c r="N2950" s="63" t="s">
        <v>6763</v>
      </c>
    </row>
    <row r="2951" spans="1:14" x14ac:dyDescent="0.2">
      <c r="A2951" s="51">
        <v>2950</v>
      </c>
      <c r="B2951" s="54" t="s">
        <v>834</v>
      </c>
      <c r="C2951" s="47" t="s">
        <v>6800</v>
      </c>
      <c r="D2951" s="47" t="s">
        <v>6801</v>
      </c>
      <c r="E2951" s="48" t="s">
        <v>6763</v>
      </c>
      <c r="F2951" s="66" t="b">
        <v>0</v>
      </c>
      <c r="G2951" s="54" t="b">
        <v>1</v>
      </c>
      <c r="H2951" s="54" t="b">
        <v>1</v>
      </c>
      <c r="I2951" s="54" t="b">
        <v>1</v>
      </c>
      <c r="J2951" s="54" t="b">
        <v>1</v>
      </c>
      <c r="K2951" s="63" t="s">
        <v>834</v>
      </c>
      <c r="L2951" s="63" t="s">
        <v>6800</v>
      </c>
      <c r="M2951" s="63" t="s">
        <v>6801</v>
      </c>
      <c r="N2951" s="63" t="s">
        <v>6763</v>
      </c>
    </row>
    <row r="2952" spans="1:14" x14ac:dyDescent="0.2">
      <c r="A2952" s="51">
        <v>2951</v>
      </c>
      <c r="E2952" s="48"/>
      <c r="G2952" s="65" t="b">
        <v>0</v>
      </c>
      <c r="H2952" s="65" t="b">
        <v>0</v>
      </c>
      <c r="I2952" s="65" t="b">
        <v>0</v>
      </c>
      <c r="J2952" s="65" t="b">
        <v>0</v>
      </c>
      <c r="K2952" s="63" t="s">
        <v>834</v>
      </c>
      <c r="L2952" s="63" t="s">
        <v>6800</v>
      </c>
      <c r="M2952" s="63" t="s">
        <v>6836</v>
      </c>
      <c r="N2952" s="63" t="s">
        <v>6763</v>
      </c>
    </row>
    <row r="2953" spans="1:14" x14ac:dyDescent="0.2">
      <c r="A2953" s="51">
        <v>2952</v>
      </c>
      <c r="B2953" s="54" t="s">
        <v>834</v>
      </c>
      <c r="C2953" s="47" t="s">
        <v>6820</v>
      </c>
      <c r="D2953" s="47" t="s">
        <v>6826</v>
      </c>
      <c r="E2953" s="48" t="s">
        <v>6763</v>
      </c>
      <c r="F2953" s="66" t="b">
        <v>0</v>
      </c>
      <c r="G2953" s="54" t="b">
        <v>1</v>
      </c>
      <c r="H2953" s="54" t="b">
        <v>1</v>
      </c>
      <c r="I2953" s="65" t="b">
        <v>0</v>
      </c>
      <c r="J2953" s="54" t="b">
        <v>1</v>
      </c>
      <c r="K2953" s="63" t="s">
        <v>834</v>
      </c>
      <c r="L2953" s="63" t="s">
        <v>6820</v>
      </c>
      <c r="M2953" s="63" t="s">
        <v>6821</v>
      </c>
      <c r="N2953" s="63" t="s">
        <v>6763</v>
      </c>
    </row>
    <row r="2954" spans="1:14" x14ac:dyDescent="0.2">
      <c r="A2954" s="51">
        <v>2953</v>
      </c>
      <c r="E2954" s="48"/>
      <c r="G2954" s="65" t="b">
        <v>0</v>
      </c>
      <c r="H2954" s="65" t="b">
        <v>0</v>
      </c>
      <c r="I2954" s="65" t="b">
        <v>0</v>
      </c>
      <c r="J2954" s="65" t="b">
        <v>0</v>
      </c>
      <c r="K2954" s="63" t="s">
        <v>834</v>
      </c>
      <c r="L2954" s="63" t="s">
        <v>6820</v>
      </c>
      <c r="M2954" s="63" t="s">
        <v>6826</v>
      </c>
      <c r="N2954" s="63" t="s">
        <v>6763</v>
      </c>
    </row>
    <row r="2955" spans="1:14" x14ac:dyDescent="0.2">
      <c r="A2955" s="51">
        <v>2954</v>
      </c>
      <c r="B2955" s="54" t="s">
        <v>834</v>
      </c>
      <c r="C2955" s="47" t="s">
        <v>6808</v>
      </c>
      <c r="D2955" s="47" t="s">
        <v>6809</v>
      </c>
      <c r="E2955" s="48" t="s">
        <v>6763</v>
      </c>
      <c r="F2955" s="66" t="b">
        <v>0</v>
      </c>
      <c r="G2955" s="54" t="b">
        <v>1</v>
      </c>
      <c r="H2955" s="54" t="b">
        <v>1</v>
      </c>
      <c r="I2955" s="54" t="b">
        <v>1</v>
      </c>
      <c r="J2955" s="54" t="b">
        <v>1</v>
      </c>
      <c r="K2955" s="63" t="s">
        <v>834</v>
      </c>
      <c r="L2955" s="63" t="s">
        <v>6808</v>
      </c>
      <c r="M2955" s="63" t="s">
        <v>6809</v>
      </c>
      <c r="N2955" s="63" t="s">
        <v>6763</v>
      </c>
    </row>
    <row r="2956" spans="1:14" x14ac:dyDescent="0.2">
      <c r="A2956" s="51">
        <v>2955</v>
      </c>
      <c r="E2956" s="48"/>
      <c r="G2956" s="65" t="b">
        <v>0</v>
      </c>
      <c r="H2956" s="65" t="b">
        <v>0</v>
      </c>
      <c r="I2956" s="65" t="b">
        <v>0</v>
      </c>
      <c r="J2956" s="65" t="b">
        <v>0</v>
      </c>
      <c r="K2956" s="63" t="s">
        <v>834</v>
      </c>
      <c r="L2956" s="63" t="s">
        <v>6808</v>
      </c>
      <c r="M2956" s="63" t="s">
        <v>6832</v>
      </c>
      <c r="N2956" s="63" t="s">
        <v>6763</v>
      </c>
    </row>
    <row r="2957" spans="1:14" x14ac:dyDescent="0.2">
      <c r="A2957" s="51">
        <v>2956</v>
      </c>
      <c r="B2957" s="54" t="s">
        <v>834</v>
      </c>
      <c r="C2957" s="47" t="s">
        <v>6779</v>
      </c>
      <c r="D2957" s="47" t="s">
        <v>6828</v>
      </c>
      <c r="E2957" s="48" t="s">
        <v>6763</v>
      </c>
      <c r="F2957" s="66" t="b">
        <v>0</v>
      </c>
      <c r="G2957" s="54" t="b">
        <v>1</v>
      </c>
      <c r="H2957" s="54" t="b">
        <v>1</v>
      </c>
      <c r="I2957" s="65" t="b">
        <v>0</v>
      </c>
      <c r="J2957" s="54" t="b">
        <v>1</v>
      </c>
      <c r="K2957" s="63" t="s">
        <v>834</v>
      </c>
      <c r="L2957" s="63" t="s">
        <v>6779</v>
      </c>
      <c r="M2957" s="63" t="s">
        <v>6780</v>
      </c>
      <c r="N2957" s="63" t="s">
        <v>6763</v>
      </c>
    </row>
    <row r="2958" spans="1:14" x14ac:dyDescent="0.2">
      <c r="A2958" s="51">
        <v>2957</v>
      </c>
      <c r="E2958" s="48"/>
      <c r="G2958" s="65" t="b">
        <v>0</v>
      </c>
      <c r="H2958" s="65" t="b">
        <v>0</v>
      </c>
      <c r="I2958" s="65" t="b">
        <v>0</v>
      </c>
      <c r="J2958" s="65" t="b">
        <v>0</v>
      </c>
      <c r="K2958" s="63" t="s">
        <v>834</v>
      </c>
      <c r="L2958" s="63" t="s">
        <v>6779</v>
      </c>
      <c r="M2958" s="63" t="s">
        <v>6828</v>
      </c>
      <c r="N2958" s="63" t="s">
        <v>6763</v>
      </c>
    </row>
    <row r="2959" spans="1:14" x14ac:dyDescent="0.2">
      <c r="A2959" s="51">
        <v>2958</v>
      </c>
      <c r="B2959" s="54" t="s">
        <v>834</v>
      </c>
      <c r="C2959" s="47" t="s">
        <v>6773</v>
      </c>
      <c r="D2959" s="47" t="s">
        <v>6827</v>
      </c>
      <c r="E2959" s="48" t="s">
        <v>6763</v>
      </c>
      <c r="F2959" s="66" t="b">
        <v>0</v>
      </c>
      <c r="G2959" s="54" t="b">
        <v>1</v>
      </c>
      <c r="H2959" s="54" t="b">
        <v>1</v>
      </c>
      <c r="I2959" s="65" t="b">
        <v>0</v>
      </c>
      <c r="J2959" s="54" t="b">
        <v>1</v>
      </c>
      <c r="K2959" s="63" t="s">
        <v>834</v>
      </c>
      <c r="L2959" s="63" t="s">
        <v>6773</v>
      </c>
      <c r="M2959" s="63" t="s">
        <v>6774</v>
      </c>
      <c r="N2959" s="63" t="s">
        <v>6763</v>
      </c>
    </row>
    <row r="2960" spans="1:14" x14ac:dyDescent="0.2">
      <c r="A2960" s="51">
        <v>2959</v>
      </c>
      <c r="E2960" s="48"/>
      <c r="G2960" s="65" t="b">
        <v>0</v>
      </c>
      <c r="H2960" s="65" t="b">
        <v>0</v>
      </c>
      <c r="I2960" s="65" t="b">
        <v>0</v>
      </c>
      <c r="J2960" s="65" t="b">
        <v>0</v>
      </c>
      <c r="K2960" s="63" t="s">
        <v>834</v>
      </c>
      <c r="L2960" s="63" t="s">
        <v>6773</v>
      </c>
      <c r="M2960" s="63" t="s">
        <v>6827</v>
      </c>
      <c r="N2960" s="63" t="s">
        <v>6763</v>
      </c>
    </row>
    <row r="2961" spans="1:14" x14ac:dyDescent="0.2">
      <c r="A2961" s="51">
        <v>2960</v>
      </c>
      <c r="B2961" s="54" t="s">
        <v>834</v>
      </c>
      <c r="C2961" s="47" t="s">
        <v>6770</v>
      </c>
      <c r="D2961" s="47" t="s">
        <v>6807</v>
      </c>
      <c r="E2961" s="48" t="s">
        <v>6763</v>
      </c>
      <c r="F2961" s="66" t="b">
        <v>0</v>
      </c>
      <c r="G2961" s="54" t="b">
        <v>1</v>
      </c>
      <c r="H2961" s="54" t="b">
        <v>1</v>
      </c>
      <c r="I2961" s="65" t="b">
        <v>0</v>
      </c>
      <c r="J2961" s="54" t="b">
        <v>1</v>
      </c>
      <c r="K2961" s="63" t="s">
        <v>834</v>
      </c>
      <c r="L2961" s="63" t="s">
        <v>6770</v>
      </c>
      <c r="M2961" s="63" t="s">
        <v>6771</v>
      </c>
      <c r="N2961" s="63" t="s">
        <v>6763</v>
      </c>
    </row>
    <row r="2962" spans="1:14" x14ac:dyDescent="0.2">
      <c r="A2962" s="51">
        <v>2961</v>
      </c>
      <c r="E2962" s="48"/>
      <c r="G2962" s="65" t="b">
        <v>0</v>
      </c>
      <c r="H2962" s="65" t="b">
        <v>0</v>
      </c>
      <c r="I2962" s="65" t="b">
        <v>0</v>
      </c>
      <c r="J2962" s="65" t="b">
        <v>0</v>
      </c>
      <c r="K2962" s="63" t="s">
        <v>834</v>
      </c>
      <c r="L2962" s="63" t="s">
        <v>6770</v>
      </c>
      <c r="M2962" s="63" t="s">
        <v>6807</v>
      </c>
      <c r="N2962" s="63" t="s">
        <v>6763</v>
      </c>
    </row>
    <row r="2963" spans="1:14" x14ac:dyDescent="0.2">
      <c r="A2963" s="51">
        <v>2962</v>
      </c>
      <c r="B2963" s="54" t="s">
        <v>834</v>
      </c>
      <c r="C2963" s="47" t="s">
        <v>6792</v>
      </c>
      <c r="D2963" s="47" t="s">
        <v>6837</v>
      </c>
      <c r="E2963" s="48" t="s">
        <v>6763</v>
      </c>
      <c r="F2963" s="66" t="b">
        <v>0</v>
      </c>
      <c r="G2963" s="54" t="b">
        <v>1</v>
      </c>
      <c r="H2963" s="54" t="b">
        <v>1</v>
      </c>
      <c r="I2963" s="65" t="b">
        <v>0</v>
      </c>
      <c r="J2963" s="54" t="b">
        <v>1</v>
      </c>
      <c r="K2963" s="63" t="s">
        <v>834</v>
      </c>
      <c r="L2963" s="63" t="s">
        <v>6792</v>
      </c>
      <c r="M2963" s="63" t="s">
        <v>6793</v>
      </c>
      <c r="N2963" s="63" t="s">
        <v>6763</v>
      </c>
    </row>
    <row r="2964" spans="1:14" x14ac:dyDescent="0.2">
      <c r="A2964" s="51">
        <v>2963</v>
      </c>
      <c r="E2964" s="48"/>
      <c r="G2964" s="65" t="b">
        <v>0</v>
      </c>
      <c r="H2964" s="65" t="b">
        <v>0</v>
      </c>
      <c r="I2964" s="65" t="b">
        <v>0</v>
      </c>
      <c r="J2964" s="65" t="b">
        <v>0</v>
      </c>
      <c r="K2964" s="63" t="s">
        <v>834</v>
      </c>
      <c r="L2964" s="63" t="s">
        <v>6792</v>
      </c>
      <c r="M2964" s="63" t="s">
        <v>6837</v>
      </c>
      <c r="N2964" s="63" t="s">
        <v>6763</v>
      </c>
    </row>
    <row r="2965" spans="1:14" x14ac:dyDescent="0.2">
      <c r="A2965" s="51">
        <v>2964</v>
      </c>
      <c r="B2965" s="54" t="s">
        <v>834</v>
      </c>
      <c r="C2965" s="47" t="s">
        <v>6824</v>
      </c>
      <c r="D2965" s="47" t="s">
        <v>6825</v>
      </c>
      <c r="E2965" s="48" t="s">
        <v>6763</v>
      </c>
      <c r="F2965" s="66" t="b">
        <v>0</v>
      </c>
      <c r="G2965" s="54" t="b">
        <v>1</v>
      </c>
      <c r="H2965" s="54" t="b">
        <v>1</v>
      </c>
      <c r="I2965" s="54" t="b">
        <v>1</v>
      </c>
      <c r="J2965" s="54" t="b">
        <v>1</v>
      </c>
      <c r="K2965" s="63" t="s">
        <v>834</v>
      </c>
      <c r="L2965" s="63" t="s">
        <v>6824</v>
      </c>
      <c r="M2965" s="63" t="s">
        <v>6825</v>
      </c>
      <c r="N2965" s="63" t="s">
        <v>6763</v>
      </c>
    </row>
    <row r="2966" spans="1:14" x14ac:dyDescent="0.2">
      <c r="A2966" s="51">
        <v>2965</v>
      </c>
      <c r="E2966" s="48"/>
      <c r="G2966" s="65" t="b">
        <v>0</v>
      </c>
      <c r="H2966" s="65" t="b">
        <v>0</v>
      </c>
      <c r="I2966" s="65" t="b">
        <v>0</v>
      </c>
      <c r="J2966" s="65" t="b">
        <v>0</v>
      </c>
      <c r="K2966" s="63" t="s">
        <v>834</v>
      </c>
      <c r="L2966" s="63" t="s">
        <v>6824</v>
      </c>
      <c r="M2966" s="63" t="s">
        <v>6834</v>
      </c>
      <c r="N2966" s="63" t="s">
        <v>6763</v>
      </c>
    </row>
    <row r="2967" spans="1:14" x14ac:dyDescent="0.2">
      <c r="A2967" s="51">
        <v>2966</v>
      </c>
      <c r="B2967" s="54" t="s">
        <v>834</v>
      </c>
      <c r="C2967" s="47" t="s">
        <v>6822</v>
      </c>
      <c r="D2967" s="47" t="s">
        <v>6823</v>
      </c>
      <c r="E2967" s="48" t="s">
        <v>6763</v>
      </c>
      <c r="F2967" s="66" t="b">
        <v>0</v>
      </c>
      <c r="G2967" s="54" t="b">
        <v>1</v>
      </c>
      <c r="H2967" s="54" t="b">
        <v>1</v>
      </c>
      <c r="I2967" s="54" t="b">
        <v>1</v>
      </c>
      <c r="J2967" s="54" t="b">
        <v>1</v>
      </c>
      <c r="K2967" s="63" t="s">
        <v>834</v>
      </c>
      <c r="L2967" s="63" t="s">
        <v>6822</v>
      </c>
      <c r="M2967" s="63" t="s">
        <v>6823</v>
      </c>
      <c r="N2967" s="63" t="s">
        <v>6763</v>
      </c>
    </row>
    <row r="2968" spans="1:14" x14ac:dyDescent="0.2">
      <c r="A2968" s="51">
        <v>2967</v>
      </c>
      <c r="E2968" s="48"/>
      <c r="G2968" s="65" t="b">
        <v>0</v>
      </c>
      <c r="H2968" s="65" t="b">
        <v>0</v>
      </c>
      <c r="I2968" s="65" t="b">
        <v>0</v>
      </c>
      <c r="J2968" s="65" t="b">
        <v>0</v>
      </c>
      <c r="K2968" s="63" t="s">
        <v>834</v>
      </c>
      <c r="L2968" s="63" t="s">
        <v>6822</v>
      </c>
      <c r="M2968" s="63" t="s">
        <v>6829</v>
      </c>
      <c r="N2968" s="63" t="s">
        <v>6763</v>
      </c>
    </row>
    <row r="2969" spans="1:14" x14ac:dyDescent="0.2">
      <c r="A2969" s="51">
        <v>2968</v>
      </c>
      <c r="B2969" s="54" t="s">
        <v>834</v>
      </c>
      <c r="C2969" s="47" t="s">
        <v>6798</v>
      </c>
      <c r="D2969" s="47" t="s">
        <v>6806</v>
      </c>
      <c r="E2969" s="48" t="s">
        <v>6763</v>
      </c>
      <c r="F2969" s="66" t="b">
        <v>0</v>
      </c>
      <c r="G2969" s="54" t="b">
        <v>1</v>
      </c>
      <c r="H2969" s="54" t="b">
        <v>1</v>
      </c>
      <c r="I2969" s="65" t="b">
        <v>0</v>
      </c>
      <c r="J2969" s="54" t="b">
        <v>1</v>
      </c>
      <c r="K2969" s="63" t="s">
        <v>834</v>
      </c>
      <c r="L2969" s="63" t="s">
        <v>6798</v>
      </c>
      <c r="M2969" s="63" t="s">
        <v>6799</v>
      </c>
      <c r="N2969" s="63" t="s">
        <v>6763</v>
      </c>
    </row>
    <row r="2970" spans="1:14" x14ac:dyDescent="0.2">
      <c r="A2970" s="51">
        <v>2969</v>
      </c>
      <c r="E2970" s="48"/>
      <c r="G2970" s="65" t="b">
        <v>0</v>
      </c>
      <c r="H2970" s="65" t="b">
        <v>0</v>
      </c>
      <c r="I2970" s="65" t="b">
        <v>0</v>
      </c>
      <c r="J2970" s="65" t="b">
        <v>0</v>
      </c>
      <c r="K2970" s="63" t="s">
        <v>834</v>
      </c>
      <c r="L2970" s="63" t="s">
        <v>6798</v>
      </c>
      <c r="M2970" s="63" t="s">
        <v>6806</v>
      </c>
      <c r="N2970" s="63" t="s">
        <v>6763</v>
      </c>
    </row>
    <row r="2971" spans="1:14" x14ac:dyDescent="0.2">
      <c r="A2971" s="51">
        <v>2970</v>
      </c>
      <c r="B2971" s="54" t="s">
        <v>834</v>
      </c>
      <c r="C2971" s="47" t="s">
        <v>6785</v>
      </c>
      <c r="D2971" s="47" t="s">
        <v>6797</v>
      </c>
      <c r="E2971" s="48" t="s">
        <v>6763</v>
      </c>
      <c r="F2971" s="66" t="b">
        <v>0</v>
      </c>
      <c r="G2971" s="54" t="b">
        <v>1</v>
      </c>
      <c r="H2971" s="54" t="b">
        <v>1</v>
      </c>
      <c r="I2971" s="65" t="b">
        <v>0</v>
      </c>
      <c r="J2971" s="54" t="b">
        <v>1</v>
      </c>
      <c r="K2971" s="63" t="s">
        <v>834</v>
      </c>
      <c r="L2971" s="63" t="s">
        <v>6785</v>
      </c>
      <c r="M2971" s="63" t="s">
        <v>6786</v>
      </c>
      <c r="N2971" s="63" t="s">
        <v>6763</v>
      </c>
    </row>
    <row r="2972" spans="1:14" x14ac:dyDescent="0.2">
      <c r="A2972" s="51">
        <v>2971</v>
      </c>
      <c r="E2972" s="48"/>
      <c r="G2972" s="65" t="b">
        <v>0</v>
      </c>
      <c r="H2972" s="65" t="b">
        <v>0</v>
      </c>
      <c r="I2972" s="65" t="b">
        <v>0</v>
      </c>
      <c r="J2972" s="65" t="b">
        <v>0</v>
      </c>
      <c r="K2972" s="63" t="s">
        <v>834</v>
      </c>
      <c r="L2972" s="63" t="s">
        <v>6785</v>
      </c>
      <c r="M2972" s="63" t="s">
        <v>6797</v>
      </c>
      <c r="N2972" s="63" t="s">
        <v>6763</v>
      </c>
    </row>
    <row r="2973" spans="1:14" x14ac:dyDescent="0.2">
      <c r="A2973" s="51">
        <v>2972</v>
      </c>
      <c r="B2973" s="54" t="s">
        <v>834</v>
      </c>
      <c r="C2973" s="47" t="s">
        <v>6787</v>
      </c>
      <c r="D2973" s="47" t="s">
        <v>6796</v>
      </c>
      <c r="E2973" s="48" t="s">
        <v>6763</v>
      </c>
      <c r="F2973" s="66" t="b">
        <v>0</v>
      </c>
      <c r="G2973" s="54" t="b">
        <v>1</v>
      </c>
      <c r="H2973" s="54" t="b">
        <v>1</v>
      </c>
      <c r="I2973" s="65" t="b">
        <v>0</v>
      </c>
      <c r="J2973" s="54" t="b">
        <v>1</v>
      </c>
      <c r="K2973" s="63" t="s">
        <v>834</v>
      </c>
      <c r="L2973" s="63" t="s">
        <v>6787</v>
      </c>
      <c r="M2973" s="63" t="s">
        <v>6788</v>
      </c>
      <c r="N2973" s="63" t="s">
        <v>6763</v>
      </c>
    </row>
    <row r="2974" spans="1:14" x14ac:dyDescent="0.2">
      <c r="A2974" s="51">
        <v>2973</v>
      </c>
      <c r="E2974" s="48"/>
      <c r="G2974" s="65" t="b">
        <v>0</v>
      </c>
      <c r="H2974" s="65" t="b">
        <v>0</v>
      </c>
      <c r="I2974" s="65" t="b">
        <v>0</v>
      </c>
      <c r="J2974" s="65" t="b">
        <v>0</v>
      </c>
      <c r="K2974" s="63" t="s">
        <v>834</v>
      </c>
      <c r="L2974" s="63" t="s">
        <v>6787</v>
      </c>
      <c r="M2974" s="63" t="s">
        <v>6796</v>
      </c>
      <c r="N2974" s="63" t="s">
        <v>6763</v>
      </c>
    </row>
    <row r="2975" spans="1:14" x14ac:dyDescent="0.2">
      <c r="A2975" s="51">
        <v>2974</v>
      </c>
      <c r="B2975" s="54" t="s">
        <v>834</v>
      </c>
      <c r="C2975" s="47" t="s">
        <v>6783</v>
      </c>
      <c r="D2975" s="47" t="s">
        <v>6784</v>
      </c>
      <c r="E2975" s="48" t="s">
        <v>6763</v>
      </c>
      <c r="F2975" s="66" t="b">
        <v>0</v>
      </c>
      <c r="G2975" s="54" t="b">
        <v>1</v>
      </c>
      <c r="H2975" s="54" t="b">
        <v>1</v>
      </c>
      <c r="I2975" s="54" t="b">
        <v>1</v>
      </c>
      <c r="J2975" s="54" t="b">
        <v>1</v>
      </c>
      <c r="K2975" s="63" t="s">
        <v>834</v>
      </c>
      <c r="L2975" s="63" t="s">
        <v>6783</v>
      </c>
      <c r="M2975" s="63" t="s">
        <v>6784</v>
      </c>
      <c r="N2975" s="63" t="s">
        <v>6763</v>
      </c>
    </row>
    <row r="2976" spans="1:14" x14ac:dyDescent="0.2">
      <c r="A2976" s="51">
        <v>2975</v>
      </c>
      <c r="E2976" s="48"/>
      <c r="G2976" s="65" t="b">
        <v>0</v>
      </c>
      <c r="H2976" s="65" t="b">
        <v>0</v>
      </c>
      <c r="I2976" s="65" t="b">
        <v>0</v>
      </c>
      <c r="J2976" s="65" t="b">
        <v>0</v>
      </c>
      <c r="K2976" s="63" t="s">
        <v>834</v>
      </c>
      <c r="L2976" s="63" t="s">
        <v>6783</v>
      </c>
      <c r="M2976" s="63" t="s">
        <v>6789</v>
      </c>
      <c r="N2976" s="63" t="s">
        <v>6763</v>
      </c>
    </row>
    <row r="2977" spans="1:14" x14ac:dyDescent="0.2">
      <c r="A2977" s="51">
        <v>2976</v>
      </c>
      <c r="E2977" s="48"/>
      <c r="G2977" s="65" t="b">
        <v>0</v>
      </c>
      <c r="H2977" s="65" t="b">
        <v>0</v>
      </c>
      <c r="I2977" s="65" t="b">
        <v>0</v>
      </c>
      <c r="J2977" s="65" t="b">
        <v>0</v>
      </c>
      <c r="K2977" s="63" t="s">
        <v>834</v>
      </c>
      <c r="L2977" s="63" t="s">
        <v>6772</v>
      </c>
      <c r="M2977" s="63" t="s">
        <v>2720</v>
      </c>
      <c r="N2977" s="63" t="s">
        <v>1719</v>
      </c>
    </row>
    <row r="2978" spans="1:14" x14ac:dyDescent="0.2">
      <c r="A2978" s="51">
        <v>2977</v>
      </c>
      <c r="B2978" s="54" t="s">
        <v>834</v>
      </c>
      <c r="C2978" s="47" t="s">
        <v>6772</v>
      </c>
      <c r="D2978" s="47" t="s">
        <v>6815</v>
      </c>
      <c r="E2978" s="47" t="s">
        <v>1719</v>
      </c>
      <c r="F2978" s="55" t="b">
        <v>1</v>
      </c>
      <c r="G2978" s="54" t="b">
        <v>1</v>
      </c>
      <c r="H2978" s="54" t="b">
        <v>1</v>
      </c>
      <c r="I2978" s="54" t="b">
        <v>1</v>
      </c>
      <c r="J2978" s="54" t="b">
        <v>1</v>
      </c>
      <c r="K2978" s="63" t="s">
        <v>834</v>
      </c>
      <c r="L2978" s="63" t="s">
        <v>6772</v>
      </c>
      <c r="M2978" s="63" t="s">
        <v>6815</v>
      </c>
      <c r="N2978" s="63" t="s">
        <v>1719</v>
      </c>
    </row>
    <row r="2979" spans="1:14" x14ac:dyDescent="0.2">
      <c r="A2979" s="51">
        <v>2978</v>
      </c>
      <c r="B2979" s="54" t="s">
        <v>834</v>
      </c>
      <c r="C2979" s="47" t="s">
        <v>6804</v>
      </c>
      <c r="D2979" s="47" t="s">
        <v>6805</v>
      </c>
      <c r="E2979" s="47" t="s">
        <v>2164</v>
      </c>
      <c r="F2979" s="55" t="b">
        <v>1</v>
      </c>
      <c r="G2979" s="54" t="b">
        <v>1</v>
      </c>
      <c r="H2979" s="54" t="b">
        <v>1</v>
      </c>
      <c r="I2979" s="54" t="b">
        <v>1</v>
      </c>
      <c r="J2979" s="65" t="b">
        <v>0</v>
      </c>
      <c r="K2979" s="63" t="s">
        <v>834</v>
      </c>
      <c r="L2979" s="63" t="s">
        <v>6804</v>
      </c>
      <c r="M2979" s="63" t="s">
        <v>6805</v>
      </c>
      <c r="N2979" s="63" t="s">
        <v>3458</v>
      </c>
    </row>
    <row r="2980" spans="1:14" x14ac:dyDescent="0.2">
      <c r="A2980" s="51">
        <v>2979</v>
      </c>
      <c r="G2980" s="65" t="b">
        <v>0</v>
      </c>
      <c r="H2980" s="65" t="b">
        <v>0</v>
      </c>
      <c r="I2980" s="65" t="b">
        <v>0</v>
      </c>
      <c r="J2980" s="65" t="b">
        <v>0</v>
      </c>
      <c r="K2980" s="63" t="s">
        <v>834</v>
      </c>
      <c r="L2980" s="63" t="s">
        <v>6804</v>
      </c>
      <c r="M2980" s="63" t="s">
        <v>6810</v>
      </c>
      <c r="N2980" s="63" t="s">
        <v>3458</v>
      </c>
    </row>
    <row r="2981" spans="1:14" x14ac:dyDescent="0.2">
      <c r="A2981" s="51">
        <v>2980</v>
      </c>
      <c r="B2981" s="54" t="s">
        <v>834</v>
      </c>
      <c r="C2981" s="47" t="s">
        <v>6818</v>
      </c>
      <c r="D2981" s="47" t="s">
        <v>13017</v>
      </c>
      <c r="E2981" s="47" t="s">
        <v>1719</v>
      </c>
      <c r="F2981" s="55" t="b">
        <v>1</v>
      </c>
      <c r="G2981" s="54" t="b">
        <v>1</v>
      </c>
      <c r="H2981" s="54" t="b">
        <v>1</v>
      </c>
      <c r="I2981" s="65" t="b">
        <v>0</v>
      </c>
      <c r="J2981" s="54" t="b">
        <v>1</v>
      </c>
      <c r="K2981" s="63" t="s">
        <v>834</v>
      </c>
      <c r="L2981" s="63" t="s">
        <v>6818</v>
      </c>
      <c r="M2981" s="63" t="s">
        <v>6819</v>
      </c>
      <c r="N2981" s="63" t="s">
        <v>1719</v>
      </c>
    </row>
    <row r="2982" spans="1:14" x14ac:dyDescent="0.2">
      <c r="A2982" s="51">
        <v>2981</v>
      </c>
      <c r="G2982" s="65" t="b">
        <v>0</v>
      </c>
      <c r="H2982" s="65" t="b">
        <v>0</v>
      </c>
      <c r="I2982" s="65" t="b">
        <v>0</v>
      </c>
      <c r="J2982" s="65" t="b">
        <v>0</v>
      </c>
      <c r="K2982" s="63" t="s">
        <v>834</v>
      </c>
      <c r="L2982" s="63" t="s">
        <v>6818</v>
      </c>
      <c r="M2982" s="63" t="s">
        <v>6831</v>
      </c>
      <c r="N2982" s="63" t="s">
        <v>1719</v>
      </c>
    </row>
    <row r="2983" spans="1:14" x14ac:dyDescent="0.2">
      <c r="A2983" s="51">
        <v>2982</v>
      </c>
      <c r="B2983" s="54" t="s">
        <v>834</v>
      </c>
      <c r="C2983" s="47" t="s">
        <v>6830</v>
      </c>
      <c r="D2983" s="47" t="s">
        <v>6841</v>
      </c>
      <c r="E2983" s="47" t="s">
        <v>1719</v>
      </c>
      <c r="F2983" s="55" t="b">
        <v>1</v>
      </c>
      <c r="G2983" s="54" t="b">
        <v>1</v>
      </c>
      <c r="H2983" s="54" t="b">
        <v>1</v>
      </c>
      <c r="I2983" s="65" t="b">
        <v>0</v>
      </c>
      <c r="J2983" s="54" t="b">
        <v>1</v>
      </c>
      <c r="K2983" s="63" t="s">
        <v>834</v>
      </c>
      <c r="L2983" s="63" t="s">
        <v>6830</v>
      </c>
      <c r="M2983" s="63" t="s">
        <v>3067</v>
      </c>
      <c r="N2983" s="63" t="s">
        <v>1719</v>
      </c>
    </row>
    <row r="2984" spans="1:14" x14ac:dyDescent="0.2">
      <c r="A2984" s="51">
        <v>2983</v>
      </c>
      <c r="G2984" s="65" t="b">
        <v>0</v>
      </c>
      <c r="H2984" s="65" t="b">
        <v>0</v>
      </c>
      <c r="I2984" s="65" t="b">
        <v>0</v>
      </c>
      <c r="J2984" s="65" t="b">
        <v>0</v>
      </c>
      <c r="K2984" s="63" t="s">
        <v>834</v>
      </c>
      <c r="L2984" s="63" t="s">
        <v>6830</v>
      </c>
      <c r="M2984" s="63" t="s">
        <v>6841</v>
      </c>
      <c r="N2984" s="63" t="s">
        <v>1719</v>
      </c>
    </row>
    <row r="2985" spans="1:14" x14ac:dyDescent="0.2">
      <c r="A2985" s="51">
        <v>2984</v>
      </c>
      <c r="B2985" s="54" t="s">
        <v>834</v>
      </c>
      <c r="C2985" s="47" t="s">
        <v>6816</v>
      </c>
      <c r="D2985" s="47" t="s">
        <v>13016</v>
      </c>
      <c r="E2985" s="47" t="s">
        <v>1719</v>
      </c>
      <c r="F2985" s="55" t="b">
        <v>1</v>
      </c>
      <c r="G2985" s="54" t="b">
        <v>1</v>
      </c>
      <c r="H2985" s="54" t="b">
        <v>1</v>
      </c>
      <c r="I2985" s="65" t="b">
        <v>0</v>
      </c>
      <c r="J2985" s="54" t="b">
        <v>1</v>
      </c>
      <c r="K2985" s="63" t="s">
        <v>834</v>
      </c>
      <c r="L2985" s="63" t="s">
        <v>6816</v>
      </c>
      <c r="M2985" s="63" t="s">
        <v>6817</v>
      </c>
      <c r="N2985" s="63" t="s">
        <v>1719</v>
      </c>
    </row>
    <row r="2986" spans="1:14" x14ac:dyDescent="0.2">
      <c r="A2986" s="51">
        <v>2985</v>
      </c>
      <c r="G2986" s="65" t="b">
        <v>0</v>
      </c>
      <c r="H2986" s="65" t="b">
        <v>0</v>
      </c>
      <c r="I2986" s="65" t="b">
        <v>0</v>
      </c>
      <c r="J2986" s="65" t="b">
        <v>0</v>
      </c>
      <c r="K2986" s="63" t="s">
        <v>834</v>
      </c>
      <c r="L2986" s="63" t="s">
        <v>6816</v>
      </c>
      <c r="M2986" s="63" t="s">
        <v>6835</v>
      </c>
      <c r="N2986" s="63" t="s">
        <v>1719</v>
      </c>
    </row>
    <row r="2987" spans="1:14" x14ac:dyDescent="0.2">
      <c r="A2987" s="51">
        <v>2986</v>
      </c>
      <c r="B2987" s="54" t="s">
        <v>834</v>
      </c>
      <c r="C2987" s="47" t="s">
        <v>6775</v>
      </c>
      <c r="D2987" s="47" t="s">
        <v>6776</v>
      </c>
      <c r="E2987" s="47" t="s">
        <v>1719</v>
      </c>
      <c r="F2987" s="55" t="b">
        <v>1</v>
      </c>
      <c r="G2987" s="54" t="b">
        <v>1</v>
      </c>
      <c r="H2987" s="54" t="b">
        <v>1</v>
      </c>
      <c r="I2987" s="54" t="b">
        <v>1</v>
      </c>
      <c r="J2987" s="54" t="b">
        <v>1</v>
      </c>
      <c r="K2987" s="63" t="s">
        <v>834</v>
      </c>
      <c r="L2987" s="63" t="s">
        <v>6775</v>
      </c>
      <c r="M2987" s="63" t="s">
        <v>6776</v>
      </c>
      <c r="N2987" s="63" t="s">
        <v>1719</v>
      </c>
    </row>
    <row r="2988" spans="1:14" x14ac:dyDescent="0.2">
      <c r="A2988" s="51">
        <v>2987</v>
      </c>
      <c r="G2988" s="65" t="b">
        <v>0</v>
      </c>
      <c r="H2988" s="65" t="b">
        <v>0</v>
      </c>
      <c r="I2988" s="65" t="b">
        <v>0</v>
      </c>
      <c r="J2988" s="65" t="b">
        <v>0</v>
      </c>
      <c r="K2988" s="63" t="s">
        <v>834</v>
      </c>
      <c r="L2988" s="63" t="s">
        <v>6775</v>
      </c>
      <c r="M2988" s="63" t="s">
        <v>3071</v>
      </c>
      <c r="N2988" s="63" t="s">
        <v>1719</v>
      </c>
    </row>
    <row r="2989" spans="1:14" x14ac:dyDescent="0.2">
      <c r="A2989" s="51">
        <v>2988</v>
      </c>
      <c r="B2989" s="54" t="s">
        <v>834</v>
      </c>
      <c r="C2989" s="47" t="s">
        <v>6813</v>
      </c>
      <c r="D2989" s="47" t="s">
        <v>13015</v>
      </c>
      <c r="E2989" s="47" t="s">
        <v>1719</v>
      </c>
      <c r="F2989" s="55" t="b">
        <v>1</v>
      </c>
      <c r="G2989" s="54" t="b">
        <v>1</v>
      </c>
      <c r="H2989" s="54" t="b">
        <v>1</v>
      </c>
      <c r="I2989" s="65" t="b">
        <v>0</v>
      </c>
      <c r="J2989" s="54" t="b">
        <v>1</v>
      </c>
      <c r="K2989" s="63" t="s">
        <v>834</v>
      </c>
      <c r="L2989" s="63" t="s">
        <v>6813</v>
      </c>
      <c r="M2989" s="63" t="s">
        <v>6814</v>
      </c>
      <c r="N2989" s="63" t="s">
        <v>1719</v>
      </c>
    </row>
    <row r="2990" spans="1:14" x14ac:dyDescent="0.2">
      <c r="A2990" s="51">
        <v>2989</v>
      </c>
      <c r="G2990" s="65" t="b">
        <v>0</v>
      </c>
      <c r="H2990" s="65" t="b">
        <v>0</v>
      </c>
      <c r="I2990" s="65" t="b">
        <v>0</v>
      </c>
      <c r="J2990" s="65" t="b">
        <v>0</v>
      </c>
      <c r="K2990" s="63" t="s">
        <v>834</v>
      </c>
      <c r="L2990" s="63" t="s">
        <v>6813</v>
      </c>
      <c r="M2990" s="63" t="s">
        <v>6839</v>
      </c>
      <c r="N2990" s="63" t="s">
        <v>1719</v>
      </c>
    </row>
    <row r="2991" spans="1:14" x14ac:dyDescent="0.2">
      <c r="A2991" s="51">
        <v>2990</v>
      </c>
      <c r="B2991" s="54" t="s">
        <v>834</v>
      </c>
      <c r="C2991" s="47" t="s">
        <v>6811</v>
      </c>
      <c r="D2991" s="47" t="s">
        <v>13014</v>
      </c>
      <c r="E2991" s="47" t="s">
        <v>1719</v>
      </c>
      <c r="F2991" s="55" t="b">
        <v>1</v>
      </c>
      <c r="G2991" s="54" t="b">
        <v>1</v>
      </c>
      <c r="H2991" s="54" t="b">
        <v>1</v>
      </c>
      <c r="I2991" s="65" t="b">
        <v>0</v>
      </c>
      <c r="J2991" s="54" t="b">
        <v>1</v>
      </c>
      <c r="K2991" s="63" t="s">
        <v>834</v>
      </c>
      <c r="L2991" s="63" t="s">
        <v>6811</v>
      </c>
      <c r="M2991" s="63" t="s">
        <v>6812</v>
      </c>
      <c r="N2991" s="63" t="s">
        <v>1719</v>
      </c>
    </row>
    <row r="2992" spans="1:14" x14ac:dyDescent="0.2">
      <c r="A2992" s="51">
        <v>2991</v>
      </c>
      <c r="G2992" s="65" t="b">
        <v>0</v>
      </c>
      <c r="H2992" s="65" t="b">
        <v>0</v>
      </c>
      <c r="I2992" s="65" t="b">
        <v>0</v>
      </c>
      <c r="J2992" s="65" t="b">
        <v>0</v>
      </c>
      <c r="K2992" s="63" t="s">
        <v>834</v>
      </c>
      <c r="L2992" s="63" t="s">
        <v>6811</v>
      </c>
      <c r="M2992" s="63" t="s">
        <v>6840</v>
      </c>
      <c r="N2992" s="63" t="s">
        <v>1719</v>
      </c>
    </row>
    <row r="2993" spans="1:14" x14ac:dyDescent="0.2">
      <c r="A2993" s="51">
        <v>2992</v>
      </c>
      <c r="B2993" s="54" t="s">
        <v>836</v>
      </c>
      <c r="C2993" s="47" t="s">
        <v>6847</v>
      </c>
      <c r="D2993" s="47" t="s">
        <v>6848</v>
      </c>
      <c r="E2993" s="47" t="s">
        <v>2087</v>
      </c>
      <c r="F2993" s="55" t="b">
        <v>1</v>
      </c>
      <c r="G2993" s="54" t="b">
        <v>1</v>
      </c>
      <c r="H2993" s="54" t="b">
        <v>1</v>
      </c>
      <c r="I2993" s="54" t="b">
        <v>1</v>
      </c>
      <c r="J2993" s="54" t="b">
        <v>1</v>
      </c>
      <c r="K2993" s="63" t="s">
        <v>836</v>
      </c>
      <c r="L2993" s="63" t="s">
        <v>6847</v>
      </c>
      <c r="M2993" s="63" t="s">
        <v>6848</v>
      </c>
      <c r="N2993" s="63" t="s">
        <v>2087</v>
      </c>
    </row>
    <row r="2994" spans="1:14" x14ac:dyDescent="0.2">
      <c r="A2994" s="51">
        <v>2993</v>
      </c>
      <c r="B2994" s="54" t="s">
        <v>836</v>
      </c>
      <c r="C2994" s="47" t="s">
        <v>6851</v>
      </c>
      <c r="D2994" s="47" t="s">
        <v>6852</v>
      </c>
      <c r="E2994" s="47" t="s">
        <v>2087</v>
      </c>
      <c r="F2994" s="55" t="b">
        <v>1</v>
      </c>
      <c r="G2994" s="54" t="b">
        <v>1</v>
      </c>
      <c r="H2994" s="54" t="b">
        <v>1</v>
      </c>
      <c r="I2994" s="54" t="b">
        <v>1</v>
      </c>
      <c r="J2994" s="54" t="b">
        <v>1</v>
      </c>
      <c r="K2994" s="63" t="s">
        <v>836</v>
      </c>
      <c r="L2994" s="63" t="s">
        <v>6851</v>
      </c>
      <c r="M2994" s="63" t="s">
        <v>6852</v>
      </c>
      <c r="N2994" s="63" t="s">
        <v>2087</v>
      </c>
    </row>
    <row r="2995" spans="1:14" x14ac:dyDescent="0.2">
      <c r="A2995" s="51">
        <v>2994</v>
      </c>
      <c r="B2995" s="54" t="s">
        <v>836</v>
      </c>
      <c r="C2995" s="47" t="s">
        <v>6855</v>
      </c>
      <c r="D2995" s="47" t="s">
        <v>6856</v>
      </c>
      <c r="E2995" s="47" t="s">
        <v>2087</v>
      </c>
      <c r="F2995" s="55" t="b">
        <v>1</v>
      </c>
      <c r="G2995" s="54" t="b">
        <v>1</v>
      </c>
      <c r="H2995" s="54" t="b">
        <v>1</v>
      </c>
      <c r="I2995" s="54" t="b">
        <v>1</v>
      </c>
      <c r="J2995" s="54" t="b">
        <v>1</v>
      </c>
      <c r="K2995" s="63" t="s">
        <v>836</v>
      </c>
      <c r="L2995" s="63" t="s">
        <v>6855</v>
      </c>
      <c r="M2995" s="63" t="s">
        <v>6856</v>
      </c>
      <c r="N2995" s="63" t="s">
        <v>2087</v>
      </c>
    </row>
    <row r="2996" spans="1:14" x14ac:dyDescent="0.2">
      <c r="A2996" s="51">
        <v>2995</v>
      </c>
      <c r="B2996" s="54" t="s">
        <v>836</v>
      </c>
      <c r="C2996" s="47" t="s">
        <v>6857</v>
      </c>
      <c r="D2996" s="47" t="s">
        <v>6858</v>
      </c>
      <c r="E2996" s="47" t="s">
        <v>2087</v>
      </c>
      <c r="F2996" s="55" t="b">
        <v>1</v>
      </c>
      <c r="G2996" s="54" t="b">
        <v>1</v>
      </c>
      <c r="H2996" s="54" t="b">
        <v>1</v>
      </c>
      <c r="I2996" s="54" t="b">
        <v>1</v>
      </c>
      <c r="J2996" s="54" t="b">
        <v>1</v>
      </c>
      <c r="K2996" s="63" t="s">
        <v>836</v>
      </c>
      <c r="L2996" s="63" t="s">
        <v>6857</v>
      </c>
      <c r="M2996" s="63" t="s">
        <v>6858</v>
      </c>
      <c r="N2996" s="63" t="s">
        <v>2087</v>
      </c>
    </row>
    <row r="2997" spans="1:14" x14ac:dyDescent="0.2">
      <c r="A2997" s="51">
        <v>2996</v>
      </c>
      <c r="B2997" s="54" t="s">
        <v>836</v>
      </c>
      <c r="C2997" s="47" t="s">
        <v>6853</v>
      </c>
      <c r="D2997" s="47" t="s">
        <v>6854</v>
      </c>
      <c r="E2997" s="47" t="s">
        <v>2087</v>
      </c>
      <c r="F2997" s="55" t="b">
        <v>1</v>
      </c>
      <c r="G2997" s="54" t="b">
        <v>1</v>
      </c>
      <c r="H2997" s="54" t="b">
        <v>1</v>
      </c>
      <c r="I2997" s="54" t="b">
        <v>1</v>
      </c>
      <c r="J2997" s="54" t="b">
        <v>1</v>
      </c>
      <c r="K2997" s="63" t="s">
        <v>836</v>
      </c>
      <c r="L2997" s="63" t="s">
        <v>6853</v>
      </c>
      <c r="M2997" s="63" t="s">
        <v>6854</v>
      </c>
      <c r="N2997" s="63" t="s">
        <v>2087</v>
      </c>
    </row>
    <row r="2998" spans="1:14" x14ac:dyDescent="0.2">
      <c r="A2998" s="51">
        <v>2997</v>
      </c>
      <c r="B2998" s="54" t="s">
        <v>836</v>
      </c>
      <c r="C2998" s="47" t="s">
        <v>6859</v>
      </c>
      <c r="D2998" s="47" t="s">
        <v>6860</v>
      </c>
      <c r="E2998" s="47" t="s">
        <v>2087</v>
      </c>
      <c r="F2998" s="55" t="b">
        <v>1</v>
      </c>
      <c r="G2998" s="54" t="b">
        <v>1</v>
      </c>
      <c r="H2998" s="54" t="b">
        <v>1</v>
      </c>
      <c r="I2998" s="54" t="b">
        <v>1</v>
      </c>
      <c r="J2998" s="54" t="b">
        <v>1</v>
      </c>
      <c r="K2998" s="63" t="s">
        <v>836</v>
      </c>
      <c r="L2998" s="63" t="s">
        <v>6859</v>
      </c>
      <c r="M2998" s="63" t="s">
        <v>6860</v>
      </c>
      <c r="N2998" s="63" t="s">
        <v>2087</v>
      </c>
    </row>
    <row r="2999" spans="1:14" x14ac:dyDescent="0.2">
      <c r="A2999" s="51">
        <v>2998</v>
      </c>
      <c r="B2999" s="54" t="s">
        <v>836</v>
      </c>
      <c r="C2999" s="47" t="s">
        <v>6845</v>
      </c>
      <c r="D2999" s="47" t="s">
        <v>6846</v>
      </c>
      <c r="E2999" s="47" t="s">
        <v>2087</v>
      </c>
      <c r="F2999" s="55" t="b">
        <v>1</v>
      </c>
      <c r="G2999" s="54" t="b">
        <v>1</v>
      </c>
      <c r="H2999" s="54" t="b">
        <v>1</v>
      </c>
      <c r="I2999" s="54" t="b">
        <v>1</v>
      </c>
      <c r="J2999" s="54" t="b">
        <v>1</v>
      </c>
      <c r="K2999" s="63" t="s">
        <v>836</v>
      </c>
      <c r="L2999" s="63" t="s">
        <v>6845</v>
      </c>
      <c r="M2999" s="63" t="s">
        <v>6846</v>
      </c>
      <c r="N2999" s="63" t="s">
        <v>2087</v>
      </c>
    </row>
    <row r="3000" spans="1:14" x14ac:dyDescent="0.2">
      <c r="A3000" s="51">
        <v>2999</v>
      </c>
      <c r="B3000" s="54" t="s">
        <v>836</v>
      </c>
      <c r="C3000" s="47" t="s">
        <v>6849</v>
      </c>
      <c r="D3000" s="47" t="s">
        <v>6850</v>
      </c>
      <c r="E3000" s="47" t="s">
        <v>2087</v>
      </c>
      <c r="F3000" s="55" t="b">
        <v>1</v>
      </c>
      <c r="G3000" s="54" t="b">
        <v>1</v>
      </c>
      <c r="H3000" s="54" t="b">
        <v>1</v>
      </c>
      <c r="I3000" s="54" t="b">
        <v>1</v>
      </c>
      <c r="J3000" s="54" t="b">
        <v>1</v>
      </c>
      <c r="K3000" s="63" t="s">
        <v>836</v>
      </c>
      <c r="L3000" s="63" t="s">
        <v>6849</v>
      </c>
      <c r="M3000" s="63" t="s">
        <v>6850</v>
      </c>
      <c r="N3000" s="63" t="s">
        <v>2087</v>
      </c>
    </row>
    <row r="3001" spans="1:14" x14ac:dyDescent="0.2">
      <c r="A3001" s="51">
        <v>3000</v>
      </c>
      <c r="B3001" s="54" t="s">
        <v>836</v>
      </c>
      <c r="C3001" s="47" t="s">
        <v>6843</v>
      </c>
      <c r="D3001" s="47" t="s">
        <v>6844</v>
      </c>
      <c r="E3001" s="47" t="s">
        <v>1790</v>
      </c>
      <c r="F3001" s="55" t="b">
        <v>1</v>
      </c>
      <c r="G3001" s="54" t="b">
        <v>1</v>
      </c>
      <c r="H3001" s="54" t="b">
        <v>1</v>
      </c>
      <c r="I3001" s="54" t="b">
        <v>1</v>
      </c>
      <c r="J3001" s="54" t="b">
        <v>1</v>
      </c>
      <c r="K3001" s="63" t="s">
        <v>836</v>
      </c>
      <c r="L3001" s="63" t="s">
        <v>6843</v>
      </c>
      <c r="M3001" s="63" t="s">
        <v>6844</v>
      </c>
      <c r="N3001" s="63" t="s">
        <v>1790</v>
      </c>
    </row>
    <row r="3002" spans="1:14" x14ac:dyDescent="0.2">
      <c r="A3002" s="51">
        <v>3001</v>
      </c>
      <c r="B3002" s="54" t="s">
        <v>838</v>
      </c>
      <c r="C3002" s="47" t="s">
        <v>6861</v>
      </c>
      <c r="D3002" s="47" t="s">
        <v>6862</v>
      </c>
      <c r="E3002" s="47" t="s">
        <v>13018</v>
      </c>
      <c r="F3002" s="55" t="b">
        <v>1</v>
      </c>
      <c r="G3002" s="54" t="b">
        <v>1</v>
      </c>
      <c r="H3002" s="54" t="b">
        <v>1</v>
      </c>
      <c r="I3002" s="54" t="b">
        <v>1</v>
      </c>
      <c r="J3002" s="65" t="b">
        <v>0</v>
      </c>
      <c r="K3002" s="63" t="s">
        <v>838</v>
      </c>
      <c r="L3002" s="63" t="s">
        <v>6861</v>
      </c>
      <c r="M3002" s="63" t="s">
        <v>6862</v>
      </c>
      <c r="N3002" s="63" t="s">
        <v>6863</v>
      </c>
    </row>
    <row r="3003" spans="1:14" x14ac:dyDescent="0.2">
      <c r="A3003" s="51">
        <v>3002</v>
      </c>
      <c r="B3003" s="54" t="s">
        <v>838</v>
      </c>
      <c r="C3003" s="47" t="s">
        <v>6864</v>
      </c>
      <c r="D3003" s="47" t="s">
        <v>6865</v>
      </c>
      <c r="E3003" s="47" t="s">
        <v>13018</v>
      </c>
      <c r="F3003" s="55" t="b">
        <v>1</v>
      </c>
      <c r="G3003" s="54" t="b">
        <v>1</v>
      </c>
      <c r="H3003" s="54" t="b">
        <v>1</v>
      </c>
      <c r="I3003" s="54" t="b">
        <v>1</v>
      </c>
      <c r="J3003" s="65" t="b">
        <v>0</v>
      </c>
      <c r="K3003" s="63" t="s">
        <v>838</v>
      </c>
      <c r="L3003" s="63" t="s">
        <v>6864</v>
      </c>
      <c r="M3003" s="63" t="s">
        <v>6865</v>
      </c>
      <c r="N3003" s="63" t="s">
        <v>6863</v>
      </c>
    </row>
    <row r="3004" spans="1:14" x14ac:dyDescent="0.2">
      <c r="A3004" s="51">
        <v>3003</v>
      </c>
      <c r="B3004" s="54" t="s">
        <v>838</v>
      </c>
      <c r="C3004" s="47" t="s">
        <v>6866</v>
      </c>
      <c r="D3004" s="47" t="s">
        <v>6867</v>
      </c>
      <c r="E3004" s="47" t="s">
        <v>13018</v>
      </c>
      <c r="F3004" s="55" t="b">
        <v>1</v>
      </c>
      <c r="G3004" s="54" t="b">
        <v>1</v>
      </c>
      <c r="H3004" s="54" t="b">
        <v>1</v>
      </c>
      <c r="I3004" s="54" t="b">
        <v>1</v>
      </c>
      <c r="J3004" s="65" t="b">
        <v>0</v>
      </c>
      <c r="K3004" s="63" t="s">
        <v>838</v>
      </c>
      <c r="L3004" s="63" t="s">
        <v>6866</v>
      </c>
      <c r="M3004" s="63" t="s">
        <v>6867</v>
      </c>
      <c r="N3004" s="63" t="s">
        <v>6863</v>
      </c>
    </row>
    <row r="3005" spans="1:14" x14ac:dyDescent="0.2">
      <c r="A3005" s="51">
        <v>3004</v>
      </c>
      <c r="B3005" s="54" t="s">
        <v>838</v>
      </c>
      <c r="C3005" s="47" t="s">
        <v>6868</v>
      </c>
      <c r="D3005" s="47" t="s">
        <v>6869</v>
      </c>
      <c r="E3005" s="47" t="s">
        <v>13018</v>
      </c>
      <c r="F3005" s="55" t="b">
        <v>1</v>
      </c>
      <c r="G3005" s="54" t="b">
        <v>1</v>
      </c>
      <c r="H3005" s="54" t="b">
        <v>1</v>
      </c>
      <c r="I3005" s="54" t="b">
        <v>1</v>
      </c>
      <c r="J3005" s="65" t="b">
        <v>0</v>
      </c>
      <c r="K3005" s="63" t="s">
        <v>838</v>
      </c>
      <c r="L3005" s="63" t="s">
        <v>6868</v>
      </c>
      <c r="M3005" s="63" t="s">
        <v>6869</v>
      </c>
      <c r="N3005" s="63" t="s">
        <v>6863</v>
      </c>
    </row>
    <row r="3006" spans="1:14" x14ac:dyDescent="0.2">
      <c r="A3006" s="51">
        <v>3005</v>
      </c>
      <c r="B3006" s="54" t="s">
        <v>838</v>
      </c>
      <c r="C3006" s="47" t="s">
        <v>6870</v>
      </c>
      <c r="D3006" s="47" t="s">
        <v>6871</v>
      </c>
      <c r="E3006" s="47" t="s">
        <v>13018</v>
      </c>
      <c r="F3006" s="55" t="b">
        <v>1</v>
      </c>
      <c r="G3006" s="54" t="b">
        <v>1</v>
      </c>
      <c r="H3006" s="54" t="b">
        <v>1</v>
      </c>
      <c r="I3006" s="54" t="b">
        <v>1</v>
      </c>
      <c r="J3006" s="65" t="b">
        <v>0</v>
      </c>
      <c r="K3006" s="63" t="s">
        <v>838</v>
      </c>
      <c r="L3006" s="63" t="s">
        <v>6870</v>
      </c>
      <c r="M3006" s="63" t="s">
        <v>6871</v>
      </c>
      <c r="N3006" s="63" t="s">
        <v>6863</v>
      </c>
    </row>
    <row r="3007" spans="1:14" x14ac:dyDescent="0.2">
      <c r="A3007" s="51">
        <v>3006</v>
      </c>
      <c r="B3007" s="54" t="s">
        <v>838</v>
      </c>
      <c r="C3007" s="47" t="s">
        <v>6872</v>
      </c>
      <c r="D3007" s="47" t="s">
        <v>6873</v>
      </c>
      <c r="E3007" s="47" t="s">
        <v>13018</v>
      </c>
      <c r="F3007" s="55" t="b">
        <v>1</v>
      </c>
      <c r="G3007" s="54" t="b">
        <v>1</v>
      </c>
      <c r="H3007" s="54" t="b">
        <v>1</v>
      </c>
      <c r="I3007" s="54" t="b">
        <v>1</v>
      </c>
      <c r="J3007" s="65" t="b">
        <v>0</v>
      </c>
      <c r="K3007" s="63" t="s">
        <v>838</v>
      </c>
      <c r="L3007" s="63" t="s">
        <v>6872</v>
      </c>
      <c r="M3007" s="63" t="s">
        <v>6873</v>
      </c>
      <c r="N3007" s="63" t="s">
        <v>6863</v>
      </c>
    </row>
    <row r="3008" spans="1:14" x14ac:dyDescent="0.2">
      <c r="A3008" s="51">
        <v>3007</v>
      </c>
      <c r="B3008" s="54" t="s">
        <v>838</v>
      </c>
      <c r="C3008" s="47" t="s">
        <v>6874</v>
      </c>
      <c r="D3008" s="47" t="s">
        <v>6875</v>
      </c>
      <c r="E3008" s="47" t="s">
        <v>13018</v>
      </c>
      <c r="F3008" s="55" t="b">
        <v>1</v>
      </c>
      <c r="G3008" s="54" t="b">
        <v>1</v>
      </c>
      <c r="H3008" s="54" t="b">
        <v>1</v>
      </c>
      <c r="I3008" s="54" t="b">
        <v>1</v>
      </c>
      <c r="J3008" s="65" t="b">
        <v>0</v>
      </c>
      <c r="K3008" s="63" t="s">
        <v>838</v>
      </c>
      <c r="L3008" s="63" t="s">
        <v>6874</v>
      </c>
      <c r="M3008" s="63" t="s">
        <v>6875</v>
      </c>
      <c r="N3008" s="63" t="s">
        <v>6863</v>
      </c>
    </row>
    <row r="3009" spans="1:14" x14ac:dyDescent="0.2">
      <c r="A3009" s="51">
        <v>3008</v>
      </c>
      <c r="B3009" s="54" t="s">
        <v>838</v>
      </c>
      <c r="C3009" s="47" t="s">
        <v>6876</v>
      </c>
      <c r="D3009" s="47" t="s">
        <v>6877</v>
      </c>
      <c r="E3009" s="47" t="s">
        <v>13018</v>
      </c>
      <c r="F3009" s="55" t="b">
        <v>1</v>
      </c>
      <c r="G3009" s="54" t="b">
        <v>1</v>
      </c>
      <c r="H3009" s="54" t="b">
        <v>1</v>
      </c>
      <c r="I3009" s="54" t="b">
        <v>1</v>
      </c>
      <c r="J3009" s="65" t="b">
        <v>0</v>
      </c>
      <c r="K3009" s="63" t="s">
        <v>838</v>
      </c>
      <c r="L3009" s="63" t="s">
        <v>6876</v>
      </c>
      <c r="M3009" s="63" t="s">
        <v>6877</v>
      </c>
      <c r="N3009" s="63" t="s">
        <v>6863</v>
      </c>
    </row>
    <row r="3010" spans="1:14" x14ac:dyDescent="0.2">
      <c r="A3010" s="51">
        <v>3009</v>
      </c>
      <c r="B3010" s="54" t="s">
        <v>838</v>
      </c>
      <c r="C3010" s="47" t="s">
        <v>6878</v>
      </c>
      <c r="D3010" s="47" t="s">
        <v>6879</v>
      </c>
      <c r="E3010" s="47" t="s">
        <v>13018</v>
      </c>
      <c r="F3010" s="55" t="b">
        <v>1</v>
      </c>
      <c r="G3010" s="54" t="b">
        <v>1</v>
      </c>
      <c r="H3010" s="54" t="b">
        <v>1</v>
      </c>
      <c r="I3010" s="54" t="b">
        <v>1</v>
      </c>
      <c r="J3010" s="65" t="b">
        <v>0</v>
      </c>
      <c r="K3010" s="63" t="s">
        <v>838</v>
      </c>
      <c r="L3010" s="63" t="s">
        <v>6878</v>
      </c>
      <c r="M3010" s="63" t="s">
        <v>6879</v>
      </c>
      <c r="N3010" s="63" t="s">
        <v>6863</v>
      </c>
    </row>
    <row r="3011" spans="1:14" x14ac:dyDescent="0.2">
      <c r="A3011" s="51">
        <v>3010</v>
      </c>
      <c r="B3011" s="54" t="s">
        <v>838</v>
      </c>
      <c r="C3011" s="47" t="s">
        <v>6880</v>
      </c>
      <c r="D3011" s="47" t="s">
        <v>6881</v>
      </c>
      <c r="E3011" s="47" t="s">
        <v>13018</v>
      </c>
      <c r="F3011" s="55" t="b">
        <v>1</v>
      </c>
      <c r="G3011" s="54" t="b">
        <v>1</v>
      </c>
      <c r="H3011" s="54" t="b">
        <v>1</v>
      </c>
      <c r="I3011" s="54" t="b">
        <v>1</v>
      </c>
      <c r="J3011" s="65" t="b">
        <v>0</v>
      </c>
      <c r="K3011" s="63" t="s">
        <v>838</v>
      </c>
      <c r="L3011" s="63" t="s">
        <v>6880</v>
      </c>
      <c r="M3011" s="63" t="s">
        <v>6881</v>
      </c>
      <c r="N3011" s="63" t="s">
        <v>6863</v>
      </c>
    </row>
    <row r="3012" spans="1:14" x14ac:dyDescent="0.2">
      <c r="A3012" s="51">
        <v>3011</v>
      </c>
      <c r="B3012" s="54" t="s">
        <v>838</v>
      </c>
      <c r="C3012" s="47" t="s">
        <v>6882</v>
      </c>
      <c r="D3012" s="47" t="s">
        <v>6883</v>
      </c>
      <c r="E3012" s="47" t="s">
        <v>13018</v>
      </c>
      <c r="F3012" s="55" t="b">
        <v>1</v>
      </c>
      <c r="G3012" s="54" t="b">
        <v>1</v>
      </c>
      <c r="H3012" s="54" t="b">
        <v>1</v>
      </c>
      <c r="I3012" s="54" t="b">
        <v>1</v>
      </c>
      <c r="J3012" s="65" t="b">
        <v>0</v>
      </c>
      <c r="K3012" s="63" t="s">
        <v>838</v>
      </c>
      <c r="L3012" s="63" t="s">
        <v>6882</v>
      </c>
      <c r="M3012" s="63" t="s">
        <v>6883</v>
      </c>
      <c r="N3012" s="63" t="s">
        <v>6863</v>
      </c>
    </row>
    <row r="3013" spans="1:14" x14ac:dyDescent="0.2">
      <c r="A3013" s="51">
        <v>3012</v>
      </c>
      <c r="B3013" s="54" t="s">
        <v>838</v>
      </c>
      <c r="C3013" s="47" t="s">
        <v>6894</v>
      </c>
      <c r="D3013" s="47" t="s">
        <v>6895</v>
      </c>
      <c r="E3013" s="47" t="s">
        <v>13018</v>
      </c>
      <c r="F3013" s="55" t="b">
        <v>1</v>
      </c>
      <c r="G3013" s="54" t="b">
        <v>1</v>
      </c>
      <c r="H3013" s="54" t="b">
        <v>1</v>
      </c>
      <c r="I3013" s="54" t="b">
        <v>1</v>
      </c>
      <c r="J3013" s="65" t="b">
        <v>0</v>
      </c>
      <c r="K3013" s="63" t="s">
        <v>838</v>
      </c>
      <c r="L3013" s="63" t="s">
        <v>6894</v>
      </c>
      <c r="M3013" s="63" t="s">
        <v>6895</v>
      </c>
      <c r="N3013" s="63" t="s">
        <v>6863</v>
      </c>
    </row>
    <row r="3014" spans="1:14" x14ac:dyDescent="0.2">
      <c r="A3014" s="51">
        <v>3013</v>
      </c>
      <c r="B3014" s="54" t="s">
        <v>838</v>
      </c>
      <c r="C3014" s="47" t="s">
        <v>6884</v>
      </c>
      <c r="D3014" s="47" t="s">
        <v>6885</v>
      </c>
      <c r="E3014" s="47" t="s">
        <v>13018</v>
      </c>
      <c r="F3014" s="55" t="b">
        <v>1</v>
      </c>
      <c r="G3014" s="54" t="b">
        <v>1</v>
      </c>
      <c r="H3014" s="54" t="b">
        <v>1</v>
      </c>
      <c r="I3014" s="54" t="b">
        <v>1</v>
      </c>
      <c r="J3014" s="65" t="b">
        <v>0</v>
      </c>
      <c r="K3014" s="63" t="s">
        <v>838</v>
      </c>
      <c r="L3014" s="63" t="s">
        <v>6884</v>
      </c>
      <c r="M3014" s="63" t="s">
        <v>6885</v>
      </c>
      <c r="N3014" s="63" t="s">
        <v>6863</v>
      </c>
    </row>
    <row r="3015" spans="1:14" x14ac:dyDescent="0.2">
      <c r="A3015" s="51">
        <v>3014</v>
      </c>
      <c r="B3015" s="54" t="s">
        <v>838</v>
      </c>
      <c r="C3015" s="47" t="s">
        <v>6886</v>
      </c>
      <c r="D3015" s="47" t="s">
        <v>6887</v>
      </c>
      <c r="E3015" s="47" t="s">
        <v>13018</v>
      </c>
      <c r="F3015" s="55" t="b">
        <v>1</v>
      </c>
      <c r="G3015" s="54" t="b">
        <v>1</v>
      </c>
      <c r="H3015" s="54" t="b">
        <v>1</v>
      </c>
      <c r="I3015" s="54" t="b">
        <v>1</v>
      </c>
      <c r="J3015" s="65" t="b">
        <v>0</v>
      </c>
      <c r="K3015" s="63" t="s">
        <v>838</v>
      </c>
      <c r="L3015" s="63" t="s">
        <v>6886</v>
      </c>
      <c r="M3015" s="63" t="s">
        <v>6887</v>
      </c>
      <c r="N3015" s="63" t="s">
        <v>6863</v>
      </c>
    </row>
    <row r="3016" spans="1:14" x14ac:dyDescent="0.2">
      <c r="A3016" s="51">
        <v>3015</v>
      </c>
      <c r="B3016" s="54" t="s">
        <v>838</v>
      </c>
      <c r="C3016" s="47" t="s">
        <v>6888</v>
      </c>
      <c r="D3016" s="47" t="s">
        <v>6889</v>
      </c>
      <c r="E3016" s="47" t="s">
        <v>13018</v>
      </c>
      <c r="F3016" s="55" t="b">
        <v>1</v>
      </c>
      <c r="G3016" s="54" t="b">
        <v>1</v>
      </c>
      <c r="H3016" s="54" t="b">
        <v>1</v>
      </c>
      <c r="I3016" s="54" t="b">
        <v>1</v>
      </c>
      <c r="J3016" s="65" t="b">
        <v>0</v>
      </c>
      <c r="K3016" s="63" t="s">
        <v>838</v>
      </c>
      <c r="L3016" s="63" t="s">
        <v>6888</v>
      </c>
      <c r="M3016" s="63" t="s">
        <v>6889</v>
      </c>
      <c r="N3016" s="63" t="s">
        <v>6863</v>
      </c>
    </row>
    <row r="3017" spans="1:14" x14ac:dyDescent="0.2">
      <c r="A3017" s="51">
        <v>3016</v>
      </c>
      <c r="B3017" s="54" t="s">
        <v>838</v>
      </c>
      <c r="C3017" s="47" t="s">
        <v>6890</v>
      </c>
      <c r="D3017" s="47" t="s">
        <v>6891</v>
      </c>
      <c r="E3017" s="47" t="s">
        <v>13018</v>
      </c>
      <c r="F3017" s="55" t="b">
        <v>1</v>
      </c>
      <c r="G3017" s="54" t="b">
        <v>1</v>
      </c>
      <c r="H3017" s="54" t="b">
        <v>1</v>
      </c>
      <c r="I3017" s="54" t="b">
        <v>1</v>
      </c>
      <c r="J3017" s="65" t="b">
        <v>0</v>
      </c>
      <c r="K3017" s="63" t="s">
        <v>838</v>
      </c>
      <c r="L3017" s="63" t="s">
        <v>6890</v>
      </c>
      <c r="M3017" s="63" t="s">
        <v>6891</v>
      </c>
      <c r="N3017" s="63" t="s">
        <v>6863</v>
      </c>
    </row>
    <row r="3018" spans="1:14" x14ac:dyDescent="0.2">
      <c r="A3018" s="51">
        <v>3017</v>
      </c>
      <c r="B3018" s="54" t="s">
        <v>838</v>
      </c>
      <c r="C3018" s="47" t="s">
        <v>6892</v>
      </c>
      <c r="D3018" s="47" t="s">
        <v>6893</v>
      </c>
      <c r="E3018" s="47" t="s">
        <v>13018</v>
      </c>
      <c r="F3018" s="55" t="b">
        <v>1</v>
      </c>
      <c r="G3018" s="54" t="b">
        <v>1</v>
      </c>
      <c r="H3018" s="54" t="b">
        <v>1</v>
      </c>
      <c r="I3018" s="54" t="b">
        <v>1</v>
      </c>
      <c r="J3018" s="65" t="b">
        <v>0</v>
      </c>
      <c r="K3018" s="63" t="s">
        <v>838</v>
      </c>
      <c r="L3018" s="63" t="s">
        <v>6892</v>
      </c>
      <c r="M3018" s="63" t="s">
        <v>6893</v>
      </c>
      <c r="N3018" s="63" t="s">
        <v>6863</v>
      </c>
    </row>
    <row r="3019" spans="1:14" x14ac:dyDescent="0.2">
      <c r="A3019" s="51">
        <v>3018</v>
      </c>
      <c r="B3019" s="54" t="s">
        <v>838</v>
      </c>
      <c r="C3019" s="47" t="s">
        <v>6991</v>
      </c>
      <c r="D3019" s="47" t="s">
        <v>6992</v>
      </c>
      <c r="E3019" s="47" t="s">
        <v>13018</v>
      </c>
      <c r="F3019" s="55" t="b">
        <v>1</v>
      </c>
      <c r="G3019" s="54" t="b">
        <v>1</v>
      </c>
      <c r="H3019" s="54" t="b">
        <v>1</v>
      </c>
      <c r="I3019" s="54" t="b">
        <v>1</v>
      </c>
      <c r="J3019" s="65" t="b">
        <v>0</v>
      </c>
      <c r="K3019" s="63" t="s">
        <v>838</v>
      </c>
      <c r="L3019" s="63" t="s">
        <v>6991</v>
      </c>
      <c r="M3019" s="63" t="s">
        <v>6992</v>
      </c>
      <c r="N3019" s="63" t="s">
        <v>6863</v>
      </c>
    </row>
    <row r="3020" spans="1:14" x14ac:dyDescent="0.2">
      <c r="A3020" s="51">
        <v>3019</v>
      </c>
      <c r="B3020" s="54" t="s">
        <v>838</v>
      </c>
      <c r="C3020" s="47" t="s">
        <v>6896</v>
      </c>
      <c r="D3020" s="47" t="s">
        <v>6897</v>
      </c>
      <c r="E3020" s="47" t="s">
        <v>13018</v>
      </c>
      <c r="F3020" s="55" t="b">
        <v>1</v>
      </c>
      <c r="G3020" s="54" t="b">
        <v>1</v>
      </c>
      <c r="H3020" s="54" t="b">
        <v>1</v>
      </c>
      <c r="I3020" s="54" t="b">
        <v>1</v>
      </c>
      <c r="J3020" s="65" t="b">
        <v>0</v>
      </c>
      <c r="K3020" s="63" t="s">
        <v>838</v>
      </c>
      <c r="L3020" s="63" t="s">
        <v>6896</v>
      </c>
      <c r="M3020" s="63" t="s">
        <v>6897</v>
      </c>
      <c r="N3020" s="63" t="s">
        <v>6863</v>
      </c>
    </row>
    <row r="3021" spans="1:14" x14ac:dyDescent="0.2">
      <c r="A3021" s="51">
        <v>3020</v>
      </c>
      <c r="B3021" s="54" t="s">
        <v>838</v>
      </c>
      <c r="C3021" s="47" t="s">
        <v>6898</v>
      </c>
      <c r="D3021" s="47" t="s">
        <v>6899</v>
      </c>
      <c r="E3021" s="47" t="s">
        <v>13018</v>
      </c>
      <c r="F3021" s="55" t="b">
        <v>1</v>
      </c>
      <c r="G3021" s="54" t="b">
        <v>1</v>
      </c>
      <c r="H3021" s="54" t="b">
        <v>1</v>
      </c>
      <c r="I3021" s="54" t="b">
        <v>1</v>
      </c>
      <c r="J3021" s="65" t="b">
        <v>0</v>
      </c>
      <c r="K3021" s="63" t="s">
        <v>838</v>
      </c>
      <c r="L3021" s="63" t="s">
        <v>6898</v>
      </c>
      <c r="M3021" s="63" t="s">
        <v>6899</v>
      </c>
      <c r="N3021" s="63" t="s">
        <v>6863</v>
      </c>
    </row>
    <row r="3022" spans="1:14" x14ac:dyDescent="0.2">
      <c r="A3022" s="51">
        <v>3021</v>
      </c>
      <c r="B3022" s="54" t="s">
        <v>838</v>
      </c>
      <c r="C3022" s="47" t="s">
        <v>6900</v>
      </c>
      <c r="D3022" s="47" t="s">
        <v>6901</v>
      </c>
      <c r="E3022" s="47" t="s">
        <v>13018</v>
      </c>
      <c r="F3022" s="55" t="b">
        <v>1</v>
      </c>
      <c r="G3022" s="54" t="b">
        <v>1</v>
      </c>
      <c r="H3022" s="54" t="b">
        <v>1</v>
      </c>
      <c r="I3022" s="54" t="b">
        <v>1</v>
      </c>
      <c r="J3022" s="65" t="b">
        <v>0</v>
      </c>
      <c r="K3022" s="63" t="s">
        <v>838</v>
      </c>
      <c r="L3022" s="63" t="s">
        <v>6900</v>
      </c>
      <c r="M3022" s="63" t="s">
        <v>6901</v>
      </c>
      <c r="N3022" s="63" t="s">
        <v>6863</v>
      </c>
    </row>
    <row r="3023" spans="1:14" x14ac:dyDescent="0.2">
      <c r="A3023" s="51">
        <v>3022</v>
      </c>
      <c r="B3023" s="54" t="s">
        <v>838</v>
      </c>
      <c r="C3023" s="47" t="s">
        <v>6902</v>
      </c>
      <c r="D3023" s="47" t="s">
        <v>6903</v>
      </c>
      <c r="E3023" s="47" t="s">
        <v>13018</v>
      </c>
      <c r="F3023" s="55" t="b">
        <v>1</v>
      </c>
      <c r="G3023" s="54" t="b">
        <v>1</v>
      </c>
      <c r="H3023" s="54" t="b">
        <v>1</v>
      </c>
      <c r="I3023" s="54" t="b">
        <v>1</v>
      </c>
      <c r="J3023" s="65" t="b">
        <v>0</v>
      </c>
      <c r="K3023" s="63" t="s">
        <v>838</v>
      </c>
      <c r="L3023" s="63" t="s">
        <v>6902</v>
      </c>
      <c r="M3023" s="63" t="s">
        <v>6903</v>
      </c>
      <c r="N3023" s="63" t="s">
        <v>6863</v>
      </c>
    </row>
    <row r="3024" spans="1:14" x14ac:dyDescent="0.2">
      <c r="A3024" s="51">
        <v>3023</v>
      </c>
      <c r="B3024" s="54" t="s">
        <v>838</v>
      </c>
      <c r="C3024" s="47" t="s">
        <v>6904</v>
      </c>
      <c r="D3024" s="47" t="s">
        <v>6905</v>
      </c>
      <c r="E3024" s="47" t="s">
        <v>13018</v>
      </c>
      <c r="F3024" s="55" t="b">
        <v>1</v>
      </c>
      <c r="G3024" s="54" t="b">
        <v>1</v>
      </c>
      <c r="H3024" s="54" t="b">
        <v>1</v>
      </c>
      <c r="I3024" s="54" t="b">
        <v>1</v>
      </c>
      <c r="J3024" s="65" t="b">
        <v>0</v>
      </c>
      <c r="K3024" s="63" t="s">
        <v>838</v>
      </c>
      <c r="L3024" s="63" t="s">
        <v>6904</v>
      </c>
      <c r="M3024" s="63" t="s">
        <v>6905</v>
      </c>
      <c r="N3024" s="63" t="s">
        <v>6863</v>
      </c>
    </row>
    <row r="3025" spans="1:14" x14ac:dyDescent="0.2">
      <c r="A3025" s="51">
        <v>3024</v>
      </c>
      <c r="B3025" s="54" t="s">
        <v>838</v>
      </c>
      <c r="C3025" s="47" t="s">
        <v>6906</v>
      </c>
      <c r="D3025" s="47" t="s">
        <v>6907</v>
      </c>
      <c r="E3025" s="47" t="s">
        <v>13018</v>
      </c>
      <c r="F3025" s="55" t="b">
        <v>1</v>
      </c>
      <c r="G3025" s="54" t="b">
        <v>1</v>
      </c>
      <c r="H3025" s="54" t="b">
        <v>1</v>
      </c>
      <c r="I3025" s="54" t="b">
        <v>1</v>
      </c>
      <c r="J3025" s="65" t="b">
        <v>0</v>
      </c>
      <c r="K3025" s="63" t="s">
        <v>838</v>
      </c>
      <c r="L3025" s="63" t="s">
        <v>6906</v>
      </c>
      <c r="M3025" s="63" t="s">
        <v>6907</v>
      </c>
      <c r="N3025" s="63" t="s">
        <v>6863</v>
      </c>
    </row>
    <row r="3026" spans="1:14" x14ac:dyDescent="0.2">
      <c r="A3026" s="51">
        <v>3025</v>
      </c>
      <c r="B3026" s="54" t="s">
        <v>838</v>
      </c>
      <c r="C3026" s="47" t="s">
        <v>6908</v>
      </c>
      <c r="D3026" s="47" t="s">
        <v>6909</v>
      </c>
      <c r="E3026" s="47" t="s">
        <v>13018</v>
      </c>
      <c r="F3026" s="55" t="b">
        <v>1</v>
      </c>
      <c r="G3026" s="54" t="b">
        <v>1</v>
      </c>
      <c r="H3026" s="54" t="b">
        <v>1</v>
      </c>
      <c r="I3026" s="54" t="b">
        <v>1</v>
      </c>
      <c r="J3026" s="65" t="b">
        <v>0</v>
      </c>
      <c r="K3026" s="63" t="s">
        <v>838</v>
      </c>
      <c r="L3026" s="63" t="s">
        <v>6908</v>
      </c>
      <c r="M3026" s="63" t="s">
        <v>6909</v>
      </c>
      <c r="N3026" s="63" t="s">
        <v>6863</v>
      </c>
    </row>
    <row r="3027" spans="1:14" x14ac:dyDescent="0.2">
      <c r="A3027" s="51">
        <v>3026</v>
      </c>
      <c r="B3027" s="54" t="s">
        <v>838</v>
      </c>
      <c r="C3027" s="47" t="s">
        <v>6910</v>
      </c>
      <c r="D3027" s="47" t="s">
        <v>6911</v>
      </c>
      <c r="E3027" s="47" t="s">
        <v>13018</v>
      </c>
      <c r="F3027" s="55" t="b">
        <v>1</v>
      </c>
      <c r="G3027" s="54" t="b">
        <v>1</v>
      </c>
      <c r="H3027" s="54" t="b">
        <v>1</v>
      </c>
      <c r="I3027" s="54" t="b">
        <v>1</v>
      </c>
      <c r="J3027" s="65" t="b">
        <v>0</v>
      </c>
      <c r="K3027" s="63" t="s">
        <v>838</v>
      </c>
      <c r="L3027" s="63" t="s">
        <v>6910</v>
      </c>
      <c r="M3027" s="63" t="s">
        <v>6911</v>
      </c>
      <c r="N3027" s="63" t="s">
        <v>6863</v>
      </c>
    </row>
    <row r="3028" spans="1:14" x14ac:dyDescent="0.2">
      <c r="A3028" s="51">
        <v>3027</v>
      </c>
      <c r="B3028" s="54" t="s">
        <v>838</v>
      </c>
      <c r="C3028" s="47" t="s">
        <v>6912</v>
      </c>
      <c r="D3028" s="47" t="s">
        <v>6913</v>
      </c>
      <c r="E3028" s="47" t="s">
        <v>13018</v>
      </c>
      <c r="F3028" s="55" t="b">
        <v>1</v>
      </c>
      <c r="G3028" s="54" t="b">
        <v>1</v>
      </c>
      <c r="H3028" s="54" t="b">
        <v>1</v>
      </c>
      <c r="I3028" s="54" t="b">
        <v>1</v>
      </c>
      <c r="J3028" s="65" t="b">
        <v>0</v>
      </c>
      <c r="K3028" s="63" t="s">
        <v>838</v>
      </c>
      <c r="L3028" s="63" t="s">
        <v>6912</v>
      </c>
      <c r="M3028" s="63" t="s">
        <v>6913</v>
      </c>
      <c r="N3028" s="63" t="s">
        <v>6863</v>
      </c>
    </row>
    <row r="3029" spans="1:14" x14ac:dyDescent="0.2">
      <c r="A3029" s="51">
        <v>3028</v>
      </c>
      <c r="B3029" s="54" t="s">
        <v>838</v>
      </c>
      <c r="C3029" s="47" t="s">
        <v>6914</v>
      </c>
      <c r="D3029" s="47" t="s">
        <v>6915</v>
      </c>
      <c r="E3029" s="47" t="s">
        <v>13018</v>
      </c>
      <c r="F3029" s="55" t="b">
        <v>1</v>
      </c>
      <c r="G3029" s="54" t="b">
        <v>1</v>
      </c>
      <c r="H3029" s="54" t="b">
        <v>1</v>
      </c>
      <c r="I3029" s="54" t="b">
        <v>1</v>
      </c>
      <c r="J3029" s="65" t="b">
        <v>0</v>
      </c>
      <c r="K3029" s="63" t="s">
        <v>838</v>
      </c>
      <c r="L3029" s="63" t="s">
        <v>6914</v>
      </c>
      <c r="M3029" s="63" t="s">
        <v>6915</v>
      </c>
      <c r="N3029" s="63" t="s">
        <v>6863</v>
      </c>
    </row>
    <row r="3030" spans="1:14" x14ac:dyDescent="0.2">
      <c r="A3030" s="51">
        <v>3029</v>
      </c>
      <c r="B3030" s="54" t="s">
        <v>838</v>
      </c>
      <c r="C3030" s="47" t="s">
        <v>6916</v>
      </c>
      <c r="D3030" s="47" t="s">
        <v>13019</v>
      </c>
      <c r="E3030" s="47" t="s">
        <v>13018</v>
      </c>
      <c r="F3030" s="55" t="b">
        <v>1</v>
      </c>
      <c r="G3030" s="54" t="b">
        <v>1</v>
      </c>
      <c r="H3030" s="54" t="b">
        <v>1</v>
      </c>
      <c r="I3030" s="65" t="b">
        <v>0</v>
      </c>
      <c r="J3030" s="65" t="b">
        <v>0</v>
      </c>
      <c r="K3030" s="63" t="s">
        <v>838</v>
      </c>
      <c r="L3030" s="63" t="s">
        <v>6916</v>
      </c>
      <c r="M3030" s="63" t="s">
        <v>6917</v>
      </c>
      <c r="N3030" s="63" t="s">
        <v>6863</v>
      </c>
    </row>
    <row r="3031" spans="1:14" x14ac:dyDescent="0.2">
      <c r="A3031" s="51">
        <v>3030</v>
      </c>
      <c r="B3031" s="54" t="s">
        <v>838</v>
      </c>
      <c r="C3031" s="47" t="s">
        <v>6918</v>
      </c>
      <c r="D3031" s="47" t="s">
        <v>6919</v>
      </c>
      <c r="E3031" s="47" t="s">
        <v>13018</v>
      </c>
      <c r="F3031" s="55" t="b">
        <v>1</v>
      </c>
      <c r="G3031" s="54" t="b">
        <v>1</v>
      </c>
      <c r="H3031" s="54" t="b">
        <v>1</v>
      </c>
      <c r="I3031" s="54" t="b">
        <v>1</v>
      </c>
      <c r="J3031" s="65" t="b">
        <v>0</v>
      </c>
      <c r="K3031" s="63" t="s">
        <v>838</v>
      </c>
      <c r="L3031" s="63" t="s">
        <v>6918</v>
      </c>
      <c r="M3031" s="63" t="s">
        <v>6919</v>
      </c>
      <c r="N3031" s="63" t="s">
        <v>6863</v>
      </c>
    </row>
    <row r="3032" spans="1:14" x14ac:dyDescent="0.2">
      <c r="A3032" s="51">
        <v>3031</v>
      </c>
      <c r="B3032" s="54" t="s">
        <v>838</v>
      </c>
      <c r="C3032" s="47" t="s">
        <v>6930</v>
      </c>
      <c r="D3032" s="47" t="s">
        <v>13020</v>
      </c>
      <c r="E3032" s="47" t="s">
        <v>13018</v>
      </c>
      <c r="F3032" s="55" t="b">
        <v>1</v>
      </c>
      <c r="G3032" s="54" t="b">
        <v>1</v>
      </c>
      <c r="H3032" s="54" t="b">
        <v>1</v>
      </c>
      <c r="I3032" s="65" t="b">
        <v>0</v>
      </c>
      <c r="J3032" s="65" t="b">
        <v>0</v>
      </c>
      <c r="K3032" s="63" t="s">
        <v>838</v>
      </c>
      <c r="L3032" s="63" t="s">
        <v>6930</v>
      </c>
      <c r="M3032" s="63" t="s">
        <v>6931</v>
      </c>
      <c r="N3032" s="63" t="s">
        <v>6863</v>
      </c>
    </row>
    <row r="3033" spans="1:14" x14ac:dyDescent="0.2">
      <c r="A3033" s="51">
        <v>3032</v>
      </c>
      <c r="B3033" s="54" t="s">
        <v>838</v>
      </c>
      <c r="C3033" s="47" t="s">
        <v>6920</v>
      </c>
      <c r="D3033" s="47" t="s">
        <v>6921</v>
      </c>
      <c r="E3033" s="47" t="s">
        <v>13018</v>
      </c>
      <c r="F3033" s="55" t="b">
        <v>1</v>
      </c>
      <c r="G3033" s="54" t="b">
        <v>1</v>
      </c>
      <c r="H3033" s="54" t="b">
        <v>1</v>
      </c>
      <c r="I3033" s="54" t="b">
        <v>1</v>
      </c>
      <c r="J3033" s="65" t="b">
        <v>0</v>
      </c>
      <c r="K3033" s="63" t="s">
        <v>838</v>
      </c>
      <c r="L3033" s="63" t="s">
        <v>6920</v>
      </c>
      <c r="M3033" s="63" t="s">
        <v>6921</v>
      </c>
      <c r="N3033" s="63" t="s">
        <v>6863</v>
      </c>
    </row>
    <row r="3034" spans="1:14" x14ac:dyDescent="0.2">
      <c r="A3034" s="51">
        <v>3033</v>
      </c>
      <c r="B3034" s="54" t="s">
        <v>838</v>
      </c>
      <c r="C3034" s="47" t="s">
        <v>6922</v>
      </c>
      <c r="D3034" s="47" t="s">
        <v>13021</v>
      </c>
      <c r="E3034" s="47" t="s">
        <v>13018</v>
      </c>
      <c r="F3034" s="55" t="b">
        <v>1</v>
      </c>
      <c r="G3034" s="54" t="b">
        <v>1</v>
      </c>
      <c r="H3034" s="54" t="b">
        <v>1</v>
      </c>
      <c r="I3034" s="65" t="b">
        <v>0</v>
      </c>
      <c r="J3034" s="65" t="b">
        <v>0</v>
      </c>
      <c r="K3034" s="63" t="s">
        <v>838</v>
      </c>
      <c r="L3034" s="63" t="s">
        <v>6922</v>
      </c>
      <c r="M3034" s="63" t="s">
        <v>6923</v>
      </c>
      <c r="N3034" s="63" t="s">
        <v>6863</v>
      </c>
    </row>
    <row r="3035" spans="1:14" x14ac:dyDescent="0.2">
      <c r="A3035" s="51">
        <v>3034</v>
      </c>
      <c r="B3035" s="54" t="s">
        <v>838</v>
      </c>
      <c r="C3035" s="47" t="s">
        <v>6924</v>
      </c>
      <c r="D3035" s="47" t="s">
        <v>13022</v>
      </c>
      <c r="E3035" s="47" t="s">
        <v>13018</v>
      </c>
      <c r="F3035" s="55" t="b">
        <v>1</v>
      </c>
      <c r="G3035" s="54" t="b">
        <v>1</v>
      </c>
      <c r="H3035" s="54" t="b">
        <v>1</v>
      </c>
      <c r="I3035" s="65" t="b">
        <v>0</v>
      </c>
      <c r="J3035" s="65" t="b">
        <v>0</v>
      </c>
      <c r="K3035" s="63" t="s">
        <v>838</v>
      </c>
      <c r="L3035" s="63" t="s">
        <v>6924</v>
      </c>
      <c r="M3035" s="63" t="s">
        <v>6925</v>
      </c>
      <c r="N3035" s="63" t="s">
        <v>6863</v>
      </c>
    </row>
    <row r="3036" spans="1:14" x14ac:dyDescent="0.2">
      <c r="A3036" s="51">
        <v>3035</v>
      </c>
      <c r="B3036" s="54" t="s">
        <v>838</v>
      </c>
      <c r="C3036" s="47" t="s">
        <v>6926</v>
      </c>
      <c r="D3036" s="47" t="s">
        <v>13023</v>
      </c>
      <c r="E3036" s="47" t="s">
        <v>13018</v>
      </c>
      <c r="F3036" s="55" t="b">
        <v>1</v>
      </c>
      <c r="G3036" s="54" t="b">
        <v>1</v>
      </c>
      <c r="H3036" s="54" t="b">
        <v>1</v>
      </c>
      <c r="I3036" s="65" t="b">
        <v>0</v>
      </c>
      <c r="J3036" s="65" t="b">
        <v>0</v>
      </c>
      <c r="K3036" s="63" t="s">
        <v>838</v>
      </c>
      <c r="L3036" s="63" t="s">
        <v>6926</v>
      </c>
      <c r="M3036" s="63" t="s">
        <v>6927</v>
      </c>
      <c r="N3036" s="63" t="s">
        <v>6863</v>
      </c>
    </row>
    <row r="3037" spans="1:14" x14ac:dyDescent="0.2">
      <c r="A3037" s="51">
        <v>3036</v>
      </c>
      <c r="B3037" s="54" t="s">
        <v>838</v>
      </c>
      <c r="C3037" s="47" t="s">
        <v>6928</v>
      </c>
      <c r="D3037" s="47" t="s">
        <v>6929</v>
      </c>
      <c r="E3037" s="47" t="s">
        <v>13018</v>
      </c>
      <c r="F3037" s="55" t="b">
        <v>1</v>
      </c>
      <c r="G3037" s="54" t="b">
        <v>1</v>
      </c>
      <c r="H3037" s="54" t="b">
        <v>1</v>
      </c>
      <c r="I3037" s="54" t="b">
        <v>1</v>
      </c>
      <c r="J3037" s="65" t="b">
        <v>0</v>
      </c>
      <c r="K3037" s="63" t="s">
        <v>838</v>
      </c>
      <c r="L3037" s="63" t="s">
        <v>6928</v>
      </c>
      <c r="M3037" s="63" t="s">
        <v>6929</v>
      </c>
      <c r="N3037" s="63" t="s">
        <v>6863</v>
      </c>
    </row>
    <row r="3038" spans="1:14" x14ac:dyDescent="0.2">
      <c r="A3038" s="51">
        <v>3037</v>
      </c>
      <c r="B3038" s="54" t="s">
        <v>838</v>
      </c>
      <c r="C3038" s="47" t="s">
        <v>6932</v>
      </c>
      <c r="D3038" s="47" t="s">
        <v>6933</v>
      </c>
      <c r="E3038" s="47" t="s">
        <v>13018</v>
      </c>
      <c r="F3038" s="55" t="b">
        <v>1</v>
      </c>
      <c r="G3038" s="54" t="b">
        <v>1</v>
      </c>
      <c r="H3038" s="54" t="b">
        <v>1</v>
      </c>
      <c r="I3038" s="54" t="b">
        <v>1</v>
      </c>
      <c r="J3038" s="65" t="b">
        <v>0</v>
      </c>
      <c r="K3038" s="63" t="s">
        <v>838</v>
      </c>
      <c r="L3038" s="63" t="s">
        <v>6932</v>
      </c>
      <c r="M3038" s="63" t="s">
        <v>6933</v>
      </c>
      <c r="N3038" s="63" t="s">
        <v>6863</v>
      </c>
    </row>
    <row r="3039" spans="1:14" x14ac:dyDescent="0.2">
      <c r="A3039" s="51">
        <v>3038</v>
      </c>
      <c r="B3039" s="54" t="s">
        <v>838</v>
      </c>
      <c r="C3039" s="47" t="s">
        <v>6934</v>
      </c>
      <c r="D3039" s="47" t="s">
        <v>6935</v>
      </c>
      <c r="E3039" s="47" t="s">
        <v>13018</v>
      </c>
      <c r="F3039" s="55" t="b">
        <v>1</v>
      </c>
      <c r="G3039" s="54" t="b">
        <v>1</v>
      </c>
      <c r="H3039" s="54" t="b">
        <v>1</v>
      </c>
      <c r="I3039" s="54" t="b">
        <v>1</v>
      </c>
      <c r="J3039" s="65" t="b">
        <v>0</v>
      </c>
      <c r="K3039" s="63" t="s">
        <v>838</v>
      </c>
      <c r="L3039" s="63" t="s">
        <v>6934</v>
      </c>
      <c r="M3039" s="63" t="s">
        <v>6935</v>
      </c>
      <c r="N3039" s="63" t="s">
        <v>6863</v>
      </c>
    </row>
    <row r="3040" spans="1:14" x14ac:dyDescent="0.2">
      <c r="A3040" s="51">
        <v>3039</v>
      </c>
      <c r="B3040" s="54" t="s">
        <v>838</v>
      </c>
      <c r="C3040" s="47" t="s">
        <v>6936</v>
      </c>
      <c r="D3040" s="47" t="s">
        <v>6937</v>
      </c>
      <c r="E3040" s="47" t="s">
        <v>13018</v>
      </c>
      <c r="F3040" s="55" t="b">
        <v>1</v>
      </c>
      <c r="G3040" s="54" t="b">
        <v>1</v>
      </c>
      <c r="H3040" s="54" t="b">
        <v>1</v>
      </c>
      <c r="I3040" s="54" t="b">
        <v>1</v>
      </c>
      <c r="J3040" s="65" t="b">
        <v>0</v>
      </c>
      <c r="K3040" s="63" t="s">
        <v>838</v>
      </c>
      <c r="L3040" s="63" t="s">
        <v>6936</v>
      </c>
      <c r="M3040" s="63" t="s">
        <v>6937</v>
      </c>
      <c r="N3040" s="63" t="s">
        <v>6863</v>
      </c>
    </row>
    <row r="3041" spans="1:14" x14ac:dyDescent="0.2">
      <c r="A3041" s="51">
        <v>3040</v>
      </c>
      <c r="B3041" s="54" t="s">
        <v>838</v>
      </c>
      <c r="C3041" s="47" t="s">
        <v>6938</v>
      </c>
      <c r="D3041" s="47" t="s">
        <v>6939</v>
      </c>
      <c r="E3041" s="47" t="s">
        <v>13018</v>
      </c>
      <c r="F3041" s="55" t="b">
        <v>1</v>
      </c>
      <c r="G3041" s="54" t="b">
        <v>1</v>
      </c>
      <c r="H3041" s="54" t="b">
        <v>1</v>
      </c>
      <c r="I3041" s="54" t="b">
        <v>1</v>
      </c>
      <c r="J3041" s="65" t="b">
        <v>0</v>
      </c>
      <c r="K3041" s="63" t="s">
        <v>838</v>
      </c>
      <c r="L3041" s="63" t="s">
        <v>6938</v>
      </c>
      <c r="M3041" s="63" t="s">
        <v>6939</v>
      </c>
      <c r="N3041" s="63" t="s">
        <v>6863</v>
      </c>
    </row>
    <row r="3042" spans="1:14" x14ac:dyDescent="0.2">
      <c r="A3042" s="51">
        <v>3041</v>
      </c>
      <c r="B3042" s="54" t="s">
        <v>838</v>
      </c>
      <c r="C3042" s="47" t="s">
        <v>6940</v>
      </c>
      <c r="D3042" s="47" t="s">
        <v>6941</v>
      </c>
      <c r="E3042" s="47" t="s">
        <v>13018</v>
      </c>
      <c r="F3042" s="55" t="b">
        <v>1</v>
      </c>
      <c r="G3042" s="54" t="b">
        <v>1</v>
      </c>
      <c r="H3042" s="54" t="b">
        <v>1</v>
      </c>
      <c r="I3042" s="54" t="b">
        <v>1</v>
      </c>
      <c r="J3042" s="65" t="b">
        <v>0</v>
      </c>
      <c r="K3042" s="63" t="s">
        <v>838</v>
      </c>
      <c r="L3042" s="63" t="s">
        <v>6940</v>
      </c>
      <c r="M3042" s="63" t="s">
        <v>6941</v>
      </c>
      <c r="N3042" s="63" t="s">
        <v>6863</v>
      </c>
    </row>
    <row r="3043" spans="1:14" x14ac:dyDescent="0.2">
      <c r="A3043" s="51">
        <v>3042</v>
      </c>
      <c r="B3043" s="54" t="s">
        <v>838</v>
      </c>
      <c r="C3043" s="47" t="s">
        <v>6942</v>
      </c>
      <c r="D3043" s="47" t="s">
        <v>6943</v>
      </c>
      <c r="E3043" s="47" t="s">
        <v>13018</v>
      </c>
      <c r="F3043" s="55" t="b">
        <v>1</v>
      </c>
      <c r="G3043" s="54" t="b">
        <v>1</v>
      </c>
      <c r="H3043" s="54" t="b">
        <v>1</v>
      </c>
      <c r="I3043" s="54" t="b">
        <v>1</v>
      </c>
      <c r="J3043" s="65" t="b">
        <v>0</v>
      </c>
      <c r="K3043" s="63" t="s">
        <v>838</v>
      </c>
      <c r="L3043" s="63" t="s">
        <v>6942</v>
      </c>
      <c r="M3043" s="63" t="s">
        <v>6943</v>
      </c>
      <c r="N3043" s="63" t="s">
        <v>6863</v>
      </c>
    </row>
    <row r="3044" spans="1:14" x14ac:dyDescent="0.2">
      <c r="A3044" s="51">
        <v>3043</v>
      </c>
      <c r="B3044" s="54" t="s">
        <v>838</v>
      </c>
      <c r="C3044" s="47" t="s">
        <v>6944</v>
      </c>
      <c r="D3044" s="47" t="s">
        <v>6945</v>
      </c>
      <c r="E3044" s="47" t="s">
        <v>13018</v>
      </c>
      <c r="F3044" s="55" t="b">
        <v>1</v>
      </c>
      <c r="G3044" s="54" t="b">
        <v>1</v>
      </c>
      <c r="H3044" s="54" t="b">
        <v>1</v>
      </c>
      <c r="I3044" s="54" t="b">
        <v>1</v>
      </c>
      <c r="J3044" s="65" t="b">
        <v>0</v>
      </c>
      <c r="K3044" s="63" t="s">
        <v>838</v>
      </c>
      <c r="L3044" s="63" t="s">
        <v>6944</v>
      </c>
      <c r="M3044" s="63" t="s">
        <v>6945</v>
      </c>
      <c r="N3044" s="63" t="s">
        <v>6863</v>
      </c>
    </row>
    <row r="3045" spans="1:14" x14ac:dyDescent="0.2">
      <c r="A3045" s="51">
        <v>3044</v>
      </c>
      <c r="B3045" s="54" t="s">
        <v>838</v>
      </c>
      <c r="C3045" s="47" t="s">
        <v>6946</v>
      </c>
      <c r="D3045" s="47" t="s">
        <v>6947</v>
      </c>
      <c r="E3045" s="47" t="s">
        <v>13018</v>
      </c>
      <c r="F3045" s="55" t="b">
        <v>1</v>
      </c>
      <c r="G3045" s="54" t="b">
        <v>1</v>
      </c>
      <c r="H3045" s="54" t="b">
        <v>1</v>
      </c>
      <c r="I3045" s="54" t="b">
        <v>1</v>
      </c>
      <c r="J3045" s="65" t="b">
        <v>0</v>
      </c>
      <c r="K3045" s="63" t="s">
        <v>838</v>
      </c>
      <c r="L3045" s="63" t="s">
        <v>6946</v>
      </c>
      <c r="M3045" s="63" t="s">
        <v>6947</v>
      </c>
      <c r="N3045" s="63" t="s">
        <v>6863</v>
      </c>
    </row>
    <row r="3046" spans="1:14" x14ac:dyDescent="0.2">
      <c r="A3046" s="51">
        <v>3045</v>
      </c>
      <c r="B3046" s="54" t="s">
        <v>838</v>
      </c>
      <c r="C3046" s="47" t="s">
        <v>6948</v>
      </c>
      <c r="D3046" s="47" t="s">
        <v>13024</v>
      </c>
      <c r="E3046" s="47" t="s">
        <v>13018</v>
      </c>
      <c r="F3046" s="55" t="b">
        <v>1</v>
      </c>
      <c r="G3046" s="54" t="b">
        <v>1</v>
      </c>
      <c r="H3046" s="54" t="b">
        <v>1</v>
      </c>
      <c r="I3046" s="65" t="b">
        <v>0</v>
      </c>
      <c r="J3046" s="65" t="b">
        <v>0</v>
      </c>
      <c r="K3046" s="63" t="s">
        <v>838</v>
      </c>
      <c r="L3046" s="63" t="s">
        <v>6948</v>
      </c>
      <c r="M3046" s="63" t="s">
        <v>6949</v>
      </c>
      <c r="N3046" s="63" t="s">
        <v>6863</v>
      </c>
    </row>
    <row r="3047" spans="1:14" x14ac:dyDescent="0.2">
      <c r="A3047" s="51">
        <v>3046</v>
      </c>
      <c r="G3047" s="65" t="b">
        <v>0</v>
      </c>
      <c r="H3047" s="65" t="b">
        <v>0</v>
      </c>
      <c r="I3047" s="65" t="b">
        <v>0</v>
      </c>
      <c r="J3047" s="65" t="b">
        <v>0</v>
      </c>
      <c r="K3047" s="63" t="s">
        <v>838</v>
      </c>
      <c r="L3047" s="63" t="s">
        <v>6948</v>
      </c>
      <c r="M3047" s="63" t="s">
        <v>6950</v>
      </c>
      <c r="N3047" s="63" t="s">
        <v>6863</v>
      </c>
    </row>
    <row r="3048" spans="1:14" x14ac:dyDescent="0.2">
      <c r="A3048" s="51">
        <v>3047</v>
      </c>
      <c r="B3048" s="54" t="s">
        <v>838</v>
      </c>
      <c r="C3048" s="47" t="s">
        <v>6951</v>
      </c>
      <c r="D3048" s="47" t="s">
        <v>7497</v>
      </c>
      <c r="E3048" s="47" t="s">
        <v>13018</v>
      </c>
      <c r="F3048" s="55" t="b">
        <v>1</v>
      </c>
      <c r="G3048" s="54" t="b">
        <v>1</v>
      </c>
      <c r="H3048" s="54" t="b">
        <v>1</v>
      </c>
      <c r="I3048" s="65" t="b">
        <v>0</v>
      </c>
      <c r="J3048" s="65" t="b">
        <v>0</v>
      </c>
      <c r="K3048" s="63" t="s">
        <v>838</v>
      </c>
      <c r="L3048" s="63" t="s">
        <v>6951</v>
      </c>
      <c r="M3048" s="63" t="s">
        <v>6952</v>
      </c>
      <c r="N3048" s="63" t="s">
        <v>6863</v>
      </c>
    </row>
    <row r="3049" spans="1:14" x14ac:dyDescent="0.2">
      <c r="A3049" s="51">
        <v>3048</v>
      </c>
      <c r="B3049" s="54" t="s">
        <v>838</v>
      </c>
      <c r="C3049" s="47" t="s">
        <v>6953</v>
      </c>
      <c r="D3049" s="47" t="s">
        <v>6954</v>
      </c>
      <c r="E3049" s="47" t="s">
        <v>13018</v>
      </c>
      <c r="F3049" s="55" t="b">
        <v>1</v>
      </c>
      <c r="G3049" s="54" t="b">
        <v>1</v>
      </c>
      <c r="H3049" s="54" t="b">
        <v>1</v>
      </c>
      <c r="I3049" s="54" t="b">
        <v>1</v>
      </c>
      <c r="J3049" s="65" t="b">
        <v>0</v>
      </c>
      <c r="K3049" s="63" t="s">
        <v>838</v>
      </c>
      <c r="L3049" s="63" t="s">
        <v>6953</v>
      </c>
      <c r="M3049" s="63" t="s">
        <v>6954</v>
      </c>
      <c r="N3049" s="63" t="s">
        <v>6863</v>
      </c>
    </row>
    <row r="3050" spans="1:14" x14ac:dyDescent="0.2">
      <c r="A3050" s="51">
        <v>3049</v>
      </c>
      <c r="B3050" s="54" t="s">
        <v>838</v>
      </c>
      <c r="C3050" s="47" t="s">
        <v>6956</v>
      </c>
      <c r="D3050" s="47" t="s">
        <v>6966</v>
      </c>
      <c r="E3050" s="47" t="s">
        <v>13018</v>
      </c>
      <c r="F3050" s="55" t="b">
        <v>1</v>
      </c>
      <c r="G3050" s="54" t="b">
        <v>1</v>
      </c>
      <c r="H3050" s="54" t="b">
        <v>1</v>
      </c>
      <c r="I3050" s="65" t="b">
        <v>0</v>
      </c>
      <c r="J3050" s="65" t="b">
        <v>0</v>
      </c>
      <c r="K3050" s="63" t="s">
        <v>838</v>
      </c>
      <c r="L3050" s="63" t="s">
        <v>6956</v>
      </c>
      <c r="M3050" s="63" t="s">
        <v>6957</v>
      </c>
      <c r="N3050" s="63" t="s">
        <v>6863</v>
      </c>
    </row>
    <row r="3051" spans="1:14" x14ac:dyDescent="0.2">
      <c r="A3051" s="51">
        <v>3050</v>
      </c>
      <c r="G3051" s="65" t="b">
        <v>0</v>
      </c>
      <c r="H3051" s="65" t="b">
        <v>0</v>
      </c>
      <c r="I3051" s="65" t="b">
        <v>0</v>
      </c>
      <c r="J3051" s="65" t="b">
        <v>0</v>
      </c>
      <c r="K3051" s="63" t="s">
        <v>838</v>
      </c>
      <c r="L3051" s="63" t="s">
        <v>6956</v>
      </c>
      <c r="M3051" s="63" t="s">
        <v>6966</v>
      </c>
      <c r="N3051" s="63" t="s">
        <v>6863</v>
      </c>
    </row>
    <row r="3052" spans="1:14" x14ac:dyDescent="0.2">
      <c r="A3052" s="51">
        <v>3051</v>
      </c>
      <c r="B3052" s="54" t="s">
        <v>838</v>
      </c>
      <c r="C3052" s="47" t="s">
        <v>6955</v>
      </c>
      <c r="D3052" s="47" t="s">
        <v>6967</v>
      </c>
      <c r="E3052" s="47" t="s">
        <v>13018</v>
      </c>
      <c r="F3052" s="55" t="b">
        <v>1</v>
      </c>
      <c r="G3052" s="54" t="b">
        <v>1</v>
      </c>
      <c r="H3052" s="54" t="b">
        <v>1</v>
      </c>
      <c r="I3052" s="65" t="b">
        <v>0</v>
      </c>
      <c r="J3052" s="65" t="b">
        <v>0</v>
      </c>
      <c r="K3052" s="63" t="s">
        <v>838</v>
      </c>
      <c r="L3052" s="63" t="s">
        <v>6955</v>
      </c>
      <c r="M3052" s="63" t="s">
        <v>2518</v>
      </c>
      <c r="N3052" s="63" t="s">
        <v>6863</v>
      </c>
    </row>
    <row r="3053" spans="1:14" x14ac:dyDescent="0.2">
      <c r="A3053" s="51">
        <v>3052</v>
      </c>
      <c r="G3053" s="65" t="b">
        <v>0</v>
      </c>
      <c r="H3053" s="65" t="b">
        <v>0</v>
      </c>
      <c r="I3053" s="65" t="b">
        <v>0</v>
      </c>
      <c r="J3053" s="65" t="b">
        <v>0</v>
      </c>
      <c r="K3053" s="63" t="s">
        <v>838</v>
      </c>
      <c r="L3053" s="63" t="s">
        <v>6955</v>
      </c>
      <c r="M3053" s="63" t="s">
        <v>6967</v>
      </c>
      <c r="N3053" s="63" t="s">
        <v>6863</v>
      </c>
    </row>
    <row r="3054" spans="1:14" x14ac:dyDescent="0.2">
      <c r="A3054" s="51">
        <v>3053</v>
      </c>
      <c r="B3054" s="54" t="s">
        <v>838</v>
      </c>
      <c r="C3054" s="47" t="s">
        <v>6958</v>
      </c>
      <c r="D3054" s="47" t="s">
        <v>6964</v>
      </c>
      <c r="E3054" s="47" t="s">
        <v>13018</v>
      </c>
      <c r="F3054" s="55" t="b">
        <v>1</v>
      </c>
      <c r="G3054" s="54" t="b">
        <v>1</v>
      </c>
      <c r="H3054" s="54" t="b">
        <v>1</v>
      </c>
      <c r="I3054" s="65" t="b">
        <v>0</v>
      </c>
      <c r="J3054" s="65" t="b">
        <v>0</v>
      </c>
      <c r="K3054" s="63" t="s">
        <v>838</v>
      </c>
      <c r="L3054" s="63" t="s">
        <v>6958</v>
      </c>
      <c r="M3054" s="63" t="s">
        <v>6959</v>
      </c>
      <c r="N3054" s="63" t="s">
        <v>6863</v>
      </c>
    </row>
    <row r="3055" spans="1:14" x14ac:dyDescent="0.2">
      <c r="A3055" s="51">
        <v>3054</v>
      </c>
      <c r="G3055" s="65" t="b">
        <v>0</v>
      </c>
      <c r="H3055" s="65" t="b">
        <v>0</v>
      </c>
      <c r="I3055" s="65" t="b">
        <v>0</v>
      </c>
      <c r="J3055" s="65" t="b">
        <v>0</v>
      </c>
      <c r="K3055" s="63" t="s">
        <v>838</v>
      </c>
      <c r="L3055" s="63" t="s">
        <v>6958</v>
      </c>
      <c r="M3055" s="63" t="s">
        <v>6964</v>
      </c>
      <c r="N3055" s="63" t="s">
        <v>6863</v>
      </c>
    </row>
    <row r="3056" spans="1:14" x14ac:dyDescent="0.2">
      <c r="A3056" s="51">
        <v>3055</v>
      </c>
      <c r="B3056" s="54" t="s">
        <v>838</v>
      </c>
      <c r="C3056" s="47" t="s">
        <v>6962</v>
      </c>
      <c r="D3056" s="47" t="s">
        <v>6965</v>
      </c>
      <c r="E3056" s="47" t="s">
        <v>13018</v>
      </c>
      <c r="F3056" s="55" t="b">
        <v>1</v>
      </c>
      <c r="G3056" s="54" t="b">
        <v>1</v>
      </c>
      <c r="H3056" s="54" t="b">
        <v>1</v>
      </c>
      <c r="I3056" s="65" t="b">
        <v>0</v>
      </c>
      <c r="J3056" s="65" t="b">
        <v>0</v>
      </c>
      <c r="K3056" s="63" t="s">
        <v>838</v>
      </c>
      <c r="L3056" s="63" t="s">
        <v>6962</v>
      </c>
      <c r="M3056" s="63" t="s">
        <v>6963</v>
      </c>
      <c r="N3056" s="63" t="s">
        <v>6863</v>
      </c>
    </row>
    <row r="3057" spans="1:14" x14ac:dyDescent="0.2">
      <c r="A3057" s="51">
        <v>3056</v>
      </c>
      <c r="G3057" s="65" t="b">
        <v>0</v>
      </c>
      <c r="H3057" s="65" t="b">
        <v>0</v>
      </c>
      <c r="I3057" s="65" t="b">
        <v>0</v>
      </c>
      <c r="J3057" s="65" t="b">
        <v>0</v>
      </c>
      <c r="K3057" s="63" t="s">
        <v>838</v>
      </c>
      <c r="L3057" s="63" t="s">
        <v>6962</v>
      </c>
      <c r="M3057" s="63" t="s">
        <v>6965</v>
      </c>
      <c r="N3057" s="63" t="s">
        <v>6863</v>
      </c>
    </row>
    <row r="3058" spans="1:14" x14ac:dyDescent="0.2">
      <c r="A3058" s="51">
        <v>3057</v>
      </c>
      <c r="B3058" s="54" t="s">
        <v>838</v>
      </c>
      <c r="C3058" s="47" t="s">
        <v>6968</v>
      </c>
      <c r="D3058" s="47" t="s">
        <v>6969</v>
      </c>
      <c r="E3058" s="47" t="s">
        <v>13018</v>
      </c>
      <c r="F3058" s="55" t="b">
        <v>1</v>
      </c>
      <c r="G3058" s="54" t="b">
        <v>1</v>
      </c>
      <c r="H3058" s="54" t="b">
        <v>1</v>
      </c>
      <c r="I3058" s="54" t="b">
        <v>1</v>
      </c>
      <c r="J3058" s="65" t="b">
        <v>0</v>
      </c>
      <c r="K3058" s="63" t="s">
        <v>838</v>
      </c>
      <c r="L3058" s="63" t="s">
        <v>6968</v>
      </c>
      <c r="M3058" s="63" t="s">
        <v>6969</v>
      </c>
      <c r="N3058" s="63" t="s">
        <v>6863</v>
      </c>
    </row>
    <row r="3059" spans="1:14" x14ac:dyDescent="0.2">
      <c r="A3059" s="51">
        <v>3058</v>
      </c>
      <c r="B3059" s="54" t="s">
        <v>838</v>
      </c>
      <c r="C3059" s="47" t="s">
        <v>6960</v>
      </c>
      <c r="D3059" s="47" t="s">
        <v>6970</v>
      </c>
      <c r="E3059" s="47" t="s">
        <v>13018</v>
      </c>
      <c r="F3059" s="55" t="b">
        <v>1</v>
      </c>
      <c r="G3059" s="54" t="b">
        <v>1</v>
      </c>
      <c r="H3059" s="54" t="b">
        <v>1</v>
      </c>
      <c r="I3059" s="65" t="b">
        <v>0</v>
      </c>
      <c r="J3059" s="65" t="b">
        <v>0</v>
      </c>
      <c r="K3059" s="63" t="s">
        <v>838</v>
      </c>
      <c r="L3059" s="63" t="s">
        <v>6960</v>
      </c>
      <c r="M3059" s="63" t="s">
        <v>6961</v>
      </c>
      <c r="N3059" s="63" t="s">
        <v>6863</v>
      </c>
    </row>
    <row r="3060" spans="1:14" x14ac:dyDescent="0.2">
      <c r="A3060" s="51">
        <v>3059</v>
      </c>
      <c r="G3060" s="65" t="b">
        <v>0</v>
      </c>
      <c r="H3060" s="65" t="b">
        <v>0</v>
      </c>
      <c r="I3060" s="65" t="b">
        <v>0</v>
      </c>
      <c r="J3060" s="65" t="b">
        <v>0</v>
      </c>
      <c r="K3060" s="63" t="s">
        <v>838</v>
      </c>
      <c r="L3060" s="63" t="s">
        <v>6960</v>
      </c>
      <c r="M3060" s="63" t="s">
        <v>6970</v>
      </c>
      <c r="N3060" s="63" t="s">
        <v>6863</v>
      </c>
    </row>
    <row r="3061" spans="1:14" x14ac:dyDescent="0.2">
      <c r="A3061" s="51">
        <v>3060</v>
      </c>
      <c r="B3061" s="54" t="s">
        <v>838</v>
      </c>
      <c r="C3061" s="47" t="s">
        <v>6971</v>
      </c>
      <c r="D3061" s="47" t="s">
        <v>6972</v>
      </c>
      <c r="E3061" s="47" t="s">
        <v>13018</v>
      </c>
      <c r="F3061" s="55" t="b">
        <v>1</v>
      </c>
      <c r="G3061" s="54" t="b">
        <v>1</v>
      </c>
      <c r="H3061" s="54" t="b">
        <v>1</v>
      </c>
      <c r="I3061" s="54" t="b">
        <v>1</v>
      </c>
      <c r="J3061" s="65" t="b">
        <v>0</v>
      </c>
      <c r="K3061" s="63" t="s">
        <v>838</v>
      </c>
      <c r="L3061" s="63" t="s">
        <v>6971</v>
      </c>
      <c r="M3061" s="63" t="s">
        <v>6972</v>
      </c>
      <c r="N3061" s="63" t="s">
        <v>6863</v>
      </c>
    </row>
    <row r="3062" spans="1:14" x14ac:dyDescent="0.2">
      <c r="A3062" s="51">
        <v>3061</v>
      </c>
      <c r="B3062" s="54" t="s">
        <v>838</v>
      </c>
      <c r="C3062" s="47" t="s">
        <v>6973</v>
      </c>
      <c r="D3062" s="47" t="s">
        <v>6974</v>
      </c>
      <c r="E3062" s="47" t="s">
        <v>13018</v>
      </c>
      <c r="F3062" s="55" t="b">
        <v>1</v>
      </c>
      <c r="G3062" s="54" t="b">
        <v>1</v>
      </c>
      <c r="H3062" s="54" t="b">
        <v>1</v>
      </c>
      <c r="I3062" s="54" t="b">
        <v>1</v>
      </c>
      <c r="J3062" s="65" t="b">
        <v>0</v>
      </c>
      <c r="K3062" s="63" t="s">
        <v>838</v>
      </c>
      <c r="L3062" s="63" t="s">
        <v>6973</v>
      </c>
      <c r="M3062" s="63" t="s">
        <v>6974</v>
      </c>
      <c r="N3062" s="63" t="s">
        <v>6863</v>
      </c>
    </row>
    <row r="3063" spans="1:14" x14ac:dyDescent="0.2">
      <c r="A3063" s="51">
        <v>3062</v>
      </c>
      <c r="B3063" s="54" t="s">
        <v>838</v>
      </c>
      <c r="C3063" s="47" t="s">
        <v>6975</v>
      </c>
      <c r="D3063" s="47" t="s">
        <v>6976</v>
      </c>
      <c r="E3063" s="47" t="s">
        <v>13018</v>
      </c>
      <c r="F3063" s="55" t="b">
        <v>1</v>
      </c>
      <c r="G3063" s="54" t="b">
        <v>1</v>
      </c>
      <c r="H3063" s="54" t="b">
        <v>1</v>
      </c>
      <c r="I3063" s="54" t="b">
        <v>1</v>
      </c>
      <c r="J3063" s="65" t="b">
        <v>0</v>
      </c>
      <c r="K3063" s="63" t="s">
        <v>838</v>
      </c>
      <c r="L3063" s="63" t="s">
        <v>6975</v>
      </c>
      <c r="M3063" s="63" t="s">
        <v>6976</v>
      </c>
      <c r="N3063" s="63" t="s">
        <v>6863</v>
      </c>
    </row>
    <row r="3064" spans="1:14" x14ac:dyDescent="0.2">
      <c r="A3064" s="51">
        <v>3063</v>
      </c>
      <c r="B3064" s="54" t="s">
        <v>838</v>
      </c>
      <c r="C3064" s="47" t="s">
        <v>6977</v>
      </c>
      <c r="D3064" s="47" t="s">
        <v>6978</v>
      </c>
      <c r="E3064" s="47" t="s">
        <v>13018</v>
      </c>
      <c r="F3064" s="55" t="b">
        <v>1</v>
      </c>
      <c r="G3064" s="54" t="b">
        <v>1</v>
      </c>
      <c r="H3064" s="54" t="b">
        <v>1</v>
      </c>
      <c r="I3064" s="54" t="b">
        <v>1</v>
      </c>
      <c r="J3064" s="65" t="b">
        <v>0</v>
      </c>
      <c r="K3064" s="63" t="s">
        <v>838</v>
      </c>
      <c r="L3064" s="63" t="s">
        <v>6977</v>
      </c>
      <c r="M3064" s="63" t="s">
        <v>6978</v>
      </c>
      <c r="N3064" s="63" t="s">
        <v>6863</v>
      </c>
    </row>
    <row r="3065" spans="1:14" x14ac:dyDescent="0.2">
      <c r="A3065" s="51">
        <v>3064</v>
      </c>
      <c r="B3065" s="54" t="s">
        <v>838</v>
      </c>
      <c r="C3065" s="47" t="s">
        <v>6979</v>
      </c>
      <c r="D3065" s="47" t="s">
        <v>13025</v>
      </c>
      <c r="E3065" s="47" t="s">
        <v>13018</v>
      </c>
      <c r="F3065" s="55" t="b">
        <v>1</v>
      </c>
      <c r="G3065" s="54" t="b">
        <v>1</v>
      </c>
      <c r="H3065" s="54" t="b">
        <v>1</v>
      </c>
      <c r="I3065" s="65" t="b">
        <v>0</v>
      </c>
      <c r="J3065" s="65" t="b">
        <v>0</v>
      </c>
      <c r="K3065" s="63" t="s">
        <v>838</v>
      </c>
      <c r="L3065" s="63" t="s">
        <v>6979</v>
      </c>
      <c r="M3065" s="63" t="s">
        <v>6980</v>
      </c>
      <c r="N3065" s="63" t="s">
        <v>6863</v>
      </c>
    </row>
    <row r="3066" spans="1:14" x14ac:dyDescent="0.2">
      <c r="A3066" s="51">
        <v>3065</v>
      </c>
      <c r="B3066" s="54" t="s">
        <v>838</v>
      </c>
      <c r="C3066" s="47" t="s">
        <v>6981</v>
      </c>
      <c r="D3066" s="47" t="s">
        <v>6982</v>
      </c>
      <c r="E3066" s="47" t="s">
        <v>13018</v>
      </c>
      <c r="F3066" s="55" t="b">
        <v>1</v>
      </c>
      <c r="G3066" s="54" t="b">
        <v>1</v>
      </c>
      <c r="H3066" s="54" t="b">
        <v>1</v>
      </c>
      <c r="I3066" s="54" t="b">
        <v>1</v>
      </c>
      <c r="J3066" s="65" t="b">
        <v>0</v>
      </c>
      <c r="K3066" s="63" t="s">
        <v>838</v>
      </c>
      <c r="L3066" s="63" t="s">
        <v>6981</v>
      </c>
      <c r="M3066" s="63" t="s">
        <v>6982</v>
      </c>
      <c r="N3066" s="63" t="s">
        <v>6863</v>
      </c>
    </row>
    <row r="3067" spans="1:14" x14ac:dyDescent="0.2">
      <c r="A3067" s="51">
        <v>3066</v>
      </c>
      <c r="B3067" s="54" t="s">
        <v>838</v>
      </c>
      <c r="C3067" s="47" t="s">
        <v>6983</v>
      </c>
      <c r="D3067" s="47" t="s">
        <v>6984</v>
      </c>
      <c r="E3067" s="47" t="s">
        <v>13018</v>
      </c>
      <c r="F3067" s="55" t="b">
        <v>1</v>
      </c>
      <c r="G3067" s="54" t="b">
        <v>1</v>
      </c>
      <c r="H3067" s="54" t="b">
        <v>1</v>
      </c>
      <c r="I3067" s="54" t="b">
        <v>1</v>
      </c>
      <c r="J3067" s="65" t="b">
        <v>0</v>
      </c>
      <c r="K3067" s="63" t="s">
        <v>838</v>
      </c>
      <c r="L3067" s="63" t="s">
        <v>6983</v>
      </c>
      <c r="M3067" s="63" t="s">
        <v>6984</v>
      </c>
      <c r="N3067" s="63" t="s">
        <v>6863</v>
      </c>
    </row>
    <row r="3068" spans="1:14" x14ac:dyDescent="0.2">
      <c r="A3068" s="51">
        <v>3067</v>
      </c>
      <c r="B3068" s="54" t="s">
        <v>838</v>
      </c>
      <c r="C3068" s="47" t="s">
        <v>6985</v>
      </c>
      <c r="D3068" s="47" t="s">
        <v>6986</v>
      </c>
      <c r="E3068" s="47" t="s">
        <v>13018</v>
      </c>
      <c r="F3068" s="55" t="b">
        <v>1</v>
      </c>
      <c r="G3068" s="54" t="b">
        <v>1</v>
      </c>
      <c r="H3068" s="54" t="b">
        <v>1</v>
      </c>
      <c r="I3068" s="54" t="b">
        <v>1</v>
      </c>
      <c r="J3068" s="65" t="b">
        <v>0</v>
      </c>
      <c r="K3068" s="63" t="s">
        <v>838</v>
      </c>
      <c r="L3068" s="63" t="s">
        <v>6985</v>
      </c>
      <c r="M3068" s="63" t="s">
        <v>6986</v>
      </c>
      <c r="N3068" s="63" t="s">
        <v>6863</v>
      </c>
    </row>
    <row r="3069" spans="1:14" x14ac:dyDescent="0.2">
      <c r="A3069" s="51">
        <v>3068</v>
      </c>
      <c r="B3069" s="54" t="s">
        <v>838</v>
      </c>
      <c r="C3069" s="47" t="s">
        <v>6987</v>
      </c>
      <c r="D3069" s="47" t="s">
        <v>6988</v>
      </c>
      <c r="E3069" s="47" t="s">
        <v>13018</v>
      </c>
      <c r="F3069" s="55" t="b">
        <v>1</v>
      </c>
      <c r="G3069" s="54" t="b">
        <v>1</v>
      </c>
      <c r="H3069" s="54" t="b">
        <v>1</v>
      </c>
      <c r="I3069" s="54" t="b">
        <v>1</v>
      </c>
      <c r="J3069" s="65" t="b">
        <v>0</v>
      </c>
      <c r="K3069" s="63" t="s">
        <v>838</v>
      </c>
      <c r="L3069" s="63" t="s">
        <v>6987</v>
      </c>
      <c r="M3069" s="63" t="s">
        <v>6988</v>
      </c>
      <c r="N3069" s="63" t="s">
        <v>6863</v>
      </c>
    </row>
    <row r="3070" spans="1:14" x14ac:dyDescent="0.2">
      <c r="A3070" s="51">
        <v>3069</v>
      </c>
      <c r="B3070" s="54" t="s">
        <v>838</v>
      </c>
      <c r="C3070" s="47" t="s">
        <v>6989</v>
      </c>
      <c r="D3070" s="47" t="s">
        <v>6990</v>
      </c>
      <c r="E3070" s="47" t="s">
        <v>13018</v>
      </c>
      <c r="F3070" s="55" t="b">
        <v>1</v>
      </c>
      <c r="G3070" s="54" t="b">
        <v>1</v>
      </c>
      <c r="H3070" s="54" t="b">
        <v>1</v>
      </c>
      <c r="I3070" s="54" t="b">
        <v>1</v>
      </c>
      <c r="J3070" s="65" t="b">
        <v>0</v>
      </c>
      <c r="K3070" s="63" t="s">
        <v>838</v>
      </c>
      <c r="L3070" s="63" t="s">
        <v>6989</v>
      </c>
      <c r="M3070" s="63" t="s">
        <v>6990</v>
      </c>
      <c r="N3070" s="63" t="s">
        <v>6863</v>
      </c>
    </row>
    <row r="3071" spans="1:14" x14ac:dyDescent="0.2">
      <c r="A3071" s="51">
        <v>3070</v>
      </c>
      <c r="B3071" s="54" t="s">
        <v>838</v>
      </c>
      <c r="C3071" s="47" t="s">
        <v>6993</v>
      </c>
      <c r="D3071" s="47" t="s">
        <v>6994</v>
      </c>
      <c r="E3071" s="47" t="s">
        <v>13018</v>
      </c>
      <c r="F3071" s="55" t="b">
        <v>1</v>
      </c>
      <c r="G3071" s="54" t="b">
        <v>1</v>
      </c>
      <c r="H3071" s="54" t="b">
        <v>1</v>
      </c>
      <c r="I3071" s="54" t="b">
        <v>1</v>
      </c>
      <c r="J3071" s="65" t="b">
        <v>0</v>
      </c>
      <c r="K3071" s="63" t="s">
        <v>838</v>
      </c>
      <c r="L3071" s="63" t="s">
        <v>6993</v>
      </c>
      <c r="M3071" s="63" t="s">
        <v>6994</v>
      </c>
      <c r="N3071" s="63" t="s">
        <v>6863</v>
      </c>
    </row>
    <row r="3072" spans="1:14" x14ac:dyDescent="0.2">
      <c r="A3072" s="51">
        <v>3071</v>
      </c>
      <c r="B3072" s="54" t="s">
        <v>838</v>
      </c>
      <c r="C3072" s="47" t="s">
        <v>6995</v>
      </c>
      <c r="D3072" s="47" t="s">
        <v>13027</v>
      </c>
      <c r="E3072" s="47" t="s">
        <v>13018</v>
      </c>
      <c r="F3072" s="55" t="b">
        <v>1</v>
      </c>
      <c r="G3072" s="54" t="b">
        <v>1</v>
      </c>
      <c r="H3072" s="54" t="b">
        <v>1</v>
      </c>
      <c r="I3072" s="65" t="b">
        <v>0</v>
      </c>
      <c r="J3072" s="65" t="b">
        <v>0</v>
      </c>
      <c r="K3072" s="63" t="s">
        <v>838</v>
      </c>
      <c r="L3072" s="63" t="s">
        <v>6995</v>
      </c>
      <c r="M3072" s="63" t="s">
        <v>6996</v>
      </c>
      <c r="N3072" s="63" t="s">
        <v>6863</v>
      </c>
    </row>
    <row r="3073" spans="1:14" x14ac:dyDescent="0.2">
      <c r="A3073" s="51">
        <v>3072</v>
      </c>
      <c r="G3073" s="65" t="b">
        <v>0</v>
      </c>
      <c r="H3073" s="65" t="b">
        <v>0</v>
      </c>
      <c r="I3073" s="65" t="b">
        <v>0</v>
      </c>
      <c r="J3073" s="65" t="b">
        <v>0</v>
      </c>
      <c r="K3073" s="63" t="s">
        <v>838</v>
      </c>
      <c r="L3073" s="63" t="s">
        <v>6995</v>
      </c>
      <c r="M3073" s="63" t="s">
        <v>6997</v>
      </c>
      <c r="N3073" s="63" t="s">
        <v>6863</v>
      </c>
    </row>
    <row r="3074" spans="1:14" x14ac:dyDescent="0.2">
      <c r="A3074" s="51">
        <v>3073</v>
      </c>
      <c r="B3074" s="54" t="s">
        <v>838</v>
      </c>
      <c r="C3074" s="47" t="s">
        <v>6998</v>
      </c>
      <c r="D3074" s="47" t="s">
        <v>13026</v>
      </c>
      <c r="E3074" s="47" t="s">
        <v>13018</v>
      </c>
      <c r="F3074" s="55" t="b">
        <v>1</v>
      </c>
      <c r="G3074" s="54" t="b">
        <v>1</v>
      </c>
      <c r="H3074" s="54" t="b">
        <v>1</v>
      </c>
      <c r="I3074" s="65" t="b">
        <v>0</v>
      </c>
      <c r="J3074" s="65" t="b">
        <v>0</v>
      </c>
      <c r="K3074" s="63" t="s">
        <v>838</v>
      </c>
      <c r="L3074" s="63" t="s">
        <v>6998</v>
      </c>
      <c r="M3074" s="63" t="s">
        <v>6999</v>
      </c>
      <c r="N3074" s="63" t="s">
        <v>6863</v>
      </c>
    </row>
    <row r="3075" spans="1:14" x14ac:dyDescent="0.2">
      <c r="A3075" s="51">
        <v>3074</v>
      </c>
      <c r="B3075" s="54" t="s">
        <v>838</v>
      </c>
      <c r="C3075" s="47" t="s">
        <v>7000</v>
      </c>
      <c r="D3075" s="47" t="s">
        <v>7001</v>
      </c>
      <c r="E3075" s="47" t="s">
        <v>13018</v>
      </c>
      <c r="F3075" s="55" t="b">
        <v>1</v>
      </c>
      <c r="G3075" s="54" t="b">
        <v>1</v>
      </c>
      <c r="H3075" s="54" t="b">
        <v>1</v>
      </c>
      <c r="I3075" s="54" t="b">
        <v>1</v>
      </c>
      <c r="J3075" s="65" t="b">
        <v>0</v>
      </c>
      <c r="K3075" s="63" t="s">
        <v>838</v>
      </c>
      <c r="L3075" s="63" t="s">
        <v>7000</v>
      </c>
      <c r="M3075" s="63" t="s">
        <v>7001</v>
      </c>
      <c r="N3075" s="63" t="s">
        <v>6863</v>
      </c>
    </row>
    <row r="3076" spans="1:14" x14ac:dyDescent="0.2">
      <c r="A3076" s="51">
        <v>3075</v>
      </c>
      <c r="B3076" s="54" t="s">
        <v>838</v>
      </c>
      <c r="C3076" s="47" t="s">
        <v>7002</v>
      </c>
      <c r="D3076" s="47" t="s">
        <v>7003</v>
      </c>
      <c r="E3076" s="47" t="s">
        <v>13018</v>
      </c>
      <c r="F3076" s="55" t="b">
        <v>1</v>
      </c>
      <c r="G3076" s="54" t="b">
        <v>1</v>
      </c>
      <c r="H3076" s="54" t="b">
        <v>1</v>
      </c>
      <c r="I3076" s="54" t="b">
        <v>1</v>
      </c>
      <c r="J3076" s="65" t="b">
        <v>0</v>
      </c>
      <c r="K3076" s="63" t="s">
        <v>838</v>
      </c>
      <c r="L3076" s="63" t="s">
        <v>7002</v>
      </c>
      <c r="M3076" s="63" t="s">
        <v>7003</v>
      </c>
      <c r="N3076" s="63" t="s">
        <v>6863</v>
      </c>
    </row>
    <row r="3077" spans="1:14" x14ac:dyDescent="0.2">
      <c r="A3077" s="51">
        <v>3076</v>
      </c>
      <c r="B3077" s="54" t="s">
        <v>840</v>
      </c>
      <c r="C3077" s="47" t="s">
        <v>7006</v>
      </c>
      <c r="D3077" s="47" t="s">
        <v>7007</v>
      </c>
      <c r="E3077" s="47" t="s">
        <v>2164</v>
      </c>
      <c r="F3077" s="55" t="b">
        <v>1</v>
      </c>
      <c r="G3077" s="54" t="b">
        <v>1</v>
      </c>
      <c r="H3077" s="54" t="b">
        <v>1</v>
      </c>
      <c r="I3077" s="54" t="b">
        <v>1</v>
      </c>
      <c r="J3077" s="54" t="b">
        <v>1</v>
      </c>
      <c r="K3077" s="63" t="s">
        <v>840</v>
      </c>
      <c r="L3077" s="63" t="s">
        <v>7006</v>
      </c>
      <c r="M3077" s="63" t="s">
        <v>7007</v>
      </c>
      <c r="N3077" s="63" t="s">
        <v>2164</v>
      </c>
    </row>
    <row r="3078" spans="1:14" x14ac:dyDescent="0.2">
      <c r="A3078" s="51">
        <v>3077</v>
      </c>
      <c r="B3078" s="54" t="s">
        <v>840</v>
      </c>
      <c r="C3078" s="47" t="s">
        <v>7004</v>
      </c>
      <c r="D3078" s="47" t="s">
        <v>7005</v>
      </c>
      <c r="E3078" s="47" t="s">
        <v>2164</v>
      </c>
      <c r="F3078" s="55" t="b">
        <v>1</v>
      </c>
      <c r="G3078" s="54" t="b">
        <v>1</v>
      </c>
      <c r="H3078" s="54" t="b">
        <v>1</v>
      </c>
      <c r="I3078" s="54" t="b">
        <v>1</v>
      </c>
      <c r="J3078" s="54" t="b">
        <v>1</v>
      </c>
      <c r="K3078" s="63" t="s">
        <v>840</v>
      </c>
      <c r="L3078" s="63" t="s">
        <v>7004</v>
      </c>
      <c r="M3078" s="63" t="s">
        <v>7005</v>
      </c>
      <c r="N3078" s="63" t="s">
        <v>2164</v>
      </c>
    </row>
    <row r="3079" spans="1:14" x14ac:dyDescent="0.2">
      <c r="A3079" s="51">
        <v>3078</v>
      </c>
      <c r="B3079" s="54" t="s">
        <v>840</v>
      </c>
      <c r="C3079" s="47" t="s">
        <v>7008</v>
      </c>
      <c r="D3079" s="47" t="s">
        <v>7009</v>
      </c>
      <c r="E3079" s="47" t="s">
        <v>2164</v>
      </c>
      <c r="F3079" s="55" t="b">
        <v>1</v>
      </c>
      <c r="G3079" s="54" t="b">
        <v>1</v>
      </c>
      <c r="H3079" s="54" t="b">
        <v>1</v>
      </c>
      <c r="I3079" s="54" t="b">
        <v>1</v>
      </c>
      <c r="J3079" s="54" t="b">
        <v>1</v>
      </c>
      <c r="K3079" s="63" t="s">
        <v>840</v>
      </c>
      <c r="L3079" s="63" t="s">
        <v>7008</v>
      </c>
      <c r="M3079" s="63" t="s">
        <v>7009</v>
      </c>
      <c r="N3079" s="63" t="s">
        <v>2164</v>
      </c>
    </row>
    <row r="3080" spans="1:14" x14ac:dyDescent="0.2">
      <c r="A3080" s="51">
        <v>3079</v>
      </c>
      <c r="B3080" s="54" t="s">
        <v>840</v>
      </c>
      <c r="C3080" s="47" t="s">
        <v>7010</v>
      </c>
      <c r="D3080" s="47" t="s">
        <v>7011</v>
      </c>
      <c r="E3080" s="47" t="s">
        <v>2164</v>
      </c>
      <c r="F3080" s="55" t="b">
        <v>1</v>
      </c>
      <c r="G3080" s="54" t="b">
        <v>1</v>
      </c>
      <c r="H3080" s="54" t="b">
        <v>1</v>
      </c>
      <c r="I3080" s="54" t="b">
        <v>1</v>
      </c>
      <c r="J3080" s="54" t="b">
        <v>1</v>
      </c>
      <c r="K3080" s="63" t="s">
        <v>840</v>
      </c>
      <c r="L3080" s="63" t="s">
        <v>7010</v>
      </c>
      <c r="M3080" s="63" t="s">
        <v>7011</v>
      </c>
      <c r="N3080" s="63" t="s">
        <v>2164</v>
      </c>
    </row>
    <row r="3081" spans="1:14" x14ac:dyDescent="0.2">
      <c r="A3081" s="51">
        <v>3080</v>
      </c>
      <c r="B3081" s="54" t="s">
        <v>840</v>
      </c>
      <c r="C3081" s="47" t="s">
        <v>7012</v>
      </c>
      <c r="D3081" s="47" t="s">
        <v>7013</v>
      </c>
      <c r="E3081" s="47" t="s">
        <v>2164</v>
      </c>
      <c r="F3081" s="55" t="b">
        <v>1</v>
      </c>
      <c r="G3081" s="54" t="b">
        <v>1</v>
      </c>
      <c r="H3081" s="54" t="b">
        <v>1</v>
      </c>
      <c r="I3081" s="54" t="b">
        <v>1</v>
      </c>
      <c r="J3081" s="54" t="b">
        <v>1</v>
      </c>
      <c r="K3081" s="63" t="s">
        <v>840</v>
      </c>
      <c r="L3081" s="63" t="s">
        <v>7012</v>
      </c>
      <c r="M3081" s="63" t="s">
        <v>7013</v>
      </c>
      <c r="N3081" s="63" t="s">
        <v>2164</v>
      </c>
    </row>
    <row r="3082" spans="1:14" x14ac:dyDescent="0.2">
      <c r="A3082" s="51">
        <v>3081</v>
      </c>
      <c r="B3082" s="54" t="s">
        <v>840</v>
      </c>
      <c r="C3082" s="47" t="s">
        <v>7014</v>
      </c>
      <c r="D3082" s="47" t="s">
        <v>13029</v>
      </c>
      <c r="E3082" s="47" t="s">
        <v>2164</v>
      </c>
      <c r="F3082" s="55" t="b">
        <v>1</v>
      </c>
      <c r="G3082" s="54" t="b">
        <v>1</v>
      </c>
      <c r="H3082" s="54" t="b">
        <v>1</v>
      </c>
      <c r="I3082" s="65" t="b">
        <v>0</v>
      </c>
      <c r="J3082" s="54" t="b">
        <v>1</v>
      </c>
      <c r="K3082" s="63" t="s">
        <v>840</v>
      </c>
      <c r="L3082" s="63" t="s">
        <v>7014</v>
      </c>
      <c r="M3082" s="63" t="s">
        <v>7015</v>
      </c>
      <c r="N3082" s="63" t="s">
        <v>2164</v>
      </c>
    </row>
    <row r="3083" spans="1:14" x14ac:dyDescent="0.2">
      <c r="A3083" s="51">
        <v>3082</v>
      </c>
      <c r="B3083" s="54" t="s">
        <v>840</v>
      </c>
      <c r="C3083" s="47" t="s">
        <v>7016</v>
      </c>
      <c r="D3083" s="47" t="s">
        <v>7017</v>
      </c>
      <c r="E3083" s="47" t="s">
        <v>2164</v>
      </c>
      <c r="F3083" s="55" t="b">
        <v>1</v>
      </c>
      <c r="G3083" s="54" t="b">
        <v>1</v>
      </c>
      <c r="H3083" s="54" t="b">
        <v>1</v>
      </c>
      <c r="I3083" s="54" t="b">
        <v>1</v>
      </c>
      <c r="J3083" s="54" t="b">
        <v>1</v>
      </c>
      <c r="K3083" s="63" t="s">
        <v>840</v>
      </c>
      <c r="L3083" s="63" t="s">
        <v>7016</v>
      </c>
      <c r="M3083" s="63" t="s">
        <v>7017</v>
      </c>
      <c r="N3083" s="63" t="s">
        <v>2164</v>
      </c>
    </row>
    <row r="3084" spans="1:14" x14ac:dyDescent="0.2">
      <c r="A3084" s="51">
        <v>3083</v>
      </c>
      <c r="B3084" s="54" t="s">
        <v>840</v>
      </c>
      <c r="C3084" s="47" t="s">
        <v>7018</v>
      </c>
      <c r="D3084" s="47" t="s">
        <v>7019</v>
      </c>
      <c r="E3084" s="47" t="s">
        <v>2164</v>
      </c>
      <c r="F3084" s="55" t="b">
        <v>1</v>
      </c>
      <c r="G3084" s="54" t="b">
        <v>1</v>
      </c>
      <c r="H3084" s="54" t="b">
        <v>1</v>
      </c>
      <c r="I3084" s="54" t="b">
        <v>1</v>
      </c>
      <c r="J3084" s="54" t="b">
        <v>1</v>
      </c>
      <c r="K3084" s="63" t="s">
        <v>840</v>
      </c>
      <c r="L3084" s="63" t="s">
        <v>7018</v>
      </c>
      <c r="M3084" s="63" t="s">
        <v>7019</v>
      </c>
      <c r="N3084" s="63" t="s">
        <v>2164</v>
      </c>
    </row>
    <row r="3085" spans="1:14" x14ac:dyDescent="0.2">
      <c r="A3085" s="51">
        <v>3084</v>
      </c>
      <c r="B3085" s="54" t="s">
        <v>840</v>
      </c>
      <c r="C3085" s="47" t="s">
        <v>7020</v>
      </c>
      <c r="D3085" s="47" t="s">
        <v>13028</v>
      </c>
      <c r="E3085" s="47" t="s">
        <v>2164</v>
      </c>
      <c r="F3085" s="55" t="b">
        <v>1</v>
      </c>
      <c r="G3085" s="54" t="b">
        <v>1</v>
      </c>
      <c r="H3085" s="54" t="b">
        <v>1</v>
      </c>
      <c r="I3085" s="65" t="b">
        <v>0</v>
      </c>
      <c r="J3085" s="54" t="b">
        <v>1</v>
      </c>
      <c r="K3085" s="63" t="s">
        <v>840</v>
      </c>
      <c r="L3085" s="63" t="s">
        <v>7020</v>
      </c>
      <c r="M3085" s="63" t="s">
        <v>7021</v>
      </c>
      <c r="N3085" s="63" t="s">
        <v>2164</v>
      </c>
    </row>
    <row r="3086" spans="1:14" x14ac:dyDescent="0.2">
      <c r="A3086" s="51">
        <v>3085</v>
      </c>
      <c r="B3086" s="54" t="s">
        <v>840</v>
      </c>
      <c r="C3086" s="47" t="s">
        <v>7022</v>
      </c>
      <c r="D3086" s="47" t="s">
        <v>7023</v>
      </c>
      <c r="E3086" s="47" t="s">
        <v>2164</v>
      </c>
      <c r="F3086" s="55" t="b">
        <v>1</v>
      </c>
      <c r="G3086" s="54" t="b">
        <v>1</v>
      </c>
      <c r="H3086" s="54" t="b">
        <v>1</v>
      </c>
      <c r="I3086" s="54" t="b">
        <v>1</v>
      </c>
      <c r="J3086" s="54" t="b">
        <v>1</v>
      </c>
      <c r="K3086" s="63" t="s">
        <v>840</v>
      </c>
      <c r="L3086" s="63" t="s">
        <v>7022</v>
      </c>
      <c r="M3086" s="63" t="s">
        <v>7023</v>
      </c>
      <c r="N3086" s="63" t="s">
        <v>2164</v>
      </c>
    </row>
    <row r="3087" spans="1:14" x14ac:dyDescent="0.2">
      <c r="A3087" s="51">
        <v>3086</v>
      </c>
      <c r="B3087" s="54" t="s">
        <v>840</v>
      </c>
      <c r="C3087" s="47" t="s">
        <v>7042</v>
      </c>
      <c r="D3087" s="47" t="s">
        <v>13030</v>
      </c>
      <c r="E3087" s="48" t="s">
        <v>7044</v>
      </c>
      <c r="F3087" s="66" t="b">
        <v>0</v>
      </c>
      <c r="G3087" s="54" t="b">
        <v>1</v>
      </c>
      <c r="H3087" s="54" t="b">
        <v>1</v>
      </c>
      <c r="I3087" s="65" t="b">
        <v>0</v>
      </c>
      <c r="J3087" s="54" t="b">
        <v>1</v>
      </c>
      <c r="K3087" s="63" t="s">
        <v>840</v>
      </c>
      <c r="L3087" s="63" t="s">
        <v>7042</v>
      </c>
      <c r="M3087" s="63" t="s">
        <v>7043</v>
      </c>
      <c r="N3087" s="63" t="s">
        <v>7044</v>
      </c>
    </row>
    <row r="3088" spans="1:14" x14ac:dyDescent="0.2">
      <c r="A3088" s="51">
        <v>3087</v>
      </c>
      <c r="B3088" s="54" t="s">
        <v>840</v>
      </c>
      <c r="C3088" s="47" t="s">
        <v>7024</v>
      </c>
      <c r="D3088" s="47" t="s">
        <v>7025</v>
      </c>
      <c r="E3088" s="47" t="s">
        <v>2164</v>
      </c>
      <c r="F3088" s="55" t="b">
        <v>1</v>
      </c>
      <c r="G3088" s="54" t="b">
        <v>1</v>
      </c>
      <c r="H3088" s="54" t="b">
        <v>1</v>
      </c>
      <c r="I3088" s="54" t="b">
        <v>1</v>
      </c>
      <c r="J3088" s="54" t="b">
        <v>1</v>
      </c>
      <c r="K3088" s="63" t="s">
        <v>840</v>
      </c>
      <c r="L3088" s="63" t="s">
        <v>7024</v>
      </c>
      <c r="M3088" s="63" t="s">
        <v>7025</v>
      </c>
      <c r="N3088" s="63" t="s">
        <v>2164</v>
      </c>
    </row>
    <row r="3089" spans="1:14" x14ac:dyDescent="0.2">
      <c r="A3089" s="51">
        <v>3088</v>
      </c>
      <c r="B3089" s="54" t="s">
        <v>840</v>
      </c>
      <c r="C3089" s="47" t="s">
        <v>7026</v>
      </c>
      <c r="D3089" s="47" t="s">
        <v>7027</v>
      </c>
      <c r="E3089" s="47" t="s">
        <v>2164</v>
      </c>
      <c r="F3089" s="55" t="b">
        <v>1</v>
      </c>
      <c r="G3089" s="54" t="b">
        <v>1</v>
      </c>
      <c r="H3089" s="54" t="b">
        <v>1</v>
      </c>
      <c r="I3089" s="54" t="b">
        <v>1</v>
      </c>
      <c r="J3089" s="54" t="b">
        <v>1</v>
      </c>
      <c r="K3089" s="63" t="s">
        <v>840</v>
      </c>
      <c r="L3089" s="63" t="s">
        <v>7026</v>
      </c>
      <c r="M3089" s="63" t="s">
        <v>7027</v>
      </c>
      <c r="N3089" s="63" t="s">
        <v>2164</v>
      </c>
    </row>
    <row r="3090" spans="1:14" x14ac:dyDescent="0.2">
      <c r="A3090" s="51">
        <v>3089</v>
      </c>
      <c r="B3090" s="54" t="s">
        <v>840</v>
      </c>
      <c r="C3090" s="47" t="s">
        <v>7028</v>
      </c>
      <c r="D3090" s="47" t="s">
        <v>7029</v>
      </c>
      <c r="E3090" s="47" t="s">
        <v>2164</v>
      </c>
      <c r="F3090" s="55" t="b">
        <v>1</v>
      </c>
      <c r="G3090" s="54" t="b">
        <v>1</v>
      </c>
      <c r="H3090" s="54" t="b">
        <v>1</v>
      </c>
      <c r="I3090" s="54" t="b">
        <v>1</v>
      </c>
      <c r="J3090" s="54" t="b">
        <v>1</v>
      </c>
      <c r="K3090" s="63" t="s">
        <v>840</v>
      </c>
      <c r="L3090" s="63" t="s">
        <v>7028</v>
      </c>
      <c r="M3090" s="63" t="s">
        <v>7029</v>
      </c>
      <c r="N3090" s="63" t="s">
        <v>2164</v>
      </c>
    </row>
    <row r="3091" spans="1:14" x14ac:dyDescent="0.2">
      <c r="A3091" s="51">
        <v>3090</v>
      </c>
      <c r="B3091" s="54" t="s">
        <v>840</v>
      </c>
      <c r="C3091" s="47" t="s">
        <v>7030</v>
      </c>
      <c r="D3091" s="47" t="s">
        <v>7031</v>
      </c>
      <c r="E3091" s="47" t="s">
        <v>2164</v>
      </c>
      <c r="F3091" s="55" t="b">
        <v>1</v>
      </c>
      <c r="G3091" s="54" t="b">
        <v>1</v>
      </c>
      <c r="H3091" s="54" t="b">
        <v>1</v>
      </c>
      <c r="I3091" s="54" t="b">
        <v>1</v>
      </c>
      <c r="J3091" s="54" t="b">
        <v>1</v>
      </c>
      <c r="K3091" s="63" t="s">
        <v>840</v>
      </c>
      <c r="L3091" s="63" t="s">
        <v>7030</v>
      </c>
      <c r="M3091" s="63" t="s">
        <v>7031</v>
      </c>
      <c r="N3091" s="63" t="s">
        <v>2164</v>
      </c>
    </row>
    <row r="3092" spans="1:14" x14ac:dyDescent="0.2">
      <c r="A3092" s="51">
        <v>3091</v>
      </c>
      <c r="B3092" s="54" t="s">
        <v>840</v>
      </c>
      <c r="C3092" s="47" t="s">
        <v>7032</v>
      </c>
      <c r="D3092" s="47" t="s">
        <v>7033</v>
      </c>
      <c r="E3092" s="47" t="s">
        <v>2164</v>
      </c>
      <c r="F3092" s="55" t="b">
        <v>1</v>
      </c>
      <c r="G3092" s="54" t="b">
        <v>1</v>
      </c>
      <c r="H3092" s="54" t="b">
        <v>1</v>
      </c>
      <c r="I3092" s="54" t="b">
        <v>1</v>
      </c>
      <c r="J3092" s="54" t="b">
        <v>1</v>
      </c>
      <c r="K3092" s="63" t="s">
        <v>840</v>
      </c>
      <c r="L3092" s="63" t="s">
        <v>7032</v>
      </c>
      <c r="M3092" s="63" t="s">
        <v>7033</v>
      </c>
      <c r="N3092" s="63" t="s">
        <v>2164</v>
      </c>
    </row>
    <row r="3093" spans="1:14" x14ac:dyDescent="0.2">
      <c r="A3093" s="51">
        <v>3092</v>
      </c>
      <c r="B3093" s="54" t="s">
        <v>840</v>
      </c>
      <c r="C3093" s="47" t="s">
        <v>7034</v>
      </c>
      <c r="D3093" s="47" t="s">
        <v>7035</v>
      </c>
      <c r="E3093" s="47" t="s">
        <v>2164</v>
      </c>
      <c r="F3093" s="55" t="b">
        <v>1</v>
      </c>
      <c r="G3093" s="54" t="b">
        <v>1</v>
      </c>
      <c r="H3093" s="54" t="b">
        <v>1</v>
      </c>
      <c r="I3093" s="54" t="b">
        <v>1</v>
      </c>
      <c r="J3093" s="54" t="b">
        <v>1</v>
      </c>
      <c r="K3093" s="63" t="s">
        <v>840</v>
      </c>
      <c r="L3093" s="63" t="s">
        <v>7034</v>
      </c>
      <c r="M3093" s="63" t="s">
        <v>7035</v>
      </c>
      <c r="N3093" s="63" t="s">
        <v>2164</v>
      </c>
    </row>
    <row r="3094" spans="1:14" x14ac:dyDescent="0.2">
      <c r="A3094" s="51">
        <v>3093</v>
      </c>
      <c r="B3094" s="54" t="s">
        <v>840</v>
      </c>
      <c r="C3094" s="47" t="s">
        <v>7036</v>
      </c>
      <c r="D3094" s="47" t="s">
        <v>7037</v>
      </c>
      <c r="E3094" s="47" t="s">
        <v>2164</v>
      </c>
      <c r="F3094" s="55" t="b">
        <v>1</v>
      </c>
      <c r="G3094" s="54" t="b">
        <v>1</v>
      </c>
      <c r="H3094" s="54" t="b">
        <v>1</v>
      </c>
      <c r="I3094" s="54" t="b">
        <v>1</v>
      </c>
      <c r="J3094" s="54" t="b">
        <v>1</v>
      </c>
      <c r="K3094" s="63" t="s">
        <v>840</v>
      </c>
      <c r="L3094" s="63" t="s">
        <v>7036</v>
      </c>
      <c r="M3094" s="63" t="s">
        <v>7037</v>
      </c>
      <c r="N3094" s="63" t="s">
        <v>2164</v>
      </c>
    </row>
    <row r="3095" spans="1:14" x14ac:dyDescent="0.2">
      <c r="A3095" s="51">
        <v>3094</v>
      </c>
      <c r="B3095" s="54" t="s">
        <v>840</v>
      </c>
      <c r="C3095" s="47" t="s">
        <v>7038</v>
      </c>
      <c r="D3095" s="47" t="s">
        <v>7039</v>
      </c>
      <c r="E3095" s="47" t="s">
        <v>2164</v>
      </c>
      <c r="F3095" s="55" t="b">
        <v>1</v>
      </c>
      <c r="G3095" s="54" t="b">
        <v>1</v>
      </c>
      <c r="H3095" s="54" t="b">
        <v>1</v>
      </c>
      <c r="I3095" s="54" t="b">
        <v>1</v>
      </c>
      <c r="J3095" s="54" t="b">
        <v>1</v>
      </c>
      <c r="K3095" s="63" t="s">
        <v>840</v>
      </c>
      <c r="L3095" s="63" t="s">
        <v>7038</v>
      </c>
      <c r="M3095" s="63" t="s">
        <v>7039</v>
      </c>
      <c r="N3095" s="63" t="s">
        <v>2164</v>
      </c>
    </row>
    <row r="3096" spans="1:14" x14ac:dyDescent="0.2">
      <c r="A3096" s="51">
        <v>3095</v>
      </c>
      <c r="B3096" s="54" t="s">
        <v>840</v>
      </c>
      <c r="C3096" s="47" t="s">
        <v>7040</v>
      </c>
      <c r="D3096" s="47" t="s">
        <v>7041</v>
      </c>
      <c r="E3096" s="47" t="s">
        <v>2164</v>
      </c>
      <c r="F3096" s="55" t="b">
        <v>1</v>
      </c>
      <c r="G3096" s="54" t="b">
        <v>1</v>
      </c>
      <c r="H3096" s="54" t="b">
        <v>1</v>
      </c>
      <c r="I3096" s="54" t="b">
        <v>1</v>
      </c>
      <c r="J3096" s="54" t="b">
        <v>1</v>
      </c>
      <c r="K3096" s="63" t="s">
        <v>840</v>
      </c>
      <c r="L3096" s="63" t="s">
        <v>7040</v>
      </c>
      <c r="M3096" s="63" t="s">
        <v>7041</v>
      </c>
      <c r="N3096" s="63" t="s">
        <v>2164</v>
      </c>
    </row>
    <row r="3097" spans="1:14" x14ac:dyDescent="0.2">
      <c r="A3097" s="51">
        <v>3096</v>
      </c>
      <c r="B3097" s="54" t="s">
        <v>840</v>
      </c>
      <c r="C3097" s="47" t="s">
        <v>7047</v>
      </c>
      <c r="D3097" s="47" t="s">
        <v>7048</v>
      </c>
      <c r="E3097" s="47" t="s">
        <v>2164</v>
      </c>
      <c r="F3097" s="55" t="b">
        <v>1</v>
      </c>
      <c r="G3097" s="54" t="b">
        <v>1</v>
      </c>
      <c r="H3097" s="54" t="b">
        <v>1</v>
      </c>
      <c r="I3097" s="54" t="b">
        <v>1</v>
      </c>
      <c r="J3097" s="54" t="b">
        <v>1</v>
      </c>
      <c r="K3097" s="63" t="s">
        <v>840</v>
      </c>
      <c r="L3097" s="63" t="s">
        <v>7047</v>
      </c>
      <c r="M3097" s="63" t="s">
        <v>7048</v>
      </c>
      <c r="N3097" s="63" t="s">
        <v>2164</v>
      </c>
    </row>
    <row r="3098" spans="1:14" x14ac:dyDescent="0.2">
      <c r="A3098" s="51">
        <v>3097</v>
      </c>
      <c r="B3098" s="54" t="s">
        <v>840</v>
      </c>
      <c r="C3098" s="47" t="s">
        <v>7045</v>
      </c>
      <c r="D3098" s="47" t="s">
        <v>13031</v>
      </c>
      <c r="E3098" s="48" t="s">
        <v>7044</v>
      </c>
      <c r="F3098" s="66" t="b">
        <v>0</v>
      </c>
      <c r="G3098" s="54" t="b">
        <v>1</v>
      </c>
      <c r="H3098" s="54" t="b">
        <v>1</v>
      </c>
      <c r="I3098" s="65" t="b">
        <v>0</v>
      </c>
      <c r="J3098" s="54" t="b">
        <v>1</v>
      </c>
      <c r="K3098" s="63" t="s">
        <v>840</v>
      </c>
      <c r="L3098" s="63" t="s">
        <v>7045</v>
      </c>
      <c r="M3098" s="63" t="s">
        <v>7046</v>
      </c>
      <c r="N3098" s="63" t="s">
        <v>7044</v>
      </c>
    </row>
    <row r="3099" spans="1:14" x14ac:dyDescent="0.2">
      <c r="A3099" s="51">
        <v>3098</v>
      </c>
      <c r="B3099" s="54" t="s">
        <v>840</v>
      </c>
      <c r="C3099" s="47" t="s">
        <v>7049</v>
      </c>
      <c r="D3099" s="47" t="s">
        <v>7050</v>
      </c>
      <c r="E3099" s="47" t="s">
        <v>2164</v>
      </c>
      <c r="F3099" s="55" t="b">
        <v>1</v>
      </c>
      <c r="G3099" s="54" t="b">
        <v>1</v>
      </c>
      <c r="H3099" s="54" t="b">
        <v>1</v>
      </c>
      <c r="I3099" s="54" t="b">
        <v>1</v>
      </c>
      <c r="J3099" s="54" t="b">
        <v>1</v>
      </c>
      <c r="K3099" s="63" t="s">
        <v>840</v>
      </c>
      <c r="L3099" s="63" t="s">
        <v>7049</v>
      </c>
      <c r="M3099" s="63" t="s">
        <v>7050</v>
      </c>
      <c r="N3099" s="63" t="s">
        <v>2164</v>
      </c>
    </row>
    <row r="3100" spans="1:14" x14ac:dyDescent="0.2">
      <c r="A3100" s="51">
        <v>3099</v>
      </c>
      <c r="B3100" s="54" t="s">
        <v>840</v>
      </c>
      <c r="C3100" s="47" t="s">
        <v>7051</v>
      </c>
      <c r="D3100" s="47" t="s">
        <v>13032</v>
      </c>
      <c r="E3100" s="47" t="s">
        <v>2164</v>
      </c>
      <c r="F3100" s="55" t="b">
        <v>1</v>
      </c>
      <c r="G3100" s="54" t="b">
        <v>1</v>
      </c>
      <c r="H3100" s="54" t="b">
        <v>1</v>
      </c>
      <c r="I3100" s="65" t="b">
        <v>0</v>
      </c>
      <c r="J3100" s="54" t="b">
        <v>1</v>
      </c>
      <c r="K3100" s="63" t="s">
        <v>840</v>
      </c>
      <c r="L3100" s="63" t="s">
        <v>7051</v>
      </c>
      <c r="M3100" s="63" t="s">
        <v>7052</v>
      </c>
      <c r="N3100" s="63" t="s">
        <v>2164</v>
      </c>
    </row>
    <row r="3101" spans="1:14" x14ac:dyDescent="0.2">
      <c r="A3101" s="51">
        <v>3100</v>
      </c>
      <c r="B3101" s="54" t="s">
        <v>840</v>
      </c>
      <c r="C3101" s="47" t="s">
        <v>7053</v>
      </c>
      <c r="D3101" s="47" t="s">
        <v>7054</v>
      </c>
      <c r="E3101" s="47" t="s">
        <v>2164</v>
      </c>
      <c r="F3101" s="55" t="b">
        <v>1</v>
      </c>
      <c r="G3101" s="54" t="b">
        <v>1</v>
      </c>
      <c r="H3101" s="54" t="b">
        <v>1</v>
      </c>
      <c r="I3101" s="54" t="b">
        <v>1</v>
      </c>
      <c r="J3101" s="54" t="b">
        <v>1</v>
      </c>
      <c r="K3101" s="63" t="s">
        <v>840</v>
      </c>
      <c r="L3101" s="63" t="s">
        <v>7053</v>
      </c>
      <c r="M3101" s="63" t="s">
        <v>7054</v>
      </c>
      <c r="N3101" s="63" t="s">
        <v>2164</v>
      </c>
    </row>
    <row r="3102" spans="1:14" x14ac:dyDescent="0.2">
      <c r="A3102" s="51">
        <v>3101</v>
      </c>
      <c r="B3102" s="54" t="s">
        <v>840</v>
      </c>
      <c r="C3102" s="47" t="s">
        <v>7055</v>
      </c>
      <c r="D3102" s="47" t="s">
        <v>7056</v>
      </c>
      <c r="E3102" s="47" t="s">
        <v>2164</v>
      </c>
      <c r="F3102" s="55" t="b">
        <v>1</v>
      </c>
      <c r="G3102" s="54" t="b">
        <v>1</v>
      </c>
      <c r="H3102" s="54" t="b">
        <v>1</v>
      </c>
      <c r="I3102" s="54" t="b">
        <v>1</v>
      </c>
      <c r="J3102" s="54" t="b">
        <v>1</v>
      </c>
      <c r="K3102" s="63" t="s">
        <v>840</v>
      </c>
      <c r="L3102" s="63" t="s">
        <v>7055</v>
      </c>
      <c r="M3102" s="63" t="s">
        <v>7056</v>
      </c>
      <c r="N3102" s="63" t="s">
        <v>2164</v>
      </c>
    </row>
    <row r="3103" spans="1:14" x14ac:dyDescent="0.2">
      <c r="A3103" s="51">
        <v>3102</v>
      </c>
      <c r="B3103" s="54" t="s">
        <v>844</v>
      </c>
      <c r="C3103" s="47" t="s">
        <v>7068</v>
      </c>
      <c r="D3103" s="47" t="s">
        <v>7069</v>
      </c>
      <c r="E3103" s="47" t="s">
        <v>2087</v>
      </c>
      <c r="F3103" s="55" t="b">
        <v>1</v>
      </c>
      <c r="G3103" s="54" t="b">
        <v>1</v>
      </c>
      <c r="H3103" s="54" t="b">
        <v>1</v>
      </c>
      <c r="I3103" s="54" t="b">
        <v>1</v>
      </c>
      <c r="J3103" s="54" t="b">
        <v>1</v>
      </c>
      <c r="K3103" s="63" t="s">
        <v>844</v>
      </c>
      <c r="L3103" s="63" t="s">
        <v>7068</v>
      </c>
      <c r="M3103" s="63" t="s">
        <v>7069</v>
      </c>
      <c r="N3103" s="63" t="s">
        <v>2087</v>
      </c>
    </row>
    <row r="3104" spans="1:14" x14ac:dyDescent="0.2">
      <c r="A3104" s="51">
        <v>3103</v>
      </c>
      <c r="B3104" s="54" t="s">
        <v>844</v>
      </c>
      <c r="C3104" s="47" t="s">
        <v>7070</v>
      </c>
      <c r="D3104" s="47" t="s">
        <v>7071</v>
      </c>
      <c r="E3104" s="47" t="s">
        <v>2087</v>
      </c>
      <c r="F3104" s="55" t="b">
        <v>1</v>
      </c>
      <c r="G3104" s="54" t="b">
        <v>1</v>
      </c>
      <c r="H3104" s="54" t="b">
        <v>1</v>
      </c>
      <c r="I3104" s="54" t="b">
        <v>1</v>
      </c>
      <c r="J3104" s="54" t="b">
        <v>1</v>
      </c>
      <c r="K3104" s="63" t="s">
        <v>844</v>
      </c>
      <c r="L3104" s="63" t="s">
        <v>7070</v>
      </c>
      <c r="M3104" s="63" t="s">
        <v>7071</v>
      </c>
      <c r="N3104" s="63" t="s">
        <v>2087</v>
      </c>
    </row>
    <row r="3105" spans="1:14" x14ac:dyDescent="0.2">
      <c r="A3105" s="51">
        <v>3104</v>
      </c>
      <c r="B3105" s="54" t="s">
        <v>844</v>
      </c>
      <c r="C3105" s="47" t="s">
        <v>7058</v>
      </c>
      <c r="D3105" s="47" t="s">
        <v>7059</v>
      </c>
      <c r="E3105" s="47" t="s">
        <v>2087</v>
      </c>
      <c r="F3105" s="55" t="b">
        <v>1</v>
      </c>
      <c r="G3105" s="54" t="b">
        <v>1</v>
      </c>
      <c r="H3105" s="54" t="b">
        <v>1</v>
      </c>
      <c r="I3105" s="54" t="b">
        <v>1</v>
      </c>
      <c r="J3105" s="54" t="b">
        <v>1</v>
      </c>
      <c r="K3105" s="63" t="s">
        <v>844</v>
      </c>
      <c r="L3105" s="63" t="s">
        <v>7058</v>
      </c>
      <c r="M3105" s="63" t="s">
        <v>7059</v>
      </c>
      <c r="N3105" s="63" t="s">
        <v>2087</v>
      </c>
    </row>
    <row r="3106" spans="1:14" x14ac:dyDescent="0.2">
      <c r="A3106" s="51">
        <v>3105</v>
      </c>
      <c r="B3106" s="54" t="s">
        <v>844</v>
      </c>
      <c r="C3106" s="47" t="s">
        <v>7064</v>
      </c>
      <c r="D3106" s="47" t="s">
        <v>7065</v>
      </c>
      <c r="E3106" s="47" t="s">
        <v>2087</v>
      </c>
      <c r="F3106" s="55" t="b">
        <v>1</v>
      </c>
      <c r="G3106" s="54" t="b">
        <v>1</v>
      </c>
      <c r="H3106" s="54" t="b">
        <v>1</v>
      </c>
      <c r="I3106" s="54" t="b">
        <v>1</v>
      </c>
      <c r="J3106" s="54" t="b">
        <v>1</v>
      </c>
      <c r="K3106" s="63" t="s">
        <v>844</v>
      </c>
      <c r="L3106" s="63" t="s">
        <v>7064</v>
      </c>
      <c r="M3106" s="63" t="s">
        <v>7065</v>
      </c>
      <c r="N3106" s="63" t="s">
        <v>2087</v>
      </c>
    </row>
    <row r="3107" spans="1:14" x14ac:dyDescent="0.2">
      <c r="A3107" s="51">
        <v>3106</v>
      </c>
      <c r="B3107" s="54" t="s">
        <v>844</v>
      </c>
      <c r="C3107" s="47" t="s">
        <v>7060</v>
      </c>
      <c r="D3107" s="47" t="s">
        <v>7061</v>
      </c>
      <c r="E3107" s="47" t="s">
        <v>2087</v>
      </c>
      <c r="F3107" s="55" t="b">
        <v>1</v>
      </c>
      <c r="G3107" s="54" t="b">
        <v>1</v>
      </c>
      <c r="H3107" s="54" t="b">
        <v>1</v>
      </c>
      <c r="I3107" s="54" t="b">
        <v>1</v>
      </c>
      <c r="J3107" s="54" t="b">
        <v>1</v>
      </c>
      <c r="K3107" s="63" t="s">
        <v>844</v>
      </c>
      <c r="L3107" s="63" t="s">
        <v>7060</v>
      </c>
      <c r="M3107" s="63" t="s">
        <v>7061</v>
      </c>
      <c r="N3107" s="63" t="s">
        <v>2087</v>
      </c>
    </row>
    <row r="3108" spans="1:14" x14ac:dyDescent="0.2">
      <c r="A3108" s="51">
        <v>3107</v>
      </c>
      <c r="B3108" s="54" t="s">
        <v>844</v>
      </c>
      <c r="C3108" s="47" t="s">
        <v>7080</v>
      </c>
      <c r="D3108" s="47" t="s">
        <v>7081</v>
      </c>
      <c r="E3108" s="47" t="s">
        <v>2087</v>
      </c>
      <c r="F3108" s="55" t="b">
        <v>1</v>
      </c>
      <c r="G3108" s="54" t="b">
        <v>1</v>
      </c>
      <c r="H3108" s="54" t="b">
        <v>1</v>
      </c>
      <c r="I3108" s="54" t="b">
        <v>1</v>
      </c>
      <c r="J3108" s="54" t="b">
        <v>1</v>
      </c>
      <c r="K3108" s="63" t="s">
        <v>844</v>
      </c>
      <c r="L3108" s="63" t="s">
        <v>7080</v>
      </c>
      <c r="M3108" s="63" t="s">
        <v>7081</v>
      </c>
      <c r="N3108" s="63" t="s">
        <v>2087</v>
      </c>
    </row>
    <row r="3109" spans="1:14" x14ac:dyDescent="0.2">
      <c r="A3109" s="51">
        <v>3108</v>
      </c>
      <c r="B3109" s="54" t="s">
        <v>844</v>
      </c>
      <c r="C3109" s="47" t="s">
        <v>7057</v>
      </c>
      <c r="D3109" s="47" t="s">
        <v>1873</v>
      </c>
      <c r="E3109" s="47" t="s">
        <v>2087</v>
      </c>
      <c r="F3109" s="55" t="b">
        <v>1</v>
      </c>
      <c r="G3109" s="54" t="b">
        <v>1</v>
      </c>
      <c r="H3109" s="54" t="b">
        <v>1</v>
      </c>
      <c r="I3109" s="54" t="b">
        <v>1</v>
      </c>
      <c r="J3109" s="54" t="b">
        <v>1</v>
      </c>
      <c r="K3109" s="63" t="s">
        <v>844</v>
      </c>
      <c r="L3109" s="63" t="s">
        <v>7057</v>
      </c>
      <c r="M3109" s="63" t="s">
        <v>1873</v>
      </c>
      <c r="N3109" s="63" t="s">
        <v>2087</v>
      </c>
    </row>
    <row r="3110" spans="1:14" x14ac:dyDescent="0.2">
      <c r="A3110" s="51">
        <v>3109</v>
      </c>
      <c r="B3110" s="54" t="s">
        <v>844</v>
      </c>
      <c r="C3110" s="47" t="s">
        <v>7062</v>
      </c>
      <c r="D3110" s="47" t="s">
        <v>13033</v>
      </c>
      <c r="E3110" s="47" t="s">
        <v>2087</v>
      </c>
      <c r="F3110" s="55" t="b">
        <v>1</v>
      </c>
      <c r="G3110" s="54" t="b">
        <v>1</v>
      </c>
      <c r="H3110" s="54" t="b">
        <v>1</v>
      </c>
      <c r="I3110" s="65" t="b">
        <v>0</v>
      </c>
      <c r="J3110" s="54" t="b">
        <v>1</v>
      </c>
      <c r="K3110" s="63" t="s">
        <v>844</v>
      </c>
      <c r="L3110" s="63" t="s">
        <v>7062</v>
      </c>
      <c r="M3110" s="63" t="s">
        <v>7063</v>
      </c>
      <c r="N3110" s="63" t="s">
        <v>2087</v>
      </c>
    </row>
    <row r="3111" spans="1:14" x14ac:dyDescent="0.2">
      <c r="A3111" s="51">
        <v>3110</v>
      </c>
      <c r="B3111" s="54" t="s">
        <v>844</v>
      </c>
      <c r="C3111" s="47" t="s">
        <v>7076</v>
      </c>
      <c r="D3111" s="47" t="s">
        <v>7077</v>
      </c>
      <c r="E3111" s="47" t="s">
        <v>2087</v>
      </c>
      <c r="F3111" s="55" t="b">
        <v>1</v>
      </c>
      <c r="G3111" s="54" t="b">
        <v>1</v>
      </c>
      <c r="H3111" s="54" t="b">
        <v>1</v>
      </c>
      <c r="I3111" s="54" t="b">
        <v>1</v>
      </c>
      <c r="J3111" s="54" t="b">
        <v>1</v>
      </c>
      <c r="K3111" s="63" t="s">
        <v>844</v>
      </c>
      <c r="L3111" s="63" t="s">
        <v>7076</v>
      </c>
      <c r="M3111" s="63" t="s">
        <v>7077</v>
      </c>
      <c r="N3111" s="63" t="s">
        <v>2087</v>
      </c>
    </row>
    <row r="3112" spans="1:14" x14ac:dyDescent="0.2">
      <c r="A3112" s="51">
        <v>3111</v>
      </c>
      <c r="B3112" s="54" t="s">
        <v>844</v>
      </c>
      <c r="C3112" s="47" t="s">
        <v>7066</v>
      </c>
      <c r="D3112" s="47" t="s">
        <v>7067</v>
      </c>
      <c r="E3112" s="47" t="s">
        <v>2087</v>
      </c>
      <c r="F3112" s="55" t="b">
        <v>1</v>
      </c>
      <c r="G3112" s="54" t="b">
        <v>1</v>
      </c>
      <c r="H3112" s="54" t="b">
        <v>1</v>
      </c>
      <c r="I3112" s="54" t="b">
        <v>1</v>
      </c>
      <c r="J3112" s="54" t="b">
        <v>1</v>
      </c>
      <c r="K3112" s="63" t="s">
        <v>844</v>
      </c>
      <c r="L3112" s="63" t="s">
        <v>7066</v>
      </c>
      <c r="M3112" s="63" t="s">
        <v>7067</v>
      </c>
      <c r="N3112" s="63" t="s">
        <v>2087</v>
      </c>
    </row>
    <row r="3113" spans="1:14" x14ac:dyDescent="0.2">
      <c r="A3113" s="51">
        <v>3112</v>
      </c>
      <c r="B3113" s="54" t="s">
        <v>844</v>
      </c>
      <c r="C3113" s="47" t="s">
        <v>7078</v>
      </c>
      <c r="D3113" s="47" t="s">
        <v>7079</v>
      </c>
      <c r="E3113" s="47" t="s">
        <v>2087</v>
      </c>
      <c r="F3113" s="55" t="b">
        <v>1</v>
      </c>
      <c r="G3113" s="54" t="b">
        <v>1</v>
      </c>
      <c r="H3113" s="54" t="b">
        <v>1</v>
      </c>
      <c r="I3113" s="54" t="b">
        <v>1</v>
      </c>
      <c r="J3113" s="54" t="b">
        <v>1</v>
      </c>
      <c r="K3113" s="63" t="s">
        <v>844</v>
      </c>
      <c r="L3113" s="63" t="s">
        <v>7078</v>
      </c>
      <c r="M3113" s="63" t="s">
        <v>7079</v>
      </c>
      <c r="N3113" s="63" t="s">
        <v>2087</v>
      </c>
    </row>
    <row r="3114" spans="1:14" x14ac:dyDescent="0.2">
      <c r="A3114" s="51">
        <v>3113</v>
      </c>
      <c r="B3114" s="54" t="s">
        <v>844</v>
      </c>
      <c r="C3114" s="47" t="s">
        <v>7072</v>
      </c>
      <c r="D3114" s="47" t="s">
        <v>7073</v>
      </c>
      <c r="E3114" s="47" t="s">
        <v>2087</v>
      </c>
      <c r="F3114" s="55" t="b">
        <v>1</v>
      </c>
      <c r="G3114" s="54" t="b">
        <v>1</v>
      </c>
      <c r="H3114" s="54" t="b">
        <v>1</v>
      </c>
      <c r="I3114" s="54" t="b">
        <v>1</v>
      </c>
      <c r="J3114" s="54" t="b">
        <v>1</v>
      </c>
      <c r="K3114" s="63" t="s">
        <v>844</v>
      </c>
      <c r="L3114" s="63" t="s">
        <v>7072</v>
      </c>
      <c r="M3114" s="63" t="s">
        <v>7073</v>
      </c>
      <c r="N3114" s="63" t="s">
        <v>2087</v>
      </c>
    </row>
    <row r="3115" spans="1:14" x14ac:dyDescent="0.2">
      <c r="A3115" s="51">
        <v>3114</v>
      </c>
      <c r="B3115" s="54" t="s">
        <v>844</v>
      </c>
      <c r="C3115" s="47" t="s">
        <v>7074</v>
      </c>
      <c r="D3115" s="47" t="s">
        <v>7075</v>
      </c>
      <c r="E3115" s="47" t="s">
        <v>2087</v>
      </c>
      <c r="F3115" s="55" t="b">
        <v>1</v>
      </c>
      <c r="G3115" s="54" t="b">
        <v>1</v>
      </c>
      <c r="H3115" s="54" t="b">
        <v>1</v>
      </c>
      <c r="I3115" s="54" t="b">
        <v>1</v>
      </c>
      <c r="J3115" s="65" t="b">
        <v>0</v>
      </c>
      <c r="K3115" s="63" t="s">
        <v>844</v>
      </c>
      <c r="L3115" s="63" t="s">
        <v>7074</v>
      </c>
      <c r="M3115" s="63" t="s">
        <v>7075</v>
      </c>
      <c r="N3115" s="63" t="s">
        <v>1790</v>
      </c>
    </row>
    <row r="3116" spans="1:14" x14ac:dyDescent="0.2">
      <c r="A3116" s="51">
        <v>3115</v>
      </c>
      <c r="B3116" s="54" t="s">
        <v>846</v>
      </c>
      <c r="C3116" s="47" t="s">
        <v>7082</v>
      </c>
      <c r="D3116" s="47" t="s">
        <v>7083</v>
      </c>
      <c r="E3116" s="47" t="s">
        <v>2021</v>
      </c>
      <c r="F3116" s="55" t="b">
        <v>1</v>
      </c>
      <c r="G3116" s="54" t="b">
        <v>1</v>
      </c>
      <c r="H3116" s="54" t="b">
        <v>1</v>
      </c>
      <c r="I3116" s="54" t="b">
        <v>1</v>
      </c>
      <c r="J3116" s="54" t="b">
        <v>1</v>
      </c>
      <c r="K3116" s="63" t="s">
        <v>846</v>
      </c>
      <c r="L3116" s="63" t="s">
        <v>7082</v>
      </c>
      <c r="M3116" s="63" t="s">
        <v>7083</v>
      </c>
      <c r="N3116" s="63" t="s">
        <v>2021</v>
      </c>
    </row>
    <row r="3117" spans="1:14" x14ac:dyDescent="0.2">
      <c r="A3117" s="51">
        <v>3116</v>
      </c>
      <c r="B3117" s="54" t="s">
        <v>846</v>
      </c>
      <c r="C3117" s="47" t="s">
        <v>7086</v>
      </c>
      <c r="D3117" s="47" t="s">
        <v>7087</v>
      </c>
      <c r="E3117" s="47" t="s">
        <v>1790</v>
      </c>
      <c r="F3117" s="55" t="b">
        <v>1</v>
      </c>
      <c r="G3117" s="54" t="b">
        <v>1</v>
      </c>
      <c r="H3117" s="54" t="b">
        <v>1</v>
      </c>
      <c r="I3117" s="54" t="b">
        <v>1</v>
      </c>
      <c r="J3117" s="54" t="b">
        <v>1</v>
      </c>
      <c r="K3117" s="63" t="s">
        <v>846</v>
      </c>
      <c r="L3117" s="63" t="s">
        <v>7086</v>
      </c>
      <c r="M3117" s="63" t="s">
        <v>7087</v>
      </c>
      <c r="N3117" s="63" t="s">
        <v>1790</v>
      </c>
    </row>
    <row r="3118" spans="1:14" x14ac:dyDescent="0.2">
      <c r="A3118" s="51">
        <v>3117</v>
      </c>
      <c r="B3118" s="54" t="s">
        <v>846</v>
      </c>
      <c r="C3118" s="47" t="s">
        <v>7084</v>
      </c>
      <c r="D3118" s="47" t="s">
        <v>7085</v>
      </c>
      <c r="E3118" s="48" t="s">
        <v>2046</v>
      </c>
      <c r="F3118" s="66" t="b">
        <v>0</v>
      </c>
      <c r="G3118" s="54" t="b">
        <v>1</v>
      </c>
      <c r="H3118" s="54" t="b">
        <v>1</v>
      </c>
      <c r="I3118" s="54" t="b">
        <v>1</v>
      </c>
      <c r="J3118" s="54" t="b">
        <v>1</v>
      </c>
      <c r="K3118" s="63" t="s">
        <v>846</v>
      </c>
      <c r="L3118" s="63" t="s">
        <v>7084</v>
      </c>
      <c r="M3118" s="63" t="s">
        <v>7085</v>
      </c>
      <c r="N3118" s="63" t="s">
        <v>2046</v>
      </c>
    </row>
    <row r="3119" spans="1:14" x14ac:dyDescent="0.2">
      <c r="A3119" s="51">
        <v>3118</v>
      </c>
      <c r="B3119" s="54" t="s">
        <v>846</v>
      </c>
      <c r="C3119" s="47" t="s">
        <v>7088</v>
      </c>
      <c r="D3119" s="47" t="s">
        <v>13034</v>
      </c>
      <c r="E3119" s="47" t="s">
        <v>2021</v>
      </c>
      <c r="F3119" s="55" t="b">
        <v>1</v>
      </c>
      <c r="G3119" s="54" t="b">
        <v>1</v>
      </c>
      <c r="H3119" s="54" t="b">
        <v>1</v>
      </c>
      <c r="I3119" s="65" t="b">
        <v>0</v>
      </c>
      <c r="J3119" s="54" t="b">
        <v>1</v>
      </c>
      <c r="K3119" s="63" t="s">
        <v>846</v>
      </c>
      <c r="L3119" s="63" t="s">
        <v>7088</v>
      </c>
      <c r="M3119" s="63" t="s">
        <v>7089</v>
      </c>
      <c r="N3119" s="63" t="s">
        <v>2021</v>
      </c>
    </row>
    <row r="3120" spans="1:14" x14ac:dyDescent="0.2">
      <c r="A3120" s="51">
        <v>3119</v>
      </c>
      <c r="B3120" s="54" t="s">
        <v>846</v>
      </c>
      <c r="C3120" s="47" t="s">
        <v>7090</v>
      </c>
      <c r="D3120" s="47" t="s">
        <v>7091</v>
      </c>
      <c r="E3120" s="48" t="s">
        <v>2046</v>
      </c>
      <c r="F3120" s="66" t="b">
        <v>0</v>
      </c>
      <c r="G3120" s="54" t="b">
        <v>1</v>
      </c>
      <c r="H3120" s="54" t="b">
        <v>1</v>
      </c>
      <c r="I3120" s="54" t="b">
        <v>1</v>
      </c>
      <c r="J3120" s="54" t="b">
        <v>1</v>
      </c>
      <c r="K3120" s="63" t="s">
        <v>846</v>
      </c>
      <c r="L3120" s="63" t="s">
        <v>7090</v>
      </c>
      <c r="M3120" s="63" t="s">
        <v>7091</v>
      </c>
      <c r="N3120" s="63" t="s">
        <v>2046</v>
      </c>
    </row>
    <row r="3121" spans="1:14" x14ac:dyDescent="0.2">
      <c r="A3121" s="51">
        <v>3120</v>
      </c>
      <c r="B3121" s="54" t="s">
        <v>846</v>
      </c>
      <c r="C3121" s="47" t="s">
        <v>7092</v>
      </c>
      <c r="D3121" s="47" t="s">
        <v>7093</v>
      </c>
      <c r="E3121" s="47" t="s">
        <v>1790</v>
      </c>
      <c r="F3121" s="55" t="b">
        <v>1</v>
      </c>
      <c r="G3121" s="54" t="b">
        <v>1</v>
      </c>
      <c r="H3121" s="54" t="b">
        <v>1</v>
      </c>
      <c r="I3121" s="54" t="b">
        <v>1</v>
      </c>
      <c r="J3121" s="54" t="b">
        <v>1</v>
      </c>
      <c r="K3121" s="63" t="s">
        <v>846</v>
      </c>
      <c r="L3121" s="63" t="s">
        <v>7092</v>
      </c>
      <c r="M3121" s="63" t="s">
        <v>7093</v>
      </c>
      <c r="N3121" s="63" t="s">
        <v>1790</v>
      </c>
    </row>
    <row r="3122" spans="1:14" x14ac:dyDescent="0.2">
      <c r="A3122" s="51">
        <v>3121</v>
      </c>
      <c r="B3122" s="54" t="s">
        <v>846</v>
      </c>
      <c r="C3122" s="47" t="s">
        <v>7094</v>
      </c>
      <c r="D3122" s="47" t="s">
        <v>7095</v>
      </c>
      <c r="E3122" s="47" t="s">
        <v>1790</v>
      </c>
      <c r="F3122" s="55" t="b">
        <v>1</v>
      </c>
      <c r="G3122" s="54" t="b">
        <v>1</v>
      </c>
      <c r="H3122" s="54" t="b">
        <v>1</v>
      </c>
      <c r="I3122" s="54" t="b">
        <v>1</v>
      </c>
      <c r="J3122" s="54" t="b">
        <v>1</v>
      </c>
      <c r="K3122" s="63" t="s">
        <v>846</v>
      </c>
      <c r="L3122" s="63" t="s">
        <v>7094</v>
      </c>
      <c r="M3122" s="63" t="s">
        <v>7095</v>
      </c>
      <c r="N3122" s="63" t="s">
        <v>1790</v>
      </c>
    </row>
    <row r="3123" spans="1:14" x14ac:dyDescent="0.2">
      <c r="A3123" s="51">
        <v>3122</v>
      </c>
      <c r="B3123" s="54" t="s">
        <v>846</v>
      </c>
      <c r="C3123" s="47" t="s">
        <v>7096</v>
      </c>
      <c r="D3123" s="47" t="s">
        <v>7097</v>
      </c>
      <c r="E3123" s="47" t="s">
        <v>1790</v>
      </c>
      <c r="F3123" s="55" t="b">
        <v>1</v>
      </c>
      <c r="G3123" s="54" t="b">
        <v>1</v>
      </c>
      <c r="H3123" s="54" t="b">
        <v>1</v>
      </c>
      <c r="I3123" s="54" t="b">
        <v>1</v>
      </c>
      <c r="J3123" s="54" t="b">
        <v>1</v>
      </c>
      <c r="K3123" s="63" t="s">
        <v>846</v>
      </c>
      <c r="L3123" s="63" t="s">
        <v>7096</v>
      </c>
      <c r="M3123" s="63" t="s">
        <v>7097</v>
      </c>
      <c r="N3123" s="63" t="s">
        <v>1790</v>
      </c>
    </row>
    <row r="3124" spans="1:14" x14ac:dyDescent="0.2">
      <c r="A3124" s="51">
        <v>3123</v>
      </c>
      <c r="B3124" s="54" t="s">
        <v>846</v>
      </c>
      <c r="C3124" s="47" t="s">
        <v>7098</v>
      </c>
      <c r="D3124" s="47" t="s">
        <v>7099</v>
      </c>
      <c r="E3124" s="47" t="s">
        <v>1790</v>
      </c>
      <c r="F3124" s="55" t="b">
        <v>1</v>
      </c>
      <c r="G3124" s="54" t="b">
        <v>1</v>
      </c>
      <c r="H3124" s="54" t="b">
        <v>1</v>
      </c>
      <c r="I3124" s="54" t="b">
        <v>1</v>
      </c>
      <c r="J3124" s="54" t="b">
        <v>1</v>
      </c>
      <c r="K3124" s="63" t="s">
        <v>846</v>
      </c>
      <c r="L3124" s="63" t="s">
        <v>7098</v>
      </c>
      <c r="M3124" s="63" t="s">
        <v>7099</v>
      </c>
      <c r="N3124" s="63" t="s">
        <v>1790</v>
      </c>
    </row>
    <row r="3125" spans="1:14" x14ac:dyDescent="0.2">
      <c r="A3125" s="51">
        <v>3124</v>
      </c>
      <c r="B3125" s="54" t="s">
        <v>846</v>
      </c>
      <c r="C3125" s="47" t="s">
        <v>7102</v>
      </c>
      <c r="D3125" s="47" t="s">
        <v>7103</v>
      </c>
      <c r="E3125" s="47" t="s">
        <v>1790</v>
      </c>
      <c r="F3125" s="55" t="b">
        <v>1</v>
      </c>
      <c r="G3125" s="54" t="b">
        <v>1</v>
      </c>
      <c r="H3125" s="54" t="b">
        <v>1</v>
      </c>
      <c r="I3125" s="54" t="b">
        <v>1</v>
      </c>
      <c r="J3125" s="54" t="b">
        <v>1</v>
      </c>
      <c r="K3125" s="63" t="s">
        <v>846</v>
      </c>
      <c r="L3125" s="63" t="s">
        <v>7102</v>
      </c>
      <c r="M3125" s="63" t="s">
        <v>7103</v>
      </c>
      <c r="N3125" s="63" t="s">
        <v>1790</v>
      </c>
    </row>
    <row r="3126" spans="1:14" x14ac:dyDescent="0.2">
      <c r="A3126" s="51">
        <v>3125</v>
      </c>
      <c r="B3126" s="54" t="s">
        <v>846</v>
      </c>
      <c r="C3126" s="47" t="s">
        <v>7104</v>
      </c>
      <c r="D3126" s="47" t="s">
        <v>7103</v>
      </c>
      <c r="E3126" s="48" t="s">
        <v>2046</v>
      </c>
      <c r="F3126" s="66" t="b">
        <v>0</v>
      </c>
      <c r="G3126" s="54" t="b">
        <v>1</v>
      </c>
      <c r="H3126" s="54" t="b">
        <v>1</v>
      </c>
      <c r="I3126" s="54" t="b">
        <v>1</v>
      </c>
      <c r="J3126" s="54" t="b">
        <v>1</v>
      </c>
      <c r="K3126" s="63" t="s">
        <v>846</v>
      </c>
      <c r="L3126" s="63" t="s">
        <v>7104</v>
      </c>
      <c r="M3126" s="63" t="s">
        <v>7103</v>
      </c>
      <c r="N3126" s="63" t="s">
        <v>2046</v>
      </c>
    </row>
    <row r="3127" spans="1:14" x14ac:dyDescent="0.2">
      <c r="A3127" s="51">
        <v>3126</v>
      </c>
      <c r="B3127" s="54" t="s">
        <v>846</v>
      </c>
      <c r="C3127" s="47" t="s">
        <v>7100</v>
      </c>
      <c r="D3127" s="47" t="s">
        <v>7101</v>
      </c>
      <c r="E3127" s="47" t="s">
        <v>1790</v>
      </c>
      <c r="F3127" s="55" t="b">
        <v>1</v>
      </c>
      <c r="G3127" s="54" t="b">
        <v>1</v>
      </c>
      <c r="H3127" s="54" t="b">
        <v>1</v>
      </c>
      <c r="I3127" s="54" t="b">
        <v>1</v>
      </c>
      <c r="J3127" s="54" t="b">
        <v>1</v>
      </c>
      <c r="K3127" s="63" t="s">
        <v>846</v>
      </c>
      <c r="L3127" s="63" t="s">
        <v>7100</v>
      </c>
      <c r="M3127" s="63" t="s">
        <v>7101</v>
      </c>
      <c r="N3127" s="63" t="s">
        <v>1790</v>
      </c>
    </row>
    <row r="3128" spans="1:14" x14ac:dyDescent="0.2">
      <c r="A3128" s="51">
        <v>3127</v>
      </c>
      <c r="B3128" s="54" t="s">
        <v>846</v>
      </c>
      <c r="C3128" s="47" t="s">
        <v>7105</v>
      </c>
      <c r="D3128" s="47" t="s">
        <v>7106</v>
      </c>
      <c r="E3128" s="48" t="s">
        <v>2046</v>
      </c>
      <c r="F3128" s="66" t="b">
        <v>0</v>
      </c>
      <c r="G3128" s="54" t="b">
        <v>1</v>
      </c>
      <c r="H3128" s="54" t="b">
        <v>1</v>
      </c>
      <c r="I3128" s="54" t="b">
        <v>1</v>
      </c>
      <c r="J3128" s="54" t="b">
        <v>1</v>
      </c>
      <c r="K3128" s="63" t="s">
        <v>846</v>
      </c>
      <c r="L3128" s="63" t="s">
        <v>7105</v>
      </c>
      <c r="M3128" s="63" t="s">
        <v>7106</v>
      </c>
      <c r="N3128" s="63" t="s">
        <v>2046</v>
      </c>
    </row>
    <row r="3129" spans="1:14" x14ac:dyDescent="0.2">
      <c r="A3129" s="51">
        <v>3128</v>
      </c>
      <c r="B3129" s="54" t="s">
        <v>846</v>
      </c>
      <c r="C3129" s="47" t="s">
        <v>7109</v>
      </c>
      <c r="D3129" s="47" t="s">
        <v>13035</v>
      </c>
      <c r="E3129" s="47" t="s">
        <v>2021</v>
      </c>
      <c r="F3129" s="55" t="b">
        <v>1</v>
      </c>
      <c r="G3129" s="54" t="b">
        <v>1</v>
      </c>
      <c r="H3129" s="54" t="b">
        <v>1</v>
      </c>
      <c r="I3129" s="65" t="b">
        <v>0</v>
      </c>
      <c r="J3129" s="54" t="b">
        <v>1</v>
      </c>
      <c r="K3129" s="63" t="s">
        <v>846</v>
      </c>
      <c r="L3129" s="63" t="s">
        <v>7109</v>
      </c>
      <c r="M3129" s="63" t="s">
        <v>7110</v>
      </c>
      <c r="N3129" s="63" t="s">
        <v>2021</v>
      </c>
    </row>
    <row r="3130" spans="1:14" x14ac:dyDescent="0.2">
      <c r="A3130" s="51">
        <v>3129</v>
      </c>
      <c r="B3130" s="54" t="s">
        <v>846</v>
      </c>
      <c r="C3130" s="47" t="s">
        <v>7107</v>
      </c>
      <c r="D3130" s="47" t="s">
        <v>7108</v>
      </c>
      <c r="E3130" s="47" t="s">
        <v>1790</v>
      </c>
      <c r="F3130" s="55" t="b">
        <v>1</v>
      </c>
      <c r="G3130" s="54" t="b">
        <v>1</v>
      </c>
      <c r="H3130" s="54" t="b">
        <v>1</v>
      </c>
      <c r="I3130" s="54" t="b">
        <v>1</v>
      </c>
      <c r="J3130" s="54" t="b">
        <v>1</v>
      </c>
      <c r="K3130" s="63" t="s">
        <v>846</v>
      </c>
      <c r="L3130" s="63" t="s">
        <v>7107</v>
      </c>
      <c r="M3130" s="63" t="s">
        <v>7108</v>
      </c>
      <c r="N3130" s="63" t="s">
        <v>1790</v>
      </c>
    </row>
    <row r="3131" spans="1:14" x14ac:dyDescent="0.2">
      <c r="A3131" s="51">
        <v>3130</v>
      </c>
      <c r="B3131" s="54" t="s">
        <v>846</v>
      </c>
      <c r="C3131" s="47" t="s">
        <v>7111</v>
      </c>
      <c r="D3131" s="47" t="s">
        <v>7112</v>
      </c>
      <c r="E3131" s="47" t="s">
        <v>1790</v>
      </c>
      <c r="F3131" s="55" t="b">
        <v>1</v>
      </c>
      <c r="G3131" s="54" t="b">
        <v>1</v>
      </c>
      <c r="H3131" s="54" t="b">
        <v>1</v>
      </c>
      <c r="I3131" s="54" t="b">
        <v>1</v>
      </c>
      <c r="J3131" s="54" t="b">
        <v>1</v>
      </c>
      <c r="K3131" s="63" t="s">
        <v>846</v>
      </c>
      <c r="L3131" s="63" t="s">
        <v>7111</v>
      </c>
      <c r="M3131" s="63" t="s">
        <v>7112</v>
      </c>
      <c r="N3131" s="63" t="s">
        <v>1790</v>
      </c>
    </row>
    <row r="3132" spans="1:14" x14ac:dyDescent="0.2">
      <c r="A3132" s="51">
        <v>3131</v>
      </c>
      <c r="B3132" s="54" t="s">
        <v>846</v>
      </c>
      <c r="C3132" s="47" t="s">
        <v>7113</v>
      </c>
      <c r="D3132" s="47" t="s">
        <v>7114</v>
      </c>
      <c r="E3132" s="48" t="s">
        <v>2046</v>
      </c>
      <c r="F3132" s="66" t="b">
        <v>0</v>
      </c>
      <c r="G3132" s="54" t="b">
        <v>1</v>
      </c>
      <c r="H3132" s="54" t="b">
        <v>1</v>
      </c>
      <c r="I3132" s="54" t="b">
        <v>1</v>
      </c>
      <c r="J3132" s="54" t="b">
        <v>1</v>
      </c>
      <c r="K3132" s="63" t="s">
        <v>846</v>
      </c>
      <c r="L3132" s="63" t="s">
        <v>7113</v>
      </c>
      <c r="M3132" s="63" t="s">
        <v>7114</v>
      </c>
      <c r="N3132" s="63" t="s">
        <v>2046</v>
      </c>
    </row>
    <row r="3133" spans="1:14" x14ac:dyDescent="0.2">
      <c r="A3133" s="51">
        <v>3132</v>
      </c>
      <c r="B3133" s="54" t="s">
        <v>850</v>
      </c>
      <c r="C3133" s="47" t="s">
        <v>7115</v>
      </c>
      <c r="D3133" s="47" t="s">
        <v>7116</v>
      </c>
      <c r="E3133" s="47" t="s">
        <v>2113</v>
      </c>
      <c r="F3133" s="55" t="b">
        <v>1</v>
      </c>
      <c r="G3133" s="54" t="b">
        <v>1</v>
      </c>
      <c r="H3133" s="54" t="b">
        <v>1</v>
      </c>
      <c r="I3133" s="54" t="b">
        <v>1</v>
      </c>
      <c r="J3133" s="54" t="b">
        <v>1</v>
      </c>
      <c r="K3133" s="63" t="s">
        <v>850</v>
      </c>
      <c r="L3133" s="63" t="s">
        <v>7115</v>
      </c>
      <c r="M3133" s="63" t="s">
        <v>7116</v>
      </c>
      <c r="N3133" s="63" t="s">
        <v>2113</v>
      </c>
    </row>
    <row r="3134" spans="1:14" x14ac:dyDescent="0.2">
      <c r="A3134" s="51">
        <v>3133</v>
      </c>
      <c r="B3134" s="54" t="s">
        <v>850</v>
      </c>
      <c r="C3134" s="47" t="s">
        <v>7117</v>
      </c>
      <c r="D3134" s="47" t="s">
        <v>7118</v>
      </c>
      <c r="E3134" s="47" t="s">
        <v>2113</v>
      </c>
      <c r="F3134" s="55" t="b">
        <v>1</v>
      </c>
      <c r="G3134" s="54" t="b">
        <v>1</v>
      </c>
      <c r="H3134" s="54" t="b">
        <v>1</v>
      </c>
      <c r="I3134" s="54" t="b">
        <v>1</v>
      </c>
      <c r="J3134" s="54" t="b">
        <v>1</v>
      </c>
      <c r="K3134" s="63" t="s">
        <v>850</v>
      </c>
      <c r="L3134" s="63" t="s">
        <v>7117</v>
      </c>
      <c r="M3134" s="63" t="s">
        <v>7118</v>
      </c>
      <c r="N3134" s="63" t="s">
        <v>2113</v>
      </c>
    </row>
    <row r="3135" spans="1:14" x14ac:dyDescent="0.2">
      <c r="A3135" s="51">
        <v>3134</v>
      </c>
      <c r="B3135" s="54" t="s">
        <v>850</v>
      </c>
      <c r="C3135" s="47" t="s">
        <v>7119</v>
      </c>
      <c r="D3135" s="47" t="s">
        <v>7120</v>
      </c>
      <c r="E3135" s="47" t="s">
        <v>2113</v>
      </c>
      <c r="F3135" s="55" t="b">
        <v>1</v>
      </c>
      <c r="G3135" s="54" t="b">
        <v>1</v>
      </c>
      <c r="H3135" s="54" t="b">
        <v>1</v>
      </c>
      <c r="I3135" s="54" t="b">
        <v>1</v>
      </c>
      <c r="J3135" s="54" t="b">
        <v>1</v>
      </c>
      <c r="K3135" s="63" t="s">
        <v>850</v>
      </c>
      <c r="L3135" s="63" t="s">
        <v>7119</v>
      </c>
      <c r="M3135" s="63" t="s">
        <v>7120</v>
      </c>
      <c r="N3135" s="63" t="s">
        <v>2113</v>
      </c>
    </row>
    <row r="3136" spans="1:14" x14ac:dyDescent="0.2">
      <c r="A3136" s="51">
        <v>3135</v>
      </c>
      <c r="B3136" s="54" t="s">
        <v>850</v>
      </c>
      <c r="C3136" s="47" t="s">
        <v>7121</v>
      </c>
      <c r="D3136" s="47" t="s">
        <v>7122</v>
      </c>
      <c r="E3136" s="47" t="s">
        <v>2113</v>
      </c>
      <c r="F3136" s="55" t="b">
        <v>1</v>
      </c>
      <c r="G3136" s="54" t="b">
        <v>1</v>
      </c>
      <c r="H3136" s="54" t="b">
        <v>1</v>
      </c>
      <c r="I3136" s="54" t="b">
        <v>1</v>
      </c>
      <c r="J3136" s="54" t="b">
        <v>1</v>
      </c>
      <c r="K3136" s="63" t="s">
        <v>850</v>
      </c>
      <c r="L3136" s="63" t="s">
        <v>7121</v>
      </c>
      <c r="M3136" s="63" t="s">
        <v>7122</v>
      </c>
      <c r="N3136" s="63" t="s">
        <v>2113</v>
      </c>
    </row>
    <row r="3137" spans="1:14" x14ac:dyDescent="0.2">
      <c r="A3137" s="51">
        <v>3136</v>
      </c>
      <c r="B3137" s="54" t="s">
        <v>850</v>
      </c>
      <c r="C3137" s="47" t="s">
        <v>7125</v>
      </c>
      <c r="D3137" s="47" t="s">
        <v>7126</v>
      </c>
      <c r="E3137" s="47" t="s">
        <v>2113</v>
      </c>
      <c r="F3137" s="55" t="b">
        <v>1</v>
      </c>
      <c r="G3137" s="54" t="b">
        <v>1</v>
      </c>
      <c r="H3137" s="54" t="b">
        <v>1</v>
      </c>
      <c r="I3137" s="54" t="b">
        <v>1</v>
      </c>
      <c r="J3137" s="54" t="b">
        <v>1</v>
      </c>
      <c r="K3137" s="63" t="s">
        <v>850</v>
      </c>
      <c r="L3137" s="63" t="s">
        <v>7125</v>
      </c>
      <c r="M3137" s="63" t="s">
        <v>7126</v>
      </c>
      <c r="N3137" s="63" t="s">
        <v>2113</v>
      </c>
    </row>
    <row r="3138" spans="1:14" x14ac:dyDescent="0.2">
      <c r="A3138" s="51">
        <v>3137</v>
      </c>
      <c r="B3138" s="54" t="s">
        <v>850</v>
      </c>
      <c r="C3138" s="47" t="s">
        <v>7123</v>
      </c>
      <c r="D3138" s="47" t="s">
        <v>7124</v>
      </c>
      <c r="E3138" s="47" t="s">
        <v>2113</v>
      </c>
      <c r="F3138" s="55" t="b">
        <v>1</v>
      </c>
      <c r="G3138" s="54" t="b">
        <v>1</v>
      </c>
      <c r="H3138" s="54" t="b">
        <v>1</v>
      </c>
      <c r="I3138" s="54" t="b">
        <v>1</v>
      </c>
      <c r="J3138" s="54" t="b">
        <v>1</v>
      </c>
      <c r="K3138" s="63" t="s">
        <v>850</v>
      </c>
      <c r="L3138" s="63" t="s">
        <v>7123</v>
      </c>
      <c r="M3138" s="63" t="s">
        <v>7124</v>
      </c>
      <c r="N3138" s="63" t="s">
        <v>2113</v>
      </c>
    </row>
    <row r="3139" spans="1:14" x14ac:dyDescent="0.2">
      <c r="A3139" s="51">
        <v>3138</v>
      </c>
      <c r="B3139" s="54" t="s">
        <v>850</v>
      </c>
      <c r="C3139" s="47" t="s">
        <v>7127</v>
      </c>
      <c r="D3139" s="47" t="s">
        <v>13036</v>
      </c>
      <c r="E3139" s="47" t="s">
        <v>2113</v>
      </c>
      <c r="F3139" s="55" t="b">
        <v>1</v>
      </c>
      <c r="G3139" s="54" t="b">
        <v>1</v>
      </c>
      <c r="H3139" s="54" t="b">
        <v>1</v>
      </c>
      <c r="I3139" s="65" t="b">
        <v>0</v>
      </c>
      <c r="J3139" s="54" t="b">
        <v>1</v>
      </c>
      <c r="K3139" s="63" t="s">
        <v>850</v>
      </c>
      <c r="L3139" s="63" t="s">
        <v>7127</v>
      </c>
      <c r="M3139" s="63" t="s">
        <v>7128</v>
      </c>
      <c r="N3139" s="63" t="s">
        <v>2113</v>
      </c>
    </row>
    <row r="3140" spans="1:14" x14ac:dyDescent="0.2">
      <c r="A3140" s="51">
        <v>3139</v>
      </c>
      <c r="B3140" s="54" t="s">
        <v>850</v>
      </c>
      <c r="C3140" s="47" t="s">
        <v>7129</v>
      </c>
      <c r="D3140" s="47" t="s">
        <v>7130</v>
      </c>
      <c r="E3140" s="47" t="s">
        <v>2113</v>
      </c>
      <c r="F3140" s="55" t="b">
        <v>1</v>
      </c>
      <c r="G3140" s="54" t="b">
        <v>1</v>
      </c>
      <c r="H3140" s="54" t="b">
        <v>1</v>
      </c>
      <c r="I3140" s="54" t="b">
        <v>1</v>
      </c>
      <c r="J3140" s="54" t="b">
        <v>1</v>
      </c>
      <c r="K3140" s="63" t="s">
        <v>850</v>
      </c>
      <c r="L3140" s="63" t="s">
        <v>7129</v>
      </c>
      <c r="M3140" s="63" t="s">
        <v>7130</v>
      </c>
      <c r="N3140" s="63" t="s">
        <v>2113</v>
      </c>
    </row>
    <row r="3141" spans="1:14" x14ac:dyDescent="0.2">
      <c r="A3141" s="51">
        <v>3140</v>
      </c>
      <c r="B3141" s="54" t="s">
        <v>850</v>
      </c>
      <c r="C3141" s="47" t="s">
        <v>7131</v>
      </c>
      <c r="D3141" s="47" t="s">
        <v>2750</v>
      </c>
      <c r="E3141" s="47" t="s">
        <v>2751</v>
      </c>
      <c r="F3141" s="55" t="b">
        <v>1</v>
      </c>
      <c r="G3141" s="54" t="b">
        <v>1</v>
      </c>
      <c r="H3141" s="54" t="b">
        <v>1</v>
      </c>
      <c r="I3141" s="54" t="b">
        <v>1</v>
      </c>
      <c r="J3141" s="54" t="b">
        <v>1</v>
      </c>
      <c r="K3141" s="63" t="s">
        <v>850</v>
      </c>
      <c r="L3141" s="63" t="s">
        <v>7131</v>
      </c>
      <c r="M3141" s="63" t="s">
        <v>2750</v>
      </c>
      <c r="N3141" s="63" t="s">
        <v>2751</v>
      </c>
    </row>
    <row r="3142" spans="1:14" x14ac:dyDescent="0.2">
      <c r="A3142" s="51">
        <v>3141</v>
      </c>
      <c r="B3142" s="54" t="s">
        <v>850</v>
      </c>
      <c r="C3142" s="47" t="s">
        <v>7132</v>
      </c>
      <c r="D3142" s="47" t="s">
        <v>7133</v>
      </c>
      <c r="E3142" s="47" t="s">
        <v>2113</v>
      </c>
      <c r="F3142" s="55" t="b">
        <v>1</v>
      </c>
      <c r="G3142" s="54" t="b">
        <v>1</v>
      </c>
      <c r="H3142" s="54" t="b">
        <v>1</v>
      </c>
      <c r="I3142" s="54" t="b">
        <v>1</v>
      </c>
      <c r="J3142" s="54" t="b">
        <v>1</v>
      </c>
      <c r="K3142" s="63" t="s">
        <v>850</v>
      </c>
      <c r="L3142" s="63" t="s">
        <v>7132</v>
      </c>
      <c r="M3142" s="63" t="s">
        <v>7133</v>
      </c>
      <c r="N3142" s="63" t="s">
        <v>2113</v>
      </c>
    </row>
    <row r="3143" spans="1:14" x14ac:dyDescent="0.2">
      <c r="A3143" s="51">
        <v>3142</v>
      </c>
      <c r="B3143" s="54" t="s">
        <v>850</v>
      </c>
      <c r="C3143" s="47" t="s">
        <v>7136</v>
      </c>
      <c r="D3143" s="47" t="s">
        <v>7137</v>
      </c>
      <c r="E3143" s="47" t="s">
        <v>2113</v>
      </c>
      <c r="F3143" s="55" t="b">
        <v>1</v>
      </c>
      <c r="G3143" s="54" t="b">
        <v>1</v>
      </c>
      <c r="H3143" s="54" t="b">
        <v>1</v>
      </c>
      <c r="I3143" s="54" t="b">
        <v>1</v>
      </c>
      <c r="J3143" s="54" t="b">
        <v>1</v>
      </c>
      <c r="K3143" s="63" t="s">
        <v>850</v>
      </c>
      <c r="L3143" s="63" t="s">
        <v>7136</v>
      </c>
      <c r="M3143" s="63" t="s">
        <v>7137</v>
      </c>
      <c r="N3143" s="63" t="s">
        <v>2113</v>
      </c>
    </row>
    <row r="3144" spans="1:14" x14ac:dyDescent="0.2">
      <c r="A3144" s="51">
        <v>3143</v>
      </c>
      <c r="B3144" s="54" t="s">
        <v>850</v>
      </c>
      <c r="C3144" s="47" t="s">
        <v>7134</v>
      </c>
      <c r="D3144" s="47" t="s">
        <v>7135</v>
      </c>
      <c r="E3144" s="47" t="s">
        <v>2113</v>
      </c>
      <c r="F3144" s="55" t="b">
        <v>1</v>
      </c>
      <c r="G3144" s="54" t="b">
        <v>1</v>
      </c>
      <c r="H3144" s="54" t="b">
        <v>1</v>
      </c>
      <c r="I3144" s="54" t="b">
        <v>1</v>
      </c>
      <c r="J3144" s="54" t="b">
        <v>1</v>
      </c>
      <c r="K3144" s="63" t="s">
        <v>850</v>
      </c>
      <c r="L3144" s="63" t="s">
        <v>7134</v>
      </c>
      <c r="M3144" s="63" t="s">
        <v>7135</v>
      </c>
      <c r="N3144" s="63" t="s">
        <v>2113</v>
      </c>
    </row>
    <row r="3145" spans="1:14" x14ac:dyDescent="0.2">
      <c r="A3145" s="51">
        <v>3144</v>
      </c>
      <c r="B3145" s="54" t="s">
        <v>850</v>
      </c>
      <c r="C3145" s="47" t="s">
        <v>7138</v>
      </c>
      <c r="D3145" s="47" t="s">
        <v>7139</v>
      </c>
      <c r="E3145" s="47" t="s">
        <v>2113</v>
      </c>
      <c r="F3145" s="55" t="b">
        <v>1</v>
      </c>
      <c r="G3145" s="54" t="b">
        <v>1</v>
      </c>
      <c r="H3145" s="54" t="b">
        <v>1</v>
      </c>
      <c r="I3145" s="54" t="b">
        <v>1</v>
      </c>
      <c r="J3145" s="54" t="b">
        <v>1</v>
      </c>
      <c r="K3145" s="63" t="s">
        <v>850</v>
      </c>
      <c r="L3145" s="63" t="s">
        <v>7138</v>
      </c>
      <c r="M3145" s="63" t="s">
        <v>7139</v>
      </c>
      <c r="N3145" s="63" t="s">
        <v>2113</v>
      </c>
    </row>
    <row r="3146" spans="1:14" x14ac:dyDescent="0.2">
      <c r="A3146" s="51">
        <v>3145</v>
      </c>
      <c r="B3146" s="54" t="s">
        <v>850</v>
      </c>
      <c r="C3146" s="47" t="s">
        <v>7140</v>
      </c>
      <c r="D3146" s="47" t="s">
        <v>7141</v>
      </c>
      <c r="E3146" s="47" t="s">
        <v>2113</v>
      </c>
      <c r="F3146" s="55" t="b">
        <v>1</v>
      </c>
      <c r="G3146" s="54" t="b">
        <v>1</v>
      </c>
      <c r="H3146" s="54" t="b">
        <v>1</v>
      </c>
      <c r="I3146" s="54" t="b">
        <v>1</v>
      </c>
      <c r="J3146" s="54" t="b">
        <v>1</v>
      </c>
      <c r="K3146" s="63" t="s">
        <v>850</v>
      </c>
      <c r="L3146" s="63" t="s">
        <v>7140</v>
      </c>
      <c r="M3146" s="63" t="s">
        <v>7141</v>
      </c>
      <c r="N3146" s="63" t="s">
        <v>2113</v>
      </c>
    </row>
    <row r="3147" spans="1:14" x14ac:dyDescent="0.2">
      <c r="A3147" s="51">
        <v>3146</v>
      </c>
      <c r="B3147" s="54" t="s">
        <v>850</v>
      </c>
      <c r="C3147" s="47" t="s">
        <v>7146</v>
      </c>
      <c r="D3147" s="47" t="s">
        <v>7147</v>
      </c>
      <c r="E3147" s="47" t="s">
        <v>2113</v>
      </c>
      <c r="F3147" s="55" t="b">
        <v>1</v>
      </c>
      <c r="G3147" s="54" t="b">
        <v>1</v>
      </c>
      <c r="H3147" s="54" t="b">
        <v>1</v>
      </c>
      <c r="I3147" s="54" t="b">
        <v>1</v>
      </c>
      <c r="J3147" s="54" t="b">
        <v>1</v>
      </c>
      <c r="K3147" s="63" t="s">
        <v>850</v>
      </c>
      <c r="L3147" s="63" t="s">
        <v>7146</v>
      </c>
      <c r="M3147" s="63" t="s">
        <v>7147</v>
      </c>
      <c r="N3147" s="63" t="s">
        <v>2113</v>
      </c>
    </row>
    <row r="3148" spans="1:14" x14ac:dyDescent="0.2">
      <c r="A3148" s="51">
        <v>3147</v>
      </c>
      <c r="B3148" s="54" t="s">
        <v>850</v>
      </c>
      <c r="C3148" s="47" t="s">
        <v>7142</v>
      </c>
      <c r="D3148" s="47" t="s">
        <v>13037</v>
      </c>
      <c r="E3148" s="47" t="s">
        <v>2113</v>
      </c>
      <c r="F3148" s="55" t="b">
        <v>1</v>
      </c>
      <c r="G3148" s="54" t="b">
        <v>1</v>
      </c>
      <c r="H3148" s="54" t="b">
        <v>1</v>
      </c>
      <c r="I3148" s="65" t="b">
        <v>0</v>
      </c>
      <c r="J3148" s="54" t="b">
        <v>1</v>
      </c>
      <c r="K3148" s="63" t="s">
        <v>850</v>
      </c>
      <c r="L3148" s="63" t="s">
        <v>7142</v>
      </c>
      <c r="M3148" s="63" t="s">
        <v>7143</v>
      </c>
      <c r="N3148" s="63" t="s">
        <v>2113</v>
      </c>
    </row>
    <row r="3149" spans="1:14" x14ac:dyDescent="0.2">
      <c r="A3149" s="51">
        <v>3148</v>
      </c>
      <c r="B3149" s="54" t="s">
        <v>850</v>
      </c>
      <c r="C3149" s="47" t="s">
        <v>7144</v>
      </c>
      <c r="D3149" s="47" t="s">
        <v>7145</v>
      </c>
      <c r="E3149" s="47" t="s">
        <v>2113</v>
      </c>
      <c r="F3149" s="55" t="b">
        <v>1</v>
      </c>
      <c r="G3149" s="54" t="b">
        <v>1</v>
      </c>
      <c r="H3149" s="54" t="b">
        <v>1</v>
      </c>
      <c r="I3149" s="54" t="b">
        <v>1</v>
      </c>
      <c r="J3149" s="54" t="b">
        <v>1</v>
      </c>
      <c r="K3149" s="63" t="s">
        <v>850</v>
      </c>
      <c r="L3149" s="63" t="s">
        <v>7144</v>
      </c>
      <c r="M3149" s="63" t="s">
        <v>7145</v>
      </c>
      <c r="N3149" s="63" t="s">
        <v>2113</v>
      </c>
    </row>
    <row r="3150" spans="1:14" x14ac:dyDescent="0.2">
      <c r="A3150" s="51">
        <v>3149</v>
      </c>
      <c r="B3150" s="54" t="s">
        <v>850</v>
      </c>
      <c r="C3150" s="47" t="s">
        <v>7148</v>
      </c>
      <c r="D3150" s="47" t="s">
        <v>7149</v>
      </c>
      <c r="E3150" s="47" t="s">
        <v>2113</v>
      </c>
      <c r="F3150" s="55" t="b">
        <v>1</v>
      </c>
      <c r="G3150" s="54" t="b">
        <v>1</v>
      </c>
      <c r="H3150" s="54" t="b">
        <v>1</v>
      </c>
      <c r="I3150" s="54" t="b">
        <v>1</v>
      </c>
      <c r="J3150" s="54" t="b">
        <v>1</v>
      </c>
      <c r="K3150" s="63" t="s">
        <v>850</v>
      </c>
      <c r="L3150" s="63" t="s">
        <v>7148</v>
      </c>
      <c r="M3150" s="63" t="s">
        <v>7149</v>
      </c>
      <c r="N3150" s="63" t="s">
        <v>2113</v>
      </c>
    </row>
    <row r="3151" spans="1:14" x14ac:dyDescent="0.2">
      <c r="A3151" s="51">
        <v>3150</v>
      </c>
      <c r="B3151" s="54" t="s">
        <v>850</v>
      </c>
      <c r="C3151" s="47" t="s">
        <v>7150</v>
      </c>
      <c r="D3151" s="47" t="s">
        <v>7151</v>
      </c>
      <c r="E3151" s="47" t="s">
        <v>2113</v>
      </c>
      <c r="F3151" s="55" t="b">
        <v>1</v>
      </c>
      <c r="G3151" s="54" t="b">
        <v>1</v>
      </c>
      <c r="H3151" s="54" t="b">
        <v>1</v>
      </c>
      <c r="I3151" s="54" t="b">
        <v>1</v>
      </c>
      <c r="J3151" s="54" t="b">
        <v>1</v>
      </c>
      <c r="K3151" s="63" t="s">
        <v>850</v>
      </c>
      <c r="L3151" s="63" t="s">
        <v>7150</v>
      </c>
      <c r="M3151" s="63" t="s">
        <v>7151</v>
      </c>
      <c r="N3151" s="63" t="s">
        <v>2113</v>
      </c>
    </row>
    <row r="3152" spans="1:14" x14ac:dyDescent="0.2">
      <c r="A3152" s="51">
        <v>3151</v>
      </c>
      <c r="B3152" s="54" t="s">
        <v>850</v>
      </c>
      <c r="C3152" s="47" t="s">
        <v>7152</v>
      </c>
      <c r="D3152" s="47" t="s">
        <v>7153</v>
      </c>
      <c r="E3152" s="47" t="s">
        <v>2113</v>
      </c>
      <c r="F3152" s="55" t="b">
        <v>1</v>
      </c>
      <c r="G3152" s="54" t="b">
        <v>1</v>
      </c>
      <c r="H3152" s="54" t="b">
        <v>1</v>
      </c>
      <c r="I3152" s="54" t="b">
        <v>1</v>
      </c>
      <c r="J3152" s="54" t="b">
        <v>1</v>
      </c>
      <c r="K3152" s="63" t="s">
        <v>850</v>
      </c>
      <c r="L3152" s="63" t="s">
        <v>7152</v>
      </c>
      <c r="M3152" s="63" t="s">
        <v>7153</v>
      </c>
      <c r="N3152" s="63" t="s">
        <v>2113</v>
      </c>
    </row>
    <row r="3153" spans="1:14" x14ac:dyDescent="0.2">
      <c r="A3153" s="51">
        <v>3152</v>
      </c>
      <c r="B3153" s="54" t="s">
        <v>850</v>
      </c>
      <c r="C3153" s="47" t="s">
        <v>7154</v>
      </c>
      <c r="D3153" s="47" t="s">
        <v>7155</v>
      </c>
      <c r="E3153" s="47" t="s">
        <v>2113</v>
      </c>
      <c r="F3153" s="55" t="b">
        <v>1</v>
      </c>
      <c r="G3153" s="54" t="b">
        <v>1</v>
      </c>
      <c r="H3153" s="54" t="b">
        <v>1</v>
      </c>
      <c r="I3153" s="54" t="b">
        <v>1</v>
      </c>
      <c r="J3153" s="54" t="b">
        <v>1</v>
      </c>
      <c r="K3153" s="63" t="s">
        <v>850</v>
      </c>
      <c r="L3153" s="63" t="s">
        <v>7154</v>
      </c>
      <c r="M3153" s="63" t="s">
        <v>7155</v>
      </c>
      <c r="N3153" s="63" t="s">
        <v>2113</v>
      </c>
    </row>
    <row r="3154" spans="1:14" x14ac:dyDescent="0.2">
      <c r="A3154" s="51">
        <v>3153</v>
      </c>
      <c r="B3154" s="54" t="s">
        <v>850</v>
      </c>
      <c r="C3154" s="47" t="s">
        <v>7156</v>
      </c>
      <c r="D3154" s="47" t="s">
        <v>13038</v>
      </c>
      <c r="E3154" s="47" t="s">
        <v>2113</v>
      </c>
      <c r="F3154" s="55" t="b">
        <v>1</v>
      </c>
      <c r="G3154" s="54" t="b">
        <v>1</v>
      </c>
      <c r="H3154" s="54" t="b">
        <v>1</v>
      </c>
      <c r="I3154" s="65" t="b">
        <v>0</v>
      </c>
      <c r="J3154" s="54" t="b">
        <v>1</v>
      </c>
      <c r="K3154" s="63" t="s">
        <v>850</v>
      </c>
      <c r="L3154" s="63" t="s">
        <v>7156</v>
      </c>
      <c r="M3154" s="63" t="s">
        <v>7157</v>
      </c>
      <c r="N3154" s="63" t="s">
        <v>2113</v>
      </c>
    </row>
    <row r="3155" spans="1:14" x14ac:dyDescent="0.2">
      <c r="A3155" s="51">
        <v>3154</v>
      </c>
      <c r="B3155" s="54" t="s">
        <v>850</v>
      </c>
      <c r="C3155" s="47" t="s">
        <v>7158</v>
      </c>
      <c r="D3155" s="47" t="s">
        <v>7159</v>
      </c>
      <c r="E3155" s="47" t="s">
        <v>2113</v>
      </c>
      <c r="F3155" s="55" t="b">
        <v>1</v>
      </c>
      <c r="G3155" s="54" t="b">
        <v>1</v>
      </c>
      <c r="H3155" s="54" t="b">
        <v>1</v>
      </c>
      <c r="I3155" s="54" t="b">
        <v>1</v>
      </c>
      <c r="J3155" s="54" t="b">
        <v>1</v>
      </c>
      <c r="K3155" s="63" t="s">
        <v>850</v>
      </c>
      <c r="L3155" s="63" t="s">
        <v>7158</v>
      </c>
      <c r="M3155" s="63" t="s">
        <v>7159</v>
      </c>
      <c r="N3155" s="63" t="s">
        <v>2113</v>
      </c>
    </row>
    <row r="3156" spans="1:14" x14ac:dyDescent="0.2">
      <c r="A3156" s="51">
        <v>3155</v>
      </c>
      <c r="B3156" s="54" t="s">
        <v>850</v>
      </c>
      <c r="C3156" s="47" t="s">
        <v>7162</v>
      </c>
      <c r="D3156" s="47" t="s">
        <v>7163</v>
      </c>
      <c r="E3156" s="47" t="s">
        <v>2113</v>
      </c>
      <c r="F3156" s="55" t="b">
        <v>1</v>
      </c>
      <c r="G3156" s="54" t="b">
        <v>1</v>
      </c>
      <c r="H3156" s="54" t="b">
        <v>1</v>
      </c>
      <c r="I3156" s="54" t="b">
        <v>1</v>
      </c>
      <c r="J3156" s="54" t="b">
        <v>1</v>
      </c>
      <c r="K3156" s="63" t="s">
        <v>850</v>
      </c>
      <c r="L3156" s="63" t="s">
        <v>7162</v>
      </c>
      <c r="M3156" s="63" t="s">
        <v>7163</v>
      </c>
      <c r="N3156" s="63" t="s">
        <v>2113</v>
      </c>
    </row>
    <row r="3157" spans="1:14" x14ac:dyDescent="0.2">
      <c r="A3157" s="51">
        <v>3156</v>
      </c>
      <c r="B3157" s="54" t="s">
        <v>850</v>
      </c>
      <c r="C3157" s="47" t="s">
        <v>7160</v>
      </c>
      <c r="D3157" s="47" t="s">
        <v>7161</v>
      </c>
      <c r="E3157" s="47" t="s">
        <v>2113</v>
      </c>
      <c r="F3157" s="55" t="b">
        <v>1</v>
      </c>
      <c r="G3157" s="54" t="b">
        <v>1</v>
      </c>
      <c r="H3157" s="54" t="b">
        <v>1</v>
      </c>
      <c r="I3157" s="54" t="b">
        <v>1</v>
      </c>
      <c r="J3157" s="54" t="b">
        <v>1</v>
      </c>
      <c r="K3157" s="63" t="s">
        <v>850</v>
      </c>
      <c r="L3157" s="63" t="s">
        <v>7160</v>
      </c>
      <c r="M3157" s="63" t="s">
        <v>7161</v>
      </c>
      <c r="N3157" s="63" t="s">
        <v>2113</v>
      </c>
    </row>
    <row r="3158" spans="1:14" x14ac:dyDescent="0.2">
      <c r="A3158" s="51">
        <v>3157</v>
      </c>
      <c r="B3158" s="54" t="s">
        <v>850</v>
      </c>
      <c r="C3158" s="47" t="s">
        <v>7164</v>
      </c>
      <c r="D3158" s="47" t="s">
        <v>7165</v>
      </c>
      <c r="E3158" s="47" t="s">
        <v>2113</v>
      </c>
      <c r="F3158" s="55" t="b">
        <v>1</v>
      </c>
      <c r="G3158" s="54" t="b">
        <v>1</v>
      </c>
      <c r="H3158" s="54" t="b">
        <v>1</v>
      </c>
      <c r="I3158" s="54" t="b">
        <v>1</v>
      </c>
      <c r="J3158" s="54" t="b">
        <v>1</v>
      </c>
      <c r="K3158" s="63" t="s">
        <v>850</v>
      </c>
      <c r="L3158" s="63" t="s">
        <v>7164</v>
      </c>
      <c r="M3158" s="63" t="s">
        <v>7165</v>
      </c>
      <c r="N3158" s="63" t="s">
        <v>2113</v>
      </c>
    </row>
    <row r="3159" spans="1:14" x14ac:dyDescent="0.2">
      <c r="A3159" s="51">
        <v>3158</v>
      </c>
      <c r="B3159" s="54" t="s">
        <v>850</v>
      </c>
      <c r="C3159" s="47" t="s">
        <v>7166</v>
      </c>
      <c r="D3159" s="47" t="s">
        <v>7167</v>
      </c>
      <c r="E3159" s="47" t="s">
        <v>2113</v>
      </c>
      <c r="F3159" s="55" t="b">
        <v>1</v>
      </c>
      <c r="G3159" s="54" t="b">
        <v>1</v>
      </c>
      <c r="H3159" s="54" t="b">
        <v>1</v>
      </c>
      <c r="I3159" s="54" t="b">
        <v>1</v>
      </c>
      <c r="J3159" s="54" t="b">
        <v>1</v>
      </c>
      <c r="K3159" s="63" t="s">
        <v>850</v>
      </c>
      <c r="L3159" s="63" t="s">
        <v>7166</v>
      </c>
      <c r="M3159" s="63" t="s">
        <v>7167</v>
      </c>
      <c r="N3159" s="63" t="s">
        <v>2113</v>
      </c>
    </row>
    <row r="3160" spans="1:14" x14ac:dyDescent="0.2">
      <c r="A3160" s="51">
        <v>3159</v>
      </c>
      <c r="B3160" s="54" t="s">
        <v>850</v>
      </c>
      <c r="C3160" s="47" t="s">
        <v>7168</v>
      </c>
      <c r="D3160" s="47" t="s">
        <v>7169</v>
      </c>
      <c r="E3160" s="47" t="s">
        <v>2113</v>
      </c>
      <c r="F3160" s="55" t="b">
        <v>1</v>
      </c>
      <c r="G3160" s="54" t="b">
        <v>1</v>
      </c>
      <c r="H3160" s="54" t="b">
        <v>1</v>
      </c>
      <c r="I3160" s="54" t="b">
        <v>1</v>
      </c>
      <c r="J3160" s="54" t="b">
        <v>1</v>
      </c>
      <c r="K3160" s="63" t="s">
        <v>850</v>
      </c>
      <c r="L3160" s="63" t="s">
        <v>7168</v>
      </c>
      <c r="M3160" s="63" t="s">
        <v>7169</v>
      </c>
      <c r="N3160" s="63" t="s">
        <v>2113</v>
      </c>
    </row>
    <row r="3161" spans="1:14" x14ac:dyDescent="0.2">
      <c r="A3161" s="51">
        <v>3160</v>
      </c>
      <c r="B3161" s="54" t="s">
        <v>850</v>
      </c>
      <c r="C3161" s="47" t="s">
        <v>7170</v>
      </c>
      <c r="D3161" s="47" t="s">
        <v>7171</v>
      </c>
      <c r="E3161" s="47" t="s">
        <v>2113</v>
      </c>
      <c r="F3161" s="55" t="b">
        <v>1</v>
      </c>
      <c r="G3161" s="54" t="b">
        <v>1</v>
      </c>
      <c r="H3161" s="54" t="b">
        <v>1</v>
      </c>
      <c r="I3161" s="54" t="b">
        <v>1</v>
      </c>
      <c r="J3161" s="54" t="b">
        <v>1</v>
      </c>
      <c r="K3161" s="63" t="s">
        <v>850</v>
      </c>
      <c r="L3161" s="63" t="s">
        <v>7170</v>
      </c>
      <c r="M3161" s="63" t="s">
        <v>7171</v>
      </c>
      <c r="N3161" s="63" t="s">
        <v>2113</v>
      </c>
    </row>
    <row r="3162" spans="1:14" x14ac:dyDescent="0.2">
      <c r="A3162" s="51">
        <v>3161</v>
      </c>
      <c r="B3162" s="54" t="s">
        <v>850</v>
      </c>
      <c r="C3162" s="47" t="s">
        <v>7172</v>
      </c>
      <c r="D3162" s="47" t="s">
        <v>7173</v>
      </c>
      <c r="E3162" s="47" t="s">
        <v>2113</v>
      </c>
      <c r="F3162" s="55" t="b">
        <v>1</v>
      </c>
      <c r="G3162" s="54" t="b">
        <v>1</v>
      </c>
      <c r="H3162" s="54" t="b">
        <v>1</v>
      </c>
      <c r="I3162" s="54" t="b">
        <v>1</v>
      </c>
      <c r="J3162" s="54" t="b">
        <v>1</v>
      </c>
      <c r="K3162" s="63" t="s">
        <v>850</v>
      </c>
      <c r="L3162" s="63" t="s">
        <v>7172</v>
      </c>
      <c r="M3162" s="63" t="s">
        <v>7173</v>
      </c>
      <c r="N3162" s="63" t="s">
        <v>2113</v>
      </c>
    </row>
    <row r="3163" spans="1:14" x14ac:dyDescent="0.2">
      <c r="A3163" s="51">
        <v>3162</v>
      </c>
      <c r="B3163" s="54" t="s">
        <v>850</v>
      </c>
      <c r="C3163" s="47" t="s">
        <v>7174</v>
      </c>
      <c r="D3163" s="47" t="s">
        <v>7175</v>
      </c>
      <c r="E3163" s="47" t="s">
        <v>2113</v>
      </c>
      <c r="F3163" s="55" t="b">
        <v>1</v>
      </c>
      <c r="G3163" s="54" t="b">
        <v>1</v>
      </c>
      <c r="H3163" s="54" t="b">
        <v>1</v>
      </c>
      <c r="I3163" s="54" t="b">
        <v>1</v>
      </c>
      <c r="J3163" s="54" t="b">
        <v>1</v>
      </c>
      <c r="K3163" s="63" t="s">
        <v>850</v>
      </c>
      <c r="L3163" s="63" t="s">
        <v>7174</v>
      </c>
      <c r="M3163" s="63" t="s">
        <v>7175</v>
      </c>
      <c r="N3163" s="63" t="s">
        <v>2113</v>
      </c>
    </row>
    <row r="3164" spans="1:14" x14ac:dyDescent="0.2">
      <c r="A3164" s="51">
        <v>3163</v>
      </c>
      <c r="B3164" s="54" t="s">
        <v>850</v>
      </c>
      <c r="C3164" s="47" t="s">
        <v>7176</v>
      </c>
      <c r="D3164" s="47" t="s">
        <v>7177</v>
      </c>
      <c r="E3164" s="47" t="s">
        <v>2113</v>
      </c>
      <c r="F3164" s="55" t="b">
        <v>1</v>
      </c>
      <c r="G3164" s="54" t="b">
        <v>1</v>
      </c>
      <c r="H3164" s="54" t="b">
        <v>1</v>
      </c>
      <c r="I3164" s="54" t="b">
        <v>1</v>
      </c>
      <c r="J3164" s="54" t="b">
        <v>1</v>
      </c>
      <c r="K3164" s="63" t="s">
        <v>850</v>
      </c>
      <c r="L3164" s="63" t="s">
        <v>7176</v>
      </c>
      <c r="M3164" s="63" t="s">
        <v>7177</v>
      </c>
      <c r="N3164" s="63" t="s">
        <v>2113</v>
      </c>
    </row>
    <row r="3165" spans="1:14" x14ac:dyDescent="0.2">
      <c r="A3165" s="51">
        <v>3164</v>
      </c>
      <c r="B3165" s="54" t="s">
        <v>852</v>
      </c>
      <c r="C3165" s="47" t="s">
        <v>7180</v>
      </c>
      <c r="D3165" s="47" t="s">
        <v>7181</v>
      </c>
      <c r="E3165" s="47" t="s">
        <v>2113</v>
      </c>
      <c r="F3165" s="55" t="b">
        <v>1</v>
      </c>
      <c r="G3165" s="54" t="b">
        <v>1</v>
      </c>
      <c r="H3165" s="54" t="b">
        <v>1</v>
      </c>
      <c r="I3165" s="54" t="b">
        <v>1</v>
      </c>
      <c r="J3165" s="54" t="b">
        <v>1</v>
      </c>
      <c r="K3165" s="63" t="s">
        <v>852</v>
      </c>
      <c r="L3165" s="63" t="s">
        <v>7180</v>
      </c>
      <c r="M3165" s="63" t="s">
        <v>7181</v>
      </c>
      <c r="N3165" s="63" t="s">
        <v>2113</v>
      </c>
    </row>
    <row r="3166" spans="1:14" x14ac:dyDescent="0.2">
      <c r="A3166" s="51">
        <v>3165</v>
      </c>
      <c r="B3166" s="54" t="s">
        <v>852</v>
      </c>
      <c r="C3166" s="47" t="s">
        <v>7182</v>
      </c>
      <c r="D3166" s="47" t="s">
        <v>7183</v>
      </c>
      <c r="E3166" s="47" t="s">
        <v>2113</v>
      </c>
      <c r="F3166" s="55" t="b">
        <v>1</v>
      </c>
      <c r="G3166" s="54" t="b">
        <v>1</v>
      </c>
      <c r="H3166" s="54" t="b">
        <v>1</v>
      </c>
      <c r="I3166" s="54" t="b">
        <v>1</v>
      </c>
      <c r="J3166" s="54" t="b">
        <v>1</v>
      </c>
      <c r="K3166" s="63" t="s">
        <v>852</v>
      </c>
      <c r="L3166" s="63" t="s">
        <v>7182</v>
      </c>
      <c r="M3166" s="63" t="s">
        <v>7183</v>
      </c>
      <c r="N3166" s="63" t="s">
        <v>2113</v>
      </c>
    </row>
    <row r="3167" spans="1:14" x14ac:dyDescent="0.2">
      <c r="A3167" s="51">
        <v>3166</v>
      </c>
      <c r="B3167" s="54" t="s">
        <v>852</v>
      </c>
      <c r="C3167" s="47" t="s">
        <v>7178</v>
      </c>
      <c r="D3167" s="47" t="s">
        <v>7179</v>
      </c>
      <c r="E3167" s="47" t="s">
        <v>2113</v>
      </c>
      <c r="F3167" s="55" t="b">
        <v>1</v>
      </c>
      <c r="G3167" s="54" t="b">
        <v>1</v>
      </c>
      <c r="H3167" s="54" t="b">
        <v>1</v>
      </c>
      <c r="I3167" s="54" t="b">
        <v>1</v>
      </c>
      <c r="J3167" s="54" t="b">
        <v>1</v>
      </c>
      <c r="K3167" s="63" t="s">
        <v>852</v>
      </c>
      <c r="L3167" s="63" t="s">
        <v>7178</v>
      </c>
      <c r="M3167" s="63" t="s">
        <v>7179</v>
      </c>
      <c r="N3167" s="63" t="s">
        <v>2113</v>
      </c>
    </row>
    <row r="3168" spans="1:14" x14ac:dyDescent="0.2">
      <c r="A3168" s="51">
        <v>3167</v>
      </c>
      <c r="B3168" s="54" t="s">
        <v>852</v>
      </c>
      <c r="C3168" s="47" t="s">
        <v>7184</v>
      </c>
      <c r="D3168" s="47" t="s">
        <v>7185</v>
      </c>
      <c r="E3168" s="47" t="s">
        <v>2113</v>
      </c>
      <c r="F3168" s="55" t="b">
        <v>1</v>
      </c>
      <c r="G3168" s="54" t="b">
        <v>1</v>
      </c>
      <c r="H3168" s="54" t="b">
        <v>1</v>
      </c>
      <c r="I3168" s="54" t="b">
        <v>1</v>
      </c>
      <c r="J3168" s="54" t="b">
        <v>1</v>
      </c>
      <c r="K3168" s="63" t="s">
        <v>852</v>
      </c>
      <c r="L3168" s="63" t="s">
        <v>7184</v>
      </c>
      <c r="M3168" s="63" t="s">
        <v>7185</v>
      </c>
      <c r="N3168" s="63" t="s">
        <v>2113</v>
      </c>
    </row>
    <row r="3169" spans="1:14" x14ac:dyDescent="0.2">
      <c r="A3169" s="51">
        <v>3168</v>
      </c>
      <c r="B3169" s="56" t="s">
        <v>857</v>
      </c>
      <c r="C3169" s="47" t="s">
        <v>7186</v>
      </c>
      <c r="D3169" s="47" t="s">
        <v>7187</v>
      </c>
      <c r="E3169" s="47" t="s">
        <v>1790</v>
      </c>
      <c r="F3169" s="55" t="b">
        <v>1</v>
      </c>
      <c r="G3169" s="65" t="b">
        <v>0</v>
      </c>
      <c r="H3169" s="54" t="b">
        <v>1</v>
      </c>
      <c r="I3169" s="54" t="b">
        <v>1</v>
      </c>
      <c r="J3169" s="54" t="b">
        <v>1</v>
      </c>
      <c r="K3169" s="63" t="s">
        <v>1114</v>
      </c>
      <c r="L3169" s="63" t="s">
        <v>7186</v>
      </c>
      <c r="M3169" s="63" t="s">
        <v>7187</v>
      </c>
      <c r="N3169" s="63" t="s">
        <v>1790</v>
      </c>
    </row>
    <row r="3170" spans="1:14" x14ac:dyDescent="0.2">
      <c r="A3170" s="51">
        <v>3169</v>
      </c>
      <c r="B3170" s="56" t="s">
        <v>857</v>
      </c>
      <c r="C3170" s="47" t="s">
        <v>7192</v>
      </c>
      <c r="D3170" s="47" t="s">
        <v>7193</v>
      </c>
      <c r="E3170" s="47" t="s">
        <v>2164</v>
      </c>
      <c r="F3170" s="55" t="b">
        <v>1</v>
      </c>
      <c r="G3170" s="65" t="b">
        <v>0</v>
      </c>
      <c r="H3170" s="54" t="b">
        <v>1</v>
      </c>
      <c r="I3170" s="54" t="b">
        <v>1</v>
      </c>
      <c r="J3170" s="65" t="b">
        <v>0</v>
      </c>
      <c r="K3170" s="63" t="s">
        <v>1114</v>
      </c>
      <c r="L3170" s="63" t="s">
        <v>7192</v>
      </c>
      <c r="M3170" s="63" t="s">
        <v>7193</v>
      </c>
      <c r="N3170" s="63" t="s">
        <v>2046</v>
      </c>
    </row>
    <row r="3171" spans="1:14" x14ac:dyDescent="0.2">
      <c r="A3171" s="51">
        <v>3170</v>
      </c>
      <c r="B3171" s="56" t="s">
        <v>857</v>
      </c>
      <c r="C3171" s="47" t="s">
        <v>7254</v>
      </c>
      <c r="D3171" s="47" t="s">
        <v>13039</v>
      </c>
      <c r="E3171" s="47" t="s">
        <v>2164</v>
      </c>
      <c r="F3171" s="55" t="b">
        <v>1</v>
      </c>
      <c r="G3171" s="65" t="b">
        <v>0</v>
      </c>
      <c r="H3171" s="54" t="b">
        <v>1</v>
      </c>
      <c r="I3171" s="65" t="b">
        <v>0</v>
      </c>
      <c r="J3171" s="65" t="b">
        <v>0</v>
      </c>
      <c r="K3171" s="63" t="s">
        <v>1114</v>
      </c>
      <c r="L3171" s="63" t="s">
        <v>7254</v>
      </c>
      <c r="M3171" s="63" t="s">
        <v>7255</v>
      </c>
      <c r="N3171" s="63" t="s">
        <v>2046</v>
      </c>
    </row>
    <row r="3172" spans="1:14" x14ac:dyDescent="0.2">
      <c r="A3172" s="51">
        <v>3171</v>
      </c>
      <c r="B3172" s="56" t="s">
        <v>857</v>
      </c>
      <c r="C3172" s="47" t="s">
        <v>7190</v>
      </c>
      <c r="D3172" s="47" t="s">
        <v>7191</v>
      </c>
      <c r="E3172" s="47" t="s">
        <v>1790</v>
      </c>
      <c r="F3172" s="55" t="b">
        <v>1</v>
      </c>
      <c r="G3172" s="65" t="b">
        <v>0</v>
      </c>
      <c r="H3172" s="54" t="b">
        <v>1</v>
      </c>
      <c r="I3172" s="54" t="b">
        <v>1</v>
      </c>
      <c r="J3172" s="54" t="b">
        <v>1</v>
      </c>
      <c r="K3172" s="63" t="s">
        <v>1114</v>
      </c>
      <c r="L3172" s="63" t="s">
        <v>7190</v>
      </c>
      <c r="M3172" s="63" t="s">
        <v>7191</v>
      </c>
      <c r="N3172" s="63" t="s">
        <v>1790</v>
      </c>
    </row>
    <row r="3173" spans="1:14" x14ac:dyDescent="0.2">
      <c r="A3173" s="51">
        <v>3172</v>
      </c>
      <c r="B3173" s="56" t="s">
        <v>857</v>
      </c>
      <c r="C3173" s="47" t="s">
        <v>7188</v>
      </c>
      <c r="D3173" s="47" t="s">
        <v>7189</v>
      </c>
      <c r="E3173" s="47" t="s">
        <v>1790</v>
      </c>
      <c r="F3173" s="55" t="b">
        <v>1</v>
      </c>
      <c r="G3173" s="65" t="b">
        <v>0</v>
      </c>
      <c r="H3173" s="54" t="b">
        <v>1</v>
      </c>
      <c r="I3173" s="54" t="b">
        <v>1</v>
      </c>
      <c r="J3173" s="54" t="b">
        <v>1</v>
      </c>
      <c r="K3173" s="63" t="s">
        <v>1114</v>
      </c>
      <c r="L3173" s="63" t="s">
        <v>7188</v>
      </c>
      <c r="M3173" s="63" t="s">
        <v>7189</v>
      </c>
      <c r="N3173" s="63" t="s">
        <v>1790</v>
      </c>
    </row>
    <row r="3174" spans="1:14" x14ac:dyDescent="0.2">
      <c r="A3174" s="51">
        <v>3173</v>
      </c>
      <c r="B3174" s="56" t="s">
        <v>857</v>
      </c>
      <c r="C3174" s="47" t="s">
        <v>7194</v>
      </c>
      <c r="D3174" s="47" t="s">
        <v>7195</v>
      </c>
      <c r="E3174" s="47" t="s">
        <v>1790</v>
      </c>
      <c r="F3174" s="55" t="b">
        <v>1</v>
      </c>
      <c r="G3174" s="65" t="b">
        <v>0</v>
      </c>
      <c r="H3174" s="54" t="b">
        <v>1</v>
      </c>
      <c r="I3174" s="54" t="b">
        <v>1</v>
      </c>
      <c r="J3174" s="54" t="b">
        <v>1</v>
      </c>
      <c r="K3174" s="63" t="s">
        <v>1114</v>
      </c>
      <c r="L3174" s="63" t="s">
        <v>7194</v>
      </c>
      <c r="M3174" s="63" t="s">
        <v>7195</v>
      </c>
      <c r="N3174" s="63" t="s">
        <v>1790</v>
      </c>
    </row>
    <row r="3175" spans="1:14" x14ac:dyDescent="0.2">
      <c r="A3175" s="51">
        <v>3174</v>
      </c>
      <c r="B3175" s="56" t="s">
        <v>857</v>
      </c>
      <c r="C3175" s="47" t="s">
        <v>7204</v>
      </c>
      <c r="D3175" s="47" t="s">
        <v>7205</v>
      </c>
      <c r="E3175" s="47" t="s">
        <v>1790</v>
      </c>
      <c r="F3175" s="55" t="b">
        <v>1</v>
      </c>
      <c r="G3175" s="65" t="b">
        <v>0</v>
      </c>
      <c r="H3175" s="54" t="b">
        <v>1</v>
      </c>
      <c r="I3175" s="54" t="b">
        <v>1</v>
      </c>
      <c r="J3175" s="54" t="b">
        <v>1</v>
      </c>
      <c r="K3175" s="63" t="s">
        <v>1114</v>
      </c>
      <c r="L3175" s="63" t="s">
        <v>7204</v>
      </c>
      <c r="M3175" s="63" t="s">
        <v>7205</v>
      </c>
      <c r="N3175" s="63" t="s">
        <v>1790</v>
      </c>
    </row>
    <row r="3176" spans="1:14" x14ac:dyDescent="0.2">
      <c r="A3176" s="51">
        <v>3175</v>
      </c>
      <c r="B3176" s="56" t="s">
        <v>857</v>
      </c>
      <c r="C3176" s="47" t="s">
        <v>7200</v>
      </c>
      <c r="D3176" s="47" t="s">
        <v>7201</v>
      </c>
      <c r="E3176" s="47" t="s">
        <v>1790</v>
      </c>
      <c r="F3176" s="55" t="b">
        <v>1</v>
      </c>
      <c r="G3176" s="65" t="b">
        <v>0</v>
      </c>
      <c r="H3176" s="54" t="b">
        <v>1</v>
      </c>
      <c r="I3176" s="54" t="b">
        <v>1</v>
      </c>
      <c r="J3176" s="54" t="b">
        <v>1</v>
      </c>
      <c r="K3176" s="63" t="s">
        <v>1114</v>
      </c>
      <c r="L3176" s="63" t="s">
        <v>7200</v>
      </c>
      <c r="M3176" s="63" t="s">
        <v>7201</v>
      </c>
      <c r="N3176" s="63" t="s">
        <v>1790</v>
      </c>
    </row>
    <row r="3177" spans="1:14" x14ac:dyDescent="0.2">
      <c r="A3177" s="51">
        <v>3176</v>
      </c>
      <c r="B3177" s="56" t="s">
        <v>857</v>
      </c>
      <c r="C3177" s="47" t="s">
        <v>7202</v>
      </c>
      <c r="D3177" s="47" t="s">
        <v>7203</v>
      </c>
      <c r="E3177" s="47" t="s">
        <v>1790</v>
      </c>
      <c r="F3177" s="55" t="b">
        <v>1</v>
      </c>
      <c r="G3177" s="65" t="b">
        <v>0</v>
      </c>
      <c r="H3177" s="54" t="b">
        <v>1</v>
      </c>
      <c r="I3177" s="54" t="b">
        <v>1</v>
      </c>
      <c r="J3177" s="54" t="b">
        <v>1</v>
      </c>
      <c r="K3177" s="63" t="s">
        <v>1114</v>
      </c>
      <c r="L3177" s="63" t="s">
        <v>7202</v>
      </c>
      <c r="M3177" s="63" t="s">
        <v>7203</v>
      </c>
      <c r="N3177" s="63" t="s">
        <v>1790</v>
      </c>
    </row>
    <row r="3178" spans="1:14" x14ac:dyDescent="0.2">
      <c r="A3178" s="51">
        <v>3177</v>
      </c>
      <c r="B3178" s="56" t="s">
        <v>857</v>
      </c>
      <c r="C3178" s="47" t="s">
        <v>7206</v>
      </c>
      <c r="D3178" s="47" t="s">
        <v>7207</v>
      </c>
      <c r="E3178" s="47" t="s">
        <v>1790</v>
      </c>
      <c r="F3178" s="55" t="b">
        <v>1</v>
      </c>
      <c r="G3178" s="65" t="b">
        <v>0</v>
      </c>
      <c r="H3178" s="54" t="b">
        <v>1</v>
      </c>
      <c r="I3178" s="54" t="b">
        <v>1</v>
      </c>
      <c r="J3178" s="54" t="b">
        <v>1</v>
      </c>
      <c r="K3178" s="63" t="s">
        <v>1114</v>
      </c>
      <c r="L3178" s="63" t="s">
        <v>7206</v>
      </c>
      <c r="M3178" s="63" t="s">
        <v>7207</v>
      </c>
      <c r="N3178" s="63" t="s">
        <v>1790</v>
      </c>
    </row>
    <row r="3179" spans="1:14" x14ac:dyDescent="0.2">
      <c r="A3179" s="51">
        <v>3178</v>
      </c>
      <c r="B3179" s="56" t="s">
        <v>857</v>
      </c>
      <c r="C3179" s="47" t="s">
        <v>7196</v>
      </c>
      <c r="D3179" s="47" t="s">
        <v>7197</v>
      </c>
      <c r="E3179" s="47" t="s">
        <v>1790</v>
      </c>
      <c r="F3179" s="55" t="b">
        <v>1</v>
      </c>
      <c r="G3179" s="65" t="b">
        <v>0</v>
      </c>
      <c r="H3179" s="54" t="b">
        <v>1</v>
      </c>
      <c r="I3179" s="54" t="b">
        <v>1</v>
      </c>
      <c r="J3179" s="54" t="b">
        <v>1</v>
      </c>
      <c r="K3179" s="63" t="s">
        <v>1114</v>
      </c>
      <c r="L3179" s="63" t="s">
        <v>7196</v>
      </c>
      <c r="M3179" s="63" t="s">
        <v>7197</v>
      </c>
      <c r="N3179" s="63" t="s">
        <v>1790</v>
      </c>
    </row>
    <row r="3180" spans="1:14" x14ac:dyDescent="0.2">
      <c r="A3180" s="51">
        <v>3179</v>
      </c>
      <c r="B3180" s="56" t="s">
        <v>857</v>
      </c>
      <c r="C3180" s="47" t="s">
        <v>7198</v>
      </c>
      <c r="D3180" s="47" t="s">
        <v>7199</v>
      </c>
      <c r="E3180" s="47" t="s">
        <v>2164</v>
      </c>
      <c r="F3180" s="55" t="b">
        <v>1</v>
      </c>
      <c r="G3180" s="65" t="b">
        <v>0</v>
      </c>
      <c r="H3180" s="54" t="b">
        <v>1</v>
      </c>
      <c r="I3180" s="54" t="b">
        <v>1</v>
      </c>
      <c r="J3180" s="65" t="b">
        <v>0</v>
      </c>
      <c r="K3180" s="63" t="s">
        <v>1114</v>
      </c>
      <c r="L3180" s="63" t="s">
        <v>7198</v>
      </c>
      <c r="M3180" s="63" t="s">
        <v>7199</v>
      </c>
      <c r="N3180" s="63" t="s">
        <v>2046</v>
      </c>
    </row>
    <row r="3181" spans="1:14" x14ac:dyDescent="0.2">
      <c r="A3181" s="51">
        <v>3180</v>
      </c>
      <c r="B3181" s="56" t="s">
        <v>857</v>
      </c>
      <c r="C3181" s="47" t="s">
        <v>7208</v>
      </c>
      <c r="D3181" s="47" t="s">
        <v>7209</v>
      </c>
      <c r="E3181" s="47" t="s">
        <v>1790</v>
      </c>
      <c r="F3181" s="55" t="b">
        <v>1</v>
      </c>
      <c r="G3181" s="65" t="b">
        <v>0</v>
      </c>
      <c r="H3181" s="54" t="b">
        <v>1</v>
      </c>
      <c r="I3181" s="54" t="b">
        <v>1</v>
      </c>
      <c r="J3181" s="54" t="b">
        <v>1</v>
      </c>
      <c r="K3181" s="63" t="s">
        <v>1114</v>
      </c>
      <c r="L3181" s="63" t="s">
        <v>7208</v>
      </c>
      <c r="M3181" s="63" t="s">
        <v>7209</v>
      </c>
      <c r="N3181" s="63" t="s">
        <v>1790</v>
      </c>
    </row>
    <row r="3182" spans="1:14" x14ac:dyDescent="0.2">
      <c r="A3182" s="51">
        <v>3181</v>
      </c>
      <c r="B3182" s="56" t="s">
        <v>857</v>
      </c>
      <c r="C3182" s="47" t="s">
        <v>7210</v>
      </c>
      <c r="D3182" s="47" t="s">
        <v>7211</v>
      </c>
      <c r="E3182" s="47" t="s">
        <v>1790</v>
      </c>
      <c r="F3182" s="55" t="b">
        <v>1</v>
      </c>
      <c r="G3182" s="65" t="b">
        <v>0</v>
      </c>
      <c r="H3182" s="54" t="b">
        <v>1</v>
      </c>
      <c r="I3182" s="54" t="b">
        <v>1</v>
      </c>
      <c r="J3182" s="54" t="b">
        <v>1</v>
      </c>
      <c r="K3182" s="63" t="s">
        <v>1114</v>
      </c>
      <c r="L3182" s="63" t="s">
        <v>7210</v>
      </c>
      <c r="M3182" s="63" t="s">
        <v>7211</v>
      </c>
      <c r="N3182" s="63" t="s">
        <v>1790</v>
      </c>
    </row>
    <row r="3183" spans="1:14" x14ac:dyDescent="0.2">
      <c r="A3183" s="51">
        <v>3182</v>
      </c>
      <c r="B3183" s="56" t="s">
        <v>857</v>
      </c>
      <c r="C3183" s="47" t="s">
        <v>7212</v>
      </c>
      <c r="D3183" s="47" t="s">
        <v>7213</v>
      </c>
      <c r="E3183" s="47" t="s">
        <v>1790</v>
      </c>
      <c r="F3183" s="55" t="b">
        <v>1</v>
      </c>
      <c r="G3183" s="65" t="b">
        <v>0</v>
      </c>
      <c r="H3183" s="54" t="b">
        <v>1</v>
      </c>
      <c r="I3183" s="54" t="b">
        <v>1</v>
      </c>
      <c r="J3183" s="54" t="b">
        <v>1</v>
      </c>
      <c r="K3183" s="63" t="s">
        <v>1114</v>
      </c>
      <c r="L3183" s="63" t="s">
        <v>7212</v>
      </c>
      <c r="M3183" s="63" t="s">
        <v>7213</v>
      </c>
      <c r="N3183" s="63" t="s">
        <v>1790</v>
      </c>
    </row>
    <row r="3184" spans="1:14" x14ac:dyDescent="0.2">
      <c r="A3184" s="51">
        <v>3183</v>
      </c>
      <c r="B3184" s="56" t="s">
        <v>857</v>
      </c>
      <c r="C3184" s="47" t="s">
        <v>7214</v>
      </c>
      <c r="D3184" s="47" t="s">
        <v>7215</v>
      </c>
      <c r="E3184" s="47" t="s">
        <v>1790</v>
      </c>
      <c r="F3184" s="55" t="b">
        <v>1</v>
      </c>
      <c r="G3184" s="65" t="b">
        <v>0</v>
      </c>
      <c r="H3184" s="54" t="b">
        <v>1</v>
      </c>
      <c r="I3184" s="54" t="b">
        <v>1</v>
      </c>
      <c r="J3184" s="54" t="b">
        <v>1</v>
      </c>
      <c r="K3184" s="63" t="s">
        <v>1114</v>
      </c>
      <c r="L3184" s="63" t="s">
        <v>7214</v>
      </c>
      <c r="M3184" s="63" t="s">
        <v>7215</v>
      </c>
      <c r="N3184" s="63" t="s">
        <v>1790</v>
      </c>
    </row>
    <row r="3185" spans="1:14" x14ac:dyDescent="0.2">
      <c r="A3185" s="51">
        <v>3184</v>
      </c>
      <c r="B3185" s="56" t="s">
        <v>857</v>
      </c>
      <c r="C3185" s="47" t="s">
        <v>7218</v>
      </c>
      <c r="D3185" s="47" t="s">
        <v>7219</v>
      </c>
      <c r="E3185" s="47" t="s">
        <v>1790</v>
      </c>
      <c r="F3185" s="55" t="b">
        <v>1</v>
      </c>
      <c r="G3185" s="65" t="b">
        <v>0</v>
      </c>
      <c r="H3185" s="54" t="b">
        <v>1</v>
      </c>
      <c r="I3185" s="54" t="b">
        <v>1</v>
      </c>
      <c r="J3185" s="54" t="b">
        <v>1</v>
      </c>
      <c r="K3185" s="63" t="s">
        <v>1114</v>
      </c>
      <c r="L3185" s="63" t="s">
        <v>7218</v>
      </c>
      <c r="M3185" s="63" t="s">
        <v>7219</v>
      </c>
      <c r="N3185" s="63" t="s">
        <v>1790</v>
      </c>
    </row>
    <row r="3186" spans="1:14" x14ac:dyDescent="0.2">
      <c r="A3186" s="51">
        <v>3185</v>
      </c>
      <c r="B3186" s="56" t="s">
        <v>857</v>
      </c>
      <c r="C3186" s="47" t="s">
        <v>7216</v>
      </c>
      <c r="D3186" s="47" t="s">
        <v>7217</v>
      </c>
      <c r="E3186" s="47" t="s">
        <v>1790</v>
      </c>
      <c r="F3186" s="55" t="b">
        <v>1</v>
      </c>
      <c r="G3186" s="65" t="b">
        <v>0</v>
      </c>
      <c r="H3186" s="54" t="b">
        <v>1</v>
      </c>
      <c r="I3186" s="54" t="b">
        <v>1</v>
      </c>
      <c r="J3186" s="54" t="b">
        <v>1</v>
      </c>
      <c r="K3186" s="63" t="s">
        <v>1114</v>
      </c>
      <c r="L3186" s="63" t="s">
        <v>7216</v>
      </c>
      <c r="M3186" s="63" t="s">
        <v>7217</v>
      </c>
      <c r="N3186" s="63" t="s">
        <v>1790</v>
      </c>
    </row>
    <row r="3187" spans="1:14" x14ac:dyDescent="0.2">
      <c r="A3187" s="51">
        <v>3186</v>
      </c>
      <c r="B3187" s="56" t="s">
        <v>857</v>
      </c>
      <c r="C3187" s="47" t="s">
        <v>7222</v>
      </c>
      <c r="D3187" s="47" t="s">
        <v>13040</v>
      </c>
      <c r="E3187" s="47" t="s">
        <v>7224</v>
      </c>
      <c r="F3187" s="55" t="b">
        <v>1</v>
      </c>
      <c r="G3187" s="65" t="b">
        <v>0</v>
      </c>
      <c r="H3187" s="54" t="b">
        <v>1</v>
      </c>
      <c r="I3187" s="65" t="b">
        <v>0</v>
      </c>
      <c r="J3187" s="54" t="b">
        <v>1</v>
      </c>
      <c r="K3187" s="63" t="s">
        <v>1114</v>
      </c>
      <c r="L3187" s="63" t="s">
        <v>7222</v>
      </c>
      <c r="M3187" s="63" t="s">
        <v>7223</v>
      </c>
      <c r="N3187" s="63" t="s">
        <v>7224</v>
      </c>
    </row>
    <row r="3188" spans="1:14" x14ac:dyDescent="0.2">
      <c r="A3188" s="51">
        <v>3187</v>
      </c>
      <c r="B3188" s="56" t="s">
        <v>857</v>
      </c>
      <c r="C3188" s="47" t="s">
        <v>7220</v>
      </c>
      <c r="D3188" s="47" t="s">
        <v>7221</v>
      </c>
      <c r="E3188" s="47" t="s">
        <v>1790</v>
      </c>
      <c r="F3188" s="55" t="b">
        <v>1</v>
      </c>
      <c r="G3188" s="65" t="b">
        <v>0</v>
      </c>
      <c r="H3188" s="54" t="b">
        <v>1</v>
      </c>
      <c r="I3188" s="54" t="b">
        <v>1</v>
      </c>
      <c r="J3188" s="54" t="b">
        <v>1</v>
      </c>
      <c r="K3188" s="63" t="s">
        <v>1114</v>
      </c>
      <c r="L3188" s="63" t="s">
        <v>7220</v>
      </c>
      <c r="M3188" s="63" t="s">
        <v>7221</v>
      </c>
      <c r="N3188" s="63" t="s">
        <v>1790</v>
      </c>
    </row>
    <row r="3189" spans="1:14" x14ac:dyDescent="0.2">
      <c r="A3189" s="51">
        <v>3188</v>
      </c>
      <c r="B3189" s="56" t="s">
        <v>857</v>
      </c>
      <c r="C3189" s="47" t="s">
        <v>7225</v>
      </c>
      <c r="D3189" s="47" t="s">
        <v>7226</v>
      </c>
      <c r="E3189" s="47" t="s">
        <v>1790</v>
      </c>
      <c r="F3189" s="55" t="b">
        <v>1</v>
      </c>
      <c r="G3189" s="65" t="b">
        <v>0</v>
      </c>
      <c r="H3189" s="54" t="b">
        <v>1</v>
      </c>
      <c r="I3189" s="54" t="b">
        <v>1</v>
      </c>
      <c r="J3189" s="54" t="b">
        <v>1</v>
      </c>
      <c r="K3189" s="63" t="s">
        <v>1114</v>
      </c>
      <c r="L3189" s="63" t="s">
        <v>7225</v>
      </c>
      <c r="M3189" s="63" t="s">
        <v>7226</v>
      </c>
      <c r="N3189" s="63" t="s">
        <v>1790</v>
      </c>
    </row>
    <row r="3190" spans="1:14" x14ac:dyDescent="0.2">
      <c r="A3190" s="51">
        <v>3189</v>
      </c>
      <c r="B3190" s="56" t="s">
        <v>857</v>
      </c>
      <c r="C3190" s="47" t="s">
        <v>7227</v>
      </c>
      <c r="D3190" s="47" t="s">
        <v>7228</v>
      </c>
      <c r="E3190" s="47" t="s">
        <v>1790</v>
      </c>
      <c r="F3190" s="55" t="b">
        <v>1</v>
      </c>
      <c r="G3190" s="65" t="b">
        <v>0</v>
      </c>
      <c r="H3190" s="54" t="b">
        <v>1</v>
      </c>
      <c r="I3190" s="54" t="b">
        <v>1</v>
      </c>
      <c r="J3190" s="54" t="b">
        <v>1</v>
      </c>
      <c r="K3190" s="63" t="s">
        <v>1114</v>
      </c>
      <c r="L3190" s="63" t="s">
        <v>7227</v>
      </c>
      <c r="M3190" s="63" t="s">
        <v>7228</v>
      </c>
      <c r="N3190" s="63" t="s">
        <v>1790</v>
      </c>
    </row>
    <row r="3191" spans="1:14" x14ac:dyDescent="0.2">
      <c r="A3191" s="51">
        <v>3190</v>
      </c>
      <c r="B3191" s="56" t="s">
        <v>857</v>
      </c>
      <c r="C3191" s="47" t="s">
        <v>7229</v>
      </c>
      <c r="D3191" s="47" t="s">
        <v>7230</v>
      </c>
      <c r="E3191" s="47" t="s">
        <v>1790</v>
      </c>
      <c r="F3191" s="55" t="b">
        <v>1</v>
      </c>
      <c r="G3191" s="65" t="b">
        <v>0</v>
      </c>
      <c r="H3191" s="54" t="b">
        <v>1</v>
      </c>
      <c r="I3191" s="54" t="b">
        <v>1</v>
      </c>
      <c r="J3191" s="54" t="b">
        <v>1</v>
      </c>
      <c r="K3191" s="63" t="s">
        <v>1114</v>
      </c>
      <c r="L3191" s="63" t="s">
        <v>7229</v>
      </c>
      <c r="M3191" s="63" t="s">
        <v>7230</v>
      </c>
      <c r="N3191" s="63" t="s">
        <v>1790</v>
      </c>
    </row>
    <row r="3192" spans="1:14" x14ac:dyDescent="0.2">
      <c r="A3192" s="51">
        <v>3191</v>
      </c>
      <c r="B3192" s="56" t="s">
        <v>857</v>
      </c>
      <c r="C3192" s="47" t="s">
        <v>7231</v>
      </c>
      <c r="D3192" s="47" t="s">
        <v>7232</v>
      </c>
      <c r="E3192" s="47" t="s">
        <v>1790</v>
      </c>
      <c r="F3192" s="55" t="b">
        <v>1</v>
      </c>
      <c r="G3192" s="65" t="b">
        <v>0</v>
      </c>
      <c r="H3192" s="54" t="b">
        <v>1</v>
      </c>
      <c r="I3192" s="54" t="b">
        <v>1</v>
      </c>
      <c r="J3192" s="54" t="b">
        <v>1</v>
      </c>
      <c r="K3192" s="63" t="s">
        <v>1114</v>
      </c>
      <c r="L3192" s="63" t="s">
        <v>7231</v>
      </c>
      <c r="M3192" s="63" t="s">
        <v>7232</v>
      </c>
      <c r="N3192" s="63" t="s">
        <v>1790</v>
      </c>
    </row>
    <row r="3193" spans="1:14" x14ac:dyDescent="0.2">
      <c r="A3193" s="51">
        <v>3192</v>
      </c>
      <c r="B3193" s="56" t="s">
        <v>857</v>
      </c>
      <c r="C3193" s="47" t="s">
        <v>7233</v>
      </c>
      <c r="D3193" s="47" t="s">
        <v>7234</v>
      </c>
      <c r="E3193" s="47" t="s">
        <v>1790</v>
      </c>
      <c r="F3193" s="55" t="b">
        <v>1</v>
      </c>
      <c r="G3193" s="65" t="b">
        <v>0</v>
      </c>
      <c r="H3193" s="54" t="b">
        <v>1</v>
      </c>
      <c r="I3193" s="54" t="b">
        <v>1</v>
      </c>
      <c r="J3193" s="54" t="b">
        <v>1</v>
      </c>
      <c r="K3193" s="63" t="s">
        <v>1114</v>
      </c>
      <c r="L3193" s="63" t="s">
        <v>7233</v>
      </c>
      <c r="M3193" s="63" t="s">
        <v>7234</v>
      </c>
      <c r="N3193" s="63" t="s">
        <v>1790</v>
      </c>
    </row>
    <row r="3194" spans="1:14" x14ac:dyDescent="0.2">
      <c r="A3194" s="51">
        <v>3193</v>
      </c>
      <c r="B3194" s="56" t="s">
        <v>857</v>
      </c>
      <c r="C3194" s="47" t="s">
        <v>7235</v>
      </c>
      <c r="D3194" s="47" t="s">
        <v>7236</v>
      </c>
      <c r="E3194" s="47" t="s">
        <v>1790</v>
      </c>
      <c r="F3194" s="55" t="b">
        <v>1</v>
      </c>
      <c r="G3194" s="65" t="b">
        <v>0</v>
      </c>
      <c r="H3194" s="54" t="b">
        <v>1</v>
      </c>
      <c r="I3194" s="54" t="b">
        <v>1</v>
      </c>
      <c r="J3194" s="54" t="b">
        <v>1</v>
      </c>
      <c r="K3194" s="63" t="s">
        <v>1114</v>
      </c>
      <c r="L3194" s="63" t="s">
        <v>7235</v>
      </c>
      <c r="M3194" s="63" t="s">
        <v>7236</v>
      </c>
      <c r="N3194" s="63" t="s">
        <v>1790</v>
      </c>
    </row>
    <row r="3195" spans="1:14" x14ac:dyDescent="0.2">
      <c r="A3195" s="51">
        <v>3194</v>
      </c>
      <c r="B3195" s="56" t="s">
        <v>857</v>
      </c>
      <c r="C3195" s="47" t="s">
        <v>7237</v>
      </c>
      <c r="D3195" s="47" t="s">
        <v>7238</v>
      </c>
      <c r="E3195" s="47" t="s">
        <v>1790</v>
      </c>
      <c r="F3195" s="55" t="b">
        <v>1</v>
      </c>
      <c r="G3195" s="65" t="b">
        <v>0</v>
      </c>
      <c r="H3195" s="54" t="b">
        <v>1</v>
      </c>
      <c r="I3195" s="54" t="b">
        <v>1</v>
      </c>
      <c r="J3195" s="54" t="b">
        <v>1</v>
      </c>
      <c r="K3195" s="63" t="s">
        <v>1114</v>
      </c>
      <c r="L3195" s="63" t="s">
        <v>7237</v>
      </c>
      <c r="M3195" s="63" t="s">
        <v>7238</v>
      </c>
      <c r="N3195" s="63" t="s">
        <v>1790</v>
      </c>
    </row>
    <row r="3196" spans="1:14" x14ac:dyDescent="0.2">
      <c r="A3196" s="51">
        <v>3195</v>
      </c>
      <c r="B3196" s="56" t="s">
        <v>857</v>
      </c>
      <c r="C3196" s="47" t="s">
        <v>7239</v>
      </c>
      <c r="D3196" s="47" t="s">
        <v>7240</v>
      </c>
      <c r="E3196" s="47" t="s">
        <v>1790</v>
      </c>
      <c r="F3196" s="55" t="b">
        <v>1</v>
      </c>
      <c r="G3196" s="65" t="b">
        <v>0</v>
      </c>
      <c r="H3196" s="54" t="b">
        <v>1</v>
      </c>
      <c r="I3196" s="54" t="b">
        <v>1</v>
      </c>
      <c r="J3196" s="54" t="b">
        <v>1</v>
      </c>
      <c r="K3196" s="63" t="s">
        <v>1114</v>
      </c>
      <c r="L3196" s="63" t="s">
        <v>7239</v>
      </c>
      <c r="M3196" s="63" t="s">
        <v>7240</v>
      </c>
      <c r="N3196" s="63" t="s">
        <v>1790</v>
      </c>
    </row>
    <row r="3197" spans="1:14" x14ac:dyDescent="0.2">
      <c r="A3197" s="51">
        <v>3196</v>
      </c>
      <c r="B3197" s="56" t="s">
        <v>857</v>
      </c>
      <c r="C3197" s="47" t="s">
        <v>7258</v>
      </c>
      <c r="D3197" s="47" t="s">
        <v>7259</v>
      </c>
      <c r="E3197" s="47" t="s">
        <v>1790</v>
      </c>
      <c r="F3197" s="55" t="b">
        <v>1</v>
      </c>
      <c r="G3197" s="65" t="b">
        <v>0</v>
      </c>
      <c r="H3197" s="54" t="b">
        <v>1</v>
      </c>
      <c r="I3197" s="54" t="b">
        <v>1</v>
      </c>
      <c r="J3197" s="54" t="b">
        <v>1</v>
      </c>
      <c r="K3197" s="63" t="s">
        <v>1114</v>
      </c>
      <c r="L3197" s="63" t="s">
        <v>7258</v>
      </c>
      <c r="M3197" s="63" t="s">
        <v>7259</v>
      </c>
      <c r="N3197" s="63" t="s">
        <v>1790</v>
      </c>
    </row>
    <row r="3198" spans="1:14" x14ac:dyDescent="0.2">
      <c r="A3198" s="51">
        <v>3197</v>
      </c>
      <c r="B3198" s="56" t="s">
        <v>857</v>
      </c>
      <c r="C3198" s="47" t="s">
        <v>7248</v>
      </c>
      <c r="D3198" s="47" t="s">
        <v>7249</v>
      </c>
      <c r="E3198" s="47" t="s">
        <v>1790</v>
      </c>
      <c r="F3198" s="55" t="b">
        <v>1</v>
      </c>
      <c r="G3198" s="65" t="b">
        <v>0</v>
      </c>
      <c r="H3198" s="54" t="b">
        <v>1</v>
      </c>
      <c r="I3198" s="54" t="b">
        <v>1</v>
      </c>
      <c r="J3198" s="54" t="b">
        <v>1</v>
      </c>
      <c r="K3198" s="63" t="s">
        <v>1114</v>
      </c>
      <c r="L3198" s="63" t="s">
        <v>7248</v>
      </c>
      <c r="M3198" s="63" t="s">
        <v>7249</v>
      </c>
      <c r="N3198" s="63" t="s">
        <v>1790</v>
      </c>
    </row>
    <row r="3199" spans="1:14" x14ac:dyDescent="0.2">
      <c r="A3199" s="51">
        <v>3198</v>
      </c>
      <c r="B3199" s="56" t="s">
        <v>857</v>
      </c>
      <c r="C3199" s="47" t="s">
        <v>7245</v>
      </c>
      <c r="D3199" s="47" t="s">
        <v>13042</v>
      </c>
      <c r="E3199" s="47" t="s">
        <v>7247</v>
      </c>
      <c r="F3199" s="55" t="b">
        <v>1</v>
      </c>
      <c r="G3199" s="65" t="b">
        <v>0</v>
      </c>
      <c r="H3199" s="54" t="b">
        <v>1</v>
      </c>
      <c r="I3199" s="65" t="b">
        <v>0</v>
      </c>
      <c r="J3199" s="54" t="b">
        <v>1</v>
      </c>
      <c r="K3199" s="63" t="s">
        <v>1114</v>
      </c>
      <c r="L3199" s="63" t="s">
        <v>7245</v>
      </c>
      <c r="M3199" s="63" t="s">
        <v>7246</v>
      </c>
      <c r="N3199" s="63" t="s">
        <v>7247</v>
      </c>
    </row>
    <row r="3200" spans="1:14" x14ac:dyDescent="0.2">
      <c r="A3200" s="51">
        <v>3199</v>
      </c>
      <c r="B3200" s="56" t="s">
        <v>857</v>
      </c>
      <c r="C3200" s="47" t="s">
        <v>7241</v>
      </c>
      <c r="D3200" s="47" t="s">
        <v>7242</v>
      </c>
      <c r="E3200" s="47" t="s">
        <v>1790</v>
      </c>
      <c r="F3200" s="55" t="b">
        <v>1</v>
      </c>
      <c r="G3200" s="65" t="b">
        <v>0</v>
      </c>
      <c r="H3200" s="54" t="b">
        <v>1</v>
      </c>
      <c r="I3200" s="54" t="b">
        <v>1</v>
      </c>
      <c r="J3200" s="54" t="b">
        <v>1</v>
      </c>
      <c r="K3200" s="63" t="s">
        <v>1114</v>
      </c>
      <c r="L3200" s="63" t="s">
        <v>7241</v>
      </c>
      <c r="M3200" s="63" t="s">
        <v>7242</v>
      </c>
      <c r="N3200" s="63" t="s">
        <v>1790</v>
      </c>
    </row>
    <row r="3201" spans="1:14" x14ac:dyDescent="0.2">
      <c r="A3201" s="51">
        <v>3200</v>
      </c>
      <c r="B3201" s="56" t="s">
        <v>857</v>
      </c>
      <c r="C3201" s="47" t="s">
        <v>7243</v>
      </c>
      <c r="D3201" s="47" t="s">
        <v>7244</v>
      </c>
      <c r="E3201" s="47" t="s">
        <v>1790</v>
      </c>
      <c r="F3201" s="55" t="b">
        <v>1</v>
      </c>
      <c r="G3201" s="65" t="b">
        <v>0</v>
      </c>
      <c r="H3201" s="54" t="b">
        <v>1</v>
      </c>
      <c r="I3201" s="54" t="b">
        <v>1</v>
      </c>
      <c r="J3201" s="54" t="b">
        <v>1</v>
      </c>
      <c r="K3201" s="63" t="s">
        <v>1114</v>
      </c>
      <c r="L3201" s="63" t="s">
        <v>7243</v>
      </c>
      <c r="M3201" s="63" t="s">
        <v>7244</v>
      </c>
      <c r="N3201" s="63" t="s">
        <v>1790</v>
      </c>
    </row>
    <row r="3202" spans="1:14" x14ac:dyDescent="0.2">
      <c r="A3202" s="51">
        <v>3201</v>
      </c>
      <c r="B3202" s="56" t="s">
        <v>857</v>
      </c>
      <c r="C3202" s="47" t="s">
        <v>7260</v>
      </c>
      <c r="D3202" s="47" t="s">
        <v>13041</v>
      </c>
      <c r="E3202" s="47" t="s">
        <v>1790</v>
      </c>
      <c r="F3202" s="55" t="b">
        <v>1</v>
      </c>
      <c r="G3202" s="65" t="b">
        <v>0</v>
      </c>
      <c r="H3202" s="54" t="b">
        <v>1</v>
      </c>
      <c r="I3202" s="65" t="b">
        <v>0</v>
      </c>
      <c r="J3202" s="54" t="b">
        <v>1</v>
      </c>
      <c r="K3202" s="63" t="s">
        <v>1114</v>
      </c>
      <c r="L3202" s="63" t="s">
        <v>7260</v>
      </c>
      <c r="M3202" s="63" t="s">
        <v>7261</v>
      </c>
      <c r="N3202" s="63" t="s">
        <v>1790</v>
      </c>
    </row>
    <row r="3203" spans="1:14" x14ac:dyDescent="0.2">
      <c r="A3203" s="51">
        <v>3202</v>
      </c>
      <c r="B3203" s="56" t="s">
        <v>857</v>
      </c>
      <c r="C3203" s="47" t="s">
        <v>7250</v>
      </c>
      <c r="D3203" s="47" t="s">
        <v>7251</v>
      </c>
      <c r="E3203" s="47" t="s">
        <v>1790</v>
      </c>
      <c r="F3203" s="55" t="b">
        <v>1</v>
      </c>
      <c r="G3203" s="65" t="b">
        <v>0</v>
      </c>
      <c r="H3203" s="54" t="b">
        <v>1</v>
      </c>
      <c r="I3203" s="54" t="b">
        <v>1</v>
      </c>
      <c r="J3203" s="54" t="b">
        <v>1</v>
      </c>
      <c r="K3203" s="63" t="s">
        <v>1114</v>
      </c>
      <c r="L3203" s="63" t="s">
        <v>7250</v>
      </c>
      <c r="M3203" s="63" t="s">
        <v>7251</v>
      </c>
      <c r="N3203" s="63" t="s">
        <v>1790</v>
      </c>
    </row>
    <row r="3204" spans="1:14" x14ac:dyDescent="0.2">
      <c r="A3204" s="51">
        <v>3203</v>
      </c>
      <c r="B3204" s="56" t="s">
        <v>857</v>
      </c>
      <c r="C3204" s="47" t="s">
        <v>7252</v>
      </c>
      <c r="D3204" s="47" t="s">
        <v>7253</v>
      </c>
      <c r="E3204" s="47" t="s">
        <v>1790</v>
      </c>
      <c r="F3204" s="55" t="b">
        <v>1</v>
      </c>
      <c r="G3204" s="65" t="b">
        <v>0</v>
      </c>
      <c r="H3204" s="54" t="b">
        <v>1</v>
      </c>
      <c r="I3204" s="54" t="b">
        <v>1</v>
      </c>
      <c r="J3204" s="54" t="b">
        <v>1</v>
      </c>
      <c r="K3204" s="63" t="s">
        <v>1114</v>
      </c>
      <c r="L3204" s="63" t="s">
        <v>7252</v>
      </c>
      <c r="M3204" s="63" t="s">
        <v>7253</v>
      </c>
      <c r="N3204" s="63" t="s">
        <v>1790</v>
      </c>
    </row>
    <row r="3205" spans="1:14" x14ac:dyDescent="0.2">
      <c r="A3205" s="51">
        <v>3204</v>
      </c>
      <c r="B3205" s="56" t="s">
        <v>857</v>
      </c>
      <c r="C3205" s="47" t="s">
        <v>7256</v>
      </c>
      <c r="D3205" s="47" t="s">
        <v>7257</v>
      </c>
      <c r="E3205" s="47" t="s">
        <v>1790</v>
      </c>
      <c r="F3205" s="55" t="b">
        <v>1</v>
      </c>
      <c r="G3205" s="65" t="b">
        <v>0</v>
      </c>
      <c r="H3205" s="54" t="b">
        <v>1</v>
      </c>
      <c r="I3205" s="54" t="b">
        <v>1</v>
      </c>
      <c r="J3205" s="54" t="b">
        <v>1</v>
      </c>
      <c r="K3205" s="63" t="s">
        <v>1114</v>
      </c>
      <c r="L3205" s="63" t="s">
        <v>7256</v>
      </c>
      <c r="M3205" s="63" t="s">
        <v>7257</v>
      </c>
      <c r="N3205" s="63" t="s">
        <v>1790</v>
      </c>
    </row>
    <row r="3206" spans="1:14" x14ac:dyDescent="0.2">
      <c r="A3206" s="51">
        <v>3205</v>
      </c>
      <c r="B3206" s="54" t="s">
        <v>859</v>
      </c>
      <c r="C3206" s="47" t="s">
        <v>7267</v>
      </c>
      <c r="D3206" s="47" t="s">
        <v>7268</v>
      </c>
      <c r="E3206" s="48" t="s">
        <v>8903</v>
      </c>
      <c r="F3206" s="66" t="b">
        <v>0</v>
      </c>
      <c r="G3206" s="54" t="b">
        <v>1</v>
      </c>
      <c r="H3206" s="54" t="b">
        <v>1</v>
      </c>
      <c r="I3206" s="54" t="b">
        <v>1</v>
      </c>
      <c r="J3206" s="65" t="b">
        <v>0</v>
      </c>
      <c r="K3206" s="63" t="s">
        <v>859</v>
      </c>
      <c r="L3206" s="63" t="s">
        <v>7267</v>
      </c>
      <c r="M3206" s="63" t="s">
        <v>7268</v>
      </c>
      <c r="N3206" s="63" t="s">
        <v>7264</v>
      </c>
    </row>
    <row r="3207" spans="1:14" x14ac:dyDescent="0.2">
      <c r="A3207" s="51">
        <v>3206</v>
      </c>
      <c r="B3207" s="54" t="s">
        <v>859</v>
      </c>
      <c r="C3207" s="47" t="s">
        <v>7269</v>
      </c>
      <c r="D3207" s="47" t="s">
        <v>7270</v>
      </c>
      <c r="E3207" s="48" t="s">
        <v>8903</v>
      </c>
      <c r="F3207" s="66" t="b">
        <v>0</v>
      </c>
      <c r="G3207" s="54" t="b">
        <v>1</v>
      </c>
      <c r="H3207" s="54" t="b">
        <v>1</v>
      </c>
      <c r="I3207" s="54" t="b">
        <v>1</v>
      </c>
      <c r="J3207" s="65" t="b">
        <v>0</v>
      </c>
      <c r="K3207" s="63" t="s">
        <v>859</v>
      </c>
      <c r="L3207" s="63" t="s">
        <v>7269</v>
      </c>
      <c r="M3207" s="63" t="s">
        <v>7270</v>
      </c>
      <c r="N3207" s="63" t="s">
        <v>7264</v>
      </c>
    </row>
    <row r="3208" spans="1:14" x14ac:dyDescent="0.2">
      <c r="A3208" s="51">
        <v>3207</v>
      </c>
      <c r="B3208" s="54" t="s">
        <v>859</v>
      </c>
      <c r="C3208" s="47" t="s">
        <v>7262</v>
      </c>
      <c r="D3208" s="47" t="s">
        <v>7263</v>
      </c>
      <c r="E3208" s="48" t="s">
        <v>8903</v>
      </c>
      <c r="F3208" s="66" t="b">
        <v>0</v>
      </c>
      <c r="G3208" s="54" t="b">
        <v>1</v>
      </c>
      <c r="H3208" s="54" t="b">
        <v>1</v>
      </c>
      <c r="I3208" s="54" t="b">
        <v>1</v>
      </c>
      <c r="J3208" s="65" t="b">
        <v>0</v>
      </c>
      <c r="K3208" s="63" t="s">
        <v>859</v>
      </c>
      <c r="L3208" s="63" t="s">
        <v>7262</v>
      </c>
      <c r="M3208" s="63" t="s">
        <v>7263</v>
      </c>
      <c r="N3208" s="63" t="s">
        <v>7264</v>
      </c>
    </row>
    <row r="3209" spans="1:14" x14ac:dyDescent="0.2">
      <c r="A3209" s="51">
        <v>3208</v>
      </c>
      <c r="B3209" s="54" t="s">
        <v>859</v>
      </c>
      <c r="C3209" s="47" t="s">
        <v>7271</v>
      </c>
      <c r="D3209" s="47" t="s">
        <v>7272</v>
      </c>
      <c r="E3209" s="48" t="s">
        <v>8903</v>
      </c>
      <c r="F3209" s="66" t="b">
        <v>0</v>
      </c>
      <c r="G3209" s="54" t="b">
        <v>1</v>
      </c>
      <c r="H3209" s="54" t="b">
        <v>1</v>
      </c>
      <c r="I3209" s="54" t="b">
        <v>1</v>
      </c>
      <c r="J3209" s="65" t="b">
        <v>0</v>
      </c>
      <c r="K3209" s="63" t="s">
        <v>859</v>
      </c>
      <c r="L3209" s="63" t="s">
        <v>7271</v>
      </c>
      <c r="M3209" s="63" t="s">
        <v>7272</v>
      </c>
      <c r="N3209" s="63" t="s">
        <v>7264</v>
      </c>
    </row>
    <row r="3210" spans="1:14" x14ac:dyDescent="0.2">
      <c r="A3210" s="51">
        <v>3209</v>
      </c>
      <c r="B3210" s="54" t="s">
        <v>859</v>
      </c>
      <c r="C3210" s="47" t="s">
        <v>7265</v>
      </c>
      <c r="D3210" s="47" t="s">
        <v>7266</v>
      </c>
      <c r="E3210" s="48" t="s">
        <v>8903</v>
      </c>
      <c r="F3210" s="66" t="b">
        <v>0</v>
      </c>
      <c r="G3210" s="54" t="b">
        <v>1</v>
      </c>
      <c r="H3210" s="54" t="b">
        <v>1</v>
      </c>
      <c r="I3210" s="54" t="b">
        <v>1</v>
      </c>
      <c r="J3210" s="65" t="b">
        <v>0</v>
      </c>
      <c r="K3210" s="63" t="s">
        <v>859</v>
      </c>
      <c r="L3210" s="63" t="s">
        <v>7265</v>
      </c>
      <c r="M3210" s="63" t="s">
        <v>7266</v>
      </c>
      <c r="N3210" s="63" t="s">
        <v>7264</v>
      </c>
    </row>
    <row r="3211" spans="1:14" x14ac:dyDescent="0.2">
      <c r="A3211" s="51">
        <v>3210</v>
      </c>
      <c r="B3211" s="54" t="s">
        <v>859</v>
      </c>
      <c r="C3211" s="47" t="s">
        <v>7275</v>
      </c>
      <c r="D3211" s="47" t="s">
        <v>7276</v>
      </c>
      <c r="E3211" s="48" t="s">
        <v>8903</v>
      </c>
      <c r="F3211" s="66" t="b">
        <v>0</v>
      </c>
      <c r="G3211" s="54" t="b">
        <v>1</v>
      </c>
      <c r="H3211" s="54" t="b">
        <v>1</v>
      </c>
      <c r="I3211" s="54" t="b">
        <v>1</v>
      </c>
      <c r="J3211" s="65" t="b">
        <v>0</v>
      </c>
      <c r="K3211" s="63" t="s">
        <v>859</v>
      </c>
      <c r="L3211" s="63" t="s">
        <v>7275</v>
      </c>
      <c r="M3211" s="63" t="s">
        <v>7276</v>
      </c>
      <c r="N3211" s="63" t="s">
        <v>7264</v>
      </c>
    </row>
    <row r="3212" spans="1:14" x14ac:dyDescent="0.2">
      <c r="A3212" s="51">
        <v>3211</v>
      </c>
      <c r="B3212" s="54" t="s">
        <v>859</v>
      </c>
      <c r="C3212" s="47" t="s">
        <v>7277</v>
      </c>
      <c r="D3212" s="47" t="s">
        <v>7278</v>
      </c>
      <c r="E3212" s="48" t="s">
        <v>8903</v>
      </c>
      <c r="F3212" s="66" t="b">
        <v>0</v>
      </c>
      <c r="G3212" s="54" t="b">
        <v>1</v>
      </c>
      <c r="H3212" s="54" t="b">
        <v>1</v>
      </c>
      <c r="I3212" s="54" t="b">
        <v>1</v>
      </c>
      <c r="J3212" s="65" t="b">
        <v>0</v>
      </c>
      <c r="K3212" s="63" t="s">
        <v>859</v>
      </c>
      <c r="L3212" s="63" t="s">
        <v>7277</v>
      </c>
      <c r="M3212" s="63" t="s">
        <v>7278</v>
      </c>
      <c r="N3212" s="63" t="s">
        <v>7264</v>
      </c>
    </row>
    <row r="3213" spans="1:14" x14ac:dyDescent="0.2">
      <c r="A3213" s="51">
        <v>3212</v>
      </c>
      <c r="B3213" s="54" t="s">
        <v>859</v>
      </c>
      <c r="C3213" s="47" t="s">
        <v>7283</v>
      </c>
      <c r="D3213" s="47" t="s">
        <v>7284</v>
      </c>
      <c r="E3213" s="48" t="s">
        <v>8903</v>
      </c>
      <c r="F3213" s="66" t="b">
        <v>0</v>
      </c>
      <c r="G3213" s="54" t="b">
        <v>1</v>
      </c>
      <c r="H3213" s="54" t="b">
        <v>1</v>
      </c>
      <c r="I3213" s="54" t="b">
        <v>1</v>
      </c>
      <c r="J3213" s="65" t="b">
        <v>0</v>
      </c>
      <c r="K3213" s="63" t="s">
        <v>859</v>
      </c>
      <c r="L3213" s="63" t="s">
        <v>7283</v>
      </c>
      <c r="M3213" s="63" t="s">
        <v>7284</v>
      </c>
      <c r="N3213" s="63" t="s">
        <v>7264</v>
      </c>
    </row>
    <row r="3214" spans="1:14" x14ac:dyDescent="0.2">
      <c r="A3214" s="51">
        <v>3213</v>
      </c>
      <c r="B3214" s="54" t="s">
        <v>859</v>
      </c>
      <c r="C3214" s="47" t="s">
        <v>7281</v>
      </c>
      <c r="D3214" s="47" t="s">
        <v>7282</v>
      </c>
      <c r="E3214" s="48" t="s">
        <v>8903</v>
      </c>
      <c r="F3214" s="66" t="b">
        <v>0</v>
      </c>
      <c r="G3214" s="54" t="b">
        <v>1</v>
      </c>
      <c r="H3214" s="54" t="b">
        <v>1</v>
      </c>
      <c r="I3214" s="54" t="b">
        <v>1</v>
      </c>
      <c r="J3214" s="65" t="b">
        <v>0</v>
      </c>
      <c r="K3214" s="63" t="s">
        <v>859</v>
      </c>
      <c r="L3214" s="63" t="s">
        <v>7281</v>
      </c>
      <c r="M3214" s="63" t="s">
        <v>7282</v>
      </c>
      <c r="N3214" s="63" t="s">
        <v>7264</v>
      </c>
    </row>
    <row r="3215" spans="1:14" x14ac:dyDescent="0.2">
      <c r="A3215" s="51">
        <v>3214</v>
      </c>
      <c r="B3215" s="54" t="s">
        <v>859</v>
      </c>
      <c r="C3215" s="47" t="s">
        <v>7279</v>
      </c>
      <c r="D3215" s="47" t="s">
        <v>7280</v>
      </c>
      <c r="E3215" s="48" t="s">
        <v>8903</v>
      </c>
      <c r="F3215" s="66" t="b">
        <v>0</v>
      </c>
      <c r="G3215" s="54" t="b">
        <v>1</v>
      </c>
      <c r="H3215" s="54" t="b">
        <v>1</v>
      </c>
      <c r="I3215" s="54" t="b">
        <v>1</v>
      </c>
      <c r="J3215" s="65" t="b">
        <v>0</v>
      </c>
      <c r="K3215" s="63" t="s">
        <v>859</v>
      </c>
      <c r="L3215" s="63" t="s">
        <v>7279</v>
      </c>
      <c r="M3215" s="63" t="s">
        <v>7280</v>
      </c>
      <c r="N3215" s="63" t="s">
        <v>7264</v>
      </c>
    </row>
    <row r="3216" spans="1:14" x14ac:dyDescent="0.2">
      <c r="A3216" s="51">
        <v>3215</v>
      </c>
      <c r="B3216" s="54" t="s">
        <v>859</v>
      </c>
      <c r="C3216" s="47" t="s">
        <v>7285</v>
      </c>
      <c r="D3216" s="47" t="s">
        <v>7286</v>
      </c>
      <c r="E3216" s="48" t="s">
        <v>8903</v>
      </c>
      <c r="F3216" s="66" t="b">
        <v>0</v>
      </c>
      <c r="G3216" s="54" t="b">
        <v>1</v>
      </c>
      <c r="H3216" s="54" t="b">
        <v>1</v>
      </c>
      <c r="I3216" s="54" t="b">
        <v>1</v>
      </c>
      <c r="J3216" s="65" t="b">
        <v>0</v>
      </c>
      <c r="K3216" s="63" t="s">
        <v>859</v>
      </c>
      <c r="L3216" s="63" t="s">
        <v>7285</v>
      </c>
      <c r="M3216" s="63" t="s">
        <v>7286</v>
      </c>
      <c r="N3216" s="63" t="s">
        <v>7264</v>
      </c>
    </row>
    <row r="3217" spans="1:14" x14ac:dyDescent="0.2">
      <c r="A3217" s="51">
        <v>3216</v>
      </c>
      <c r="B3217" s="54" t="s">
        <v>859</v>
      </c>
      <c r="C3217" s="47" t="s">
        <v>7287</v>
      </c>
      <c r="D3217" s="47" t="s">
        <v>7288</v>
      </c>
      <c r="E3217" s="48" t="s">
        <v>8903</v>
      </c>
      <c r="F3217" s="66" t="b">
        <v>0</v>
      </c>
      <c r="G3217" s="54" t="b">
        <v>1</v>
      </c>
      <c r="H3217" s="54" t="b">
        <v>1</v>
      </c>
      <c r="I3217" s="54" t="b">
        <v>1</v>
      </c>
      <c r="J3217" s="65" t="b">
        <v>0</v>
      </c>
      <c r="K3217" s="63" t="s">
        <v>859</v>
      </c>
      <c r="L3217" s="63" t="s">
        <v>7287</v>
      </c>
      <c r="M3217" s="63" t="s">
        <v>7288</v>
      </c>
      <c r="N3217" s="63" t="s">
        <v>7264</v>
      </c>
    </row>
    <row r="3218" spans="1:14" x14ac:dyDescent="0.2">
      <c r="A3218" s="51">
        <v>3217</v>
      </c>
      <c r="B3218" s="54" t="s">
        <v>859</v>
      </c>
      <c r="C3218" s="47" t="s">
        <v>7291</v>
      </c>
      <c r="D3218" s="47" t="s">
        <v>7292</v>
      </c>
      <c r="E3218" s="48" t="s">
        <v>8903</v>
      </c>
      <c r="F3218" s="66" t="b">
        <v>0</v>
      </c>
      <c r="G3218" s="54" t="b">
        <v>1</v>
      </c>
      <c r="H3218" s="54" t="b">
        <v>1</v>
      </c>
      <c r="I3218" s="54" t="b">
        <v>1</v>
      </c>
      <c r="J3218" s="65" t="b">
        <v>0</v>
      </c>
      <c r="K3218" s="63" t="s">
        <v>859</v>
      </c>
      <c r="L3218" s="63" t="s">
        <v>7291</v>
      </c>
      <c r="M3218" s="63" t="s">
        <v>7292</v>
      </c>
      <c r="N3218" s="63" t="s">
        <v>7264</v>
      </c>
    </row>
    <row r="3219" spans="1:14" x14ac:dyDescent="0.2">
      <c r="A3219" s="51">
        <v>3218</v>
      </c>
      <c r="B3219" s="54" t="s">
        <v>859</v>
      </c>
      <c r="C3219" s="47" t="s">
        <v>7273</v>
      </c>
      <c r="D3219" s="47" t="s">
        <v>7274</v>
      </c>
      <c r="E3219" s="48" t="s">
        <v>8903</v>
      </c>
      <c r="F3219" s="66" t="b">
        <v>0</v>
      </c>
      <c r="G3219" s="54" t="b">
        <v>1</v>
      </c>
      <c r="H3219" s="54" t="b">
        <v>1</v>
      </c>
      <c r="I3219" s="54" t="b">
        <v>1</v>
      </c>
      <c r="J3219" s="65" t="b">
        <v>0</v>
      </c>
      <c r="K3219" s="63" t="s">
        <v>859</v>
      </c>
      <c r="L3219" s="63" t="s">
        <v>7273</v>
      </c>
      <c r="M3219" s="63" t="s">
        <v>7274</v>
      </c>
      <c r="N3219" s="63" t="s">
        <v>7264</v>
      </c>
    </row>
    <row r="3220" spans="1:14" x14ac:dyDescent="0.2">
      <c r="A3220" s="51">
        <v>3219</v>
      </c>
      <c r="B3220" s="54" t="s">
        <v>859</v>
      </c>
      <c r="C3220" s="47" t="s">
        <v>7293</v>
      </c>
      <c r="D3220" s="47" t="s">
        <v>7294</v>
      </c>
      <c r="E3220" s="48" t="s">
        <v>8903</v>
      </c>
      <c r="F3220" s="66" t="b">
        <v>0</v>
      </c>
      <c r="G3220" s="54" t="b">
        <v>1</v>
      </c>
      <c r="H3220" s="54" t="b">
        <v>1</v>
      </c>
      <c r="I3220" s="54" t="b">
        <v>1</v>
      </c>
      <c r="J3220" s="65" t="b">
        <v>0</v>
      </c>
      <c r="K3220" s="63" t="s">
        <v>859</v>
      </c>
      <c r="L3220" s="63" t="s">
        <v>7293</v>
      </c>
      <c r="M3220" s="63" t="s">
        <v>7294</v>
      </c>
      <c r="N3220" s="63" t="s">
        <v>7264</v>
      </c>
    </row>
    <row r="3221" spans="1:14" x14ac:dyDescent="0.2">
      <c r="A3221" s="51">
        <v>3220</v>
      </c>
      <c r="B3221" s="54" t="s">
        <v>859</v>
      </c>
      <c r="C3221" s="47" t="s">
        <v>7289</v>
      </c>
      <c r="D3221" s="47" t="s">
        <v>7290</v>
      </c>
      <c r="E3221" s="48" t="s">
        <v>8903</v>
      </c>
      <c r="F3221" s="66" t="b">
        <v>0</v>
      </c>
      <c r="G3221" s="54" t="b">
        <v>1</v>
      </c>
      <c r="H3221" s="54" t="b">
        <v>1</v>
      </c>
      <c r="I3221" s="54" t="b">
        <v>1</v>
      </c>
      <c r="J3221" s="65" t="b">
        <v>0</v>
      </c>
      <c r="K3221" s="63" t="s">
        <v>859</v>
      </c>
      <c r="L3221" s="63" t="s">
        <v>7289</v>
      </c>
      <c r="M3221" s="63" t="s">
        <v>7290</v>
      </c>
      <c r="N3221" s="63" t="s">
        <v>7264</v>
      </c>
    </row>
    <row r="3222" spans="1:14" x14ac:dyDescent="0.2">
      <c r="A3222" s="51">
        <v>3221</v>
      </c>
      <c r="B3222" s="54" t="s">
        <v>859</v>
      </c>
      <c r="C3222" s="47" t="s">
        <v>7295</v>
      </c>
      <c r="D3222" s="47" t="s">
        <v>7296</v>
      </c>
      <c r="E3222" s="48" t="s">
        <v>8903</v>
      </c>
      <c r="F3222" s="66" t="b">
        <v>0</v>
      </c>
      <c r="G3222" s="54" t="b">
        <v>1</v>
      </c>
      <c r="H3222" s="54" t="b">
        <v>1</v>
      </c>
      <c r="I3222" s="54" t="b">
        <v>1</v>
      </c>
      <c r="J3222" s="65" t="b">
        <v>0</v>
      </c>
      <c r="K3222" s="63" t="s">
        <v>859</v>
      </c>
      <c r="L3222" s="63" t="s">
        <v>7295</v>
      </c>
      <c r="M3222" s="63" t="s">
        <v>7296</v>
      </c>
      <c r="N3222" s="63" t="s">
        <v>7264</v>
      </c>
    </row>
    <row r="3223" spans="1:14" x14ac:dyDescent="0.2">
      <c r="A3223" s="51">
        <v>3222</v>
      </c>
      <c r="B3223" s="54" t="s">
        <v>861</v>
      </c>
      <c r="C3223" s="47" t="s">
        <v>7325</v>
      </c>
      <c r="D3223" s="47" t="s">
        <v>7326</v>
      </c>
      <c r="E3223" s="47" t="s">
        <v>1719</v>
      </c>
      <c r="F3223" s="55" t="b">
        <v>1</v>
      </c>
      <c r="G3223" s="54" t="b">
        <v>1</v>
      </c>
      <c r="H3223" s="54" t="b">
        <v>1</v>
      </c>
      <c r="I3223" s="54" t="b">
        <v>1</v>
      </c>
      <c r="J3223" s="54" t="b">
        <v>1</v>
      </c>
      <c r="K3223" s="63" t="s">
        <v>861</v>
      </c>
      <c r="L3223" s="63" t="s">
        <v>7325</v>
      </c>
      <c r="M3223" s="63" t="s">
        <v>7326</v>
      </c>
      <c r="N3223" s="63" t="s">
        <v>1719</v>
      </c>
    </row>
    <row r="3224" spans="1:14" x14ac:dyDescent="0.2">
      <c r="A3224" s="51">
        <v>3223</v>
      </c>
      <c r="B3224" s="54" t="s">
        <v>861</v>
      </c>
      <c r="C3224" s="47" t="s">
        <v>7305</v>
      </c>
      <c r="D3224" s="47" t="s">
        <v>13043</v>
      </c>
      <c r="E3224" s="47" t="s">
        <v>1719</v>
      </c>
      <c r="F3224" s="55" t="b">
        <v>1</v>
      </c>
      <c r="G3224" s="54" t="b">
        <v>1</v>
      </c>
      <c r="H3224" s="54" t="b">
        <v>1</v>
      </c>
      <c r="I3224" s="65" t="b">
        <v>0</v>
      </c>
      <c r="J3224" s="54" t="b">
        <v>1</v>
      </c>
      <c r="K3224" s="63" t="s">
        <v>861</v>
      </c>
      <c r="L3224" s="63" t="s">
        <v>7305</v>
      </c>
      <c r="M3224" s="63" t="s">
        <v>7306</v>
      </c>
      <c r="N3224" s="63" t="s">
        <v>1719</v>
      </c>
    </row>
    <row r="3225" spans="1:14" x14ac:dyDescent="0.2">
      <c r="A3225" s="51">
        <v>3224</v>
      </c>
      <c r="B3225" s="54" t="s">
        <v>861</v>
      </c>
      <c r="C3225" s="47" t="s">
        <v>7319</v>
      </c>
      <c r="D3225" s="47" t="s">
        <v>7320</v>
      </c>
      <c r="E3225" s="47" t="s">
        <v>1719</v>
      </c>
      <c r="F3225" s="55" t="b">
        <v>1</v>
      </c>
      <c r="G3225" s="54" t="b">
        <v>1</v>
      </c>
      <c r="H3225" s="54" t="b">
        <v>1</v>
      </c>
      <c r="I3225" s="54" t="b">
        <v>1</v>
      </c>
      <c r="J3225" s="54" t="b">
        <v>1</v>
      </c>
      <c r="K3225" s="63" t="s">
        <v>861</v>
      </c>
      <c r="L3225" s="63" t="s">
        <v>7319</v>
      </c>
      <c r="M3225" s="63" t="s">
        <v>7320</v>
      </c>
      <c r="N3225" s="63" t="s">
        <v>1719</v>
      </c>
    </row>
    <row r="3226" spans="1:14" x14ac:dyDescent="0.2">
      <c r="A3226" s="51">
        <v>3225</v>
      </c>
      <c r="B3226" s="54" t="s">
        <v>861</v>
      </c>
      <c r="C3226" s="47" t="s">
        <v>7323</v>
      </c>
      <c r="D3226" s="47" t="s">
        <v>7324</v>
      </c>
      <c r="E3226" s="47" t="s">
        <v>1719</v>
      </c>
      <c r="F3226" s="55" t="b">
        <v>1</v>
      </c>
      <c r="G3226" s="54" t="b">
        <v>1</v>
      </c>
      <c r="H3226" s="54" t="b">
        <v>1</v>
      </c>
      <c r="I3226" s="54" t="b">
        <v>1</v>
      </c>
      <c r="J3226" s="54" t="b">
        <v>1</v>
      </c>
      <c r="K3226" s="63" t="s">
        <v>861</v>
      </c>
      <c r="L3226" s="63" t="s">
        <v>7323</v>
      </c>
      <c r="M3226" s="63" t="s">
        <v>7324</v>
      </c>
      <c r="N3226" s="63" t="s">
        <v>1719</v>
      </c>
    </row>
    <row r="3227" spans="1:14" x14ac:dyDescent="0.2">
      <c r="A3227" s="51">
        <v>3226</v>
      </c>
      <c r="B3227" s="54" t="s">
        <v>861</v>
      </c>
      <c r="C3227" s="47" t="s">
        <v>7321</v>
      </c>
      <c r="D3227" s="47" t="s">
        <v>7322</v>
      </c>
      <c r="E3227" s="47" t="s">
        <v>1719</v>
      </c>
      <c r="F3227" s="55" t="b">
        <v>1</v>
      </c>
      <c r="G3227" s="54" t="b">
        <v>1</v>
      </c>
      <c r="H3227" s="54" t="b">
        <v>1</v>
      </c>
      <c r="I3227" s="54" t="b">
        <v>1</v>
      </c>
      <c r="J3227" s="54" t="b">
        <v>1</v>
      </c>
      <c r="K3227" s="63" t="s">
        <v>861</v>
      </c>
      <c r="L3227" s="63" t="s">
        <v>7321</v>
      </c>
      <c r="M3227" s="63" t="s">
        <v>7322</v>
      </c>
      <c r="N3227" s="63" t="s">
        <v>1719</v>
      </c>
    </row>
    <row r="3228" spans="1:14" x14ac:dyDescent="0.2">
      <c r="A3228" s="51">
        <v>3227</v>
      </c>
      <c r="B3228" s="54" t="s">
        <v>861</v>
      </c>
      <c r="C3228" s="47" t="s">
        <v>7335</v>
      </c>
      <c r="D3228" s="47" t="s">
        <v>7336</v>
      </c>
      <c r="E3228" s="47" t="s">
        <v>1719</v>
      </c>
      <c r="F3228" s="55" t="b">
        <v>1</v>
      </c>
      <c r="G3228" s="54" t="b">
        <v>1</v>
      </c>
      <c r="H3228" s="54" t="b">
        <v>1</v>
      </c>
      <c r="I3228" s="54" t="b">
        <v>1</v>
      </c>
      <c r="J3228" s="54" t="b">
        <v>1</v>
      </c>
      <c r="K3228" s="63" t="s">
        <v>861</v>
      </c>
      <c r="L3228" s="63" t="s">
        <v>7335</v>
      </c>
      <c r="M3228" s="63" t="s">
        <v>7336</v>
      </c>
      <c r="N3228" s="63" t="s">
        <v>1719</v>
      </c>
    </row>
    <row r="3229" spans="1:14" x14ac:dyDescent="0.2">
      <c r="A3229" s="51">
        <v>3228</v>
      </c>
      <c r="B3229" s="54" t="s">
        <v>861</v>
      </c>
      <c r="C3229" s="47" t="s">
        <v>7331</v>
      </c>
      <c r="D3229" s="47" t="s">
        <v>7332</v>
      </c>
      <c r="E3229" s="47" t="s">
        <v>1719</v>
      </c>
      <c r="F3229" s="55" t="b">
        <v>1</v>
      </c>
      <c r="G3229" s="54" t="b">
        <v>1</v>
      </c>
      <c r="H3229" s="54" t="b">
        <v>1</v>
      </c>
      <c r="I3229" s="54" t="b">
        <v>1</v>
      </c>
      <c r="J3229" s="54" t="b">
        <v>1</v>
      </c>
      <c r="K3229" s="63" t="s">
        <v>861</v>
      </c>
      <c r="L3229" s="63" t="s">
        <v>7331</v>
      </c>
      <c r="M3229" s="63" t="s">
        <v>7332</v>
      </c>
      <c r="N3229" s="63" t="s">
        <v>1719</v>
      </c>
    </row>
    <row r="3230" spans="1:14" x14ac:dyDescent="0.2">
      <c r="A3230" s="51">
        <v>3229</v>
      </c>
      <c r="B3230" s="54" t="s">
        <v>861</v>
      </c>
      <c r="C3230" s="47" t="s">
        <v>7327</v>
      </c>
      <c r="D3230" s="47" t="s">
        <v>7328</v>
      </c>
      <c r="E3230" s="47" t="s">
        <v>1719</v>
      </c>
      <c r="F3230" s="55" t="b">
        <v>1</v>
      </c>
      <c r="G3230" s="54" t="b">
        <v>1</v>
      </c>
      <c r="H3230" s="54" t="b">
        <v>1</v>
      </c>
      <c r="I3230" s="54" t="b">
        <v>1</v>
      </c>
      <c r="J3230" s="54" t="b">
        <v>1</v>
      </c>
      <c r="K3230" s="63" t="s">
        <v>861</v>
      </c>
      <c r="L3230" s="63" t="s">
        <v>7327</v>
      </c>
      <c r="M3230" s="63" t="s">
        <v>7328</v>
      </c>
      <c r="N3230" s="63" t="s">
        <v>1719</v>
      </c>
    </row>
    <row r="3231" spans="1:14" x14ac:dyDescent="0.2">
      <c r="A3231" s="51">
        <v>3230</v>
      </c>
      <c r="B3231" s="54" t="s">
        <v>861</v>
      </c>
      <c r="C3231" s="47" t="s">
        <v>7329</v>
      </c>
      <c r="D3231" s="47" t="s">
        <v>7330</v>
      </c>
      <c r="E3231" s="47" t="s">
        <v>1719</v>
      </c>
      <c r="F3231" s="55" t="b">
        <v>1</v>
      </c>
      <c r="G3231" s="54" t="b">
        <v>1</v>
      </c>
      <c r="H3231" s="54" t="b">
        <v>1</v>
      </c>
      <c r="I3231" s="54" t="b">
        <v>1</v>
      </c>
      <c r="J3231" s="54" t="b">
        <v>1</v>
      </c>
      <c r="K3231" s="63" t="s">
        <v>861</v>
      </c>
      <c r="L3231" s="63" t="s">
        <v>7329</v>
      </c>
      <c r="M3231" s="63" t="s">
        <v>7330</v>
      </c>
      <c r="N3231" s="63" t="s">
        <v>1719</v>
      </c>
    </row>
    <row r="3232" spans="1:14" x14ac:dyDescent="0.2">
      <c r="A3232" s="51">
        <v>3231</v>
      </c>
      <c r="B3232" s="54" t="s">
        <v>861</v>
      </c>
      <c r="C3232" s="47" t="s">
        <v>7337</v>
      </c>
      <c r="D3232" s="47" t="s">
        <v>7338</v>
      </c>
      <c r="E3232" s="47" t="s">
        <v>1719</v>
      </c>
      <c r="F3232" s="55" t="b">
        <v>1</v>
      </c>
      <c r="G3232" s="54" t="b">
        <v>1</v>
      </c>
      <c r="H3232" s="54" t="b">
        <v>1</v>
      </c>
      <c r="I3232" s="54" t="b">
        <v>1</v>
      </c>
      <c r="J3232" s="54" t="b">
        <v>1</v>
      </c>
      <c r="K3232" s="63" t="s">
        <v>861</v>
      </c>
      <c r="L3232" s="63" t="s">
        <v>7337</v>
      </c>
      <c r="M3232" s="63" t="s">
        <v>7338</v>
      </c>
      <c r="N3232" s="63" t="s">
        <v>1719</v>
      </c>
    </row>
    <row r="3233" spans="1:14" x14ac:dyDescent="0.2">
      <c r="A3233" s="51">
        <v>3232</v>
      </c>
      <c r="B3233" s="54" t="s">
        <v>861</v>
      </c>
      <c r="C3233" s="47" t="s">
        <v>7339</v>
      </c>
      <c r="D3233" s="47" t="s">
        <v>7340</v>
      </c>
      <c r="E3233" s="47" t="s">
        <v>1719</v>
      </c>
      <c r="F3233" s="55" t="b">
        <v>1</v>
      </c>
      <c r="G3233" s="54" t="b">
        <v>1</v>
      </c>
      <c r="H3233" s="54" t="b">
        <v>1</v>
      </c>
      <c r="I3233" s="54" t="b">
        <v>1</v>
      </c>
      <c r="J3233" s="54" t="b">
        <v>1</v>
      </c>
      <c r="K3233" s="63" t="s">
        <v>861</v>
      </c>
      <c r="L3233" s="63" t="s">
        <v>7339</v>
      </c>
      <c r="M3233" s="63" t="s">
        <v>7340</v>
      </c>
      <c r="N3233" s="63" t="s">
        <v>1719</v>
      </c>
    </row>
    <row r="3234" spans="1:14" x14ac:dyDescent="0.2">
      <c r="A3234" s="51">
        <v>3233</v>
      </c>
      <c r="B3234" s="54" t="s">
        <v>861</v>
      </c>
      <c r="C3234" s="47" t="s">
        <v>7313</v>
      </c>
      <c r="D3234" s="47" t="s">
        <v>7314</v>
      </c>
      <c r="E3234" s="47" t="s">
        <v>1719</v>
      </c>
      <c r="F3234" s="55" t="b">
        <v>1</v>
      </c>
      <c r="G3234" s="54" t="b">
        <v>1</v>
      </c>
      <c r="H3234" s="54" t="b">
        <v>1</v>
      </c>
      <c r="I3234" s="54" t="b">
        <v>1</v>
      </c>
      <c r="J3234" s="54" t="b">
        <v>1</v>
      </c>
      <c r="K3234" s="63" t="s">
        <v>861</v>
      </c>
      <c r="L3234" s="63" t="s">
        <v>7313</v>
      </c>
      <c r="M3234" s="63" t="s">
        <v>7314</v>
      </c>
      <c r="N3234" s="63" t="s">
        <v>1719</v>
      </c>
    </row>
    <row r="3235" spans="1:14" x14ac:dyDescent="0.2">
      <c r="A3235" s="51">
        <v>3234</v>
      </c>
      <c r="B3235" s="54" t="s">
        <v>861</v>
      </c>
      <c r="C3235" s="47" t="s">
        <v>7311</v>
      </c>
      <c r="D3235" s="47" t="s">
        <v>7312</v>
      </c>
      <c r="E3235" s="47" t="s">
        <v>1719</v>
      </c>
      <c r="F3235" s="55" t="b">
        <v>1</v>
      </c>
      <c r="G3235" s="54" t="b">
        <v>1</v>
      </c>
      <c r="H3235" s="54" t="b">
        <v>1</v>
      </c>
      <c r="I3235" s="54" t="b">
        <v>1</v>
      </c>
      <c r="J3235" s="54" t="b">
        <v>1</v>
      </c>
      <c r="K3235" s="63" t="s">
        <v>861</v>
      </c>
      <c r="L3235" s="63" t="s">
        <v>7311</v>
      </c>
      <c r="M3235" s="63" t="s">
        <v>7312</v>
      </c>
      <c r="N3235" s="63" t="s">
        <v>1719</v>
      </c>
    </row>
    <row r="3236" spans="1:14" x14ac:dyDescent="0.2">
      <c r="A3236" s="51">
        <v>3235</v>
      </c>
      <c r="B3236" s="54" t="s">
        <v>861</v>
      </c>
      <c r="C3236" s="47" t="s">
        <v>7307</v>
      </c>
      <c r="D3236" s="47" t="s">
        <v>7308</v>
      </c>
      <c r="E3236" s="47" t="s">
        <v>1719</v>
      </c>
      <c r="F3236" s="55" t="b">
        <v>1</v>
      </c>
      <c r="G3236" s="54" t="b">
        <v>1</v>
      </c>
      <c r="H3236" s="54" t="b">
        <v>1</v>
      </c>
      <c r="I3236" s="54" t="b">
        <v>1</v>
      </c>
      <c r="J3236" s="54" t="b">
        <v>1</v>
      </c>
      <c r="K3236" s="63" t="s">
        <v>861</v>
      </c>
      <c r="L3236" s="63" t="s">
        <v>7307</v>
      </c>
      <c r="M3236" s="63" t="s">
        <v>7308</v>
      </c>
      <c r="N3236" s="63" t="s">
        <v>1719</v>
      </c>
    </row>
    <row r="3237" spans="1:14" x14ac:dyDescent="0.2">
      <c r="A3237" s="51">
        <v>3236</v>
      </c>
      <c r="B3237" s="54" t="s">
        <v>861</v>
      </c>
      <c r="C3237" s="47" t="s">
        <v>7309</v>
      </c>
      <c r="D3237" s="47" t="s">
        <v>7310</v>
      </c>
      <c r="E3237" s="47" t="s">
        <v>1719</v>
      </c>
      <c r="F3237" s="55" t="b">
        <v>1</v>
      </c>
      <c r="G3237" s="54" t="b">
        <v>1</v>
      </c>
      <c r="H3237" s="54" t="b">
        <v>1</v>
      </c>
      <c r="I3237" s="54" t="b">
        <v>1</v>
      </c>
      <c r="J3237" s="54" t="b">
        <v>1</v>
      </c>
      <c r="K3237" s="63" t="s">
        <v>861</v>
      </c>
      <c r="L3237" s="63" t="s">
        <v>7309</v>
      </c>
      <c r="M3237" s="63" t="s">
        <v>7310</v>
      </c>
      <c r="N3237" s="63" t="s">
        <v>1719</v>
      </c>
    </row>
    <row r="3238" spans="1:14" x14ac:dyDescent="0.2">
      <c r="A3238" s="51">
        <v>3237</v>
      </c>
      <c r="B3238" s="54" t="s">
        <v>861</v>
      </c>
      <c r="C3238" s="47" t="s">
        <v>7317</v>
      </c>
      <c r="D3238" s="47" t="s">
        <v>13044</v>
      </c>
      <c r="E3238" s="47" t="s">
        <v>1719</v>
      </c>
      <c r="F3238" s="55" t="b">
        <v>1</v>
      </c>
      <c r="G3238" s="54" t="b">
        <v>1</v>
      </c>
      <c r="H3238" s="54" t="b">
        <v>1</v>
      </c>
      <c r="I3238" s="65" t="b">
        <v>0</v>
      </c>
      <c r="J3238" s="54" t="b">
        <v>1</v>
      </c>
      <c r="K3238" s="63" t="s">
        <v>861</v>
      </c>
      <c r="L3238" s="63" t="s">
        <v>7317</v>
      </c>
      <c r="M3238" s="63" t="s">
        <v>7318</v>
      </c>
      <c r="N3238" s="63" t="s">
        <v>1719</v>
      </c>
    </row>
    <row r="3239" spans="1:14" x14ac:dyDescent="0.2">
      <c r="A3239" s="51">
        <v>3238</v>
      </c>
      <c r="B3239" s="54" t="s">
        <v>861</v>
      </c>
      <c r="C3239" s="47" t="s">
        <v>7315</v>
      </c>
      <c r="D3239" s="47" t="s">
        <v>7316</v>
      </c>
      <c r="E3239" s="47" t="s">
        <v>1719</v>
      </c>
      <c r="F3239" s="55" t="b">
        <v>1</v>
      </c>
      <c r="G3239" s="54" t="b">
        <v>1</v>
      </c>
      <c r="H3239" s="54" t="b">
        <v>1</v>
      </c>
      <c r="I3239" s="54" t="b">
        <v>1</v>
      </c>
      <c r="J3239" s="54" t="b">
        <v>1</v>
      </c>
      <c r="K3239" s="63" t="s">
        <v>861</v>
      </c>
      <c r="L3239" s="63" t="s">
        <v>7315</v>
      </c>
      <c r="M3239" s="63" t="s">
        <v>7316</v>
      </c>
      <c r="N3239" s="63" t="s">
        <v>1719</v>
      </c>
    </row>
    <row r="3240" spans="1:14" x14ac:dyDescent="0.2">
      <c r="A3240" s="51">
        <v>3239</v>
      </c>
      <c r="B3240" s="54" t="s">
        <v>861</v>
      </c>
      <c r="C3240" s="47" t="s">
        <v>7303</v>
      </c>
      <c r="D3240" s="47" t="s">
        <v>7304</v>
      </c>
      <c r="E3240" s="47" t="s">
        <v>1719</v>
      </c>
      <c r="F3240" s="55" t="b">
        <v>1</v>
      </c>
      <c r="G3240" s="54" t="b">
        <v>1</v>
      </c>
      <c r="H3240" s="54" t="b">
        <v>1</v>
      </c>
      <c r="I3240" s="54" t="b">
        <v>1</v>
      </c>
      <c r="J3240" s="54" t="b">
        <v>1</v>
      </c>
      <c r="K3240" s="63" t="s">
        <v>861</v>
      </c>
      <c r="L3240" s="63" t="s">
        <v>7303</v>
      </c>
      <c r="M3240" s="63" t="s">
        <v>7304</v>
      </c>
      <c r="N3240" s="63" t="s">
        <v>1719</v>
      </c>
    </row>
    <row r="3241" spans="1:14" x14ac:dyDescent="0.2">
      <c r="A3241" s="51">
        <v>3240</v>
      </c>
      <c r="B3241" s="54" t="s">
        <v>861</v>
      </c>
      <c r="C3241" s="47" t="s">
        <v>7301</v>
      </c>
      <c r="D3241" s="47" t="s">
        <v>7302</v>
      </c>
      <c r="E3241" s="47" t="s">
        <v>1719</v>
      </c>
      <c r="F3241" s="55" t="b">
        <v>1</v>
      </c>
      <c r="G3241" s="54" t="b">
        <v>1</v>
      </c>
      <c r="H3241" s="54" t="b">
        <v>1</v>
      </c>
      <c r="I3241" s="54" t="b">
        <v>1</v>
      </c>
      <c r="J3241" s="54" t="b">
        <v>1</v>
      </c>
      <c r="K3241" s="63" t="s">
        <v>861</v>
      </c>
      <c r="L3241" s="63" t="s">
        <v>7301</v>
      </c>
      <c r="M3241" s="63" t="s">
        <v>7302</v>
      </c>
      <c r="N3241" s="63" t="s">
        <v>1719</v>
      </c>
    </row>
    <row r="3242" spans="1:14" x14ac:dyDescent="0.2">
      <c r="A3242" s="51">
        <v>3241</v>
      </c>
      <c r="B3242" s="54" t="s">
        <v>861</v>
      </c>
      <c r="C3242" s="47" t="s">
        <v>7299</v>
      </c>
      <c r="D3242" s="47" t="s">
        <v>7300</v>
      </c>
      <c r="E3242" s="47" t="s">
        <v>1719</v>
      </c>
      <c r="F3242" s="55" t="b">
        <v>1</v>
      </c>
      <c r="G3242" s="54" t="b">
        <v>1</v>
      </c>
      <c r="H3242" s="54" t="b">
        <v>1</v>
      </c>
      <c r="I3242" s="54" t="b">
        <v>1</v>
      </c>
      <c r="J3242" s="54" t="b">
        <v>1</v>
      </c>
      <c r="K3242" s="63" t="s">
        <v>861</v>
      </c>
      <c r="L3242" s="63" t="s">
        <v>7299</v>
      </c>
      <c r="M3242" s="63" t="s">
        <v>7300</v>
      </c>
      <c r="N3242" s="63" t="s">
        <v>1719</v>
      </c>
    </row>
    <row r="3243" spans="1:14" x14ac:dyDescent="0.2">
      <c r="A3243" s="51">
        <v>3242</v>
      </c>
      <c r="B3243" s="54" t="s">
        <v>861</v>
      </c>
      <c r="C3243" s="47" t="s">
        <v>7297</v>
      </c>
      <c r="D3243" s="47" t="s">
        <v>7298</v>
      </c>
      <c r="E3243" s="47" t="s">
        <v>1719</v>
      </c>
      <c r="F3243" s="55" t="b">
        <v>1</v>
      </c>
      <c r="G3243" s="54" t="b">
        <v>1</v>
      </c>
      <c r="H3243" s="54" t="b">
        <v>1</v>
      </c>
      <c r="I3243" s="54" t="b">
        <v>1</v>
      </c>
      <c r="J3243" s="54" t="b">
        <v>1</v>
      </c>
      <c r="K3243" s="63" t="s">
        <v>861</v>
      </c>
      <c r="L3243" s="63" t="s">
        <v>7297</v>
      </c>
      <c r="M3243" s="63" t="s">
        <v>7298</v>
      </c>
      <c r="N3243" s="63" t="s">
        <v>1719</v>
      </c>
    </row>
    <row r="3244" spans="1:14" x14ac:dyDescent="0.2">
      <c r="A3244" s="51">
        <v>3243</v>
      </c>
      <c r="B3244" s="54" t="s">
        <v>861</v>
      </c>
      <c r="C3244" s="47" t="s">
        <v>7333</v>
      </c>
      <c r="D3244" s="47" t="s">
        <v>7334</v>
      </c>
      <c r="E3244" s="47" t="s">
        <v>2046</v>
      </c>
      <c r="F3244" s="55" t="b">
        <v>1</v>
      </c>
      <c r="G3244" s="54" t="b">
        <v>1</v>
      </c>
      <c r="H3244" s="54" t="b">
        <v>1</v>
      </c>
      <c r="I3244" s="54" t="b">
        <v>1</v>
      </c>
      <c r="J3244" s="65" t="b">
        <v>0</v>
      </c>
      <c r="K3244" s="63" t="s">
        <v>861</v>
      </c>
      <c r="L3244" s="63" t="s">
        <v>7333</v>
      </c>
      <c r="M3244" s="63" t="s">
        <v>7334</v>
      </c>
      <c r="N3244" s="63" t="s">
        <v>4996</v>
      </c>
    </row>
    <row r="3245" spans="1:14" x14ac:dyDescent="0.2">
      <c r="A3245" s="51">
        <v>3244</v>
      </c>
      <c r="B3245" s="54" t="s">
        <v>863</v>
      </c>
      <c r="C3245" s="47" t="s">
        <v>7341</v>
      </c>
      <c r="D3245" s="47" t="s">
        <v>7342</v>
      </c>
      <c r="E3245" s="47" t="s">
        <v>2164</v>
      </c>
      <c r="F3245" s="55" t="b">
        <v>1</v>
      </c>
      <c r="G3245" s="54" t="b">
        <v>1</v>
      </c>
      <c r="H3245" s="54" t="b">
        <v>1</v>
      </c>
      <c r="I3245" s="54" t="b">
        <v>1</v>
      </c>
      <c r="J3245" s="54" t="b">
        <v>1</v>
      </c>
      <c r="K3245" s="63" t="s">
        <v>863</v>
      </c>
      <c r="L3245" s="63" t="s">
        <v>7341</v>
      </c>
      <c r="M3245" s="63" t="s">
        <v>7342</v>
      </c>
      <c r="N3245" s="63" t="s">
        <v>2164</v>
      </c>
    </row>
    <row r="3246" spans="1:14" x14ac:dyDescent="0.2">
      <c r="A3246" s="51">
        <v>3245</v>
      </c>
      <c r="B3246" s="54" t="s">
        <v>863</v>
      </c>
      <c r="C3246" s="47" t="s">
        <v>7343</v>
      </c>
      <c r="D3246" s="47" t="s">
        <v>7344</v>
      </c>
      <c r="E3246" s="47" t="s">
        <v>2164</v>
      </c>
      <c r="F3246" s="55" t="b">
        <v>1</v>
      </c>
      <c r="G3246" s="54" t="b">
        <v>1</v>
      </c>
      <c r="H3246" s="54" t="b">
        <v>1</v>
      </c>
      <c r="I3246" s="54" t="b">
        <v>1</v>
      </c>
      <c r="J3246" s="54" t="b">
        <v>1</v>
      </c>
      <c r="K3246" s="63" t="s">
        <v>863</v>
      </c>
      <c r="L3246" s="63" t="s">
        <v>7343</v>
      </c>
      <c r="M3246" s="63" t="s">
        <v>7344</v>
      </c>
      <c r="N3246" s="63" t="s">
        <v>2164</v>
      </c>
    </row>
    <row r="3247" spans="1:14" x14ac:dyDescent="0.2">
      <c r="A3247" s="51">
        <v>3246</v>
      </c>
      <c r="B3247" s="54" t="s">
        <v>863</v>
      </c>
      <c r="C3247" s="47" t="s">
        <v>7345</v>
      </c>
      <c r="D3247" s="47" t="s">
        <v>7346</v>
      </c>
      <c r="E3247" s="47" t="s">
        <v>2164</v>
      </c>
      <c r="F3247" s="55" t="b">
        <v>1</v>
      </c>
      <c r="G3247" s="54" t="b">
        <v>1</v>
      </c>
      <c r="H3247" s="54" t="b">
        <v>1</v>
      </c>
      <c r="I3247" s="54" t="b">
        <v>1</v>
      </c>
      <c r="J3247" s="54" t="b">
        <v>1</v>
      </c>
      <c r="K3247" s="63" t="s">
        <v>863</v>
      </c>
      <c r="L3247" s="63" t="s">
        <v>7345</v>
      </c>
      <c r="M3247" s="63" t="s">
        <v>7346</v>
      </c>
      <c r="N3247" s="63" t="s">
        <v>2164</v>
      </c>
    </row>
    <row r="3248" spans="1:14" x14ac:dyDescent="0.2">
      <c r="A3248" s="51">
        <v>3247</v>
      </c>
      <c r="B3248" s="54" t="s">
        <v>863</v>
      </c>
      <c r="C3248" s="47" t="s">
        <v>7347</v>
      </c>
      <c r="D3248" s="47" t="s">
        <v>7348</v>
      </c>
      <c r="E3248" s="47" t="s">
        <v>2164</v>
      </c>
      <c r="F3248" s="55" t="b">
        <v>1</v>
      </c>
      <c r="G3248" s="54" t="b">
        <v>1</v>
      </c>
      <c r="H3248" s="54" t="b">
        <v>1</v>
      </c>
      <c r="I3248" s="54" t="b">
        <v>1</v>
      </c>
      <c r="J3248" s="54" t="b">
        <v>1</v>
      </c>
      <c r="K3248" s="63" t="s">
        <v>863</v>
      </c>
      <c r="L3248" s="63" t="s">
        <v>7347</v>
      </c>
      <c r="M3248" s="63" t="s">
        <v>7348</v>
      </c>
      <c r="N3248" s="63" t="s">
        <v>2164</v>
      </c>
    </row>
    <row r="3249" spans="1:14" x14ac:dyDescent="0.2">
      <c r="A3249" s="51">
        <v>3248</v>
      </c>
      <c r="B3249" s="54" t="s">
        <v>863</v>
      </c>
      <c r="C3249" s="47" t="s">
        <v>7349</v>
      </c>
      <c r="D3249" s="47" t="s">
        <v>7350</v>
      </c>
      <c r="E3249" s="47" t="s">
        <v>2164</v>
      </c>
      <c r="F3249" s="55" t="b">
        <v>1</v>
      </c>
      <c r="G3249" s="54" t="b">
        <v>1</v>
      </c>
      <c r="H3249" s="54" t="b">
        <v>1</v>
      </c>
      <c r="I3249" s="54" t="b">
        <v>1</v>
      </c>
      <c r="J3249" s="54" t="b">
        <v>1</v>
      </c>
      <c r="K3249" s="63" t="s">
        <v>863</v>
      </c>
      <c r="L3249" s="63" t="s">
        <v>7349</v>
      </c>
      <c r="M3249" s="63" t="s">
        <v>7350</v>
      </c>
      <c r="N3249" s="63" t="s">
        <v>2164</v>
      </c>
    </row>
    <row r="3250" spans="1:14" x14ac:dyDescent="0.2">
      <c r="A3250" s="51">
        <v>3249</v>
      </c>
      <c r="B3250" s="54" t="s">
        <v>863</v>
      </c>
      <c r="C3250" s="47" t="s">
        <v>7351</v>
      </c>
      <c r="D3250" s="47" t="s">
        <v>7352</v>
      </c>
      <c r="E3250" s="47" t="s">
        <v>2164</v>
      </c>
      <c r="F3250" s="55" t="b">
        <v>1</v>
      </c>
      <c r="G3250" s="54" t="b">
        <v>1</v>
      </c>
      <c r="H3250" s="54" t="b">
        <v>1</v>
      </c>
      <c r="I3250" s="54" t="b">
        <v>1</v>
      </c>
      <c r="J3250" s="54" t="b">
        <v>1</v>
      </c>
      <c r="K3250" s="63" t="s">
        <v>863</v>
      </c>
      <c r="L3250" s="63" t="s">
        <v>7351</v>
      </c>
      <c r="M3250" s="63" t="s">
        <v>7352</v>
      </c>
      <c r="N3250" s="63" t="s">
        <v>2164</v>
      </c>
    </row>
    <row r="3251" spans="1:14" x14ac:dyDescent="0.2">
      <c r="A3251" s="51">
        <v>3250</v>
      </c>
      <c r="B3251" s="54" t="s">
        <v>863</v>
      </c>
      <c r="C3251" s="47" t="s">
        <v>7353</v>
      </c>
      <c r="D3251" s="47" t="s">
        <v>7354</v>
      </c>
      <c r="E3251" s="47" t="s">
        <v>2164</v>
      </c>
      <c r="F3251" s="55" t="b">
        <v>1</v>
      </c>
      <c r="G3251" s="54" t="b">
        <v>1</v>
      </c>
      <c r="H3251" s="54" t="b">
        <v>1</v>
      </c>
      <c r="I3251" s="54" t="b">
        <v>1</v>
      </c>
      <c r="J3251" s="54" t="b">
        <v>1</v>
      </c>
      <c r="K3251" s="63" t="s">
        <v>863</v>
      </c>
      <c r="L3251" s="63" t="s">
        <v>7353</v>
      </c>
      <c r="M3251" s="63" t="s">
        <v>7354</v>
      </c>
      <c r="N3251" s="63" t="s">
        <v>2164</v>
      </c>
    </row>
    <row r="3252" spans="1:14" x14ac:dyDescent="0.2">
      <c r="A3252" s="51">
        <v>3251</v>
      </c>
      <c r="B3252" s="54" t="s">
        <v>863</v>
      </c>
      <c r="C3252" s="47" t="s">
        <v>7355</v>
      </c>
      <c r="D3252" s="47" t="s">
        <v>13047</v>
      </c>
      <c r="E3252" s="47" t="s">
        <v>2164</v>
      </c>
      <c r="F3252" s="55" t="b">
        <v>1</v>
      </c>
      <c r="G3252" s="54" t="b">
        <v>1</v>
      </c>
      <c r="H3252" s="54" t="b">
        <v>1</v>
      </c>
      <c r="I3252" s="65" t="b">
        <v>0</v>
      </c>
      <c r="J3252" s="54" t="b">
        <v>1</v>
      </c>
      <c r="K3252" s="63" t="s">
        <v>863</v>
      </c>
      <c r="L3252" s="63" t="s">
        <v>7355</v>
      </c>
      <c r="M3252" s="63" t="s">
        <v>7356</v>
      </c>
      <c r="N3252" s="63" t="s">
        <v>2164</v>
      </c>
    </row>
    <row r="3253" spans="1:14" x14ac:dyDescent="0.2">
      <c r="A3253" s="51">
        <v>3252</v>
      </c>
      <c r="B3253" s="54" t="s">
        <v>863</v>
      </c>
      <c r="C3253" s="47" t="s">
        <v>7357</v>
      </c>
      <c r="D3253" s="47" t="s">
        <v>7358</v>
      </c>
      <c r="E3253" s="47" t="s">
        <v>2164</v>
      </c>
      <c r="F3253" s="55" t="b">
        <v>1</v>
      </c>
      <c r="G3253" s="54" t="b">
        <v>1</v>
      </c>
      <c r="H3253" s="54" t="b">
        <v>1</v>
      </c>
      <c r="I3253" s="54" t="b">
        <v>1</v>
      </c>
      <c r="J3253" s="54" t="b">
        <v>1</v>
      </c>
      <c r="K3253" s="63" t="s">
        <v>863</v>
      </c>
      <c r="L3253" s="63" t="s">
        <v>7357</v>
      </c>
      <c r="M3253" s="63" t="s">
        <v>7358</v>
      </c>
      <c r="N3253" s="63" t="s">
        <v>2164</v>
      </c>
    </row>
    <row r="3254" spans="1:14" x14ac:dyDescent="0.2">
      <c r="A3254" s="51">
        <v>3253</v>
      </c>
      <c r="B3254" s="54" t="s">
        <v>863</v>
      </c>
      <c r="C3254" s="47" t="s">
        <v>7359</v>
      </c>
      <c r="D3254" s="47" t="s">
        <v>7360</v>
      </c>
      <c r="E3254" s="47" t="s">
        <v>2164</v>
      </c>
      <c r="F3254" s="55" t="b">
        <v>1</v>
      </c>
      <c r="G3254" s="54" t="b">
        <v>1</v>
      </c>
      <c r="H3254" s="54" t="b">
        <v>1</v>
      </c>
      <c r="I3254" s="54" t="b">
        <v>1</v>
      </c>
      <c r="J3254" s="54" t="b">
        <v>1</v>
      </c>
      <c r="K3254" s="63" t="s">
        <v>863</v>
      </c>
      <c r="L3254" s="63" t="s">
        <v>7359</v>
      </c>
      <c r="M3254" s="63" t="s">
        <v>7360</v>
      </c>
      <c r="N3254" s="63" t="s">
        <v>2164</v>
      </c>
    </row>
    <row r="3255" spans="1:14" x14ac:dyDescent="0.2">
      <c r="A3255" s="51">
        <v>3254</v>
      </c>
      <c r="B3255" s="54" t="s">
        <v>863</v>
      </c>
      <c r="C3255" s="47" t="s">
        <v>7361</v>
      </c>
      <c r="D3255" s="47" t="s">
        <v>7362</v>
      </c>
      <c r="E3255" s="47" t="s">
        <v>2164</v>
      </c>
      <c r="F3255" s="55" t="b">
        <v>1</v>
      </c>
      <c r="G3255" s="54" t="b">
        <v>1</v>
      </c>
      <c r="H3255" s="54" t="b">
        <v>1</v>
      </c>
      <c r="I3255" s="54" t="b">
        <v>1</v>
      </c>
      <c r="J3255" s="54" t="b">
        <v>1</v>
      </c>
      <c r="K3255" s="63" t="s">
        <v>863</v>
      </c>
      <c r="L3255" s="63" t="s">
        <v>7361</v>
      </c>
      <c r="M3255" s="63" t="s">
        <v>7362</v>
      </c>
      <c r="N3255" s="63" t="s">
        <v>2164</v>
      </c>
    </row>
    <row r="3256" spans="1:14" x14ac:dyDescent="0.2">
      <c r="A3256" s="51">
        <v>3255</v>
      </c>
      <c r="B3256" s="54" t="s">
        <v>863</v>
      </c>
      <c r="C3256" s="47" t="s">
        <v>7363</v>
      </c>
      <c r="D3256" s="47" t="s">
        <v>13048</v>
      </c>
      <c r="E3256" s="47" t="s">
        <v>2164</v>
      </c>
      <c r="F3256" s="55" t="b">
        <v>1</v>
      </c>
      <c r="G3256" s="54" t="b">
        <v>1</v>
      </c>
      <c r="H3256" s="54" t="b">
        <v>1</v>
      </c>
      <c r="I3256" s="65" t="b">
        <v>0</v>
      </c>
      <c r="J3256" s="54" t="b">
        <v>1</v>
      </c>
      <c r="K3256" s="63" t="s">
        <v>863</v>
      </c>
      <c r="L3256" s="63" t="s">
        <v>7363</v>
      </c>
      <c r="M3256" s="63" t="s">
        <v>7364</v>
      </c>
      <c r="N3256" s="63" t="s">
        <v>2164</v>
      </c>
    </row>
    <row r="3257" spans="1:14" x14ac:dyDescent="0.2">
      <c r="A3257" s="51">
        <v>3256</v>
      </c>
      <c r="B3257" s="54" t="s">
        <v>863</v>
      </c>
      <c r="C3257" s="47" t="s">
        <v>7365</v>
      </c>
      <c r="D3257" s="47" t="s">
        <v>7366</v>
      </c>
      <c r="E3257" s="47" t="s">
        <v>2164</v>
      </c>
      <c r="F3257" s="55" t="b">
        <v>1</v>
      </c>
      <c r="G3257" s="54" t="b">
        <v>1</v>
      </c>
      <c r="H3257" s="54" t="b">
        <v>1</v>
      </c>
      <c r="I3257" s="54" t="b">
        <v>1</v>
      </c>
      <c r="J3257" s="54" t="b">
        <v>1</v>
      </c>
      <c r="K3257" s="63" t="s">
        <v>863</v>
      </c>
      <c r="L3257" s="63" t="s">
        <v>7365</v>
      </c>
      <c r="M3257" s="63" t="s">
        <v>7366</v>
      </c>
      <c r="N3257" s="63" t="s">
        <v>2164</v>
      </c>
    </row>
    <row r="3258" spans="1:14" x14ac:dyDescent="0.2">
      <c r="A3258" s="51">
        <v>3257</v>
      </c>
      <c r="B3258" s="54" t="s">
        <v>863</v>
      </c>
      <c r="C3258" s="47" t="s">
        <v>7367</v>
      </c>
      <c r="D3258" s="47" t="s">
        <v>7368</v>
      </c>
      <c r="E3258" s="47" t="s">
        <v>2164</v>
      </c>
      <c r="F3258" s="55" t="b">
        <v>1</v>
      </c>
      <c r="G3258" s="54" t="b">
        <v>1</v>
      </c>
      <c r="H3258" s="54" t="b">
        <v>1</v>
      </c>
      <c r="I3258" s="54" t="b">
        <v>1</v>
      </c>
      <c r="J3258" s="54" t="b">
        <v>1</v>
      </c>
      <c r="K3258" s="63" t="s">
        <v>863</v>
      </c>
      <c r="L3258" s="63" t="s">
        <v>7367</v>
      </c>
      <c r="M3258" s="63" t="s">
        <v>7368</v>
      </c>
      <c r="N3258" s="63" t="s">
        <v>2164</v>
      </c>
    </row>
    <row r="3259" spans="1:14" x14ac:dyDescent="0.2">
      <c r="A3259" s="51">
        <v>3258</v>
      </c>
      <c r="B3259" s="54" t="s">
        <v>863</v>
      </c>
      <c r="C3259" s="47" t="s">
        <v>7369</v>
      </c>
      <c r="D3259" s="47" t="s">
        <v>7370</v>
      </c>
      <c r="E3259" s="47" t="s">
        <v>2164</v>
      </c>
      <c r="F3259" s="55" t="b">
        <v>1</v>
      </c>
      <c r="G3259" s="54" t="b">
        <v>1</v>
      </c>
      <c r="H3259" s="54" t="b">
        <v>1</v>
      </c>
      <c r="I3259" s="54" t="b">
        <v>1</v>
      </c>
      <c r="J3259" s="54" t="b">
        <v>1</v>
      </c>
      <c r="K3259" s="63" t="s">
        <v>863</v>
      </c>
      <c r="L3259" s="63" t="s">
        <v>7369</v>
      </c>
      <c r="M3259" s="63" t="s">
        <v>7370</v>
      </c>
      <c r="N3259" s="63" t="s">
        <v>2164</v>
      </c>
    </row>
    <row r="3260" spans="1:14" x14ac:dyDescent="0.2">
      <c r="A3260" s="51">
        <v>3259</v>
      </c>
      <c r="B3260" s="54" t="s">
        <v>863</v>
      </c>
      <c r="C3260" s="47" t="s">
        <v>7371</v>
      </c>
      <c r="D3260" s="47" t="s">
        <v>7372</v>
      </c>
      <c r="E3260" s="47" t="s">
        <v>2164</v>
      </c>
      <c r="F3260" s="55" t="b">
        <v>1</v>
      </c>
      <c r="G3260" s="54" t="b">
        <v>1</v>
      </c>
      <c r="H3260" s="54" t="b">
        <v>1</v>
      </c>
      <c r="I3260" s="54" t="b">
        <v>1</v>
      </c>
      <c r="J3260" s="54" t="b">
        <v>1</v>
      </c>
      <c r="K3260" s="63" t="s">
        <v>863</v>
      </c>
      <c r="L3260" s="63" t="s">
        <v>7371</v>
      </c>
      <c r="M3260" s="63" t="s">
        <v>7372</v>
      </c>
      <c r="N3260" s="63" t="s">
        <v>2164</v>
      </c>
    </row>
    <row r="3261" spans="1:14" x14ac:dyDescent="0.2">
      <c r="A3261" s="51">
        <v>3260</v>
      </c>
      <c r="B3261" s="54" t="s">
        <v>863</v>
      </c>
      <c r="C3261" s="47" t="s">
        <v>7373</v>
      </c>
      <c r="D3261" s="47" t="s">
        <v>7374</v>
      </c>
      <c r="E3261" s="47" t="s">
        <v>2164</v>
      </c>
      <c r="F3261" s="55" t="b">
        <v>1</v>
      </c>
      <c r="G3261" s="54" t="b">
        <v>1</v>
      </c>
      <c r="H3261" s="54" t="b">
        <v>1</v>
      </c>
      <c r="I3261" s="54" t="b">
        <v>1</v>
      </c>
      <c r="J3261" s="54" t="b">
        <v>1</v>
      </c>
      <c r="K3261" s="63" t="s">
        <v>863</v>
      </c>
      <c r="L3261" s="63" t="s">
        <v>7373</v>
      </c>
      <c r="M3261" s="63" t="s">
        <v>7374</v>
      </c>
      <c r="N3261" s="63" t="s">
        <v>2164</v>
      </c>
    </row>
    <row r="3262" spans="1:14" x14ac:dyDescent="0.2">
      <c r="A3262" s="51">
        <v>3261</v>
      </c>
      <c r="B3262" s="54" t="s">
        <v>863</v>
      </c>
      <c r="C3262" s="47" t="s">
        <v>7379</v>
      </c>
      <c r="D3262" s="47" t="s">
        <v>7380</v>
      </c>
      <c r="E3262" s="47" t="s">
        <v>2164</v>
      </c>
      <c r="F3262" s="55" t="b">
        <v>1</v>
      </c>
      <c r="G3262" s="54" t="b">
        <v>1</v>
      </c>
      <c r="H3262" s="54" t="b">
        <v>1</v>
      </c>
      <c r="I3262" s="54" t="b">
        <v>1</v>
      </c>
      <c r="J3262" s="54" t="b">
        <v>1</v>
      </c>
      <c r="K3262" s="63" t="s">
        <v>863</v>
      </c>
      <c r="L3262" s="63" t="s">
        <v>7379</v>
      </c>
      <c r="M3262" s="63" t="s">
        <v>7380</v>
      </c>
      <c r="N3262" s="63" t="s">
        <v>2164</v>
      </c>
    </row>
    <row r="3263" spans="1:14" x14ac:dyDescent="0.2">
      <c r="A3263" s="51">
        <v>3262</v>
      </c>
      <c r="B3263" s="54" t="s">
        <v>863</v>
      </c>
      <c r="C3263" s="47" t="s">
        <v>7375</v>
      </c>
      <c r="D3263" s="47" t="s">
        <v>7376</v>
      </c>
      <c r="E3263" s="47" t="s">
        <v>2164</v>
      </c>
      <c r="F3263" s="55" t="b">
        <v>1</v>
      </c>
      <c r="G3263" s="54" t="b">
        <v>1</v>
      </c>
      <c r="H3263" s="54" t="b">
        <v>1</v>
      </c>
      <c r="I3263" s="54" t="b">
        <v>1</v>
      </c>
      <c r="J3263" s="54" t="b">
        <v>1</v>
      </c>
      <c r="K3263" s="63" t="s">
        <v>863</v>
      </c>
      <c r="L3263" s="63" t="s">
        <v>7375</v>
      </c>
      <c r="M3263" s="63" t="s">
        <v>7376</v>
      </c>
      <c r="N3263" s="63" t="s">
        <v>2164</v>
      </c>
    </row>
    <row r="3264" spans="1:14" x14ac:dyDescent="0.2">
      <c r="A3264" s="51">
        <v>3263</v>
      </c>
      <c r="B3264" s="54" t="s">
        <v>863</v>
      </c>
      <c r="C3264" s="47" t="s">
        <v>7377</v>
      </c>
      <c r="D3264" s="47" t="s">
        <v>7378</v>
      </c>
      <c r="E3264" s="47" t="s">
        <v>2164</v>
      </c>
      <c r="F3264" s="55" t="b">
        <v>1</v>
      </c>
      <c r="G3264" s="54" t="b">
        <v>1</v>
      </c>
      <c r="H3264" s="54" t="b">
        <v>1</v>
      </c>
      <c r="I3264" s="54" t="b">
        <v>1</v>
      </c>
      <c r="J3264" s="54" t="b">
        <v>1</v>
      </c>
      <c r="K3264" s="63" t="s">
        <v>863</v>
      </c>
      <c r="L3264" s="63" t="s">
        <v>7377</v>
      </c>
      <c r="M3264" s="63" t="s">
        <v>7378</v>
      </c>
      <c r="N3264" s="63" t="s">
        <v>2164</v>
      </c>
    </row>
    <row r="3265" spans="1:14" x14ac:dyDescent="0.2">
      <c r="A3265" s="51">
        <v>3264</v>
      </c>
      <c r="B3265" s="54" t="s">
        <v>863</v>
      </c>
      <c r="C3265" s="47" t="s">
        <v>7381</v>
      </c>
      <c r="D3265" s="47" t="s">
        <v>7382</v>
      </c>
      <c r="E3265" s="47" t="s">
        <v>2164</v>
      </c>
      <c r="F3265" s="55" t="b">
        <v>1</v>
      </c>
      <c r="G3265" s="54" t="b">
        <v>1</v>
      </c>
      <c r="H3265" s="54" t="b">
        <v>1</v>
      </c>
      <c r="I3265" s="54" t="b">
        <v>1</v>
      </c>
      <c r="J3265" s="54" t="b">
        <v>1</v>
      </c>
      <c r="K3265" s="63" t="s">
        <v>863</v>
      </c>
      <c r="L3265" s="63" t="s">
        <v>7381</v>
      </c>
      <c r="M3265" s="63" t="s">
        <v>7382</v>
      </c>
      <c r="N3265" s="63" t="s">
        <v>2164</v>
      </c>
    </row>
    <row r="3266" spans="1:14" x14ac:dyDescent="0.2">
      <c r="A3266" s="51">
        <v>3265</v>
      </c>
      <c r="B3266" s="54" t="s">
        <v>863</v>
      </c>
      <c r="C3266" s="47" t="s">
        <v>13045</v>
      </c>
      <c r="D3266" s="47" t="s">
        <v>13046</v>
      </c>
      <c r="E3266" s="47" t="s">
        <v>2164</v>
      </c>
      <c r="F3266" s="55" t="b">
        <v>1</v>
      </c>
      <c r="G3266" s="65" t="b">
        <v>0</v>
      </c>
      <c r="H3266" s="65" t="b">
        <v>0</v>
      </c>
      <c r="I3266" s="65" t="b">
        <v>0</v>
      </c>
      <c r="J3266" s="65" t="b">
        <v>0</v>
      </c>
    </row>
    <row r="3267" spans="1:14" x14ac:dyDescent="0.2">
      <c r="A3267" s="51">
        <v>3266</v>
      </c>
      <c r="B3267" s="54" t="s">
        <v>863</v>
      </c>
      <c r="C3267" s="47" t="s">
        <v>13049</v>
      </c>
      <c r="D3267" s="47" t="s">
        <v>13050</v>
      </c>
      <c r="E3267" s="47" t="s">
        <v>2164</v>
      </c>
      <c r="F3267" s="55" t="b">
        <v>1</v>
      </c>
      <c r="G3267" s="65" t="b">
        <v>0</v>
      </c>
      <c r="H3267" s="65" t="b">
        <v>0</v>
      </c>
      <c r="I3267" s="65" t="b">
        <v>0</v>
      </c>
      <c r="J3267" s="65" t="b">
        <v>0</v>
      </c>
    </row>
    <row r="3268" spans="1:14" x14ac:dyDescent="0.2">
      <c r="A3268" s="51">
        <v>3267</v>
      </c>
      <c r="B3268" s="56" t="s">
        <v>865</v>
      </c>
      <c r="C3268" s="47" t="s">
        <v>13051</v>
      </c>
      <c r="D3268" s="47" t="s">
        <v>13052</v>
      </c>
      <c r="E3268" s="47" t="s">
        <v>1970</v>
      </c>
      <c r="F3268" s="55" t="b">
        <v>1</v>
      </c>
      <c r="G3268" s="65" t="b">
        <v>0</v>
      </c>
      <c r="H3268" s="65" t="b">
        <v>0</v>
      </c>
      <c r="I3268" s="65" t="b">
        <v>0</v>
      </c>
      <c r="J3268" s="65" t="b">
        <v>0</v>
      </c>
    </row>
    <row r="3269" spans="1:14" x14ac:dyDescent="0.2">
      <c r="A3269" s="51">
        <v>3268</v>
      </c>
      <c r="B3269" s="56" t="s">
        <v>865</v>
      </c>
      <c r="C3269" s="47" t="s">
        <v>13053</v>
      </c>
      <c r="D3269" s="47" t="s">
        <v>13054</v>
      </c>
      <c r="E3269" s="47" t="s">
        <v>1970</v>
      </c>
      <c r="F3269" s="55" t="b">
        <v>1</v>
      </c>
      <c r="G3269" s="65" t="b">
        <v>0</v>
      </c>
      <c r="H3269" s="65" t="b">
        <v>0</v>
      </c>
      <c r="I3269" s="65" t="b">
        <v>0</v>
      </c>
      <c r="J3269" s="65" t="b">
        <v>0</v>
      </c>
    </row>
    <row r="3270" spans="1:14" x14ac:dyDescent="0.2">
      <c r="A3270" s="51">
        <v>3269</v>
      </c>
      <c r="B3270" s="56" t="s">
        <v>865</v>
      </c>
      <c r="C3270" s="47" t="s">
        <v>13055</v>
      </c>
      <c r="D3270" s="47" t="s">
        <v>2033</v>
      </c>
      <c r="E3270" s="47" t="s">
        <v>1970</v>
      </c>
      <c r="F3270" s="55" t="b">
        <v>1</v>
      </c>
      <c r="G3270" s="65" t="b">
        <v>0</v>
      </c>
      <c r="H3270" s="65" t="b">
        <v>0</v>
      </c>
      <c r="I3270" s="65" t="b">
        <v>0</v>
      </c>
      <c r="J3270" s="65" t="b">
        <v>0</v>
      </c>
    </row>
    <row r="3271" spans="1:14" x14ac:dyDescent="0.2">
      <c r="A3271" s="51">
        <v>3270</v>
      </c>
      <c r="B3271" s="54" t="s">
        <v>867</v>
      </c>
      <c r="C3271" s="47" t="s">
        <v>7521</v>
      </c>
      <c r="D3271" s="47" t="s">
        <v>7522</v>
      </c>
      <c r="E3271" s="47" t="s">
        <v>2087</v>
      </c>
      <c r="F3271" s="55" t="b">
        <v>1</v>
      </c>
      <c r="G3271" s="54" t="b">
        <v>1</v>
      </c>
      <c r="H3271" s="54" t="b">
        <v>1</v>
      </c>
      <c r="I3271" s="54" t="b">
        <v>1</v>
      </c>
      <c r="J3271" s="65" t="b">
        <v>0</v>
      </c>
      <c r="K3271" s="63" t="s">
        <v>867</v>
      </c>
      <c r="L3271" s="63" t="s">
        <v>7521</v>
      </c>
      <c r="M3271" s="63" t="s">
        <v>7522</v>
      </c>
      <c r="N3271" s="63" t="s">
        <v>7409</v>
      </c>
    </row>
    <row r="3272" spans="1:14" x14ac:dyDescent="0.2">
      <c r="A3272" s="51">
        <v>3271</v>
      </c>
      <c r="B3272" s="54" t="s">
        <v>867</v>
      </c>
      <c r="C3272" s="47" t="s">
        <v>7436</v>
      </c>
      <c r="D3272" s="47" t="s">
        <v>7437</v>
      </c>
      <c r="E3272" s="47" t="s">
        <v>2087</v>
      </c>
      <c r="F3272" s="55" t="b">
        <v>1</v>
      </c>
      <c r="G3272" s="54" t="b">
        <v>1</v>
      </c>
      <c r="H3272" s="54" t="b">
        <v>1</v>
      </c>
      <c r="I3272" s="54" t="b">
        <v>1</v>
      </c>
      <c r="J3272" s="65" t="b">
        <v>0</v>
      </c>
      <c r="K3272" s="63" t="s">
        <v>867</v>
      </c>
      <c r="L3272" s="63" t="s">
        <v>7436</v>
      </c>
      <c r="M3272" s="63" t="s">
        <v>7437</v>
      </c>
      <c r="N3272" s="63" t="s">
        <v>7409</v>
      </c>
    </row>
    <row r="3273" spans="1:14" x14ac:dyDescent="0.2">
      <c r="A3273" s="51">
        <v>3272</v>
      </c>
      <c r="B3273" s="54" t="s">
        <v>867</v>
      </c>
      <c r="C3273" s="47" t="s">
        <v>7533</v>
      </c>
      <c r="D3273" s="47" t="s">
        <v>7534</v>
      </c>
      <c r="E3273" s="47" t="s">
        <v>2087</v>
      </c>
      <c r="F3273" s="55" t="b">
        <v>1</v>
      </c>
      <c r="G3273" s="54" t="b">
        <v>1</v>
      </c>
      <c r="H3273" s="54" t="b">
        <v>1</v>
      </c>
      <c r="I3273" s="54" t="b">
        <v>1</v>
      </c>
      <c r="J3273" s="65" t="b">
        <v>0</v>
      </c>
      <c r="K3273" s="63" t="s">
        <v>867</v>
      </c>
      <c r="L3273" s="63" t="s">
        <v>7533</v>
      </c>
      <c r="M3273" s="63" t="s">
        <v>7534</v>
      </c>
      <c r="N3273" s="63" t="s">
        <v>7409</v>
      </c>
    </row>
    <row r="3274" spans="1:14" x14ac:dyDescent="0.2">
      <c r="A3274" s="51">
        <v>3273</v>
      </c>
      <c r="B3274" s="54" t="s">
        <v>867</v>
      </c>
      <c r="C3274" s="47" t="s">
        <v>7460</v>
      </c>
      <c r="D3274" s="47" t="s">
        <v>13061</v>
      </c>
      <c r="E3274" s="47" t="s">
        <v>2087</v>
      </c>
      <c r="F3274" s="55" t="b">
        <v>1</v>
      </c>
      <c r="G3274" s="54" t="b">
        <v>1</v>
      </c>
      <c r="H3274" s="54" t="b">
        <v>1</v>
      </c>
      <c r="I3274" s="65" t="b">
        <v>0</v>
      </c>
      <c r="J3274" s="65" t="b">
        <v>0</v>
      </c>
      <c r="K3274" s="63" t="s">
        <v>867</v>
      </c>
      <c r="L3274" s="63" t="s">
        <v>7460</v>
      </c>
      <c r="M3274" s="63" t="s">
        <v>7461</v>
      </c>
      <c r="N3274" s="63" t="s">
        <v>7409</v>
      </c>
    </row>
    <row r="3275" spans="1:14" x14ac:dyDescent="0.2">
      <c r="A3275" s="51">
        <v>3274</v>
      </c>
      <c r="B3275" s="54" t="s">
        <v>867</v>
      </c>
      <c r="C3275" s="47" t="s">
        <v>7432</v>
      </c>
      <c r="D3275" s="47" t="s">
        <v>7433</v>
      </c>
      <c r="E3275" s="47" t="s">
        <v>2087</v>
      </c>
      <c r="F3275" s="55" t="b">
        <v>1</v>
      </c>
      <c r="G3275" s="54" t="b">
        <v>1</v>
      </c>
      <c r="H3275" s="54" t="b">
        <v>1</v>
      </c>
      <c r="I3275" s="54" t="b">
        <v>1</v>
      </c>
      <c r="J3275" s="65" t="b">
        <v>0</v>
      </c>
      <c r="K3275" s="63" t="s">
        <v>867</v>
      </c>
      <c r="L3275" s="63" t="s">
        <v>7432</v>
      </c>
      <c r="M3275" s="63" t="s">
        <v>7433</v>
      </c>
      <c r="N3275" s="63" t="s">
        <v>7409</v>
      </c>
    </row>
    <row r="3276" spans="1:14" x14ac:dyDescent="0.2">
      <c r="A3276" s="51">
        <v>3275</v>
      </c>
      <c r="B3276" s="54" t="s">
        <v>867</v>
      </c>
      <c r="C3276" s="47" t="s">
        <v>7476</v>
      </c>
      <c r="D3276" s="47" t="s">
        <v>7477</v>
      </c>
      <c r="E3276" s="47" t="s">
        <v>2087</v>
      </c>
      <c r="F3276" s="55" t="b">
        <v>1</v>
      </c>
      <c r="G3276" s="54" t="b">
        <v>1</v>
      </c>
      <c r="H3276" s="54" t="b">
        <v>1</v>
      </c>
      <c r="I3276" s="54" t="b">
        <v>1</v>
      </c>
      <c r="J3276" s="65" t="b">
        <v>0</v>
      </c>
      <c r="K3276" s="63" t="s">
        <v>867</v>
      </c>
      <c r="L3276" s="63" t="s">
        <v>7476</v>
      </c>
      <c r="M3276" s="63" t="s">
        <v>7477</v>
      </c>
      <c r="N3276" s="63" t="s">
        <v>7409</v>
      </c>
    </row>
    <row r="3277" spans="1:14" x14ac:dyDescent="0.2">
      <c r="A3277" s="51">
        <v>3276</v>
      </c>
      <c r="B3277" s="54" t="s">
        <v>867</v>
      </c>
      <c r="C3277" s="47" t="s">
        <v>7498</v>
      </c>
      <c r="D3277" s="47" t="s">
        <v>13062</v>
      </c>
      <c r="E3277" s="47" t="s">
        <v>2087</v>
      </c>
      <c r="F3277" s="55" t="b">
        <v>1</v>
      </c>
      <c r="G3277" s="54" t="b">
        <v>1</v>
      </c>
      <c r="H3277" s="54" t="b">
        <v>1</v>
      </c>
      <c r="I3277" s="65" t="b">
        <v>0</v>
      </c>
      <c r="J3277" s="65" t="b">
        <v>0</v>
      </c>
      <c r="K3277" s="63" t="s">
        <v>867</v>
      </c>
      <c r="L3277" s="63" t="s">
        <v>7498</v>
      </c>
      <c r="M3277" s="63" t="s">
        <v>7499</v>
      </c>
      <c r="N3277" s="63" t="s">
        <v>7409</v>
      </c>
    </row>
    <row r="3278" spans="1:14" x14ac:dyDescent="0.2">
      <c r="A3278" s="51">
        <v>3277</v>
      </c>
      <c r="B3278" s="54" t="s">
        <v>867</v>
      </c>
      <c r="C3278" s="47" t="s">
        <v>7438</v>
      </c>
      <c r="D3278" s="47" t="s">
        <v>7439</v>
      </c>
      <c r="E3278" s="47" t="s">
        <v>2087</v>
      </c>
      <c r="F3278" s="55" t="b">
        <v>1</v>
      </c>
      <c r="G3278" s="54" t="b">
        <v>1</v>
      </c>
      <c r="H3278" s="54" t="b">
        <v>1</v>
      </c>
      <c r="I3278" s="54" t="b">
        <v>1</v>
      </c>
      <c r="J3278" s="65" t="b">
        <v>0</v>
      </c>
      <c r="K3278" s="63" t="s">
        <v>867</v>
      </c>
      <c r="L3278" s="63" t="s">
        <v>7438</v>
      </c>
      <c r="M3278" s="63" t="s">
        <v>7439</v>
      </c>
      <c r="N3278" s="63" t="s">
        <v>7409</v>
      </c>
    </row>
    <row r="3279" spans="1:14" x14ac:dyDescent="0.2">
      <c r="A3279" s="51">
        <v>3278</v>
      </c>
      <c r="B3279" s="54" t="s">
        <v>867</v>
      </c>
      <c r="C3279" s="47" t="s">
        <v>7407</v>
      </c>
      <c r="D3279" s="47" t="s">
        <v>7408</v>
      </c>
      <c r="E3279" s="47" t="s">
        <v>2087</v>
      </c>
      <c r="F3279" s="55" t="b">
        <v>1</v>
      </c>
      <c r="G3279" s="54" t="b">
        <v>1</v>
      </c>
      <c r="H3279" s="54" t="b">
        <v>1</v>
      </c>
      <c r="I3279" s="54" t="b">
        <v>1</v>
      </c>
      <c r="J3279" s="65" t="b">
        <v>0</v>
      </c>
      <c r="K3279" s="63" t="s">
        <v>867</v>
      </c>
      <c r="L3279" s="63" t="s">
        <v>7407</v>
      </c>
      <c r="M3279" s="63" t="s">
        <v>7408</v>
      </c>
      <c r="N3279" s="63" t="s">
        <v>7409</v>
      </c>
    </row>
    <row r="3280" spans="1:14" x14ac:dyDescent="0.2">
      <c r="A3280" s="51">
        <v>3279</v>
      </c>
      <c r="B3280" s="54" t="s">
        <v>867</v>
      </c>
      <c r="C3280" s="47" t="s">
        <v>7416</v>
      </c>
      <c r="D3280" s="47" t="s">
        <v>7417</v>
      </c>
      <c r="E3280" s="47" t="s">
        <v>2087</v>
      </c>
      <c r="F3280" s="55" t="b">
        <v>1</v>
      </c>
      <c r="G3280" s="54" t="b">
        <v>1</v>
      </c>
      <c r="H3280" s="54" t="b">
        <v>1</v>
      </c>
      <c r="I3280" s="54" t="b">
        <v>1</v>
      </c>
      <c r="J3280" s="65" t="b">
        <v>0</v>
      </c>
      <c r="K3280" s="63" t="s">
        <v>867</v>
      </c>
      <c r="L3280" s="63" t="s">
        <v>7416</v>
      </c>
      <c r="M3280" s="63" t="s">
        <v>7417</v>
      </c>
      <c r="N3280" s="63" t="s">
        <v>7409</v>
      </c>
    </row>
    <row r="3281" spans="1:14" x14ac:dyDescent="0.2">
      <c r="A3281" s="51">
        <v>3280</v>
      </c>
      <c r="B3281" s="54" t="s">
        <v>867</v>
      </c>
      <c r="C3281" s="47" t="s">
        <v>7472</v>
      </c>
      <c r="D3281" s="47" t="s">
        <v>7473</v>
      </c>
      <c r="E3281" s="47" t="s">
        <v>2087</v>
      </c>
      <c r="F3281" s="55" t="b">
        <v>1</v>
      </c>
      <c r="G3281" s="54" t="b">
        <v>1</v>
      </c>
      <c r="H3281" s="54" t="b">
        <v>1</v>
      </c>
      <c r="I3281" s="54" t="b">
        <v>1</v>
      </c>
      <c r="J3281" s="65" t="b">
        <v>0</v>
      </c>
      <c r="K3281" s="63" t="s">
        <v>867</v>
      </c>
      <c r="L3281" s="63" t="s">
        <v>7472</v>
      </c>
      <c r="M3281" s="63" t="s">
        <v>7473</v>
      </c>
      <c r="N3281" s="63" t="s">
        <v>7409</v>
      </c>
    </row>
    <row r="3282" spans="1:14" x14ac:dyDescent="0.2">
      <c r="A3282" s="51">
        <v>3281</v>
      </c>
      <c r="B3282" s="54" t="s">
        <v>867</v>
      </c>
      <c r="C3282" s="47" t="s">
        <v>7515</v>
      </c>
      <c r="D3282" s="47" t="s">
        <v>7516</v>
      </c>
      <c r="E3282" s="47" t="s">
        <v>2087</v>
      </c>
      <c r="F3282" s="55" t="b">
        <v>1</v>
      </c>
      <c r="G3282" s="54" t="b">
        <v>1</v>
      </c>
      <c r="H3282" s="54" t="b">
        <v>1</v>
      </c>
      <c r="I3282" s="54" t="b">
        <v>1</v>
      </c>
      <c r="J3282" s="65" t="b">
        <v>0</v>
      </c>
      <c r="K3282" s="63" t="s">
        <v>867</v>
      </c>
      <c r="L3282" s="63" t="s">
        <v>7515</v>
      </c>
      <c r="M3282" s="63" t="s">
        <v>7516</v>
      </c>
      <c r="N3282" s="63" t="s">
        <v>7409</v>
      </c>
    </row>
    <row r="3283" spans="1:14" x14ac:dyDescent="0.2">
      <c r="A3283" s="51">
        <v>3282</v>
      </c>
      <c r="B3283" s="54" t="s">
        <v>867</v>
      </c>
      <c r="C3283" s="47" t="s">
        <v>7513</v>
      </c>
      <c r="D3283" s="47" t="s">
        <v>13064</v>
      </c>
      <c r="E3283" s="47" t="s">
        <v>2087</v>
      </c>
      <c r="F3283" s="55" t="b">
        <v>1</v>
      </c>
      <c r="G3283" s="54" t="b">
        <v>1</v>
      </c>
      <c r="H3283" s="54" t="b">
        <v>1</v>
      </c>
      <c r="I3283" s="65" t="b">
        <v>0</v>
      </c>
      <c r="J3283" s="65" t="b">
        <v>0</v>
      </c>
      <c r="K3283" s="63" t="s">
        <v>867</v>
      </c>
      <c r="L3283" s="63" t="s">
        <v>7513</v>
      </c>
      <c r="M3283" s="63" t="s">
        <v>7514</v>
      </c>
      <c r="N3283" s="63" t="s">
        <v>7409</v>
      </c>
    </row>
    <row r="3284" spans="1:14" x14ac:dyDescent="0.2">
      <c r="A3284" s="51">
        <v>3283</v>
      </c>
      <c r="B3284" s="54" t="s">
        <v>867</v>
      </c>
      <c r="C3284" s="47" t="s">
        <v>7442</v>
      </c>
      <c r="D3284" s="47" t="s">
        <v>13059</v>
      </c>
      <c r="E3284" s="47" t="s">
        <v>2087</v>
      </c>
      <c r="F3284" s="55" t="b">
        <v>1</v>
      </c>
      <c r="G3284" s="54" t="b">
        <v>1</v>
      </c>
      <c r="H3284" s="54" t="b">
        <v>1</v>
      </c>
      <c r="I3284" s="65" t="b">
        <v>0</v>
      </c>
      <c r="J3284" s="65" t="b">
        <v>0</v>
      </c>
      <c r="K3284" s="63" t="s">
        <v>867</v>
      </c>
      <c r="L3284" s="63" t="s">
        <v>7442</v>
      </c>
      <c r="M3284" s="63" t="s">
        <v>7443</v>
      </c>
      <c r="N3284" s="63" t="s">
        <v>7409</v>
      </c>
    </row>
    <row r="3285" spans="1:14" x14ac:dyDescent="0.2">
      <c r="A3285" s="51">
        <v>3284</v>
      </c>
      <c r="B3285" s="54" t="s">
        <v>867</v>
      </c>
      <c r="C3285" s="47" t="s">
        <v>7466</v>
      </c>
      <c r="D3285" s="47" t="s">
        <v>13060</v>
      </c>
      <c r="E3285" s="47" t="s">
        <v>2087</v>
      </c>
      <c r="F3285" s="55" t="b">
        <v>1</v>
      </c>
      <c r="G3285" s="54" t="b">
        <v>1</v>
      </c>
      <c r="H3285" s="54" t="b">
        <v>1</v>
      </c>
      <c r="I3285" s="65" t="b">
        <v>0</v>
      </c>
      <c r="J3285" s="65" t="b">
        <v>0</v>
      </c>
      <c r="K3285" s="63" t="s">
        <v>867</v>
      </c>
      <c r="L3285" s="63" t="s">
        <v>7466</v>
      </c>
      <c r="M3285" s="63" t="s">
        <v>7467</v>
      </c>
      <c r="N3285" s="63" t="s">
        <v>7409</v>
      </c>
    </row>
    <row r="3286" spans="1:14" x14ac:dyDescent="0.2">
      <c r="A3286" s="51">
        <v>3285</v>
      </c>
      <c r="G3286" s="65" t="b">
        <v>0</v>
      </c>
      <c r="H3286" s="65" t="b">
        <v>0</v>
      </c>
      <c r="I3286" s="65" t="b">
        <v>0</v>
      </c>
      <c r="J3286" s="65" t="b">
        <v>0</v>
      </c>
      <c r="K3286" s="63" t="s">
        <v>867</v>
      </c>
      <c r="L3286" s="63" t="s">
        <v>7492</v>
      </c>
      <c r="M3286" s="63" t="s">
        <v>7493</v>
      </c>
      <c r="N3286" s="63" t="s">
        <v>7409</v>
      </c>
    </row>
    <row r="3287" spans="1:14" x14ac:dyDescent="0.2">
      <c r="A3287" s="51">
        <v>3286</v>
      </c>
      <c r="B3287" s="54" t="s">
        <v>867</v>
      </c>
      <c r="C3287" s="47" t="s">
        <v>7383</v>
      </c>
      <c r="D3287" s="47" t="s">
        <v>13056</v>
      </c>
      <c r="E3287" s="48" t="s">
        <v>3158</v>
      </c>
      <c r="F3287" s="66" t="b">
        <v>0</v>
      </c>
      <c r="G3287" s="54" t="b">
        <v>1</v>
      </c>
      <c r="H3287" s="54" t="b">
        <v>1</v>
      </c>
      <c r="I3287" s="65" t="b">
        <v>0</v>
      </c>
      <c r="J3287" s="54" t="b">
        <v>1</v>
      </c>
      <c r="K3287" s="63" t="s">
        <v>867</v>
      </c>
      <c r="L3287" s="63" t="s">
        <v>7383</v>
      </c>
      <c r="M3287" s="63" t="s">
        <v>7384</v>
      </c>
      <c r="N3287" s="63" t="s">
        <v>3158</v>
      </c>
    </row>
    <row r="3288" spans="1:14" x14ac:dyDescent="0.2">
      <c r="A3288" s="51">
        <v>3287</v>
      </c>
      <c r="E3288" s="48"/>
      <c r="G3288" s="65" t="b">
        <v>0</v>
      </c>
      <c r="H3288" s="65" t="b">
        <v>0</v>
      </c>
      <c r="I3288" s="65" t="b">
        <v>0</v>
      </c>
      <c r="J3288" s="65" t="b">
        <v>0</v>
      </c>
      <c r="K3288" s="63" t="s">
        <v>867</v>
      </c>
      <c r="L3288" s="63" t="s">
        <v>7389</v>
      </c>
      <c r="M3288" s="63" t="s">
        <v>7390</v>
      </c>
      <c r="N3288" s="63" t="s">
        <v>3158</v>
      </c>
    </row>
    <row r="3289" spans="1:14" x14ac:dyDescent="0.2">
      <c r="A3289" s="51">
        <v>3288</v>
      </c>
      <c r="B3289" s="54" t="s">
        <v>867</v>
      </c>
      <c r="C3289" s="47" t="s">
        <v>7391</v>
      </c>
      <c r="D3289" s="47" t="s">
        <v>7392</v>
      </c>
      <c r="E3289" s="48" t="s">
        <v>1719</v>
      </c>
      <c r="F3289" s="66" t="b">
        <v>0</v>
      </c>
      <c r="G3289" s="54" t="b">
        <v>1</v>
      </c>
      <c r="H3289" s="54" t="b">
        <v>1</v>
      </c>
      <c r="I3289" s="54" t="b">
        <v>1</v>
      </c>
      <c r="J3289" s="54" t="b">
        <v>1</v>
      </c>
      <c r="K3289" s="63" t="s">
        <v>867</v>
      </c>
      <c r="L3289" s="63" t="s">
        <v>7391</v>
      </c>
      <c r="M3289" s="63" t="s">
        <v>7392</v>
      </c>
      <c r="N3289" s="63" t="s">
        <v>1719</v>
      </c>
    </row>
    <row r="3290" spans="1:14" x14ac:dyDescent="0.2">
      <c r="A3290" s="51">
        <v>3289</v>
      </c>
      <c r="B3290" s="54" t="s">
        <v>867</v>
      </c>
      <c r="C3290" s="47" t="s">
        <v>7393</v>
      </c>
      <c r="D3290" s="47" t="s">
        <v>7394</v>
      </c>
      <c r="E3290" s="48" t="s">
        <v>1719</v>
      </c>
      <c r="F3290" s="66" t="b">
        <v>0</v>
      </c>
      <c r="G3290" s="54" t="b">
        <v>1</v>
      </c>
      <c r="H3290" s="54" t="b">
        <v>1</v>
      </c>
      <c r="I3290" s="54" t="b">
        <v>1</v>
      </c>
      <c r="J3290" s="54" t="b">
        <v>1</v>
      </c>
      <c r="K3290" s="63" t="s">
        <v>867</v>
      </c>
      <c r="L3290" s="63" t="s">
        <v>7393</v>
      </c>
      <c r="M3290" s="63" t="s">
        <v>7394</v>
      </c>
      <c r="N3290" s="63" t="s">
        <v>1719</v>
      </c>
    </row>
    <row r="3291" spans="1:14" x14ac:dyDescent="0.2">
      <c r="A3291" s="51">
        <v>3290</v>
      </c>
      <c r="B3291" s="54" t="s">
        <v>867</v>
      </c>
      <c r="C3291" s="47" t="s">
        <v>7397</v>
      </c>
      <c r="D3291" s="47" t="s">
        <v>7398</v>
      </c>
      <c r="E3291" s="48" t="s">
        <v>1719</v>
      </c>
      <c r="F3291" s="66" t="b">
        <v>0</v>
      </c>
      <c r="G3291" s="54" t="b">
        <v>1</v>
      </c>
      <c r="H3291" s="54" t="b">
        <v>1</v>
      </c>
      <c r="I3291" s="54" t="b">
        <v>1</v>
      </c>
      <c r="J3291" s="54" t="b">
        <v>1</v>
      </c>
      <c r="K3291" s="63" t="s">
        <v>867</v>
      </c>
      <c r="L3291" s="63" t="s">
        <v>7397</v>
      </c>
      <c r="M3291" s="63" t="s">
        <v>7398</v>
      </c>
      <c r="N3291" s="63" t="s">
        <v>1719</v>
      </c>
    </row>
    <row r="3292" spans="1:14" x14ac:dyDescent="0.2">
      <c r="A3292" s="51">
        <v>3291</v>
      </c>
      <c r="B3292" s="54" t="s">
        <v>867</v>
      </c>
      <c r="C3292" s="47" t="s">
        <v>7399</v>
      </c>
      <c r="D3292" s="47" t="s">
        <v>7400</v>
      </c>
      <c r="E3292" s="48" t="s">
        <v>1719</v>
      </c>
      <c r="F3292" s="66" t="b">
        <v>0</v>
      </c>
      <c r="G3292" s="54" t="b">
        <v>1</v>
      </c>
      <c r="H3292" s="54" t="b">
        <v>1</v>
      </c>
      <c r="I3292" s="54" t="b">
        <v>1</v>
      </c>
      <c r="J3292" s="54" t="b">
        <v>1</v>
      </c>
      <c r="K3292" s="63" t="s">
        <v>867</v>
      </c>
      <c r="L3292" s="63" t="s">
        <v>7399</v>
      </c>
      <c r="M3292" s="63" t="s">
        <v>7400</v>
      </c>
      <c r="N3292" s="63" t="s">
        <v>1719</v>
      </c>
    </row>
    <row r="3293" spans="1:14" x14ac:dyDescent="0.2">
      <c r="A3293" s="51">
        <v>3292</v>
      </c>
      <c r="B3293" s="54" t="s">
        <v>867</v>
      </c>
      <c r="C3293" s="47" t="s">
        <v>7395</v>
      </c>
      <c r="D3293" s="47" t="s">
        <v>7396</v>
      </c>
      <c r="E3293" s="48" t="s">
        <v>1719</v>
      </c>
      <c r="F3293" s="66" t="b">
        <v>0</v>
      </c>
      <c r="G3293" s="54" t="b">
        <v>1</v>
      </c>
      <c r="H3293" s="54" t="b">
        <v>1</v>
      </c>
      <c r="I3293" s="54" t="b">
        <v>1</v>
      </c>
      <c r="J3293" s="54" t="b">
        <v>1</v>
      </c>
      <c r="K3293" s="63" t="s">
        <v>867</v>
      </c>
      <c r="L3293" s="63" t="s">
        <v>7395</v>
      </c>
      <c r="M3293" s="63" t="s">
        <v>7396</v>
      </c>
      <c r="N3293" s="63" t="s">
        <v>1719</v>
      </c>
    </row>
    <row r="3294" spans="1:14" x14ac:dyDescent="0.2">
      <c r="A3294" s="51">
        <v>3293</v>
      </c>
      <c r="E3294" s="48"/>
      <c r="G3294" s="65" t="b">
        <v>0</v>
      </c>
      <c r="H3294" s="65" t="b">
        <v>0</v>
      </c>
      <c r="I3294" s="65" t="b">
        <v>0</v>
      </c>
      <c r="J3294" s="65" t="b">
        <v>0</v>
      </c>
      <c r="K3294" s="63" t="s">
        <v>867</v>
      </c>
      <c r="L3294" s="63" t="s">
        <v>7401</v>
      </c>
      <c r="M3294" s="63" t="s">
        <v>7402</v>
      </c>
      <c r="N3294" s="63" t="s">
        <v>1719</v>
      </c>
    </row>
    <row r="3295" spans="1:14" x14ac:dyDescent="0.2">
      <c r="A3295" s="51">
        <v>3294</v>
      </c>
      <c r="B3295" s="54" t="s">
        <v>867</v>
      </c>
      <c r="C3295" s="47" t="s">
        <v>7403</v>
      </c>
      <c r="D3295" s="47" t="s">
        <v>7404</v>
      </c>
      <c r="E3295" s="48" t="s">
        <v>1719</v>
      </c>
      <c r="F3295" s="66" t="b">
        <v>0</v>
      </c>
      <c r="G3295" s="54" t="b">
        <v>1</v>
      </c>
      <c r="H3295" s="54" t="b">
        <v>1</v>
      </c>
      <c r="I3295" s="54" t="b">
        <v>1</v>
      </c>
      <c r="J3295" s="54" t="b">
        <v>1</v>
      </c>
      <c r="K3295" s="63" t="s">
        <v>867</v>
      </c>
      <c r="L3295" s="63" t="s">
        <v>7403</v>
      </c>
      <c r="M3295" s="63" t="s">
        <v>7404</v>
      </c>
      <c r="N3295" s="63" t="s">
        <v>1719</v>
      </c>
    </row>
    <row r="3296" spans="1:14" x14ac:dyDescent="0.2">
      <c r="A3296" s="51">
        <v>3295</v>
      </c>
      <c r="B3296" s="54" t="s">
        <v>867</v>
      </c>
      <c r="C3296" s="47" t="s">
        <v>7405</v>
      </c>
      <c r="D3296" s="47" t="s">
        <v>7406</v>
      </c>
      <c r="E3296" s="48" t="s">
        <v>3158</v>
      </c>
      <c r="F3296" s="66" t="b">
        <v>0</v>
      </c>
      <c r="G3296" s="54" t="b">
        <v>1</v>
      </c>
      <c r="H3296" s="54" t="b">
        <v>1</v>
      </c>
      <c r="I3296" s="54" t="b">
        <v>1</v>
      </c>
      <c r="J3296" s="54" t="b">
        <v>1</v>
      </c>
      <c r="K3296" s="63" t="s">
        <v>867</v>
      </c>
      <c r="L3296" s="63" t="s">
        <v>7405</v>
      </c>
      <c r="M3296" s="63" t="s">
        <v>7406</v>
      </c>
      <c r="N3296" s="63" t="s">
        <v>3158</v>
      </c>
    </row>
    <row r="3297" spans="1:14" x14ac:dyDescent="0.2">
      <c r="A3297" s="51">
        <v>3296</v>
      </c>
      <c r="B3297" s="54" t="s">
        <v>867</v>
      </c>
      <c r="C3297" s="47" t="s">
        <v>7410</v>
      </c>
      <c r="D3297" s="47" t="s">
        <v>7411</v>
      </c>
      <c r="E3297" s="48" t="s">
        <v>1719</v>
      </c>
      <c r="F3297" s="66" t="b">
        <v>0</v>
      </c>
      <c r="G3297" s="54" t="b">
        <v>1</v>
      </c>
      <c r="H3297" s="54" t="b">
        <v>1</v>
      </c>
      <c r="I3297" s="54" t="b">
        <v>1</v>
      </c>
      <c r="J3297" s="54" t="b">
        <v>1</v>
      </c>
      <c r="K3297" s="63" t="s">
        <v>867</v>
      </c>
      <c r="L3297" s="63" t="s">
        <v>7410</v>
      </c>
      <c r="M3297" s="63" t="s">
        <v>7411</v>
      </c>
      <c r="N3297" s="63" t="s">
        <v>1719</v>
      </c>
    </row>
    <row r="3298" spans="1:14" x14ac:dyDescent="0.2">
      <c r="A3298" s="51">
        <v>3297</v>
      </c>
      <c r="B3298" s="54" t="s">
        <v>867</v>
      </c>
      <c r="C3298" s="47" t="s">
        <v>7412</v>
      </c>
      <c r="D3298" s="47" t="s">
        <v>7413</v>
      </c>
      <c r="E3298" s="48" t="s">
        <v>1719</v>
      </c>
      <c r="F3298" s="66" t="b">
        <v>0</v>
      </c>
      <c r="G3298" s="54" t="b">
        <v>1</v>
      </c>
      <c r="H3298" s="54" t="b">
        <v>1</v>
      </c>
      <c r="I3298" s="54" t="b">
        <v>1</v>
      </c>
      <c r="J3298" s="54" t="b">
        <v>1</v>
      </c>
      <c r="K3298" s="63" t="s">
        <v>867</v>
      </c>
      <c r="L3298" s="63" t="s">
        <v>7412</v>
      </c>
      <c r="M3298" s="63" t="s">
        <v>7413</v>
      </c>
      <c r="N3298" s="63" t="s">
        <v>1719</v>
      </c>
    </row>
    <row r="3299" spans="1:14" x14ac:dyDescent="0.2">
      <c r="A3299" s="51">
        <v>3298</v>
      </c>
      <c r="B3299" s="54" t="s">
        <v>867</v>
      </c>
      <c r="C3299" s="47" t="s">
        <v>7414</v>
      </c>
      <c r="D3299" s="47" t="s">
        <v>7415</v>
      </c>
      <c r="E3299" s="48" t="s">
        <v>1719</v>
      </c>
      <c r="F3299" s="66" t="b">
        <v>0</v>
      </c>
      <c r="G3299" s="54" t="b">
        <v>1</v>
      </c>
      <c r="H3299" s="54" t="b">
        <v>1</v>
      </c>
      <c r="I3299" s="54" t="b">
        <v>1</v>
      </c>
      <c r="J3299" s="54" t="b">
        <v>1</v>
      </c>
      <c r="K3299" s="63" t="s">
        <v>867</v>
      </c>
      <c r="L3299" s="63" t="s">
        <v>7414</v>
      </c>
      <c r="M3299" s="63" t="s">
        <v>7415</v>
      </c>
      <c r="N3299" s="63" t="s">
        <v>1719</v>
      </c>
    </row>
    <row r="3300" spans="1:14" x14ac:dyDescent="0.2">
      <c r="A3300" s="51">
        <v>3299</v>
      </c>
      <c r="B3300" s="54" t="s">
        <v>867</v>
      </c>
      <c r="C3300" s="47" t="s">
        <v>7422</v>
      </c>
      <c r="D3300" s="47" t="s">
        <v>13058</v>
      </c>
      <c r="E3300" s="48" t="s">
        <v>1719</v>
      </c>
      <c r="F3300" s="66" t="b">
        <v>0</v>
      </c>
      <c r="G3300" s="54" t="b">
        <v>1</v>
      </c>
      <c r="H3300" s="54" t="b">
        <v>1</v>
      </c>
      <c r="I3300" s="65" t="b">
        <v>0</v>
      </c>
      <c r="J3300" s="54" t="b">
        <v>1</v>
      </c>
      <c r="K3300" s="63" t="s">
        <v>867</v>
      </c>
      <c r="L3300" s="63" t="s">
        <v>7422</v>
      </c>
      <c r="M3300" s="63" t="s">
        <v>7423</v>
      </c>
      <c r="N3300" s="63" t="s">
        <v>1719</v>
      </c>
    </row>
    <row r="3301" spans="1:14" x14ac:dyDescent="0.2">
      <c r="A3301" s="51">
        <v>3300</v>
      </c>
      <c r="B3301" s="54" t="s">
        <v>867</v>
      </c>
      <c r="C3301" s="47" t="s">
        <v>7426</v>
      </c>
      <c r="D3301" s="47" t="s">
        <v>7427</v>
      </c>
      <c r="E3301" s="48" t="s">
        <v>1719</v>
      </c>
      <c r="F3301" s="66" t="b">
        <v>0</v>
      </c>
      <c r="G3301" s="54" t="b">
        <v>1</v>
      </c>
      <c r="H3301" s="54" t="b">
        <v>1</v>
      </c>
      <c r="I3301" s="54" t="b">
        <v>1</v>
      </c>
      <c r="J3301" s="54" t="b">
        <v>1</v>
      </c>
      <c r="K3301" s="63" t="s">
        <v>867</v>
      </c>
      <c r="L3301" s="63" t="s">
        <v>7426</v>
      </c>
      <c r="M3301" s="63" t="s">
        <v>7427</v>
      </c>
      <c r="N3301" s="63" t="s">
        <v>1719</v>
      </c>
    </row>
    <row r="3302" spans="1:14" x14ac:dyDescent="0.2">
      <c r="A3302" s="51">
        <v>3301</v>
      </c>
      <c r="E3302" s="48"/>
      <c r="G3302" s="65" t="b">
        <v>0</v>
      </c>
      <c r="H3302" s="65" t="b">
        <v>0</v>
      </c>
      <c r="I3302" s="65" t="b">
        <v>0</v>
      </c>
      <c r="J3302" s="65" t="b">
        <v>0</v>
      </c>
      <c r="K3302" s="63" t="s">
        <v>867</v>
      </c>
      <c r="L3302" s="63" t="s">
        <v>7424</v>
      </c>
      <c r="M3302" s="63" t="s">
        <v>7425</v>
      </c>
      <c r="N3302" s="63" t="s">
        <v>1719</v>
      </c>
    </row>
    <row r="3303" spans="1:14" x14ac:dyDescent="0.2">
      <c r="A3303" s="51">
        <v>3302</v>
      </c>
      <c r="B3303" s="54" t="s">
        <v>867</v>
      </c>
      <c r="C3303" s="47" t="s">
        <v>7428</v>
      </c>
      <c r="D3303" s="47" t="s">
        <v>7429</v>
      </c>
      <c r="E3303" s="48" t="s">
        <v>3158</v>
      </c>
      <c r="F3303" s="66" t="b">
        <v>0</v>
      </c>
      <c r="G3303" s="54" t="b">
        <v>1</v>
      </c>
      <c r="H3303" s="54" t="b">
        <v>1</v>
      </c>
      <c r="I3303" s="54" t="b">
        <v>1</v>
      </c>
      <c r="J3303" s="54" t="b">
        <v>1</v>
      </c>
      <c r="K3303" s="63" t="s">
        <v>867</v>
      </c>
      <c r="L3303" s="63" t="s">
        <v>7428</v>
      </c>
      <c r="M3303" s="63" t="s">
        <v>7429</v>
      </c>
      <c r="N3303" s="63" t="s">
        <v>3158</v>
      </c>
    </row>
    <row r="3304" spans="1:14" x14ac:dyDescent="0.2">
      <c r="A3304" s="51">
        <v>3303</v>
      </c>
      <c r="B3304" s="54" t="s">
        <v>867</v>
      </c>
      <c r="C3304" s="47" t="s">
        <v>7434</v>
      </c>
      <c r="D3304" s="47" t="s">
        <v>7435</v>
      </c>
      <c r="E3304" s="48" t="s">
        <v>3158</v>
      </c>
      <c r="F3304" s="66" t="b">
        <v>0</v>
      </c>
      <c r="G3304" s="54" t="b">
        <v>1</v>
      </c>
      <c r="H3304" s="54" t="b">
        <v>1</v>
      </c>
      <c r="I3304" s="54" t="b">
        <v>1</v>
      </c>
      <c r="J3304" s="54" t="b">
        <v>1</v>
      </c>
      <c r="K3304" s="63" t="s">
        <v>867</v>
      </c>
      <c r="L3304" s="63" t="s">
        <v>7434</v>
      </c>
      <c r="M3304" s="63" t="s">
        <v>7435</v>
      </c>
      <c r="N3304" s="63" t="s">
        <v>3158</v>
      </c>
    </row>
    <row r="3305" spans="1:14" x14ac:dyDescent="0.2">
      <c r="A3305" s="51">
        <v>3304</v>
      </c>
      <c r="B3305" s="54" t="s">
        <v>867</v>
      </c>
      <c r="C3305" s="47" t="s">
        <v>7430</v>
      </c>
      <c r="D3305" s="47" t="s">
        <v>7431</v>
      </c>
      <c r="E3305" s="48" t="s">
        <v>1719</v>
      </c>
      <c r="F3305" s="66" t="b">
        <v>0</v>
      </c>
      <c r="G3305" s="54" t="b">
        <v>1</v>
      </c>
      <c r="H3305" s="54" t="b">
        <v>1</v>
      </c>
      <c r="I3305" s="54" t="b">
        <v>1</v>
      </c>
      <c r="J3305" s="54" t="b">
        <v>1</v>
      </c>
      <c r="K3305" s="63" t="s">
        <v>867</v>
      </c>
      <c r="L3305" s="63" t="s">
        <v>7430</v>
      </c>
      <c r="M3305" s="63" t="s">
        <v>7431</v>
      </c>
      <c r="N3305" s="63" t="s">
        <v>1719</v>
      </c>
    </row>
    <row r="3306" spans="1:14" x14ac:dyDescent="0.2">
      <c r="A3306" s="51">
        <v>3305</v>
      </c>
      <c r="B3306" s="54" t="s">
        <v>867</v>
      </c>
      <c r="C3306" s="47" t="s">
        <v>7440</v>
      </c>
      <c r="D3306" s="47" t="s">
        <v>7441</v>
      </c>
      <c r="E3306" s="48" t="s">
        <v>1719</v>
      </c>
      <c r="F3306" s="66" t="b">
        <v>0</v>
      </c>
      <c r="G3306" s="54" t="b">
        <v>1</v>
      </c>
      <c r="H3306" s="54" t="b">
        <v>1</v>
      </c>
      <c r="I3306" s="54" t="b">
        <v>1</v>
      </c>
      <c r="J3306" s="54" t="b">
        <v>1</v>
      </c>
      <c r="K3306" s="63" t="s">
        <v>867</v>
      </c>
      <c r="L3306" s="63" t="s">
        <v>7440</v>
      </c>
      <c r="M3306" s="63" t="s">
        <v>7441</v>
      </c>
      <c r="N3306" s="63" t="s">
        <v>1719</v>
      </c>
    </row>
    <row r="3307" spans="1:14" x14ac:dyDescent="0.2">
      <c r="A3307" s="51">
        <v>3306</v>
      </c>
      <c r="B3307" s="54" t="s">
        <v>867</v>
      </c>
      <c r="C3307" s="47" t="s">
        <v>7418</v>
      </c>
      <c r="D3307" s="47" t="s">
        <v>7419</v>
      </c>
      <c r="E3307" s="48" t="s">
        <v>1719</v>
      </c>
      <c r="F3307" s="66" t="b">
        <v>0</v>
      </c>
      <c r="G3307" s="54" t="b">
        <v>1</v>
      </c>
      <c r="H3307" s="54" t="b">
        <v>1</v>
      </c>
      <c r="I3307" s="54" t="b">
        <v>1</v>
      </c>
      <c r="J3307" s="54" t="b">
        <v>1</v>
      </c>
      <c r="K3307" s="63" t="s">
        <v>867</v>
      </c>
      <c r="L3307" s="63" t="s">
        <v>7418</v>
      </c>
      <c r="M3307" s="63" t="s">
        <v>7419</v>
      </c>
      <c r="N3307" s="63" t="s">
        <v>1719</v>
      </c>
    </row>
    <row r="3308" spans="1:14" x14ac:dyDescent="0.2">
      <c r="A3308" s="51">
        <v>3307</v>
      </c>
      <c r="B3308" s="54" t="s">
        <v>867</v>
      </c>
      <c r="C3308" s="47" t="s">
        <v>7385</v>
      </c>
      <c r="D3308" s="47" t="s">
        <v>7386</v>
      </c>
      <c r="E3308" s="48" t="s">
        <v>1719</v>
      </c>
      <c r="F3308" s="66" t="b">
        <v>0</v>
      </c>
      <c r="G3308" s="54" t="b">
        <v>1</v>
      </c>
      <c r="H3308" s="54" t="b">
        <v>1</v>
      </c>
      <c r="I3308" s="54" t="b">
        <v>1</v>
      </c>
      <c r="J3308" s="54" t="b">
        <v>1</v>
      </c>
      <c r="K3308" s="63" t="s">
        <v>867</v>
      </c>
      <c r="L3308" s="63" t="s">
        <v>7385</v>
      </c>
      <c r="M3308" s="63" t="s">
        <v>7386</v>
      </c>
      <c r="N3308" s="63" t="s">
        <v>1719</v>
      </c>
    </row>
    <row r="3309" spans="1:14" x14ac:dyDescent="0.2">
      <c r="A3309" s="51">
        <v>3308</v>
      </c>
      <c r="B3309" s="54" t="s">
        <v>867</v>
      </c>
      <c r="C3309" s="47" t="s">
        <v>7387</v>
      </c>
      <c r="D3309" s="47" t="s">
        <v>7388</v>
      </c>
      <c r="E3309" s="48" t="s">
        <v>1719</v>
      </c>
      <c r="F3309" s="66" t="b">
        <v>0</v>
      </c>
      <c r="G3309" s="54" t="b">
        <v>1</v>
      </c>
      <c r="H3309" s="54" t="b">
        <v>1</v>
      </c>
      <c r="I3309" s="54" t="b">
        <v>1</v>
      </c>
      <c r="J3309" s="54" t="b">
        <v>1</v>
      </c>
      <c r="K3309" s="63" t="s">
        <v>867</v>
      </c>
      <c r="L3309" s="63" t="s">
        <v>7387</v>
      </c>
      <c r="M3309" s="63" t="s">
        <v>7388</v>
      </c>
      <c r="N3309" s="63" t="s">
        <v>1719</v>
      </c>
    </row>
    <row r="3310" spans="1:14" x14ac:dyDescent="0.2">
      <c r="A3310" s="51">
        <v>3309</v>
      </c>
      <c r="B3310" s="54" t="s">
        <v>867</v>
      </c>
      <c r="C3310" s="47" t="s">
        <v>7444</v>
      </c>
      <c r="D3310" s="47" t="s">
        <v>7445</v>
      </c>
      <c r="E3310" s="48" t="s">
        <v>1719</v>
      </c>
      <c r="F3310" s="66" t="b">
        <v>0</v>
      </c>
      <c r="G3310" s="54" t="b">
        <v>1</v>
      </c>
      <c r="H3310" s="54" t="b">
        <v>1</v>
      </c>
      <c r="I3310" s="54" t="b">
        <v>1</v>
      </c>
      <c r="J3310" s="54" t="b">
        <v>1</v>
      </c>
      <c r="K3310" s="63" t="s">
        <v>867</v>
      </c>
      <c r="L3310" s="63" t="s">
        <v>7444</v>
      </c>
      <c r="M3310" s="63" t="s">
        <v>7445</v>
      </c>
      <c r="N3310" s="63" t="s">
        <v>1719</v>
      </c>
    </row>
    <row r="3311" spans="1:14" x14ac:dyDescent="0.2">
      <c r="A3311" s="51">
        <v>3310</v>
      </c>
      <c r="B3311" s="54" t="s">
        <v>867</v>
      </c>
      <c r="C3311" s="47" t="s">
        <v>7446</v>
      </c>
      <c r="D3311" s="47" t="s">
        <v>7447</v>
      </c>
      <c r="E3311" s="48" t="s">
        <v>3158</v>
      </c>
      <c r="F3311" s="66" t="b">
        <v>0</v>
      </c>
      <c r="G3311" s="54" t="b">
        <v>1</v>
      </c>
      <c r="H3311" s="54" t="b">
        <v>1</v>
      </c>
      <c r="I3311" s="54" t="b">
        <v>1</v>
      </c>
      <c r="J3311" s="54" t="b">
        <v>1</v>
      </c>
      <c r="K3311" s="63" t="s">
        <v>867</v>
      </c>
      <c r="L3311" s="63" t="s">
        <v>7446</v>
      </c>
      <c r="M3311" s="63" t="s">
        <v>7447</v>
      </c>
      <c r="N3311" s="63" t="s">
        <v>3158</v>
      </c>
    </row>
    <row r="3312" spans="1:14" x14ac:dyDescent="0.2">
      <c r="A3312" s="51">
        <v>3311</v>
      </c>
      <c r="B3312" s="54" t="s">
        <v>867</v>
      </c>
      <c r="C3312" s="47" t="s">
        <v>7420</v>
      </c>
      <c r="D3312" s="47" t="s">
        <v>7421</v>
      </c>
      <c r="E3312" s="48" t="s">
        <v>1719</v>
      </c>
      <c r="F3312" s="66" t="b">
        <v>0</v>
      </c>
      <c r="G3312" s="54" t="b">
        <v>1</v>
      </c>
      <c r="H3312" s="54" t="b">
        <v>1</v>
      </c>
      <c r="I3312" s="54" t="b">
        <v>1</v>
      </c>
      <c r="J3312" s="54" t="b">
        <v>1</v>
      </c>
      <c r="K3312" s="63" t="s">
        <v>867</v>
      </c>
      <c r="L3312" s="63" t="s">
        <v>7420</v>
      </c>
      <c r="M3312" s="63" t="s">
        <v>7421</v>
      </c>
      <c r="N3312" s="63" t="s">
        <v>1719</v>
      </c>
    </row>
    <row r="3313" spans="1:14" x14ac:dyDescent="0.2">
      <c r="A3313" s="51">
        <v>3312</v>
      </c>
      <c r="B3313" s="54" t="s">
        <v>867</v>
      </c>
      <c r="C3313" s="47" t="s">
        <v>7448</v>
      </c>
      <c r="D3313" s="47" t="s">
        <v>7449</v>
      </c>
      <c r="E3313" s="48" t="s">
        <v>1719</v>
      </c>
      <c r="F3313" s="66" t="b">
        <v>0</v>
      </c>
      <c r="G3313" s="54" t="b">
        <v>1</v>
      </c>
      <c r="H3313" s="54" t="b">
        <v>1</v>
      </c>
      <c r="I3313" s="54" t="b">
        <v>1</v>
      </c>
      <c r="J3313" s="54" t="b">
        <v>1</v>
      </c>
      <c r="K3313" s="63" t="s">
        <v>867</v>
      </c>
      <c r="L3313" s="63" t="s">
        <v>7448</v>
      </c>
      <c r="M3313" s="63" t="s">
        <v>7449</v>
      </c>
      <c r="N3313" s="63" t="s">
        <v>1719</v>
      </c>
    </row>
    <row r="3314" spans="1:14" x14ac:dyDescent="0.2">
      <c r="A3314" s="51">
        <v>3313</v>
      </c>
      <c r="B3314" s="54" t="s">
        <v>867</v>
      </c>
      <c r="C3314" s="47" t="s">
        <v>7458</v>
      </c>
      <c r="D3314" s="47" t="s">
        <v>7459</v>
      </c>
      <c r="E3314" s="48" t="s">
        <v>1719</v>
      </c>
      <c r="F3314" s="66" t="b">
        <v>0</v>
      </c>
      <c r="G3314" s="54" t="b">
        <v>1</v>
      </c>
      <c r="H3314" s="54" t="b">
        <v>1</v>
      </c>
      <c r="I3314" s="54" t="b">
        <v>1</v>
      </c>
      <c r="J3314" s="54" t="b">
        <v>1</v>
      </c>
      <c r="K3314" s="63" t="s">
        <v>867</v>
      </c>
      <c r="L3314" s="63" t="s">
        <v>7458</v>
      </c>
      <c r="M3314" s="63" t="s">
        <v>7459</v>
      </c>
      <c r="N3314" s="63" t="s">
        <v>1719</v>
      </c>
    </row>
    <row r="3315" spans="1:14" x14ac:dyDescent="0.2">
      <c r="A3315" s="51">
        <v>3314</v>
      </c>
      <c r="B3315" s="54" t="s">
        <v>867</v>
      </c>
      <c r="C3315" s="47" t="s">
        <v>7450</v>
      </c>
      <c r="D3315" s="47" t="s">
        <v>13057</v>
      </c>
      <c r="E3315" s="48" t="s">
        <v>1719</v>
      </c>
      <c r="F3315" s="66" t="b">
        <v>0</v>
      </c>
      <c r="G3315" s="54" t="b">
        <v>1</v>
      </c>
      <c r="H3315" s="54" t="b">
        <v>1</v>
      </c>
      <c r="I3315" s="65" t="b">
        <v>0</v>
      </c>
      <c r="J3315" s="54" t="b">
        <v>1</v>
      </c>
      <c r="K3315" s="63" t="s">
        <v>867</v>
      </c>
      <c r="L3315" s="63" t="s">
        <v>7450</v>
      </c>
      <c r="M3315" s="63" t="s">
        <v>7451</v>
      </c>
      <c r="N3315" s="63" t="s">
        <v>1719</v>
      </c>
    </row>
    <row r="3316" spans="1:14" x14ac:dyDescent="0.2">
      <c r="A3316" s="51">
        <v>3315</v>
      </c>
      <c r="B3316" s="54" t="s">
        <v>867</v>
      </c>
      <c r="C3316" s="47" t="s">
        <v>7452</v>
      </c>
      <c r="D3316" s="47" t="s">
        <v>7453</v>
      </c>
      <c r="E3316" s="48" t="s">
        <v>1719</v>
      </c>
      <c r="F3316" s="66" t="b">
        <v>0</v>
      </c>
      <c r="G3316" s="54" t="b">
        <v>1</v>
      </c>
      <c r="H3316" s="54" t="b">
        <v>1</v>
      </c>
      <c r="I3316" s="54" t="b">
        <v>1</v>
      </c>
      <c r="J3316" s="54" t="b">
        <v>1</v>
      </c>
      <c r="K3316" s="63" t="s">
        <v>867</v>
      </c>
      <c r="L3316" s="63" t="s">
        <v>7452</v>
      </c>
      <c r="M3316" s="63" t="s">
        <v>7453</v>
      </c>
      <c r="N3316" s="63" t="s">
        <v>1719</v>
      </c>
    </row>
    <row r="3317" spans="1:14" x14ac:dyDescent="0.2">
      <c r="A3317" s="51">
        <v>3316</v>
      </c>
      <c r="B3317" s="54" t="s">
        <v>867</v>
      </c>
      <c r="C3317" s="47" t="s">
        <v>7454</v>
      </c>
      <c r="D3317" s="47" t="s">
        <v>7455</v>
      </c>
      <c r="E3317" s="48" t="s">
        <v>1719</v>
      </c>
      <c r="F3317" s="66" t="b">
        <v>0</v>
      </c>
      <c r="G3317" s="54" t="b">
        <v>1</v>
      </c>
      <c r="H3317" s="54" t="b">
        <v>1</v>
      </c>
      <c r="I3317" s="54" t="b">
        <v>1</v>
      </c>
      <c r="J3317" s="54" t="b">
        <v>1</v>
      </c>
      <c r="K3317" s="63" t="s">
        <v>867</v>
      </c>
      <c r="L3317" s="63" t="s">
        <v>7454</v>
      </c>
      <c r="M3317" s="63" t="s">
        <v>7455</v>
      </c>
      <c r="N3317" s="63" t="s">
        <v>1719</v>
      </c>
    </row>
    <row r="3318" spans="1:14" x14ac:dyDescent="0.2">
      <c r="A3318" s="51">
        <v>3317</v>
      </c>
      <c r="B3318" s="54" t="s">
        <v>867</v>
      </c>
      <c r="C3318" s="47" t="s">
        <v>7456</v>
      </c>
      <c r="D3318" s="47" t="s">
        <v>7457</v>
      </c>
      <c r="E3318" s="48" t="s">
        <v>1719</v>
      </c>
      <c r="F3318" s="66" t="b">
        <v>0</v>
      </c>
      <c r="G3318" s="54" t="b">
        <v>1</v>
      </c>
      <c r="H3318" s="54" t="b">
        <v>1</v>
      </c>
      <c r="I3318" s="54" t="b">
        <v>1</v>
      </c>
      <c r="J3318" s="54" t="b">
        <v>1</v>
      </c>
      <c r="K3318" s="63" t="s">
        <v>867</v>
      </c>
      <c r="L3318" s="63" t="s">
        <v>7456</v>
      </c>
      <c r="M3318" s="63" t="s">
        <v>7457</v>
      </c>
      <c r="N3318" s="63" t="s">
        <v>1719</v>
      </c>
    </row>
    <row r="3319" spans="1:14" x14ac:dyDescent="0.2">
      <c r="A3319" s="51">
        <v>3318</v>
      </c>
      <c r="B3319" s="54" t="s">
        <v>867</v>
      </c>
      <c r="C3319" s="47" t="s">
        <v>7464</v>
      </c>
      <c r="D3319" s="47" t="s">
        <v>7465</v>
      </c>
      <c r="E3319" s="48" t="s">
        <v>1719</v>
      </c>
      <c r="F3319" s="66" t="b">
        <v>0</v>
      </c>
      <c r="G3319" s="54" t="b">
        <v>1</v>
      </c>
      <c r="H3319" s="54" t="b">
        <v>1</v>
      </c>
      <c r="I3319" s="54" t="b">
        <v>1</v>
      </c>
      <c r="J3319" s="54" t="b">
        <v>1</v>
      </c>
      <c r="K3319" s="63" t="s">
        <v>867</v>
      </c>
      <c r="L3319" s="63" t="s">
        <v>7464</v>
      </c>
      <c r="M3319" s="63" t="s">
        <v>7465</v>
      </c>
      <c r="N3319" s="63" t="s">
        <v>1719</v>
      </c>
    </row>
    <row r="3320" spans="1:14" x14ac:dyDescent="0.2">
      <c r="A3320" s="51">
        <v>3319</v>
      </c>
      <c r="B3320" s="54" t="s">
        <v>867</v>
      </c>
      <c r="C3320" s="47" t="s">
        <v>7462</v>
      </c>
      <c r="D3320" s="47" t="s">
        <v>7463</v>
      </c>
      <c r="E3320" s="48" t="s">
        <v>1719</v>
      </c>
      <c r="F3320" s="66" t="b">
        <v>0</v>
      </c>
      <c r="G3320" s="54" t="b">
        <v>1</v>
      </c>
      <c r="H3320" s="54" t="b">
        <v>1</v>
      </c>
      <c r="I3320" s="54" t="b">
        <v>1</v>
      </c>
      <c r="J3320" s="54" t="b">
        <v>1</v>
      </c>
      <c r="K3320" s="63" t="s">
        <v>867</v>
      </c>
      <c r="L3320" s="63" t="s">
        <v>7462</v>
      </c>
      <c r="M3320" s="63" t="s">
        <v>7463</v>
      </c>
      <c r="N3320" s="63" t="s">
        <v>1719</v>
      </c>
    </row>
    <row r="3321" spans="1:14" x14ac:dyDescent="0.2">
      <c r="A3321" s="51">
        <v>3320</v>
      </c>
      <c r="B3321" s="54" t="s">
        <v>867</v>
      </c>
      <c r="C3321" s="47" t="s">
        <v>7482</v>
      </c>
      <c r="D3321" s="47" t="s">
        <v>7483</v>
      </c>
      <c r="E3321" s="48" t="s">
        <v>1719</v>
      </c>
      <c r="F3321" s="66" t="b">
        <v>0</v>
      </c>
      <c r="G3321" s="54" t="b">
        <v>1</v>
      </c>
      <c r="H3321" s="54" t="b">
        <v>1</v>
      </c>
      <c r="I3321" s="54" t="b">
        <v>1</v>
      </c>
      <c r="J3321" s="54" t="b">
        <v>1</v>
      </c>
      <c r="K3321" s="63" t="s">
        <v>867</v>
      </c>
      <c r="L3321" s="63" t="s">
        <v>7482</v>
      </c>
      <c r="M3321" s="63" t="s">
        <v>7483</v>
      </c>
      <c r="N3321" s="63" t="s">
        <v>1719</v>
      </c>
    </row>
    <row r="3322" spans="1:14" x14ac:dyDescent="0.2">
      <c r="A3322" s="51">
        <v>3321</v>
      </c>
      <c r="B3322" s="54" t="s">
        <v>867</v>
      </c>
      <c r="C3322" s="47" t="s">
        <v>7474</v>
      </c>
      <c r="D3322" s="47" t="s">
        <v>7475</v>
      </c>
      <c r="E3322" s="48" t="s">
        <v>3158</v>
      </c>
      <c r="F3322" s="66" t="b">
        <v>0</v>
      </c>
      <c r="G3322" s="54" t="b">
        <v>1</v>
      </c>
      <c r="H3322" s="54" t="b">
        <v>1</v>
      </c>
      <c r="I3322" s="54" t="b">
        <v>1</v>
      </c>
      <c r="J3322" s="54" t="b">
        <v>1</v>
      </c>
      <c r="K3322" s="63" t="s">
        <v>867</v>
      </c>
      <c r="L3322" s="63" t="s">
        <v>7474</v>
      </c>
      <c r="M3322" s="63" t="s">
        <v>7475</v>
      </c>
      <c r="N3322" s="63" t="s">
        <v>3158</v>
      </c>
    </row>
    <row r="3323" spans="1:14" x14ac:dyDescent="0.2">
      <c r="A3323" s="51">
        <v>3322</v>
      </c>
      <c r="B3323" s="54" t="s">
        <v>867</v>
      </c>
      <c r="C3323" s="47" t="s">
        <v>7468</v>
      </c>
      <c r="D3323" s="47" t="s">
        <v>7469</v>
      </c>
      <c r="E3323" s="48" t="s">
        <v>3158</v>
      </c>
      <c r="F3323" s="66" t="b">
        <v>0</v>
      </c>
      <c r="G3323" s="54" t="b">
        <v>1</v>
      </c>
      <c r="H3323" s="54" t="b">
        <v>1</v>
      </c>
      <c r="I3323" s="54" t="b">
        <v>1</v>
      </c>
      <c r="J3323" s="54" t="b">
        <v>1</v>
      </c>
      <c r="K3323" s="63" t="s">
        <v>867</v>
      </c>
      <c r="L3323" s="63" t="s">
        <v>7468</v>
      </c>
      <c r="M3323" s="63" t="s">
        <v>7469</v>
      </c>
      <c r="N3323" s="63" t="s">
        <v>3158</v>
      </c>
    </row>
    <row r="3324" spans="1:14" x14ac:dyDescent="0.2">
      <c r="A3324" s="51">
        <v>3323</v>
      </c>
      <c r="B3324" s="54" t="s">
        <v>867</v>
      </c>
      <c r="C3324" s="47" t="s">
        <v>7470</v>
      </c>
      <c r="D3324" s="47" t="s">
        <v>7471</v>
      </c>
      <c r="E3324" s="48" t="s">
        <v>3158</v>
      </c>
      <c r="F3324" s="66" t="b">
        <v>0</v>
      </c>
      <c r="G3324" s="54" t="b">
        <v>1</v>
      </c>
      <c r="H3324" s="54" t="b">
        <v>1</v>
      </c>
      <c r="I3324" s="54" t="b">
        <v>1</v>
      </c>
      <c r="J3324" s="54" t="b">
        <v>1</v>
      </c>
      <c r="K3324" s="63" t="s">
        <v>867</v>
      </c>
      <c r="L3324" s="63" t="s">
        <v>7470</v>
      </c>
      <c r="M3324" s="63" t="s">
        <v>7471</v>
      </c>
      <c r="N3324" s="63" t="s">
        <v>3158</v>
      </c>
    </row>
    <row r="3325" spans="1:14" x14ac:dyDescent="0.2">
      <c r="A3325" s="51">
        <v>3324</v>
      </c>
      <c r="B3325" s="54" t="s">
        <v>867</v>
      </c>
      <c r="C3325" s="47" t="s">
        <v>7478</v>
      </c>
      <c r="D3325" s="47" t="s">
        <v>7479</v>
      </c>
      <c r="E3325" s="48" t="s">
        <v>3158</v>
      </c>
      <c r="F3325" s="66" t="b">
        <v>0</v>
      </c>
      <c r="G3325" s="54" t="b">
        <v>1</v>
      </c>
      <c r="H3325" s="54" t="b">
        <v>1</v>
      </c>
      <c r="I3325" s="54" t="b">
        <v>1</v>
      </c>
      <c r="J3325" s="54" t="b">
        <v>1</v>
      </c>
      <c r="K3325" s="63" t="s">
        <v>867</v>
      </c>
      <c r="L3325" s="63" t="s">
        <v>7478</v>
      </c>
      <c r="M3325" s="63" t="s">
        <v>7479</v>
      </c>
      <c r="N3325" s="63" t="s">
        <v>3158</v>
      </c>
    </row>
    <row r="3326" spans="1:14" x14ac:dyDescent="0.2">
      <c r="A3326" s="51">
        <v>3325</v>
      </c>
      <c r="B3326" s="54" t="s">
        <v>867</v>
      </c>
      <c r="C3326" s="47" t="s">
        <v>7480</v>
      </c>
      <c r="D3326" s="47" t="s">
        <v>7481</v>
      </c>
      <c r="E3326" s="48" t="s">
        <v>1719</v>
      </c>
      <c r="F3326" s="66" t="b">
        <v>0</v>
      </c>
      <c r="G3326" s="54" t="b">
        <v>1</v>
      </c>
      <c r="H3326" s="54" t="b">
        <v>1</v>
      </c>
      <c r="I3326" s="54" t="b">
        <v>1</v>
      </c>
      <c r="J3326" s="54" t="b">
        <v>1</v>
      </c>
      <c r="K3326" s="63" t="s">
        <v>867</v>
      </c>
      <c r="L3326" s="63" t="s">
        <v>7480</v>
      </c>
      <c r="M3326" s="63" t="s">
        <v>7481</v>
      </c>
      <c r="N3326" s="63" t="s">
        <v>1719</v>
      </c>
    </row>
    <row r="3327" spans="1:14" x14ac:dyDescent="0.2">
      <c r="A3327" s="51">
        <v>3326</v>
      </c>
      <c r="B3327" s="54" t="s">
        <v>867</v>
      </c>
      <c r="C3327" s="47" t="s">
        <v>7484</v>
      </c>
      <c r="D3327" s="47" t="s">
        <v>7485</v>
      </c>
      <c r="E3327" s="48" t="s">
        <v>1719</v>
      </c>
      <c r="F3327" s="66" t="b">
        <v>0</v>
      </c>
      <c r="G3327" s="54" t="b">
        <v>1</v>
      </c>
      <c r="H3327" s="54" t="b">
        <v>1</v>
      </c>
      <c r="I3327" s="54" t="b">
        <v>1</v>
      </c>
      <c r="J3327" s="54" t="b">
        <v>1</v>
      </c>
      <c r="K3327" s="63" t="s">
        <v>867</v>
      </c>
      <c r="L3327" s="63" t="s">
        <v>7484</v>
      </c>
      <c r="M3327" s="63" t="s">
        <v>7485</v>
      </c>
      <c r="N3327" s="63" t="s">
        <v>1719</v>
      </c>
    </row>
    <row r="3328" spans="1:14" x14ac:dyDescent="0.2">
      <c r="A3328" s="51">
        <v>3327</v>
      </c>
      <c r="B3328" s="54" t="s">
        <v>867</v>
      </c>
      <c r="C3328" s="47" t="s">
        <v>7486</v>
      </c>
      <c r="D3328" s="47" t="s">
        <v>7487</v>
      </c>
      <c r="E3328" s="48" t="s">
        <v>1719</v>
      </c>
      <c r="F3328" s="66" t="b">
        <v>0</v>
      </c>
      <c r="G3328" s="54" t="b">
        <v>1</v>
      </c>
      <c r="H3328" s="54" t="b">
        <v>1</v>
      </c>
      <c r="I3328" s="54" t="b">
        <v>1</v>
      </c>
      <c r="J3328" s="54" t="b">
        <v>1</v>
      </c>
      <c r="K3328" s="63" t="s">
        <v>867</v>
      </c>
      <c r="L3328" s="63" t="s">
        <v>7486</v>
      </c>
      <c r="M3328" s="63" t="s">
        <v>7487</v>
      </c>
      <c r="N3328" s="63" t="s">
        <v>1719</v>
      </c>
    </row>
    <row r="3329" spans="1:14" x14ac:dyDescent="0.2">
      <c r="A3329" s="51">
        <v>3328</v>
      </c>
      <c r="B3329" s="54" t="s">
        <v>867</v>
      </c>
      <c r="C3329" s="47" t="s">
        <v>7488</v>
      </c>
      <c r="D3329" s="47" t="s">
        <v>7489</v>
      </c>
      <c r="E3329" s="48" t="s">
        <v>1719</v>
      </c>
      <c r="F3329" s="66" t="b">
        <v>0</v>
      </c>
      <c r="G3329" s="54" t="b">
        <v>1</v>
      </c>
      <c r="H3329" s="54" t="b">
        <v>1</v>
      </c>
      <c r="I3329" s="54" t="b">
        <v>1</v>
      </c>
      <c r="J3329" s="54" t="b">
        <v>1</v>
      </c>
      <c r="K3329" s="63" t="s">
        <v>867</v>
      </c>
      <c r="L3329" s="63" t="s">
        <v>7488</v>
      </c>
      <c r="M3329" s="63" t="s">
        <v>7489</v>
      </c>
      <c r="N3329" s="63" t="s">
        <v>1719</v>
      </c>
    </row>
    <row r="3330" spans="1:14" x14ac:dyDescent="0.2">
      <c r="A3330" s="51">
        <v>3329</v>
      </c>
      <c r="E3330" s="48"/>
      <c r="G3330" s="65" t="b">
        <v>0</v>
      </c>
      <c r="H3330" s="65" t="b">
        <v>0</v>
      </c>
      <c r="I3330" s="65" t="b">
        <v>0</v>
      </c>
      <c r="J3330" s="65" t="b">
        <v>0</v>
      </c>
      <c r="K3330" s="63" t="s">
        <v>867</v>
      </c>
      <c r="L3330" s="63" t="s">
        <v>7490</v>
      </c>
      <c r="M3330" s="63" t="s">
        <v>7491</v>
      </c>
      <c r="N3330" s="63" t="s">
        <v>1719</v>
      </c>
    </row>
    <row r="3331" spans="1:14" x14ac:dyDescent="0.2">
      <c r="A3331" s="51">
        <v>3330</v>
      </c>
      <c r="B3331" s="54" t="s">
        <v>867</v>
      </c>
      <c r="C3331" s="47" t="s">
        <v>7494</v>
      </c>
      <c r="D3331" s="47" t="s">
        <v>7495</v>
      </c>
      <c r="E3331" s="48" t="s">
        <v>3158</v>
      </c>
      <c r="F3331" s="66" t="b">
        <v>0</v>
      </c>
      <c r="G3331" s="54" t="b">
        <v>1</v>
      </c>
      <c r="H3331" s="54" t="b">
        <v>1</v>
      </c>
      <c r="I3331" s="54" t="b">
        <v>1</v>
      </c>
      <c r="J3331" s="54" t="b">
        <v>1</v>
      </c>
      <c r="K3331" s="63" t="s">
        <v>867</v>
      </c>
      <c r="L3331" s="63" t="s">
        <v>7494</v>
      </c>
      <c r="M3331" s="63" t="s">
        <v>7495</v>
      </c>
      <c r="N3331" s="63" t="s">
        <v>3158</v>
      </c>
    </row>
    <row r="3332" spans="1:14" x14ac:dyDescent="0.2">
      <c r="A3332" s="51">
        <v>3331</v>
      </c>
      <c r="B3332" s="54" t="s">
        <v>867</v>
      </c>
      <c r="C3332" s="47" t="s">
        <v>7496</v>
      </c>
      <c r="D3332" s="47" t="s">
        <v>7497</v>
      </c>
      <c r="E3332" s="48" t="s">
        <v>3158</v>
      </c>
      <c r="F3332" s="66" t="b">
        <v>0</v>
      </c>
      <c r="G3332" s="54" t="b">
        <v>1</v>
      </c>
      <c r="H3332" s="54" t="b">
        <v>1</v>
      </c>
      <c r="I3332" s="54" t="b">
        <v>1</v>
      </c>
      <c r="J3332" s="54" t="b">
        <v>1</v>
      </c>
      <c r="K3332" s="63" t="s">
        <v>867</v>
      </c>
      <c r="L3332" s="63" t="s">
        <v>7496</v>
      </c>
      <c r="M3332" s="63" t="s">
        <v>7497</v>
      </c>
      <c r="N3332" s="63" t="s">
        <v>3158</v>
      </c>
    </row>
    <row r="3333" spans="1:14" x14ac:dyDescent="0.2">
      <c r="A3333" s="51">
        <v>3332</v>
      </c>
      <c r="B3333" s="54" t="s">
        <v>867</v>
      </c>
      <c r="C3333" s="47" t="s">
        <v>7500</v>
      </c>
      <c r="D3333" s="47" t="s">
        <v>6954</v>
      </c>
      <c r="E3333" s="48" t="s">
        <v>1719</v>
      </c>
      <c r="F3333" s="66" t="b">
        <v>0</v>
      </c>
      <c r="G3333" s="54" t="b">
        <v>1</v>
      </c>
      <c r="H3333" s="54" t="b">
        <v>1</v>
      </c>
      <c r="I3333" s="54" t="b">
        <v>1</v>
      </c>
      <c r="J3333" s="54" t="b">
        <v>1</v>
      </c>
      <c r="K3333" s="63" t="s">
        <v>867</v>
      </c>
      <c r="L3333" s="63" t="s">
        <v>7500</v>
      </c>
      <c r="M3333" s="63" t="s">
        <v>6954</v>
      </c>
      <c r="N3333" s="63" t="s">
        <v>1719</v>
      </c>
    </row>
    <row r="3334" spans="1:14" x14ac:dyDescent="0.2">
      <c r="A3334" s="51">
        <v>3333</v>
      </c>
      <c r="B3334" s="54" t="s">
        <v>867</v>
      </c>
      <c r="C3334" s="47" t="s">
        <v>7501</v>
      </c>
      <c r="D3334" s="47" t="s">
        <v>7502</v>
      </c>
      <c r="E3334" s="48" t="s">
        <v>3158</v>
      </c>
      <c r="F3334" s="66" t="b">
        <v>0</v>
      </c>
      <c r="G3334" s="54" t="b">
        <v>1</v>
      </c>
      <c r="H3334" s="54" t="b">
        <v>1</v>
      </c>
      <c r="I3334" s="54" t="b">
        <v>1</v>
      </c>
      <c r="J3334" s="54" t="b">
        <v>1</v>
      </c>
      <c r="K3334" s="63" t="s">
        <v>867</v>
      </c>
      <c r="L3334" s="63" t="s">
        <v>7501</v>
      </c>
      <c r="M3334" s="63" t="s">
        <v>7502</v>
      </c>
      <c r="N3334" s="63" t="s">
        <v>3158</v>
      </c>
    </row>
    <row r="3335" spans="1:14" x14ac:dyDescent="0.2">
      <c r="A3335" s="51">
        <v>3334</v>
      </c>
      <c r="B3335" s="54" t="s">
        <v>867</v>
      </c>
      <c r="C3335" s="47" t="s">
        <v>7503</v>
      </c>
      <c r="D3335" s="47" t="s">
        <v>7504</v>
      </c>
      <c r="E3335" s="48" t="s">
        <v>1719</v>
      </c>
      <c r="F3335" s="66" t="b">
        <v>0</v>
      </c>
      <c r="G3335" s="54" t="b">
        <v>1</v>
      </c>
      <c r="H3335" s="54" t="b">
        <v>1</v>
      </c>
      <c r="I3335" s="54" t="b">
        <v>1</v>
      </c>
      <c r="J3335" s="54" t="b">
        <v>1</v>
      </c>
      <c r="K3335" s="63" t="s">
        <v>867</v>
      </c>
      <c r="L3335" s="63" t="s">
        <v>7503</v>
      </c>
      <c r="M3335" s="63" t="s">
        <v>7504</v>
      </c>
      <c r="N3335" s="63" t="s">
        <v>1719</v>
      </c>
    </row>
    <row r="3336" spans="1:14" x14ac:dyDescent="0.2">
      <c r="A3336" s="51">
        <v>3335</v>
      </c>
      <c r="B3336" s="54" t="s">
        <v>867</v>
      </c>
      <c r="C3336" s="47" t="s">
        <v>7505</v>
      </c>
      <c r="D3336" s="47" t="s">
        <v>7506</v>
      </c>
      <c r="E3336" s="48" t="s">
        <v>1719</v>
      </c>
      <c r="F3336" s="66" t="b">
        <v>0</v>
      </c>
      <c r="G3336" s="54" t="b">
        <v>1</v>
      </c>
      <c r="H3336" s="54" t="b">
        <v>1</v>
      </c>
      <c r="I3336" s="54" t="b">
        <v>1</v>
      </c>
      <c r="J3336" s="54" t="b">
        <v>1</v>
      </c>
      <c r="K3336" s="63" t="s">
        <v>867</v>
      </c>
      <c r="L3336" s="63" t="s">
        <v>7505</v>
      </c>
      <c r="M3336" s="63" t="s">
        <v>7506</v>
      </c>
      <c r="N3336" s="63" t="s">
        <v>1719</v>
      </c>
    </row>
    <row r="3337" spans="1:14" x14ac:dyDescent="0.2">
      <c r="A3337" s="51">
        <v>3336</v>
      </c>
      <c r="B3337" s="54" t="s">
        <v>867</v>
      </c>
      <c r="C3337" s="47" t="s">
        <v>7507</v>
      </c>
      <c r="D3337" s="47" t="s">
        <v>7508</v>
      </c>
      <c r="E3337" s="48" t="s">
        <v>1719</v>
      </c>
      <c r="F3337" s="66" t="b">
        <v>0</v>
      </c>
      <c r="G3337" s="54" t="b">
        <v>1</v>
      </c>
      <c r="H3337" s="54" t="b">
        <v>1</v>
      </c>
      <c r="I3337" s="54" t="b">
        <v>1</v>
      </c>
      <c r="J3337" s="54" t="b">
        <v>1</v>
      </c>
      <c r="K3337" s="63" t="s">
        <v>867</v>
      </c>
      <c r="L3337" s="63" t="s">
        <v>7507</v>
      </c>
      <c r="M3337" s="63" t="s">
        <v>7508</v>
      </c>
      <c r="N3337" s="63" t="s">
        <v>1719</v>
      </c>
    </row>
    <row r="3338" spans="1:14" x14ac:dyDescent="0.2">
      <c r="A3338" s="51">
        <v>3337</v>
      </c>
      <c r="B3338" s="54" t="s">
        <v>867</v>
      </c>
      <c r="C3338" s="47" t="s">
        <v>7511</v>
      </c>
      <c r="D3338" s="47" t="s">
        <v>13063</v>
      </c>
      <c r="E3338" s="48" t="s">
        <v>3158</v>
      </c>
      <c r="F3338" s="66" t="b">
        <v>0</v>
      </c>
      <c r="G3338" s="54" t="b">
        <v>1</v>
      </c>
      <c r="H3338" s="54" t="b">
        <v>1</v>
      </c>
      <c r="I3338" s="65" t="b">
        <v>0</v>
      </c>
      <c r="J3338" s="54" t="b">
        <v>1</v>
      </c>
      <c r="K3338" s="63" t="s">
        <v>867</v>
      </c>
      <c r="L3338" s="63" t="s">
        <v>7511</v>
      </c>
      <c r="M3338" s="63" t="s">
        <v>7512</v>
      </c>
      <c r="N3338" s="63" t="s">
        <v>3158</v>
      </c>
    </row>
    <row r="3339" spans="1:14" x14ac:dyDescent="0.2">
      <c r="A3339" s="51">
        <v>3338</v>
      </c>
      <c r="B3339" s="54" t="s">
        <v>867</v>
      </c>
      <c r="C3339" s="47" t="s">
        <v>7509</v>
      </c>
      <c r="D3339" s="47" t="s">
        <v>7510</v>
      </c>
      <c r="E3339" s="48" t="s">
        <v>3158</v>
      </c>
      <c r="F3339" s="66" t="b">
        <v>0</v>
      </c>
      <c r="G3339" s="54" t="b">
        <v>1</v>
      </c>
      <c r="H3339" s="54" t="b">
        <v>1</v>
      </c>
      <c r="I3339" s="54" t="b">
        <v>1</v>
      </c>
      <c r="J3339" s="54" t="b">
        <v>1</v>
      </c>
      <c r="K3339" s="63" t="s">
        <v>867</v>
      </c>
      <c r="L3339" s="63" t="s">
        <v>7509</v>
      </c>
      <c r="M3339" s="63" t="s">
        <v>7510</v>
      </c>
      <c r="N3339" s="63" t="s">
        <v>3158</v>
      </c>
    </row>
    <row r="3340" spans="1:14" x14ac:dyDescent="0.2">
      <c r="A3340" s="51">
        <v>3339</v>
      </c>
      <c r="B3340" s="54" t="s">
        <v>867</v>
      </c>
      <c r="C3340" s="47" t="s">
        <v>7525</v>
      </c>
      <c r="D3340" s="47" t="s">
        <v>7526</v>
      </c>
      <c r="E3340" s="48" t="s">
        <v>1719</v>
      </c>
      <c r="F3340" s="66" t="b">
        <v>0</v>
      </c>
      <c r="G3340" s="54" t="b">
        <v>1</v>
      </c>
      <c r="H3340" s="54" t="b">
        <v>1</v>
      </c>
      <c r="I3340" s="54" t="b">
        <v>1</v>
      </c>
      <c r="J3340" s="54" t="b">
        <v>1</v>
      </c>
      <c r="K3340" s="63" t="s">
        <v>867</v>
      </c>
      <c r="L3340" s="63" t="s">
        <v>7525</v>
      </c>
      <c r="M3340" s="63" t="s">
        <v>7526</v>
      </c>
      <c r="N3340" s="63" t="s">
        <v>1719</v>
      </c>
    </row>
    <row r="3341" spans="1:14" x14ac:dyDescent="0.2">
      <c r="A3341" s="51">
        <v>3340</v>
      </c>
      <c r="B3341" s="54" t="s">
        <v>867</v>
      </c>
      <c r="C3341" s="47" t="s">
        <v>7523</v>
      </c>
      <c r="D3341" s="47" t="s">
        <v>7524</v>
      </c>
      <c r="E3341" s="48" t="s">
        <v>1719</v>
      </c>
      <c r="F3341" s="66" t="b">
        <v>0</v>
      </c>
      <c r="G3341" s="54" t="b">
        <v>1</v>
      </c>
      <c r="H3341" s="54" t="b">
        <v>1</v>
      </c>
      <c r="I3341" s="54" t="b">
        <v>1</v>
      </c>
      <c r="J3341" s="54" t="b">
        <v>1</v>
      </c>
      <c r="K3341" s="63" t="s">
        <v>867</v>
      </c>
      <c r="L3341" s="63" t="s">
        <v>7523</v>
      </c>
      <c r="M3341" s="63" t="s">
        <v>7524</v>
      </c>
      <c r="N3341" s="63" t="s">
        <v>1719</v>
      </c>
    </row>
    <row r="3342" spans="1:14" x14ac:dyDescent="0.2">
      <c r="A3342" s="51">
        <v>3341</v>
      </c>
      <c r="B3342" s="54" t="s">
        <v>867</v>
      </c>
      <c r="C3342" s="47" t="s">
        <v>7527</v>
      </c>
      <c r="D3342" s="47" t="s">
        <v>13066</v>
      </c>
      <c r="E3342" s="48" t="s">
        <v>1719</v>
      </c>
      <c r="F3342" s="66" t="b">
        <v>0</v>
      </c>
      <c r="G3342" s="54" t="b">
        <v>1</v>
      </c>
      <c r="H3342" s="54" t="b">
        <v>1</v>
      </c>
      <c r="I3342" s="65" t="b">
        <v>0</v>
      </c>
      <c r="J3342" s="54" t="b">
        <v>1</v>
      </c>
      <c r="K3342" s="63" t="s">
        <v>867</v>
      </c>
      <c r="L3342" s="63" t="s">
        <v>7527</v>
      </c>
      <c r="M3342" s="63" t="s">
        <v>7528</v>
      </c>
      <c r="N3342" s="63" t="s">
        <v>1719</v>
      </c>
    </row>
    <row r="3343" spans="1:14" x14ac:dyDescent="0.2">
      <c r="A3343" s="51">
        <v>3342</v>
      </c>
      <c r="B3343" s="54" t="s">
        <v>867</v>
      </c>
      <c r="C3343" s="47" t="s">
        <v>7529</v>
      </c>
      <c r="D3343" s="47" t="s">
        <v>7530</v>
      </c>
      <c r="E3343" s="48" t="s">
        <v>1719</v>
      </c>
      <c r="F3343" s="66" t="b">
        <v>0</v>
      </c>
      <c r="G3343" s="54" t="b">
        <v>1</v>
      </c>
      <c r="H3343" s="54" t="b">
        <v>1</v>
      </c>
      <c r="I3343" s="54" t="b">
        <v>1</v>
      </c>
      <c r="J3343" s="54" t="b">
        <v>1</v>
      </c>
      <c r="K3343" s="63" t="s">
        <v>867</v>
      </c>
      <c r="L3343" s="63" t="s">
        <v>7529</v>
      </c>
      <c r="M3343" s="63" t="s">
        <v>7530</v>
      </c>
      <c r="N3343" s="63" t="s">
        <v>1719</v>
      </c>
    </row>
    <row r="3344" spans="1:14" x14ac:dyDescent="0.2">
      <c r="A3344" s="51">
        <v>3343</v>
      </c>
      <c r="B3344" s="54" t="s">
        <v>867</v>
      </c>
      <c r="C3344" s="47" t="s">
        <v>7531</v>
      </c>
      <c r="D3344" s="47" t="s">
        <v>7532</v>
      </c>
      <c r="E3344" s="48" t="s">
        <v>1719</v>
      </c>
      <c r="F3344" s="66" t="b">
        <v>0</v>
      </c>
      <c r="G3344" s="54" t="b">
        <v>1</v>
      </c>
      <c r="H3344" s="54" t="b">
        <v>1</v>
      </c>
      <c r="I3344" s="54" t="b">
        <v>1</v>
      </c>
      <c r="J3344" s="54" t="b">
        <v>1</v>
      </c>
      <c r="K3344" s="63" t="s">
        <v>867</v>
      </c>
      <c r="L3344" s="63" t="s">
        <v>7531</v>
      </c>
      <c r="M3344" s="63" t="s">
        <v>7532</v>
      </c>
      <c r="N3344" s="63" t="s">
        <v>1719</v>
      </c>
    </row>
    <row r="3345" spans="1:14" x14ac:dyDescent="0.2">
      <c r="A3345" s="51">
        <v>3344</v>
      </c>
      <c r="B3345" s="54" t="s">
        <v>867</v>
      </c>
      <c r="C3345" s="47" t="s">
        <v>7537</v>
      </c>
      <c r="D3345" s="47" t="s">
        <v>7538</v>
      </c>
      <c r="E3345" s="48" t="s">
        <v>1719</v>
      </c>
      <c r="F3345" s="66" t="b">
        <v>0</v>
      </c>
      <c r="G3345" s="54" t="b">
        <v>1</v>
      </c>
      <c r="H3345" s="54" t="b">
        <v>1</v>
      </c>
      <c r="I3345" s="54" t="b">
        <v>1</v>
      </c>
      <c r="J3345" s="65" t="b">
        <v>0</v>
      </c>
      <c r="K3345" s="63" t="s">
        <v>867</v>
      </c>
      <c r="L3345" s="63" t="s">
        <v>7537</v>
      </c>
      <c r="M3345" s="63" t="s">
        <v>7538</v>
      </c>
      <c r="N3345" s="63" t="s">
        <v>3158</v>
      </c>
    </row>
    <row r="3346" spans="1:14" x14ac:dyDescent="0.2">
      <c r="A3346" s="51">
        <v>3345</v>
      </c>
      <c r="B3346" s="54" t="s">
        <v>867</v>
      </c>
      <c r="C3346" s="47" t="s">
        <v>7535</v>
      </c>
      <c r="D3346" s="47" t="s">
        <v>7536</v>
      </c>
      <c r="E3346" s="48" t="s">
        <v>1719</v>
      </c>
      <c r="F3346" s="66" t="b">
        <v>0</v>
      </c>
      <c r="G3346" s="54" t="b">
        <v>1</v>
      </c>
      <c r="H3346" s="54" t="b">
        <v>1</v>
      </c>
      <c r="I3346" s="54" t="b">
        <v>1</v>
      </c>
      <c r="J3346" s="54" t="b">
        <v>1</v>
      </c>
      <c r="K3346" s="63" t="s">
        <v>867</v>
      </c>
      <c r="L3346" s="63" t="s">
        <v>7535</v>
      </c>
      <c r="M3346" s="63" t="s">
        <v>7536</v>
      </c>
      <c r="N3346" s="63" t="s">
        <v>1719</v>
      </c>
    </row>
    <row r="3347" spans="1:14" x14ac:dyDescent="0.2">
      <c r="A3347" s="51">
        <v>3346</v>
      </c>
      <c r="B3347" s="54" t="s">
        <v>867</v>
      </c>
      <c r="C3347" s="47" t="s">
        <v>7519</v>
      </c>
      <c r="D3347" s="47" t="s">
        <v>13065</v>
      </c>
      <c r="E3347" s="48" t="s">
        <v>3158</v>
      </c>
      <c r="F3347" s="66" t="b">
        <v>0</v>
      </c>
      <c r="G3347" s="54" t="b">
        <v>1</v>
      </c>
      <c r="H3347" s="54" t="b">
        <v>1</v>
      </c>
      <c r="I3347" s="65" t="b">
        <v>0</v>
      </c>
      <c r="J3347" s="54" t="b">
        <v>1</v>
      </c>
      <c r="K3347" s="63" t="s">
        <v>867</v>
      </c>
      <c r="L3347" s="63" t="s">
        <v>7519</v>
      </c>
      <c r="M3347" s="63" t="s">
        <v>7520</v>
      </c>
      <c r="N3347" s="63" t="s">
        <v>3158</v>
      </c>
    </row>
    <row r="3348" spans="1:14" x14ac:dyDescent="0.2">
      <c r="A3348" s="51">
        <v>3347</v>
      </c>
      <c r="B3348" s="54" t="s">
        <v>867</v>
      </c>
      <c r="C3348" s="47" t="s">
        <v>7517</v>
      </c>
      <c r="D3348" s="47" t="s">
        <v>7518</v>
      </c>
      <c r="E3348" s="48" t="s">
        <v>1719</v>
      </c>
      <c r="F3348" s="66" t="b">
        <v>0</v>
      </c>
      <c r="G3348" s="54" t="b">
        <v>1</v>
      </c>
      <c r="H3348" s="54" t="b">
        <v>1</v>
      </c>
      <c r="I3348" s="54" t="b">
        <v>1</v>
      </c>
      <c r="J3348" s="54" t="b">
        <v>1</v>
      </c>
      <c r="K3348" s="63" t="s">
        <v>867</v>
      </c>
      <c r="L3348" s="63" t="s">
        <v>7517</v>
      </c>
      <c r="M3348" s="63" t="s">
        <v>7518</v>
      </c>
      <c r="N3348" s="63" t="s">
        <v>1719</v>
      </c>
    </row>
    <row r="3349" spans="1:14" x14ac:dyDescent="0.2">
      <c r="A3349" s="51">
        <v>3348</v>
      </c>
      <c r="B3349" s="54" t="s">
        <v>867</v>
      </c>
      <c r="C3349" s="47" t="s">
        <v>7539</v>
      </c>
      <c r="D3349" s="47" t="s">
        <v>7540</v>
      </c>
      <c r="E3349" s="48" t="s">
        <v>1719</v>
      </c>
      <c r="F3349" s="66" t="b">
        <v>0</v>
      </c>
      <c r="G3349" s="54" t="b">
        <v>1</v>
      </c>
      <c r="H3349" s="54" t="b">
        <v>1</v>
      </c>
      <c r="I3349" s="54" t="b">
        <v>1</v>
      </c>
      <c r="J3349" s="54" t="b">
        <v>1</v>
      </c>
      <c r="K3349" s="63" t="s">
        <v>867</v>
      </c>
      <c r="L3349" s="63" t="s">
        <v>7539</v>
      </c>
      <c r="M3349" s="63" t="s">
        <v>7540</v>
      </c>
      <c r="N3349" s="63" t="s">
        <v>1719</v>
      </c>
    </row>
    <row r="3350" spans="1:14" x14ac:dyDescent="0.2">
      <c r="A3350" s="51">
        <v>3349</v>
      </c>
      <c r="B3350" s="54" t="s">
        <v>869</v>
      </c>
      <c r="C3350" s="47" t="s">
        <v>7554</v>
      </c>
      <c r="D3350" s="47" t="s">
        <v>7555</v>
      </c>
      <c r="E3350" s="47" t="s">
        <v>1719</v>
      </c>
      <c r="F3350" s="55" t="b">
        <v>1</v>
      </c>
      <c r="G3350" s="54" t="b">
        <v>1</v>
      </c>
      <c r="H3350" s="54" t="b">
        <v>1</v>
      </c>
      <c r="I3350" s="54" t="b">
        <v>1</v>
      </c>
      <c r="J3350" s="54" t="b">
        <v>1</v>
      </c>
      <c r="K3350" s="63" t="s">
        <v>869</v>
      </c>
      <c r="L3350" s="63" t="s">
        <v>7554</v>
      </c>
      <c r="M3350" s="63" t="s">
        <v>7555</v>
      </c>
      <c r="N3350" s="63" t="s">
        <v>1719</v>
      </c>
    </row>
    <row r="3351" spans="1:14" x14ac:dyDescent="0.2">
      <c r="A3351" s="51">
        <v>3350</v>
      </c>
      <c r="B3351" s="54" t="s">
        <v>869</v>
      </c>
      <c r="C3351" s="47" t="s">
        <v>7547</v>
      </c>
      <c r="D3351" s="47" t="s">
        <v>7548</v>
      </c>
      <c r="E3351" s="47" t="s">
        <v>1719</v>
      </c>
      <c r="F3351" s="55" t="b">
        <v>1</v>
      </c>
      <c r="G3351" s="54" t="b">
        <v>1</v>
      </c>
      <c r="H3351" s="54" t="b">
        <v>1</v>
      </c>
      <c r="I3351" s="54" t="b">
        <v>1</v>
      </c>
      <c r="J3351" s="54" t="b">
        <v>1</v>
      </c>
      <c r="K3351" s="63" t="s">
        <v>869</v>
      </c>
      <c r="L3351" s="63" t="s">
        <v>7547</v>
      </c>
      <c r="M3351" s="63" t="s">
        <v>7548</v>
      </c>
      <c r="N3351" s="63" t="s">
        <v>1719</v>
      </c>
    </row>
    <row r="3352" spans="1:14" x14ac:dyDescent="0.2">
      <c r="A3352" s="51">
        <v>3351</v>
      </c>
      <c r="B3352" s="54" t="s">
        <v>869</v>
      </c>
      <c r="C3352" s="47" t="s">
        <v>7543</v>
      </c>
      <c r="D3352" s="47" t="s">
        <v>7544</v>
      </c>
      <c r="E3352" s="47" t="s">
        <v>1719</v>
      </c>
      <c r="F3352" s="55" t="b">
        <v>1</v>
      </c>
      <c r="G3352" s="54" t="b">
        <v>1</v>
      </c>
      <c r="H3352" s="54" t="b">
        <v>1</v>
      </c>
      <c r="I3352" s="54" t="b">
        <v>1</v>
      </c>
      <c r="J3352" s="54" t="b">
        <v>1</v>
      </c>
      <c r="K3352" s="63" t="s">
        <v>869</v>
      </c>
      <c r="L3352" s="63" t="s">
        <v>7543</v>
      </c>
      <c r="M3352" s="63" t="s">
        <v>7544</v>
      </c>
      <c r="N3352" s="63" t="s">
        <v>1719</v>
      </c>
    </row>
    <row r="3353" spans="1:14" x14ac:dyDescent="0.2">
      <c r="A3353" s="51">
        <v>3352</v>
      </c>
      <c r="B3353" s="54" t="s">
        <v>869</v>
      </c>
      <c r="C3353" s="47" t="s">
        <v>7545</v>
      </c>
      <c r="D3353" s="47" t="s">
        <v>7546</v>
      </c>
      <c r="E3353" s="47" t="s">
        <v>1719</v>
      </c>
      <c r="F3353" s="55" t="b">
        <v>1</v>
      </c>
      <c r="G3353" s="54" t="b">
        <v>1</v>
      </c>
      <c r="H3353" s="54" t="b">
        <v>1</v>
      </c>
      <c r="I3353" s="54" t="b">
        <v>1</v>
      </c>
      <c r="J3353" s="54" t="b">
        <v>1</v>
      </c>
      <c r="K3353" s="63" t="s">
        <v>869</v>
      </c>
      <c r="L3353" s="63" t="s">
        <v>7545</v>
      </c>
      <c r="M3353" s="63" t="s">
        <v>7546</v>
      </c>
      <c r="N3353" s="63" t="s">
        <v>1719</v>
      </c>
    </row>
    <row r="3354" spans="1:14" x14ac:dyDescent="0.2">
      <c r="A3354" s="51">
        <v>3353</v>
      </c>
      <c r="B3354" s="54" t="s">
        <v>869</v>
      </c>
      <c r="C3354" s="47" t="s">
        <v>7549</v>
      </c>
      <c r="D3354" s="47" t="s">
        <v>7550</v>
      </c>
      <c r="E3354" s="47" t="s">
        <v>1719</v>
      </c>
      <c r="F3354" s="55" t="b">
        <v>1</v>
      </c>
      <c r="G3354" s="54" t="b">
        <v>1</v>
      </c>
      <c r="H3354" s="54" t="b">
        <v>1</v>
      </c>
      <c r="I3354" s="54" t="b">
        <v>1</v>
      </c>
      <c r="J3354" s="54" t="b">
        <v>1</v>
      </c>
      <c r="K3354" s="63" t="s">
        <v>869</v>
      </c>
      <c r="L3354" s="63" t="s">
        <v>7549</v>
      </c>
      <c r="M3354" s="63" t="s">
        <v>7550</v>
      </c>
      <c r="N3354" s="63" t="s">
        <v>1719</v>
      </c>
    </row>
    <row r="3355" spans="1:14" x14ac:dyDescent="0.2">
      <c r="A3355" s="51">
        <v>3354</v>
      </c>
      <c r="B3355" s="54" t="s">
        <v>869</v>
      </c>
      <c r="C3355" s="47" t="s">
        <v>7551</v>
      </c>
      <c r="D3355" s="47" t="s">
        <v>7550</v>
      </c>
      <c r="E3355" s="47" t="s">
        <v>2046</v>
      </c>
      <c r="F3355" s="55" t="b">
        <v>1</v>
      </c>
      <c r="G3355" s="54" t="b">
        <v>1</v>
      </c>
      <c r="H3355" s="54" t="b">
        <v>1</v>
      </c>
      <c r="I3355" s="54" t="b">
        <v>1</v>
      </c>
      <c r="J3355" s="54" t="b">
        <v>1</v>
      </c>
      <c r="K3355" s="63" t="s">
        <v>869</v>
      </c>
      <c r="L3355" s="63" t="s">
        <v>7551</v>
      </c>
      <c r="M3355" s="63" t="s">
        <v>7550</v>
      </c>
      <c r="N3355" s="63" t="s">
        <v>2046</v>
      </c>
    </row>
    <row r="3356" spans="1:14" x14ac:dyDescent="0.2">
      <c r="A3356" s="51">
        <v>3355</v>
      </c>
      <c r="B3356" s="54" t="s">
        <v>869</v>
      </c>
      <c r="C3356" s="47" t="s">
        <v>7552</v>
      </c>
      <c r="D3356" s="47" t="s">
        <v>7553</v>
      </c>
      <c r="E3356" s="47" t="s">
        <v>1719</v>
      </c>
      <c r="F3356" s="55" t="b">
        <v>1</v>
      </c>
      <c r="G3356" s="54" t="b">
        <v>1</v>
      </c>
      <c r="H3356" s="54" t="b">
        <v>1</v>
      </c>
      <c r="I3356" s="54" t="b">
        <v>1</v>
      </c>
      <c r="J3356" s="54" t="b">
        <v>1</v>
      </c>
      <c r="K3356" s="63" t="s">
        <v>869</v>
      </c>
      <c r="L3356" s="63" t="s">
        <v>7552</v>
      </c>
      <c r="M3356" s="63" t="s">
        <v>7553</v>
      </c>
      <c r="N3356" s="63" t="s">
        <v>1719</v>
      </c>
    </row>
    <row r="3357" spans="1:14" x14ac:dyDescent="0.2">
      <c r="A3357" s="51">
        <v>3356</v>
      </c>
      <c r="B3357" s="54" t="s">
        <v>869</v>
      </c>
      <c r="C3357" s="47" t="s">
        <v>7541</v>
      </c>
      <c r="D3357" s="47" t="s">
        <v>7542</v>
      </c>
      <c r="E3357" s="47" t="s">
        <v>1719</v>
      </c>
      <c r="F3357" s="55" t="b">
        <v>1</v>
      </c>
      <c r="G3357" s="54" t="b">
        <v>1</v>
      </c>
      <c r="H3357" s="54" t="b">
        <v>1</v>
      </c>
      <c r="I3357" s="54" t="b">
        <v>1</v>
      </c>
      <c r="J3357" s="54" t="b">
        <v>1</v>
      </c>
      <c r="K3357" s="63" t="s">
        <v>869</v>
      </c>
      <c r="L3357" s="63" t="s">
        <v>7541</v>
      </c>
      <c r="M3357" s="63" t="s">
        <v>7542</v>
      </c>
      <c r="N3357" s="63" t="s">
        <v>1719</v>
      </c>
    </row>
    <row r="3358" spans="1:14" x14ac:dyDescent="0.2">
      <c r="A3358" s="51">
        <v>3357</v>
      </c>
      <c r="B3358" s="54" t="s">
        <v>869</v>
      </c>
      <c r="C3358" s="47" t="s">
        <v>7560</v>
      </c>
      <c r="D3358" s="47" t="s">
        <v>7561</v>
      </c>
      <c r="E3358" s="47" t="s">
        <v>1719</v>
      </c>
      <c r="F3358" s="55" t="b">
        <v>1</v>
      </c>
      <c r="G3358" s="54" t="b">
        <v>1</v>
      </c>
      <c r="H3358" s="54" t="b">
        <v>1</v>
      </c>
      <c r="I3358" s="54" t="b">
        <v>1</v>
      </c>
      <c r="J3358" s="54" t="b">
        <v>1</v>
      </c>
      <c r="K3358" s="63" t="s">
        <v>869</v>
      </c>
      <c r="L3358" s="63" t="s">
        <v>7560</v>
      </c>
      <c r="M3358" s="63" t="s">
        <v>7561</v>
      </c>
      <c r="N3358" s="63" t="s">
        <v>1719</v>
      </c>
    </row>
    <row r="3359" spans="1:14" x14ac:dyDescent="0.2">
      <c r="A3359" s="51">
        <v>3358</v>
      </c>
      <c r="B3359" s="54" t="s">
        <v>869</v>
      </c>
      <c r="C3359" s="47" t="s">
        <v>7556</v>
      </c>
      <c r="D3359" s="47" t="s">
        <v>7557</v>
      </c>
      <c r="E3359" s="47" t="s">
        <v>1719</v>
      </c>
      <c r="F3359" s="55" t="b">
        <v>1</v>
      </c>
      <c r="G3359" s="54" t="b">
        <v>1</v>
      </c>
      <c r="H3359" s="54" t="b">
        <v>1</v>
      </c>
      <c r="I3359" s="54" t="b">
        <v>1</v>
      </c>
      <c r="J3359" s="54" t="b">
        <v>1</v>
      </c>
      <c r="K3359" s="63" t="s">
        <v>869</v>
      </c>
      <c r="L3359" s="63" t="s">
        <v>7556</v>
      </c>
      <c r="M3359" s="63" t="s">
        <v>7557</v>
      </c>
      <c r="N3359" s="63" t="s">
        <v>1719</v>
      </c>
    </row>
    <row r="3360" spans="1:14" x14ac:dyDescent="0.2">
      <c r="A3360" s="51">
        <v>3359</v>
      </c>
      <c r="B3360" s="54" t="s">
        <v>869</v>
      </c>
      <c r="C3360" s="47" t="s">
        <v>7558</v>
      </c>
      <c r="D3360" s="47" t="s">
        <v>7559</v>
      </c>
      <c r="E3360" s="47" t="s">
        <v>1719</v>
      </c>
      <c r="F3360" s="55" t="b">
        <v>1</v>
      </c>
      <c r="G3360" s="54" t="b">
        <v>1</v>
      </c>
      <c r="H3360" s="54" t="b">
        <v>1</v>
      </c>
      <c r="I3360" s="54" t="b">
        <v>1</v>
      </c>
      <c r="J3360" s="54" t="b">
        <v>1</v>
      </c>
      <c r="K3360" s="63" t="s">
        <v>869</v>
      </c>
      <c r="L3360" s="63" t="s">
        <v>7558</v>
      </c>
      <c r="M3360" s="63" t="s">
        <v>7559</v>
      </c>
      <c r="N3360" s="63" t="s">
        <v>1719</v>
      </c>
    </row>
    <row r="3361" spans="1:14" x14ac:dyDescent="0.2">
      <c r="A3361" s="51">
        <v>3360</v>
      </c>
      <c r="G3361" s="65" t="b">
        <v>0</v>
      </c>
      <c r="H3361" s="65" t="b">
        <v>0</v>
      </c>
      <c r="I3361" s="65" t="b">
        <v>0</v>
      </c>
      <c r="J3361" s="65" t="b">
        <v>0</v>
      </c>
      <c r="K3361" s="63" t="s">
        <v>1115</v>
      </c>
      <c r="L3361" s="63" t="s">
        <v>7582</v>
      </c>
      <c r="M3361" s="63" t="s">
        <v>7583</v>
      </c>
      <c r="N3361" s="63" t="s">
        <v>2383</v>
      </c>
    </row>
    <row r="3362" spans="1:14" x14ac:dyDescent="0.2">
      <c r="A3362" s="51">
        <v>3361</v>
      </c>
      <c r="G3362" s="65" t="b">
        <v>0</v>
      </c>
      <c r="H3362" s="65" t="b">
        <v>0</v>
      </c>
      <c r="I3362" s="65" t="b">
        <v>0</v>
      </c>
      <c r="J3362" s="65" t="b">
        <v>0</v>
      </c>
      <c r="K3362" s="63" t="s">
        <v>1115</v>
      </c>
      <c r="L3362" s="63" t="s">
        <v>7564</v>
      </c>
      <c r="M3362" s="63" t="s">
        <v>7565</v>
      </c>
      <c r="N3362" s="63" t="s">
        <v>2383</v>
      </c>
    </row>
    <row r="3363" spans="1:14" x14ac:dyDescent="0.2">
      <c r="A3363" s="51">
        <v>3362</v>
      </c>
      <c r="G3363" s="65" t="b">
        <v>0</v>
      </c>
      <c r="H3363" s="65" t="b">
        <v>0</v>
      </c>
      <c r="I3363" s="65" t="b">
        <v>0</v>
      </c>
      <c r="J3363" s="65" t="b">
        <v>0</v>
      </c>
      <c r="K3363" s="63" t="s">
        <v>1115</v>
      </c>
      <c r="L3363" s="63" t="s">
        <v>7574</v>
      </c>
      <c r="M3363" s="63" t="s">
        <v>7575</v>
      </c>
      <c r="N3363" s="63" t="s">
        <v>2383</v>
      </c>
    </row>
    <row r="3364" spans="1:14" x14ac:dyDescent="0.2">
      <c r="A3364" s="51">
        <v>3363</v>
      </c>
      <c r="G3364" s="65" t="b">
        <v>0</v>
      </c>
      <c r="H3364" s="65" t="b">
        <v>0</v>
      </c>
      <c r="I3364" s="65" t="b">
        <v>0</v>
      </c>
      <c r="J3364" s="65" t="b">
        <v>0</v>
      </c>
      <c r="K3364" s="63" t="s">
        <v>1115</v>
      </c>
      <c r="L3364" s="63" t="s">
        <v>7576</v>
      </c>
      <c r="M3364" s="63" t="s">
        <v>7577</v>
      </c>
      <c r="N3364" s="63" t="s">
        <v>2383</v>
      </c>
    </row>
    <row r="3365" spans="1:14" x14ac:dyDescent="0.2">
      <c r="A3365" s="51">
        <v>3364</v>
      </c>
      <c r="G3365" s="65" t="b">
        <v>0</v>
      </c>
      <c r="H3365" s="65" t="b">
        <v>0</v>
      </c>
      <c r="I3365" s="65" t="b">
        <v>0</v>
      </c>
      <c r="J3365" s="65" t="b">
        <v>0</v>
      </c>
      <c r="K3365" s="63" t="s">
        <v>1115</v>
      </c>
      <c r="L3365" s="63" t="s">
        <v>7586</v>
      </c>
      <c r="M3365" s="63" t="s">
        <v>7587</v>
      </c>
      <c r="N3365" s="63" t="s">
        <v>2383</v>
      </c>
    </row>
    <row r="3366" spans="1:14" x14ac:dyDescent="0.2">
      <c r="A3366" s="51">
        <v>3365</v>
      </c>
      <c r="G3366" s="65" t="b">
        <v>0</v>
      </c>
      <c r="H3366" s="65" t="b">
        <v>0</v>
      </c>
      <c r="I3366" s="65" t="b">
        <v>0</v>
      </c>
      <c r="J3366" s="65" t="b">
        <v>0</v>
      </c>
      <c r="K3366" s="63" t="s">
        <v>1115</v>
      </c>
      <c r="L3366" s="63" t="s">
        <v>7588</v>
      </c>
      <c r="M3366" s="63" t="s">
        <v>7589</v>
      </c>
      <c r="N3366" s="63" t="s">
        <v>2383</v>
      </c>
    </row>
    <row r="3367" spans="1:14" x14ac:dyDescent="0.2">
      <c r="A3367" s="51">
        <v>3366</v>
      </c>
      <c r="G3367" s="65" t="b">
        <v>0</v>
      </c>
      <c r="H3367" s="65" t="b">
        <v>0</v>
      </c>
      <c r="I3367" s="65" t="b">
        <v>0</v>
      </c>
      <c r="J3367" s="65" t="b">
        <v>0</v>
      </c>
      <c r="K3367" s="63" t="s">
        <v>1115</v>
      </c>
      <c r="L3367" s="63" t="s">
        <v>7562</v>
      </c>
      <c r="M3367" s="63" t="s">
        <v>7563</v>
      </c>
      <c r="N3367" s="63" t="s">
        <v>2383</v>
      </c>
    </row>
    <row r="3368" spans="1:14" x14ac:dyDescent="0.2">
      <c r="A3368" s="51">
        <v>3367</v>
      </c>
      <c r="G3368" s="65" t="b">
        <v>0</v>
      </c>
      <c r="H3368" s="65" t="b">
        <v>0</v>
      </c>
      <c r="I3368" s="65" t="b">
        <v>0</v>
      </c>
      <c r="J3368" s="65" t="b">
        <v>0</v>
      </c>
      <c r="K3368" s="63" t="s">
        <v>1115</v>
      </c>
      <c r="L3368" s="63" t="s">
        <v>7568</v>
      </c>
      <c r="M3368" s="63" t="s">
        <v>7569</v>
      </c>
      <c r="N3368" s="63" t="s">
        <v>2113</v>
      </c>
    </row>
    <row r="3369" spans="1:14" x14ac:dyDescent="0.2">
      <c r="A3369" s="51">
        <v>3368</v>
      </c>
      <c r="G3369" s="65" t="b">
        <v>0</v>
      </c>
      <c r="H3369" s="65" t="b">
        <v>0</v>
      </c>
      <c r="I3369" s="65" t="b">
        <v>0</v>
      </c>
      <c r="J3369" s="65" t="b">
        <v>0</v>
      </c>
      <c r="K3369" s="63" t="s">
        <v>1115</v>
      </c>
      <c r="L3369" s="63" t="s">
        <v>7570</v>
      </c>
      <c r="M3369" s="63" t="s">
        <v>7571</v>
      </c>
      <c r="N3369" s="63" t="s">
        <v>2113</v>
      </c>
    </row>
    <row r="3370" spans="1:14" x14ac:dyDescent="0.2">
      <c r="A3370" s="51">
        <v>3369</v>
      </c>
      <c r="G3370" s="65" t="b">
        <v>0</v>
      </c>
      <c r="H3370" s="65" t="b">
        <v>0</v>
      </c>
      <c r="I3370" s="65" t="b">
        <v>0</v>
      </c>
      <c r="J3370" s="65" t="b">
        <v>0</v>
      </c>
      <c r="K3370" s="63" t="s">
        <v>1115</v>
      </c>
      <c r="L3370" s="63" t="s">
        <v>7572</v>
      </c>
      <c r="M3370" s="63" t="s">
        <v>7573</v>
      </c>
      <c r="N3370" s="63" t="s">
        <v>2113</v>
      </c>
    </row>
    <row r="3371" spans="1:14" x14ac:dyDescent="0.2">
      <c r="A3371" s="51">
        <v>3370</v>
      </c>
      <c r="G3371" s="65" t="b">
        <v>0</v>
      </c>
      <c r="H3371" s="65" t="b">
        <v>0</v>
      </c>
      <c r="I3371" s="65" t="b">
        <v>0</v>
      </c>
      <c r="J3371" s="65" t="b">
        <v>0</v>
      </c>
      <c r="K3371" s="63" t="s">
        <v>1115</v>
      </c>
      <c r="L3371" s="63" t="s">
        <v>7566</v>
      </c>
      <c r="M3371" s="63" t="s">
        <v>7567</v>
      </c>
      <c r="N3371" s="63" t="s">
        <v>2113</v>
      </c>
    </row>
    <row r="3372" spans="1:14" x14ac:dyDescent="0.2">
      <c r="A3372" s="51">
        <v>3371</v>
      </c>
      <c r="G3372" s="65" t="b">
        <v>0</v>
      </c>
      <c r="H3372" s="65" t="b">
        <v>0</v>
      </c>
      <c r="I3372" s="65" t="b">
        <v>0</v>
      </c>
      <c r="J3372" s="65" t="b">
        <v>0</v>
      </c>
      <c r="K3372" s="63" t="s">
        <v>1115</v>
      </c>
      <c r="L3372" s="63" t="s">
        <v>7578</v>
      </c>
      <c r="M3372" s="63" t="s">
        <v>7579</v>
      </c>
      <c r="N3372" s="63" t="s">
        <v>2113</v>
      </c>
    </row>
    <row r="3373" spans="1:14" x14ac:dyDescent="0.2">
      <c r="A3373" s="51">
        <v>3372</v>
      </c>
      <c r="G3373" s="65" t="b">
        <v>0</v>
      </c>
      <c r="H3373" s="65" t="b">
        <v>0</v>
      </c>
      <c r="I3373" s="65" t="b">
        <v>0</v>
      </c>
      <c r="J3373" s="65" t="b">
        <v>0</v>
      </c>
      <c r="K3373" s="63" t="s">
        <v>1115</v>
      </c>
      <c r="L3373" s="63" t="s">
        <v>7580</v>
      </c>
      <c r="M3373" s="63" t="s">
        <v>7581</v>
      </c>
      <c r="N3373" s="63" t="s">
        <v>2113</v>
      </c>
    </row>
    <row r="3374" spans="1:14" x14ac:dyDescent="0.2">
      <c r="A3374" s="51">
        <v>3373</v>
      </c>
      <c r="G3374" s="65" t="b">
        <v>0</v>
      </c>
      <c r="H3374" s="65" t="b">
        <v>0</v>
      </c>
      <c r="I3374" s="65" t="b">
        <v>0</v>
      </c>
      <c r="J3374" s="65" t="b">
        <v>0</v>
      </c>
      <c r="K3374" s="63" t="s">
        <v>1115</v>
      </c>
      <c r="L3374" s="63" t="s">
        <v>7584</v>
      </c>
      <c r="M3374" s="63" t="s">
        <v>7585</v>
      </c>
      <c r="N3374" s="63" t="s">
        <v>2113</v>
      </c>
    </row>
    <row r="3375" spans="1:14" x14ac:dyDescent="0.2">
      <c r="A3375" s="51">
        <v>3374</v>
      </c>
      <c r="G3375" s="65" t="b">
        <v>0</v>
      </c>
      <c r="H3375" s="65" t="b">
        <v>0</v>
      </c>
      <c r="I3375" s="65" t="b">
        <v>0</v>
      </c>
      <c r="J3375" s="65" t="b">
        <v>0</v>
      </c>
      <c r="K3375" s="63" t="s">
        <v>871</v>
      </c>
      <c r="L3375" s="63" t="s">
        <v>7590</v>
      </c>
      <c r="M3375" s="63" t="s">
        <v>7591</v>
      </c>
      <c r="N3375" s="63" t="s">
        <v>2087</v>
      </c>
    </row>
    <row r="3376" spans="1:14" x14ac:dyDescent="0.2">
      <c r="A3376" s="51">
        <v>3375</v>
      </c>
      <c r="B3376" s="54" t="s">
        <v>871</v>
      </c>
      <c r="C3376" s="47" t="s">
        <v>7592</v>
      </c>
      <c r="D3376" s="47" t="s">
        <v>7593</v>
      </c>
      <c r="E3376" s="47" t="s">
        <v>2087</v>
      </c>
      <c r="F3376" s="55" t="b">
        <v>1</v>
      </c>
      <c r="G3376" s="54" t="b">
        <v>1</v>
      </c>
      <c r="H3376" s="54" t="b">
        <v>1</v>
      </c>
      <c r="I3376" s="54" t="b">
        <v>1</v>
      </c>
      <c r="J3376" s="54" t="b">
        <v>1</v>
      </c>
      <c r="K3376" s="63" t="s">
        <v>871</v>
      </c>
      <c r="L3376" s="63" t="s">
        <v>7592</v>
      </c>
      <c r="M3376" s="63" t="s">
        <v>7593</v>
      </c>
      <c r="N3376" s="63" t="s">
        <v>2087</v>
      </c>
    </row>
    <row r="3377" spans="1:14" x14ac:dyDescent="0.2">
      <c r="A3377" s="51">
        <v>3376</v>
      </c>
      <c r="B3377" s="54" t="s">
        <v>871</v>
      </c>
      <c r="C3377" s="47" t="s">
        <v>7594</v>
      </c>
      <c r="D3377" s="47" t="s">
        <v>7595</v>
      </c>
      <c r="E3377" s="47" t="s">
        <v>2087</v>
      </c>
      <c r="F3377" s="55" t="b">
        <v>1</v>
      </c>
      <c r="G3377" s="54" t="b">
        <v>1</v>
      </c>
      <c r="H3377" s="54" t="b">
        <v>1</v>
      </c>
      <c r="I3377" s="54" t="b">
        <v>1</v>
      </c>
      <c r="J3377" s="54" t="b">
        <v>1</v>
      </c>
      <c r="K3377" s="63" t="s">
        <v>871</v>
      </c>
      <c r="L3377" s="63" t="s">
        <v>7594</v>
      </c>
      <c r="M3377" s="63" t="s">
        <v>7595</v>
      </c>
      <c r="N3377" s="63" t="s">
        <v>2087</v>
      </c>
    </row>
    <row r="3378" spans="1:14" x14ac:dyDescent="0.2">
      <c r="A3378" s="51">
        <v>3377</v>
      </c>
      <c r="B3378" s="54" t="s">
        <v>871</v>
      </c>
      <c r="C3378" s="47" t="s">
        <v>7596</v>
      </c>
      <c r="D3378" s="47" t="s">
        <v>13067</v>
      </c>
      <c r="E3378" s="47" t="s">
        <v>2087</v>
      </c>
      <c r="F3378" s="55" t="b">
        <v>1</v>
      </c>
      <c r="G3378" s="54" t="b">
        <v>1</v>
      </c>
      <c r="H3378" s="54" t="b">
        <v>1</v>
      </c>
      <c r="I3378" s="65" t="b">
        <v>0</v>
      </c>
      <c r="J3378" s="54" t="b">
        <v>1</v>
      </c>
      <c r="K3378" s="63" t="s">
        <v>871</v>
      </c>
      <c r="L3378" s="63" t="s">
        <v>7596</v>
      </c>
      <c r="M3378" s="63" t="s">
        <v>7597</v>
      </c>
      <c r="N3378" s="63" t="s">
        <v>2087</v>
      </c>
    </row>
    <row r="3379" spans="1:14" x14ac:dyDescent="0.2">
      <c r="A3379" s="51">
        <v>3378</v>
      </c>
      <c r="B3379" s="54" t="s">
        <v>871</v>
      </c>
      <c r="C3379" s="47" t="s">
        <v>13068</v>
      </c>
      <c r="D3379" s="47" t="s">
        <v>13069</v>
      </c>
      <c r="E3379" s="47" t="s">
        <v>2087</v>
      </c>
      <c r="F3379" s="55" t="b">
        <v>1</v>
      </c>
      <c r="G3379" s="65" t="b">
        <v>0</v>
      </c>
      <c r="H3379" s="65" t="b">
        <v>0</v>
      </c>
      <c r="I3379" s="65" t="b">
        <v>0</v>
      </c>
      <c r="J3379" s="65" t="b">
        <v>0</v>
      </c>
    </row>
    <row r="3380" spans="1:14" x14ac:dyDescent="0.2">
      <c r="A3380" s="51">
        <v>3379</v>
      </c>
      <c r="B3380" s="54" t="s">
        <v>871</v>
      </c>
      <c r="C3380" s="47" t="s">
        <v>7598</v>
      </c>
      <c r="D3380" s="47" t="s">
        <v>7599</v>
      </c>
      <c r="E3380" s="47" t="s">
        <v>2087</v>
      </c>
      <c r="F3380" s="55" t="b">
        <v>1</v>
      </c>
      <c r="G3380" s="54" t="b">
        <v>1</v>
      </c>
      <c r="H3380" s="54" t="b">
        <v>1</v>
      </c>
      <c r="I3380" s="54" t="b">
        <v>1</v>
      </c>
      <c r="J3380" s="54" t="b">
        <v>1</v>
      </c>
      <c r="K3380" s="63" t="s">
        <v>871</v>
      </c>
      <c r="L3380" s="63" t="s">
        <v>7598</v>
      </c>
      <c r="M3380" s="63" t="s">
        <v>7599</v>
      </c>
      <c r="N3380" s="63" t="s">
        <v>2087</v>
      </c>
    </row>
    <row r="3381" spans="1:14" x14ac:dyDescent="0.2">
      <c r="A3381" s="51">
        <v>3380</v>
      </c>
      <c r="B3381" s="54" t="s">
        <v>871</v>
      </c>
      <c r="C3381" s="47" t="s">
        <v>7600</v>
      </c>
      <c r="D3381" s="47" t="s">
        <v>7601</v>
      </c>
      <c r="E3381" s="47" t="s">
        <v>2087</v>
      </c>
      <c r="F3381" s="55" t="b">
        <v>1</v>
      </c>
      <c r="G3381" s="54" t="b">
        <v>1</v>
      </c>
      <c r="H3381" s="54" t="b">
        <v>1</v>
      </c>
      <c r="I3381" s="54" t="b">
        <v>1</v>
      </c>
      <c r="J3381" s="54" t="b">
        <v>1</v>
      </c>
      <c r="K3381" s="63" t="s">
        <v>871</v>
      </c>
      <c r="L3381" s="63" t="s">
        <v>7600</v>
      </c>
      <c r="M3381" s="63" t="s">
        <v>7601</v>
      </c>
      <c r="N3381" s="63" t="s">
        <v>2087</v>
      </c>
    </row>
    <row r="3382" spans="1:14" x14ac:dyDescent="0.2">
      <c r="A3382" s="51">
        <v>3381</v>
      </c>
      <c r="B3382" s="54" t="s">
        <v>871</v>
      </c>
      <c r="C3382" s="47" t="s">
        <v>13070</v>
      </c>
      <c r="D3382" s="47" t="s">
        <v>13071</v>
      </c>
      <c r="E3382" s="47" t="s">
        <v>2087</v>
      </c>
      <c r="F3382" s="55" t="b">
        <v>1</v>
      </c>
      <c r="G3382" s="65" t="b">
        <v>0</v>
      </c>
      <c r="H3382" s="65" t="b">
        <v>0</v>
      </c>
      <c r="I3382" s="65" t="b">
        <v>0</v>
      </c>
      <c r="J3382" s="65" t="b">
        <v>0</v>
      </c>
    </row>
    <row r="3383" spans="1:14" x14ac:dyDescent="0.2">
      <c r="A3383" s="51">
        <v>3382</v>
      </c>
      <c r="B3383" s="54" t="s">
        <v>871</v>
      </c>
      <c r="C3383" s="47" t="s">
        <v>7614</v>
      </c>
      <c r="D3383" s="47" t="s">
        <v>7615</v>
      </c>
      <c r="E3383" s="47" t="s">
        <v>2087</v>
      </c>
      <c r="F3383" s="55" t="b">
        <v>1</v>
      </c>
      <c r="G3383" s="54" t="b">
        <v>1</v>
      </c>
      <c r="H3383" s="54" t="b">
        <v>1</v>
      </c>
      <c r="I3383" s="54" t="b">
        <v>1</v>
      </c>
      <c r="J3383" s="54" t="b">
        <v>1</v>
      </c>
      <c r="K3383" s="63" t="s">
        <v>871</v>
      </c>
      <c r="L3383" s="63" t="s">
        <v>7614</v>
      </c>
      <c r="M3383" s="63" t="s">
        <v>7615</v>
      </c>
      <c r="N3383" s="63" t="s">
        <v>2087</v>
      </c>
    </row>
    <row r="3384" spans="1:14" x14ac:dyDescent="0.2">
      <c r="A3384" s="51">
        <v>3383</v>
      </c>
      <c r="B3384" s="54" t="s">
        <v>871</v>
      </c>
      <c r="C3384" s="47" t="s">
        <v>7606</v>
      </c>
      <c r="D3384" s="47" t="s">
        <v>7607</v>
      </c>
      <c r="E3384" s="47" t="s">
        <v>2087</v>
      </c>
      <c r="F3384" s="55" t="b">
        <v>1</v>
      </c>
      <c r="G3384" s="54" t="b">
        <v>1</v>
      </c>
      <c r="H3384" s="54" t="b">
        <v>1</v>
      </c>
      <c r="I3384" s="54" t="b">
        <v>1</v>
      </c>
      <c r="J3384" s="54" t="b">
        <v>1</v>
      </c>
      <c r="K3384" s="63" t="s">
        <v>871</v>
      </c>
      <c r="L3384" s="63" t="s">
        <v>7606</v>
      </c>
      <c r="M3384" s="63" t="s">
        <v>7607</v>
      </c>
      <c r="N3384" s="63" t="s">
        <v>2087</v>
      </c>
    </row>
    <row r="3385" spans="1:14" x14ac:dyDescent="0.2">
      <c r="A3385" s="51">
        <v>3384</v>
      </c>
      <c r="G3385" s="65" t="b">
        <v>0</v>
      </c>
      <c r="H3385" s="65" t="b">
        <v>0</v>
      </c>
      <c r="I3385" s="65" t="b">
        <v>0</v>
      </c>
      <c r="J3385" s="65" t="b">
        <v>0</v>
      </c>
      <c r="K3385" s="63" t="s">
        <v>871</v>
      </c>
      <c r="L3385" s="63" t="s">
        <v>7604</v>
      </c>
      <c r="M3385" s="63" t="s">
        <v>7605</v>
      </c>
      <c r="N3385" s="63" t="s">
        <v>2087</v>
      </c>
    </row>
    <row r="3386" spans="1:14" x14ac:dyDescent="0.2">
      <c r="A3386" s="51">
        <v>3385</v>
      </c>
      <c r="B3386" s="54" t="s">
        <v>871</v>
      </c>
      <c r="C3386" s="47" t="s">
        <v>7610</v>
      </c>
      <c r="D3386" s="47" t="s">
        <v>7611</v>
      </c>
      <c r="E3386" s="47" t="s">
        <v>2087</v>
      </c>
      <c r="F3386" s="55" t="b">
        <v>1</v>
      </c>
      <c r="G3386" s="54" t="b">
        <v>1</v>
      </c>
      <c r="H3386" s="54" t="b">
        <v>1</v>
      </c>
      <c r="I3386" s="54" t="b">
        <v>1</v>
      </c>
      <c r="J3386" s="54" t="b">
        <v>1</v>
      </c>
      <c r="K3386" s="63" t="s">
        <v>871</v>
      </c>
      <c r="L3386" s="63" t="s">
        <v>7610</v>
      </c>
      <c r="M3386" s="63" t="s">
        <v>7611</v>
      </c>
      <c r="N3386" s="63" t="s">
        <v>2087</v>
      </c>
    </row>
    <row r="3387" spans="1:14" x14ac:dyDescent="0.2">
      <c r="A3387" s="51">
        <v>3386</v>
      </c>
      <c r="B3387" s="54" t="s">
        <v>871</v>
      </c>
      <c r="C3387" s="47" t="s">
        <v>7608</v>
      </c>
      <c r="D3387" s="47" t="s">
        <v>7609</v>
      </c>
      <c r="E3387" s="47" t="s">
        <v>2087</v>
      </c>
      <c r="F3387" s="55" t="b">
        <v>1</v>
      </c>
      <c r="G3387" s="54" t="b">
        <v>1</v>
      </c>
      <c r="H3387" s="54" t="b">
        <v>1</v>
      </c>
      <c r="I3387" s="54" t="b">
        <v>1</v>
      </c>
      <c r="J3387" s="54" t="b">
        <v>1</v>
      </c>
      <c r="K3387" s="63" t="s">
        <v>871</v>
      </c>
      <c r="L3387" s="63" t="s">
        <v>7608</v>
      </c>
      <c r="M3387" s="63" t="s">
        <v>7609</v>
      </c>
      <c r="N3387" s="63" t="s">
        <v>2087</v>
      </c>
    </row>
    <row r="3388" spans="1:14" x14ac:dyDescent="0.2">
      <c r="A3388" s="51">
        <v>3387</v>
      </c>
      <c r="B3388" s="54" t="s">
        <v>871</v>
      </c>
      <c r="C3388" s="47" t="s">
        <v>7612</v>
      </c>
      <c r="D3388" s="47" t="s">
        <v>7613</v>
      </c>
      <c r="E3388" s="47" t="s">
        <v>2087</v>
      </c>
      <c r="F3388" s="55" t="b">
        <v>1</v>
      </c>
      <c r="G3388" s="54" t="b">
        <v>1</v>
      </c>
      <c r="H3388" s="54" t="b">
        <v>1</v>
      </c>
      <c r="I3388" s="54" t="b">
        <v>1</v>
      </c>
      <c r="J3388" s="54" t="b">
        <v>1</v>
      </c>
      <c r="K3388" s="63" t="s">
        <v>871</v>
      </c>
      <c r="L3388" s="63" t="s">
        <v>7612</v>
      </c>
      <c r="M3388" s="63" t="s">
        <v>7613</v>
      </c>
      <c r="N3388" s="63" t="s">
        <v>2087</v>
      </c>
    </row>
    <row r="3389" spans="1:14" x14ac:dyDescent="0.2">
      <c r="A3389" s="51">
        <v>3388</v>
      </c>
      <c r="B3389" s="54" t="s">
        <v>871</v>
      </c>
      <c r="C3389" s="47" t="s">
        <v>7602</v>
      </c>
      <c r="D3389" s="47" t="s">
        <v>7603</v>
      </c>
      <c r="E3389" s="47" t="s">
        <v>2087</v>
      </c>
      <c r="F3389" s="55" t="b">
        <v>1</v>
      </c>
      <c r="G3389" s="54" t="b">
        <v>1</v>
      </c>
      <c r="H3389" s="54" t="b">
        <v>1</v>
      </c>
      <c r="I3389" s="54" t="b">
        <v>1</v>
      </c>
      <c r="J3389" s="54" t="b">
        <v>1</v>
      </c>
      <c r="K3389" s="63" t="s">
        <v>871</v>
      </c>
      <c r="L3389" s="63" t="s">
        <v>7602</v>
      </c>
      <c r="M3389" s="63" t="s">
        <v>7603</v>
      </c>
      <c r="N3389" s="63" t="s">
        <v>2087</v>
      </c>
    </row>
    <row r="3390" spans="1:14" x14ac:dyDescent="0.2">
      <c r="A3390" s="51">
        <v>3389</v>
      </c>
      <c r="B3390" s="54" t="s">
        <v>873</v>
      </c>
      <c r="C3390" s="47" t="s">
        <v>7590</v>
      </c>
      <c r="D3390" s="47" t="s">
        <v>13072</v>
      </c>
      <c r="E3390" s="47" t="s">
        <v>2087</v>
      </c>
      <c r="F3390" s="55" t="b">
        <v>1</v>
      </c>
      <c r="G3390" s="65" t="b">
        <v>0</v>
      </c>
      <c r="H3390" s="65" t="b">
        <v>0</v>
      </c>
      <c r="I3390" s="65" t="b">
        <v>0</v>
      </c>
      <c r="J3390" s="65" t="b">
        <v>0</v>
      </c>
    </row>
    <row r="3391" spans="1:14" x14ac:dyDescent="0.2">
      <c r="A3391" s="51">
        <v>3390</v>
      </c>
      <c r="B3391" s="54" t="s">
        <v>873</v>
      </c>
      <c r="C3391" s="47" t="s">
        <v>7616</v>
      </c>
      <c r="D3391" s="47" t="s">
        <v>7617</v>
      </c>
      <c r="E3391" s="47" t="s">
        <v>1790</v>
      </c>
      <c r="F3391" s="55" t="b">
        <v>1</v>
      </c>
      <c r="G3391" s="54" t="b">
        <v>1</v>
      </c>
      <c r="H3391" s="54" t="b">
        <v>1</v>
      </c>
      <c r="I3391" s="54" t="b">
        <v>1</v>
      </c>
      <c r="J3391" s="54" t="b">
        <v>1</v>
      </c>
      <c r="K3391" s="63" t="s">
        <v>873</v>
      </c>
      <c r="L3391" s="63" t="s">
        <v>7616</v>
      </c>
      <c r="M3391" s="63" t="s">
        <v>7617</v>
      </c>
      <c r="N3391" s="63" t="s">
        <v>1790</v>
      </c>
    </row>
    <row r="3392" spans="1:14" x14ac:dyDescent="0.2">
      <c r="A3392" s="51">
        <v>3391</v>
      </c>
      <c r="B3392" s="54" t="s">
        <v>873</v>
      </c>
      <c r="C3392" s="47" t="s">
        <v>7618</v>
      </c>
      <c r="D3392" s="47" t="s">
        <v>7619</v>
      </c>
      <c r="E3392" s="47" t="s">
        <v>1790</v>
      </c>
      <c r="F3392" s="55" t="b">
        <v>1</v>
      </c>
      <c r="G3392" s="54" t="b">
        <v>1</v>
      </c>
      <c r="H3392" s="54" t="b">
        <v>1</v>
      </c>
      <c r="I3392" s="54" t="b">
        <v>1</v>
      </c>
      <c r="J3392" s="54" t="b">
        <v>1</v>
      </c>
      <c r="K3392" s="63" t="s">
        <v>873</v>
      </c>
      <c r="L3392" s="63" t="s">
        <v>7618</v>
      </c>
      <c r="M3392" s="63" t="s">
        <v>7619</v>
      </c>
      <c r="N3392" s="63" t="s">
        <v>1790</v>
      </c>
    </row>
    <row r="3393" spans="1:14" x14ac:dyDescent="0.2">
      <c r="A3393" s="51">
        <v>3392</v>
      </c>
      <c r="B3393" s="54" t="s">
        <v>873</v>
      </c>
      <c r="C3393" s="47" t="s">
        <v>7620</v>
      </c>
      <c r="D3393" s="47" t="s">
        <v>7621</v>
      </c>
      <c r="E3393" s="47" t="s">
        <v>1790</v>
      </c>
      <c r="F3393" s="55" t="b">
        <v>1</v>
      </c>
      <c r="G3393" s="54" t="b">
        <v>1</v>
      </c>
      <c r="H3393" s="54" t="b">
        <v>1</v>
      </c>
      <c r="I3393" s="54" t="b">
        <v>1</v>
      </c>
      <c r="J3393" s="54" t="b">
        <v>1</v>
      </c>
      <c r="K3393" s="63" t="s">
        <v>873</v>
      </c>
      <c r="L3393" s="63" t="s">
        <v>7620</v>
      </c>
      <c r="M3393" s="63" t="s">
        <v>7621</v>
      </c>
      <c r="N3393" s="63" t="s">
        <v>1790</v>
      </c>
    </row>
    <row r="3394" spans="1:14" x14ac:dyDescent="0.2">
      <c r="A3394" s="51">
        <v>3393</v>
      </c>
      <c r="B3394" s="54" t="s">
        <v>873</v>
      </c>
      <c r="C3394" s="47" t="s">
        <v>7622</v>
      </c>
      <c r="D3394" s="47" t="s">
        <v>7623</v>
      </c>
      <c r="E3394" s="47" t="s">
        <v>1790</v>
      </c>
      <c r="F3394" s="55" t="b">
        <v>1</v>
      </c>
      <c r="G3394" s="54" t="b">
        <v>1</v>
      </c>
      <c r="H3394" s="54" t="b">
        <v>1</v>
      </c>
      <c r="I3394" s="54" t="b">
        <v>1</v>
      </c>
      <c r="J3394" s="54" t="b">
        <v>1</v>
      </c>
      <c r="K3394" s="63" t="s">
        <v>873</v>
      </c>
      <c r="L3394" s="63" t="s">
        <v>7622</v>
      </c>
      <c r="M3394" s="63" t="s">
        <v>7623</v>
      </c>
      <c r="N3394" s="63" t="s">
        <v>1790</v>
      </c>
    </row>
    <row r="3395" spans="1:14" x14ac:dyDescent="0.2">
      <c r="A3395" s="51">
        <v>3394</v>
      </c>
      <c r="B3395" s="54" t="s">
        <v>873</v>
      </c>
      <c r="C3395" s="47" t="s">
        <v>7624</v>
      </c>
      <c r="D3395" s="47" t="s">
        <v>7625</v>
      </c>
      <c r="E3395" s="47" t="s">
        <v>1790</v>
      </c>
      <c r="F3395" s="55" t="b">
        <v>1</v>
      </c>
      <c r="G3395" s="54" t="b">
        <v>1</v>
      </c>
      <c r="H3395" s="54" t="b">
        <v>1</v>
      </c>
      <c r="I3395" s="54" t="b">
        <v>1</v>
      </c>
      <c r="J3395" s="54" t="b">
        <v>1</v>
      </c>
      <c r="K3395" s="63" t="s">
        <v>873</v>
      </c>
      <c r="L3395" s="63" t="s">
        <v>7624</v>
      </c>
      <c r="M3395" s="63" t="s">
        <v>7625</v>
      </c>
      <c r="N3395" s="63" t="s">
        <v>1790</v>
      </c>
    </row>
    <row r="3396" spans="1:14" x14ac:dyDescent="0.2">
      <c r="A3396" s="51">
        <v>3395</v>
      </c>
      <c r="B3396" s="54" t="s">
        <v>873</v>
      </c>
      <c r="C3396" s="47" t="s">
        <v>7626</v>
      </c>
      <c r="D3396" s="47" t="s">
        <v>7627</v>
      </c>
      <c r="E3396" s="47" t="s">
        <v>1790</v>
      </c>
      <c r="F3396" s="55" t="b">
        <v>1</v>
      </c>
      <c r="G3396" s="54" t="b">
        <v>1</v>
      </c>
      <c r="H3396" s="54" t="b">
        <v>1</v>
      </c>
      <c r="I3396" s="54" t="b">
        <v>1</v>
      </c>
      <c r="J3396" s="54" t="b">
        <v>1</v>
      </c>
      <c r="K3396" s="63" t="s">
        <v>873</v>
      </c>
      <c r="L3396" s="63" t="s">
        <v>7626</v>
      </c>
      <c r="M3396" s="63" t="s">
        <v>7627</v>
      </c>
      <c r="N3396" s="63" t="s">
        <v>1790</v>
      </c>
    </row>
    <row r="3397" spans="1:14" x14ac:dyDescent="0.2">
      <c r="A3397" s="51">
        <v>3396</v>
      </c>
      <c r="B3397" s="54" t="s">
        <v>873</v>
      </c>
      <c r="C3397" s="47" t="s">
        <v>7628</v>
      </c>
      <c r="D3397" s="47" t="s">
        <v>7629</v>
      </c>
      <c r="E3397" s="47" t="s">
        <v>1790</v>
      </c>
      <c r="F3397" s="55" t="b">
        <v>1</v>
      </c>
      <c r="G3397" s="54" t="b">
        <v>1</v>
      </c>
      <c r="H3397" s="54" t="b">
        <v>1</v>
      </c>
      <c r="I3397" s="54" t="b">
        <v>1</v>
      </c>
      <c r="J3397" s="54" t="b">
        <v>1</v>
      </c>
      <c r="K3397" s="63" t="s">
        <v>873</v>
      </c>
      <c r="L3397" s="63" t="s">
        <v>7628</v>
      </c>
      <c r="M3397" s="63" t="s">
        <v>7629</v>
      </c>
      <c r="N3397" s="63" t="s">
        <v>1790</v>
      </c>
    </row>
    <row r="3398" spans="1:14" x14ac:dyDescent="0.2">
      <c r="A3398" s="51">
        <v>3397</v>
      </c>
      <c r="B3398" s="54" t="s">
        <v>873</v>
      </c>
      <c r="C3398" s="47" t="s">
        <v>7630</v>
      </c>
      <c r="D3398" s="47" t="s">
        <v>7631</v>
      </c>
      <c r="E3398" s="47" t="s">
        <v>1790</v>
      </c>
      <c r="F3398" s="55" t="b">
        <v>1</v>
      </c>
      <c r="G3398" s="54" t="b">
        <v>1</v>
      </c>
      <c r="H3398" s="54" t="b">
        <v>1</v>
      </c>
      <c r="I3398" s="54" t="b">
        <v>1</v>
      </c>
      <c r="J3398" s="54" t="b">
        <v>1</v>
      </c>
      <c r="K3398" s="63" t="s">
        <v>873</v>
      </c>
      <c r="L3398" s="63" t="s">
        <v>7630</v>
      </c>
      <c r="M3398" s="63" t="s">
        <v>7631</v>
      </c>
      <c r="N3398" s="63" t="s">
        <v>1790</v>
      </c>
    </row>
    <row r="3399" spans="1:14" x14ac:dyDescent="0.2">
      <c r="A3399" s="51">
        <v>3398</v>
      </c>
      <c r="B3399" s="54" t="s">
        <v>873</v>
      </c>
      <c r="C3399" s="47" t="s">
        <v>7632</v>
      </c>
      <c r="D3399" s="47" t="s">
        <v>7633</v>
      </c>
      <c r="E3399" s="47" t="s">
        <v>1790</v>
      </c>
      <c r="F3399" s="55" t="b">
        <v>1</v>
      </c>
      <c r="G3399" s="54" t="b">
        <v>1</v>
      </c>
      <c r="H3399" s="54" t="b">
        <v>1</v>
      </c>
      <c r="I3399" s="54" t="b">
        <v>1</v>
      </c>
      <c r="J3399" s="54" t="b">
        <v>1</v>
      </c>
      <c r="K3399" s="63" t="s">
        <v>873</v>
      </c>
      <c r="L3399" s="63" t="s">
        <v>7632</v>
      </c>
      <c r="M3399" s="63" t="s">
        <v>7633</v>
      </c>
      <c r="N3399" s="63" t="s">
        <v>1790</v>
      </c>
    </row>
    <row r="3400" spans="1:14" x14ac:dyDescent="0.2">
      <c r="A3400" s="51">
        <v>3399</v>
      </c>
      <c r="B3400" s="54" t="s">
        <v>873</v>
      </c>
      <c r="C3400" s="47" t="s">
        <v>7634</v>
      </c>
      <c r="D3400" s="47" t="s">
        <v>7635</v>
      </c>
      <c r="E3400" s="47" t="s">
        <v>1790</v>
      </c>
      <c r="F3400" s="55" t="b">
        <v>1</v>
      </c>
      <c r="G3400" s="54" t="b">
        <v>1</v>
      </c>
      <c r="H3400" s="54" t="b">
        <v>1</v>
      </c>
      <c r="I3400" s="54" t="b">
        <v>1</v>
      </c>
      <c r="J3400" s="54" t="b">
        <v>1</v>
      </c>
      <c r="K3400" s="63" t="s">
        <v>873</v>
      </c>
      <c r="L3400" s="63" t="s">
        <v>7634</v>
      </c>
      <c r="M3400" s="63" t="s">
        <v>7635</v>
      </c>
      <c r="N3400" s="63" t="s">
        <v>1790</v>
      </c>
    </row>
    <row r="3401" spans="1:14" x14ac:dyDescent="0.2">
      <c r="A3401" s="51">
        <v>3400</v>
      </c>
      <c r="B3401" s="54" t="s">
        <v>873</v>
      </c>
      <c r="C3401" s="47" t="s">
        <v>7636</v>
      </c>
      <c r="D3401" s="47" t="s">
        <v>7637</v>
      </c>
      <c r="E3401" s="47" t="s">
        <v>1790</v>
      </c>
      <c r="F3401" s="55" t="b">
        <v>1</v>
      </c>
      <c r="G3401" s="54" t="b">
        <v>1</v>
      </c>
      <c r="H3401" s="54" t="b">
        <v>1</v>
      </c>
      <c r="I3401" s="54" t="b">
        <v>1</v>
      </c>
      <c r="J3401" s="54" t="b">
        <v>1</v>
      </c>
      <c r="K3401" s="63" t="s">
        <v>873</v>
      </c>
      <c r="L3401" s="63" t="s">
        <v>7636</v>
      </c>
      <c r="M3401" s="63" t="s">
        <v>7637</v>
      </c>
      <c r="N3401" s="63" t="s">
        <v>1790</v>
      </c>
    </row>
    <row r="3402" spans="1:14" x14ac:dyDescent="0.2">
      <c r="A3402" s="51">
        <v>3401</v>
      </c>
      <c r="B3402" s="54" t="s">
        <v>873</v>
      </c>
      <c r="C3402" s="47" t="s">
        <v>7638</v>
      </c>
      <c r="D3402" s="47" t="s">
        <v>7639</v>
      </c>
      <c r="E3402" s="47" t="s">
        <v>1790</v>
      </c>
      <c r="F3402" s="55" t="b">
        <v>1</v>
      </c>
      <c r="G3402" s="54" t="b">
        <v>1</v>
      </c>
      <c r="H3402" s="54" t="b">
        <v>1</v>
      </c>
      <c r="I3402" s="54" t="b">
        <v>1</v>
      </c>
      <c r="J3402" s="54" t="b">
        <v>1</v>
      </c>
      <c r="K3402" s="63" t="s">
        <v>873</v>
      </c>
      <c r="L3402" s="63" t="s">
        <v>7638</v>
      </c>
      <c r="M3402" s="63" t="s">
        <v>7639</v>
      </c>
      <c r="N3402" s="63" t="s">
        <v>1790</v>
      </c>
    </row>
    <row r="3403" spans="1:14" x14ac:dyDescent="0.2">
      <c r="A3403" s="51">
        <v>3402</v>
      </c>
      <c r="B3403" s="54" t="s">
        <v>873</v>
      </c>
      <c r="C3403" s="47" t="s">
        <v>7640</v>
      </c>
      <c r="D3403" s="47" t="s">
        <v>7641</v>
      </c>
      <c r="E3403" s="47" t="s">
        <v>1790</v>
      </c>
      <c r="F3403" s="55" t="b">
        <v>1</v>
      </c>
      <c r="G3403" s="54" t="b">
        <v>1</v>
      </c>
      <c r="H3403" s="54" t="b">
        <v>1</v>
      </c>
      <c r="I3403" s="54" t="b">
        <v>1</v>
      </c>
      <c r="J3403" s="54" t="b">
        <v>1</v>
      </c>
      <c r="K3403" s="63" t="s">
        <v>873</v>
      </c>
      <c r="L3403" s="63" t="s">
        <v>7640</v>
      </c>
      <c r="M3403" s="63" t="s">
        <v>7641</v>
      </c>
      <c r="N3403" s="63" t="s">
        <v>1790</v>
      </c>
    </row>
    <row r="3404" spans="1:14" x14ac:dyDescent="0.2">
      <c r="A3404" s="51">
        <v>3403</v>
      </c>
      <c r="B3404" s="54" t="s">
        <v>873</v>
      </c>
      <c r="C3404" s="47" t="s">
        <v>7642</v>
      </c>
      <c r="D3404" s="47" t="s">
        <v>7643</v>
      </c>
      <c r="E3404" s="47" t="s">
        <v>1790</v>
      </c>
      <c r="F3404" s="55" t="b">
        <v>1</v>
      </c>
      <c r="G3404" s="54" t="b">
        <v>1</v>
      </c>
      <c r="H3404" s="54" t="b">
        <v>1</v>
      </c>
      <c r="I3404" s="54" t="b">
        <v>1</v>
      </c>
      <c r="J3404" s="54" t="b">
        <v>1</v>
      </c>
      <c r="K3404" s="63" t="s">
        <v>873</v>
      </c>
      <c r="L3404" s="63" t="s">
        <v>7642</v>
      </c>
      <c r="M3404" s="63" t="s">
        <v>7643</v>
      </c>
      <c r="N3404" s="63" t="s">
        <v>1790</v>
      </c>
    </row>
    <row r="3405" spans="1:14" x14ac:dyDescent="0.2">
      <c r="A3405" s="51">
        <v>3404</v>
      </c>
      <c r="G3405" s="65" t="b">
        <v>0</v>
      </c>
      <c r="H3405" s="65" t="b">
        <v>0</v>
      </c>
      <c r="I3405" s="65" t="b">
        <v>0</v>
      </c>
      <c r="J3405" s="65" t="b">
        <v>0</v>
      </c>
      <c r="K3405" s="63" t="s">
        <v>878</v>
      </c>
      <c r="L3405" s="63" t="s">
        <v>7649</v>
      </c>
      <c r="M3405" s="63" t="s">
        <v>2720</v>
      </c>
      <c r="N3405" s="63" t="s">
        <v>7650</v>
      </c>
    </row>
    <row r="3406" spans="1:14" x14ac:dyDescent="0.2">
      <c r="A3406" s="51">
        <v>3405</v>
      </c>
      <c r="B3406" s="54" t="s">
        <v>878</v>
      </c>
      <c r="C3406" s="47" t="s">
        <v>7649</v>
      </c>
      <c r="D3406" s="47" t="s">
        <v>7668</v>
      </c>
      <c r="E3406" s="48" t="s">
        <v>7650</v>
      </c>
      <c r="F3406" s="66" t="b">
        <v>0</v>
      </c>
      <c r="G3406" s="54" t="b">
        <v>1</v>
      </c>
      <c r="H3406" s="54" t="b">
        <v>1</v>
      </c>
      <c r="I3406" s="54" t="b">
        <v>1</v>
      </c>
      <c r="J3406" s="54" t="b">
        <v>1</v>
      </c>
      <c r="K3406" s="63" t="s">
        <v>878</v>
      </c>
      <c r="L3406" s="63" t="s">
        <v>7649</v>
      </c>
      <c r="M3406" s="63" t="s">
        <v>7668</v>
      </c>
      <c r="N3406" s="63" t="s">
        <v>7650</v>
      </c>
    </row>
    <row r="3407" spans="1:14" x14ac:dyDescent="0.2">
      <c r="A3407" s="51">
        <v>3406</v>
      </c>
      <c r="B3407" s="54" t="s">
        <v>878</v>
      </c>
      <c r="C3407" s="47" t="s">
        <v>7666</v>
      </c>
      <c r="D3407" s="47" t="s">
        <v>7667</v>
      </c>
      <c r="E3407" s="48" t="s">
        <v>7650</v>
      </c>
      <c r="F3407" s="66" t="b">
        <v>0</v>
      </c>
      <c r="G3407" s="54" t="b">
        <v>1</v>
      </c>
      <c r="H3407" s="54" t="b">
        <v>1</v>
      </c>
      <c r="I3407" s="54" t="b">
        <v>1</v>
      </c>
      <c r="J3407" s="54" t="b">
        <v>1</v>
      </c>
      <c r="K3407" s="63" t="s">
        <v>878</v>
      </c>
      <c r="L3407" s="63" t="s">
        <v>7666</v>
      </c>
      <c r="M3407" s="63" t="s">
        <v>7667</v>
      </c>
      <c r="N3407" s="63" t="s">
        <v>7650</v>
      </c>
    </row>
    <row r="3408" spans="1:14" x14ac:dyDescent="0.2">
      <c r="A3408" s="51">
        <v>3407</v>
      </c>
      <c r="E3408" s="48"/>
      <c r="G3408" s="65" t="b">
        <v>0</v>
      </c>
      <c r="H3408" s="65" t="b">
        <v>0</v>
      </c>
      <c r="I3408" s="65" t="b">
        <v>0</v>
      </c>
      <c r="J3408" s="65" t="b">
        <v>0</v>
      </c>
      <c r="K3408" s="63" t="s">
        <v>878</v>
      </c>
      <c r="L3408" s="63" t="s">
        <v>7666</v>
      </c>
      <c r="M3408" s="63" t="s">
        <v>7673</v>
      </c>
      <c r="N3408" s="63" t="s">
        <v>7650</v>
      </c>
    </row>
    <row r="3409" spans="1:14" x14ac:dyDescent="0.2">
      <c r="A3409" s="51">
        <v>3408</v>
      </c>
      <c r="B3409" s="54" t="s">
        <v>878</v>
      </c>
      <c r="C3409" s="47" t="s">
        <v>7676</v>
      </c>
      <c r="D3409" s="47" t="s">
        <v>7677</v>
      </c>
      <c r="E3409" s="48" t="s">
        <v>7650</v>
      </c>
      <c r="F3409" s="66" t="b">
        <v>0</v>
      </c>
      <c r="G3409" s="54" t="b">
        <v>1</v>
      </c>
      <c r="H3409" s="54" t="b">
        <v>1</v>
      </c>
      <c r="I3409" s="54" t="b">
        <v>1</v>
      </c>
      <c r="J3409" s="54" t="b">
        <v>1</v>
      </c>
      <c r="K3409" s="63" t="s">
        <v>878</v>
      </c>
      <c r="L3409" s="63" t="s">
        <v>7676</v>
      </c>
      <c r="M3409" s="63" t="s">
        <v>7677</v>
      </c>
      <c r="N3409" s="63" t="s">
        <v>7650</v>
      </c>
    </row>
    <row r="3410" spans="1:14" x14ac:dyDescent="0.2">
      <c r="A3410" s="51">
        <v>3409</v>
      </c>
      <c r="E3410" s="48"/>
      <c r="G3410" s="65" t="b">
        <v>0</v>
      </c>
      <c r="H3410" s="65" t="b">
        <v>0</v>
      </c>
      <c r="I3410" s="65" t="b">
        <v>0</v>
      </c>
      <c r="J3410" s="65" t="b">
        <v>0</v>
      </c>
      <c r="K3410" s="63" t="s">
        <v>878</v>
      </c>
      <c r="L3410" s="63" t="s">
        <v>7676</v>
      </c>
      <c r="M3410" s="63" t="s">
        <v>4197</v>
      </c>
      <c r="N3410" s="63" t="s">
        <v>7650</v>
      </c>
    </row>
    <row r="3411" spans="1:14" x14ac:dyDescent="0.2">
      <c r="A3411" s="51">
        <v>3410</v>
      </c>
      <c r="E3411" s="48"/>
      <c r="G3411" s="65" t="b">
        <v>0</v>
      </c>
      <c r="H3411" s="65" t="b">
        <v>0</v>
      </c>
      <c r="I3411" s="65" t="b">
        <v>0</v>
      </c>
      <c r="J3411" s="65" t="b">
        <v>0</v>
      </c>
      <c r="K3411" s="63" t="s">
        <v>878</v>
      </c>
      <c r="L3411" s="63" t="s">
        <v>7653</v>
      </c>
      <c r="M3411" s="63" t="s">
        <v>4191</v>
      </c>
      <c r="N3411" s="63" t="s">
        <v>7650</v>
      </c>
    </row>
    <row r="3412" spans="1:14" x14ac:dyDescent="0.2">
      <c r="A3412" s="51">
        <v>3411</v>
      </c>
      <c r="B3412" s="54" t="s">
        <v>878</v>
      </c>
      <c r="C3412" s="47" t="s">
        <v>7653</v>
      </c>
      <c r="D3412" s="47" t="s">
        <v>7678</v>
      </c>
      <c r="E3412" s="48" t="s">
        <v>7650</v>
      </c>
      <c r="F3412" s="66" t="b">
        <v>0</v>
      </c>
      <c r="G3412" s="54" t="b">
        <v>1</v>
      </c>
      <c r="H3412" s="54" t="b">
        <v>1</v>
      </c>
      <c r="I3412" s="54" t="b">
        <v>1</v>
      </c>
      <c r="J3412" s="54" t="b">
        <v>1</v>
      </c>
      <c r="K3412" s="63" t="s">
        <v>878</v>
      </c>
      <c r="L3412" s="63" t="s">
        <v>7653</v>
      </c>
      <c r="M3412" s="63" t="s">
        <v>7678</v>
      </c>
      <c r="N3412" s="63" t="s">
        <v>7650</v>
      </c>
    </row>
    <row r="3413" spans="1:14" x14ac:dyDescent="0.2">
      <c r="A3413" s="51">
        <v>3412</v>
      </c>
      <c r="E3413" s="48"/>
      <c r="G3413" s="65" t="b">
        <v>0</v>
      </c>
      <c r="H3413" s="65" t="b">
        <v>0</v>
      </c>
      <c r="I3413" s="65" t="b">
        <v>0</v>
      </c>
      <c r="J3413" s="65" t="b">
        <v>0</v>
      </c>
      <c r="K3413" s="63" t="s">
        <v>878</v>
      </c>
      <c r="L3413" s="63" t="s">
        <v>7654</v>
      </c>
      <c r="M3413" s="63" t="s">
        <v>7655</v>
      </c>
      <c r="N3413" s="63" t="s">
        <v>7650</v>
      </c>
    </row>
    <row r="3414" spans="1:14" x14ac:dyDescent="0.2">
      <c r="A3414" s="51">
        <v>3413</v>
      </c>
      <c r="B3414" s="54" t="s">
        <v>878</v>
      </c>
      <c r="C3414" s="47" t="s">
        <v>7654</v>
      </c>
      <c r="D3414" s="47" t="s">
        <v>7685</v>
      </c>
      <c r="E3414" s="48" t="s">
        <v>7650</v>
      </c>
      <c r="F3414" s="66" t="b">
        <v>0</v>
      </c>
      <c r="G3414" s="54" t="b">
        <v>1</v>
      </c>
      <c r="H3414" s="54" t="b">
        <v>1</v>
      </c>
      <c r="I3414" s="54" t="b">
        <v>1</v>
      </c>
      <c r="J3414" s="54" t="b">
        <v>1</v>
      </c>
      <c r="K3414" s="63" t="s">
        <v>878</v>
      </c>
      <c r="L3414" s="63" t="s">
        <v>7654</v>
      </c>
      <c r="M3414" s="63" t="s">
        <v>7685</v>
      </c>
      <c r="N3414" s="63" t="s">
        <v>7650</v>
      </c>
    </row>
    <row r="3415" spans="1:14" x14ac:dyDescent="0.2">
      <c r="A3415" s="51">
        <v>3414</v>
      </c>
      <c r="B3415" s="54" t="s">
        <v>878</v>
      </c>
      <c r="C3415" s="47" t="s">
        <v>7644</v>
      </c>
      <c r="D3415" s="47" t="s">
        <v>13073</v>
      </c>
      <c r="E3415" s="47" t="s">
        <v>7646</v>
      </c>
      <c r="F3415" s="55" t="b">
        <v>1</v>
      </c>
      <c r="G3415" s="54" t="b">
        <v>1</v>
      </c>
      <c r="H3415" s="54" t="b">
        <v>1</v>
      </c>
      <c r="I3415" s="65" t="b">
        <v>0</v>
      </c>
      <c r="J3415" s="54" t="b">
        <v>1</v>
      </c>
      <c r="K3415" s="63" t="s">
        <v>878</v>
      </c>
      <c r="L3415" s="63" t="s">
        <v>7644</v>
      </c>
      <c r="M3415" s="63" t="s">
        <v>7645</v>
      </c>
      <c r="N3415" s="63" t="s">
        <v>7646</v>
      </c>
    </row>
    <row r="3416" spans="1:14" x14ac:dyDescent="0.2">
      <c r="A3416" s="51">
        <v>3415</v>
      </c>
      <c r="B3416" s="54" t="s">
        <v>878</v>
      </c>
      <c r="C3416" s="47" t="s">
        <v>7647</v>
      </c>
      <c r="D3416" s="47" t="s">
        <v>13074</v>
      </c>
      <c r="E3416" s="47" t="s">
        <v>7646</v>
      </c>
      <c r="F3416" s="55" t="b">
        <v>1</v>
      </c>
      <c r="G3416" s="54" t="b">
        <v>1</v>
      </c>
      <c r="H3416" s="54" t="b">
        <v>1</v>
      </c>
      <c r="I3416" s="65" t="b">
        <v>0</v>
      </c>
      <c r="J3416" s="54" t="b">
        <v>1</v>
      </c>
      <c r="K3416" s="63" t="s">
        <v>878</v>
      </c>
      <c r="L3416" s="63" t="s">
        <v>7647</v>
      </c>
      <c r="M3416" s="63" t="s">
        <v>7648</v>
      </c>
      <c r="N3416" s="63" t="s">
        <v>7646</v>
      </c>
    </row>
    <row r="3417" spans="1:14" x14ac:dyDescent="0.2">
      <c r="A3417" s="51">
        <v>3416</v>
      </c>
      <c r="B3417" s="54" t="s">
        <v>878</v>
      </c>
      <c r="C3417" s="47" t="s">
        <v>7651</v>
      </c>
      <c r="D3417" s="47" t="s">
        <v>13075</v>
      </c>
      <c r="E3417" s="47" t="s">
        <v>7646</v>
      </c>
      <c r="F3417" s="55" t="b">
        <v>1</v>
      </c>
      <c r="G3417" s="54" t="b">
        <v>1</v>
      </c>
      <c r="H3417" s="54" t="b">
        <v>1</v>
      </c>
      <c r="I3417" s="65" t="b">
        <v>0</v>
      </c>
      <c r="J3417" s="54" t="b">
        <v>1</v>
      </c>
      <c r="K3417" s="63" t="s">
        <v>878</v>
      </c>
      <c r="L3417" s="63" t="s">
        <v>7651</v>
      </c>
      <c r="M3417" s="63" t="s">
        <v>7652</v>
      </c>
      <c r="N3417" s="63" t="s">
        <v>7646</v>
      </c>
    </row>
    <row r="3418" spans="1:14" x14ac:dyDescent="0.2">
      <c r="A3418" s="51">
        <v>3417</v>
      </c>
      <c r="B3418" s="54" t="s">
        <v>878</v>
      </c>
      <c r="C3418" s="47" t="s">
        <v>7656</v>
      </c>
      <c r="D3418" s="47" t="s">
        <v>13076</v>
      </c>
      <c r="E3418" s="47" t="s">
        <v>7646</v>
      </c>
      <c r="F3418" s="55" t="b">
        <v>1</v>
      </c>
      <c r="G3418" s="54" t="b">
        <v>1</v>
      </c>
      <c r="H3418" s="54" t="b">
        <v>1</v>
      </c>
      <c r="I3418" s="65" t="b">
        <v>0</v>
      </c>
      <c r="J3418" s="54" t="b">
        <v>1</v>
      </c>
      <c r="K3418" s="63" t="s">
        <v>878</v>
      </c>
      <c r="L3418" s="63" t="s">
        <v>7656</v>
      </c>
      <c r="M3418" s="63" t="s">
        <v>7657</v>
      </c>
      <c r="N3418" s="63" t="s">
        <v>7646</v>
      </c>
    </row>
    <row r="3419" spans="1:14" x14ac:dyDescent="0.2">
      <c r="A3419" s="51">
        <v>3418</v>
      </c>
      <c r="B3419" s="54" t="s">
        <v>878</v>
      </c>
      <c r="C3419" s="47" t="s">
        <v>7658</v>
      </c>
      <c r="D3419" s="47" t="s">
        <v>7659</v>
      </c>
      <c r="E3419" s="47" t="s">
        <v>7646</v>
      </c>
      <c r="F3419" s="55" t="b">
        <v>1</v>
      </c>
      <c r="G3419" s="54" t="b">
        <v>1</v>
      </c>
      <c r="H3419" s="54" t="b">
        <v>1</v>
      </c>
      <c r="I3419" s="54" t="b">
        <v>1</v>
      </c>
      <c r="J3419" s="54" t="b">
        <v>1</v>
      </c>
      <c r="K3419" s="63" t="s">
        <v>878</v>
      </c>
      <c r="L3419" s="63" t="s">
        <v>7658</v>
      </c>
      <c r="M3419" s="63" t="s">
        <v>7659</v>
      </c>
      <c r="N3419" s="63" t="s">
        <v>7646</v>
      </c>
    </row>
    <row r="3420" spans="1:14" x14ac:dyDescent="0.2">
      <c r="A3420" s="51">
        <v>3419</v>
      </c>
      <c r="B3420" s="54" t="s">
        <v>878</v>
      </c>
      <c r="C3420" s="47" t="s">
        <v>7660</v>
      </c>
      <c r="D3420" s="47" t="s">
        <v>13077</v>
      </c>
      <c r="E3420" s="47" t="s">
        <v>7646</v>
      </c>
      <c r="F3420" s="55" t="b">
        <v>1</v>
      </c>
      <c r="G3420" s="54" t="b">
        <v>1</v>
      </c>
      <c r="H3420" s="54" t="b">
        <v>1</v>
      </c>
      <c r="I3420" s="65" t="b">
        <v>0</v>
      </c>
      <c r="J3420" s="54" t="b">
        <v>1</v>
      </c>
      <c r="K3420" s="63" t="s">
        <v>878</v>
      </c>
      <c r="L3420" s="63" t="s">
        <v>7660</v>
      </c>
      <c r="M3420" s="63" t="s">
        <v>7661</v>
      </c>
      <c r="N3420" s="63" t="s">
        <v>7646</v>
      </c>
    </row>
    <row r="3421" spans="1:14" x14ac:dyDescent="0.2">
      <c r="A3421" s="51">
        <v>3420</v>
      </c>
      <c r="B3421" s="54" t="s">
        <v>878</v>
      </c>
      <c r="C3421" s="47" t="s">
        <v>7662</v>
      </c>
      <c r="D3421" s="47" t="s">
        <v>13078</v>
      </c>
      <c r="E3421" s="47" t="s">
        <v>7646</v>
      </c>
      <c r="F3421" s="55" t="b">
        <v>1</v>
      </c>
      <c r="G3421" s="54" t="b">
        <v>1</v>
      </c>
      <c r="H3421" s="54" t="b">
        <v>1</v>
      </c>
      <c r="I3421" s="65" t="b">
        <v>0</v>
      </c>
      <c r="J3421" s="54" t="b">
        <v>1</v>
      </c>
      <c r="K3421" s="63" t="s">
        <v>878</v>
      </c>
      <c r="L3421" s="63" t="s">
        <v>7662</v>
      </c>
      <c r="M3421" s="63" t="s">
        <v>7663</v>
      </c>
      <c r="N3421" s="63" t="s">
        <v>7646</v>
      </c>
    </row>
    <row r="3422" spans="1:14" x14ac:dyDescent="0.2">
      <c r="A3422" s="51">
        <v>3421</v>
      </c>
      <c r="B3422" s="54" t="s">
        <v>878</v>
      </c>
      <c r="C3422" s="47" t="s">
        <v>7664</v>
      </c>
      <c r="D3422" s="47" t="s">
        <v>13079</v>
      </c>
      <c r="E3422" s="47" t="s">
        <v>7646</v>
      </c>
      <c r="F3422" s="55" t="b">
        <v>1</v>
      </c>
      <c r="G3422" s="54" t="b">
        <v>1</v>
      </c>
      <c r="H3422" s="54" t="b">
        <v>1</v>
      </c>
      <c r="I3422" s="65" t="b">
        <v>0</v>
      </c>
      <c r="J3422" s="54" t="b">
        <v>1</v>
      </c>
      <c r="K3422" s="63" t="s">
        <v>878</v>
      </c>
      <c r="L3422" s="63" t="s">
        <v>7664</v>
      </c>
      <c r="M3422" s="63" t="s">
        <v>7665</v>
      </c>
      <c r="N3422" s="63" t="s">
        <v>7646</v>
      </c>
    </row>
    <row r="3423" spans="1:14" x14ac:dyDescent="0.2">
      <c r="A3423" s="51">
        <v>3422</v>
      </c>
      <c r="B3423" s="54" t="s">
        <v>878</v>
      </c>
      <c r="C3423" s="47" t="s">
        <v>7669</v>
      </c>
      <c r="D3423" s="47" t="s">
        <v>13080</v>
      </c>
      <c r="E3423" s="47" t="s">
        <v>7646</v>
      </c>
      <c r="F3423" s="55" t="b">
        <v>1</v>
      </c>
      <c r="G3423" s="54" t="b">
        <v>1</v>
      </c>
      <c r="H3423" s="54" t="b">
        <v>1</v>
      </c>
      <c r="I3423" s="65" t="b">
        <v>0</v>
      </c>
      <c r="J3423" s="54" t="b">
        <v>1</v>
      </c>
      <c r="K3423" s="63" t="s">
        <v>878</v>
      </c>
      <c r="L3423" s="63" t="s">
        <v>7669</v>
      </c>
      <c r="M3423" s="63" t="s">
        <v>7670</v>
      </c>
      <c r="N3423" s="63" t="s">
        <v>7646</v>
      </c>
    </row>
    <row r="3424" spans="1:14" x14ac:dyDescent="0.2">
      <c r="A3424" s="51">
        <v>3423</v>
      </c>
      <c r="B3424" s="54" t="s">
        <v>878</v>
      </c>
      <c r="C3424" s="47" t="s">
        <v>7671</v>
      </c>
      <c r="D3424" s="47" t="s">
        <v>13081</v>
      </c>
      <c r="E3424" s="47" t="s">
        <v>7646</v>
      </c>
      <c r="F3424" s="55" t="b">
        <v>1</v>
      </c>
      <c r="G3424" s="54" t="b">
        <v>1</v>
      </c>
      <c r="H3424" s="54" t="b">
        <v>1</v>
      </c>
      <c r="I3424" s="65" t="b">
        <v>0</v>
      </c>
      <c r="J3424" s="54" t="b">
        <v>1</v>
      </c>
      <c r="K3424" s="63" t="s">
        <v>878</v>
      </c>
      <c r="L3424" s="63" t="s">
        <v>7671</v>
      </c>
      <c r="M3424" s="63" t="s">
        <v>7672</v>
      </c>
      <c r="N3424" s="63" t="s">
        <v>7646</v>
      </c>
    </row>
    <row r="3425" spans="1:14" x14ac:dyDescent="0.2">
      <c r="A3425" s="51">
        <v>3424</v>
      </c>
      <c r="B3425" s="54" t="s">
        <v>878</v>
      </c>
      <c r="C3425" s="47" t="s">
        <v>7674</v>
      </c>
      <c r="D3425" s="47" t="s">
        <v>13082</v>
      </c>
      <c r="E3425" s="47" t="s">
        <v>7646</v>
      </c>
      <c r="F3425" s="55" t="b">
        <v>1</v>
      </c>
      <c r="G3425" s="54" t="b">
        <v>1</v>
      </c>
      <c r="H3425" s="54" t="b">
        <v>1</v>
      </c>
      <c r="I3425" s="65" t="b">
        <v>0</v>
      </c>
      <c r="J3425" s="54" t="b">
        <v>1</v>
      </c>
      <c r="K3425" s="63" t="s">
        <v>878</v>
      </c>
      <c r="L3425" s="63" t="s">
        <v>7674</v>
      </c>
      <c r="M3425" s="63" t="s">
        <v>7675</v>
      </c>
      <c r="N3425" s="63" t="s">
        <v>7646</v>
      </c>
    </row>
    <row r="3426" spans="1:14" x14ac:dyDescent="0.2">
      <c r="A3426" s="51">
        <v>3425</v>
      </c>
      <c r="B3426" s="54" t="s">
        <v>878</v>
      </c>
      <c r="C3426" s="47" t="s">
        <v>7679</v>
      </c>
      <c r="D3426" s="47" t="s">
        <v>13083</v>
      </c>
      <c r="E3426" s="47" t="s">
        <v>7646</v>
      </c>
      <c r="F3426" s="55" t="b">
        <v>1</v>
      </c>
      <c r="G3426" s="54" t="b">
        <v>1</v>
      </c>
      <c r="H3426" s="54" t="b">
        <v>1</v>
      </c>
      <c r="I3426" s="65" t="b">
        <v>0</v>
      </c>
      <c r="J3426" s="54" t="b">
        <v>1</v>
      </c>
      <c r="K3426" s="63" t="s">
        <v>878</v>
      </c>
      <c r="L3426" s="63" t="s">
        <v>7679</v>
      </c>
      <c r="M3426" s="63" t="s">
        <v>7680</v>
      </c>
      <c r="N3426" s="63" t="s">
        <v>7646</v>
      </c>
    </row>
    <row r="3427" spans="1:14" x14ac:dyDescent="0.2">
      <c r="A3427" s="51">
        <v>3426</v>
      </c>
      <c r="B3427" s="54" t="s">
        <v>878</v>
      </c>
      <c r="C3427" s="47" t="s">
        <v>7681</v>
      </c>
      <c r="D3427" s="47" t="s">
        <v>13084</v>
      </c>
      <c r="E3427" s="47" t="s">
        <v>7646</v>
      </c>
      <c r="F3427" s="55" t="b">
        <v>1</v>
      </c>
      <c r="G3427" s="54" t="b">
        <v>1</v>
      </c>
      <c r="H3427" s="54" t="b">
        <v>1</v>
      </c>
      <c r="I3427" s="65" t="b">
        <v>0</v>
      </c>
      <c r="J3427" s="54" t="b">
        <v>1</v>
      </c>
      <c r="K3427" s="63" t="s">
        <v>878</v>
      </c>
      <c r="L3427" s="63" t="s">
        <v>7681</v>
      </c>
      <c r="M3427" s="63" t="s">
        <v>7682</v>
      </c>
      <c r="N3427" s="63" t="s">
        <v>7646</v>
      </c>
    </row>
    <row r="3428" spans="1:14" x14ac:dyDescent="0.2">
      <c r="A3428" s="51">
        <v>3427</v>
      </c>
      <c r="B3428" s="54" t="s">
        <v>878</v>
      </c>
      <c r="C3428" s="47" t="s">
        <v>7683</v>
      </c>
      <c r="D3428" s="47" t="s">
        <v>13085</v>
      </c>
      <c r="E3428" s="47" t="s">
        <v>7646</v>
      </c>
      <c r="F3428" s="55" t="b">
        <v>1</v>
      </c>
      <c r="G3428" s="54" t="b">
        <v>1</v>
      </c>
      <c r="H3428" s="54" t="b">
        <v>1</v>
      </c>
      <c r="I3428" s="65" t="b">
        <v>0</v>
      </c>
      <c r="J3428" s="54" t="b">
        <v>1</v>
      </c>
      <c r="K3428" s="63" t="s">
        <v>878</v>
      </c>
      <c r="L3428" s="63" t="s">
        <v>7683</v>
      </c>
      <c r="M3428" s="63" t="s">
        <v>7684</v>
      </c>
      <c r="N3428" s="63" t="s">
        <v>7646</v>
      </c>
    </row>
    <row r="3429" spans="1:14" x14ac:dyDescent="0.2">
      <c r="A3429" s="51">
        <v>3428</v>
      </c>
      <c r="G3429" s="65" t="b">
        <v>0</v>
      </c>
      <c r="H3429" s="65" t="b">
        <v>0</v>
      </c>
      <c r="I3429" s="65" t="b">
        <v>0</v>
      </c>
      <c r="J3429" s="65" t="b">
        <v>0</v>
      </c>
      <c r="K3429" s="63" t="s">
        <v>880</v>
      </c>
      <c r="L3429" s="63" t="s">
        <v>7686</v>
      </c>
      <c r="M3429" s="63" t="s">
        <v>7687</v>
      </c>
      <c r="N3429" s="63" t="s">
        <v>7688</v>
      </c>
    </row>
    <row r="3430" spans="1:14" x14ac:dyDescent="0.2">
      <c r="A3430" s="51">
        <v>3429</v>
      </c>
      <c r="G3430" s="65" t="b">
        <v>0</v>
      </c>
      <c r="H3430" s="65" t="b">
        <v>0</v>
      </c>
      <c r="I3430" s="65" t="b">
        <v>0</v>
      </c>
      <c r="J3430" s="65" t="b">
        <v>0</v>
      </c>
      <c r="K3430" s="63" t="s">
        <v>880</v>
      </c>
      <c r="L3430" s="63" t="s">
        <v>7689</v>
      </c>
      <c r="M3430" s="63" t="s">
        <v>7690</v>
      </c>
      <c r="N3430" s="63" t="s">
        <v>2673</v>
      </c>
    </row>
    <row r="3431" spans="1:14" x14ac:dyDescent="0.2">
      <c r="A3431" s="51">
        <v>3430</v>
      </c>
      <c r="G3431" s="65" t="b">
        <v>0</v>
      </c>
      <c r="H3431" s="65" t="b">
        <v>0</v>
      </c>
      <c r="I3431" s="65" t="b">
        <v>0</v>
      </c>
      <c r="J3431" s="65" t="b">
        <v>0</v>
      </c>
      <c r="K3431" s="63" t="s">
        <v>880</v>
      </c>
      <c r="L3431" s="63" t="s">
        <v>7710</v>
      </c>
      <c r="M3431" s="63" t="s">
        <v>7711</v>
      </c>
      <c r="N3431" s="63" t="s">
        <v>2673</v>
      </c>
    </row>
    <row r="3432" spans="1:14" x14ac:dyDescent="0.2">
      <c r="A3432" s="51">
        <v>3431</v>
      </c>
      <c r="G3432" s="65" t="b">
        <v>0</v>
      </c>
      <c r="H3432" s="65" t="b">
        <v>0</v>
      </c>
      <c r="I3432" s="65" t="b">
        <v>0</v>
      </c>
      <c r="J3432" s="65" t="b">
        <v>0</v>
      </c>
      <c r="K3432" s="63" t="s">
        <v>880</v>
      </c>
      <c r="L3432" s="63" t="s">
        <v>7712</v>
      </c>
      <c r="M3432" s="63" t="s">
        <v>7713</v>
      </c>
      <c r="N3432" s="63" t="s">
        <v>2673</v>
      </c>
    </row>
    <row r="3433" spans="1:14" x14ac:dyDescent="0.2">
      <c r="A3433" s="51">
        <v>3432</v>
      </c>
      <c r="G3433" s="65" t="b">
        <v>0</v>
      </c>
      <c r="H3433" s="65" t="b">
        <v>0</v>
      </c>
      <c r="I3433" s="65" t="b">
        <v>0</v>
      </c>
      <c r="J3433" s="65" t="b">
        <v>0</v>
      </c>
      <c r="K3433" s="63" t="s">
        <v>880</v>
      </c>
      <c r="L3433" s="63" t="s">
        <v>7691</v>
      </c>
      <c r="M3433" s="63" t="s">
        <v>7692</v>
      </c>
      <c r="N3433" s="63" t="s">
        <v>7688</v>
      </c>
    </row>
    <row r="3434" spans="1:14" x14ac:dyDescent="0.2">
      <c r="A3434" s="51">
        <v>3433</v>
      </c>
      <c r="B3434" s="54" t="s">
        <v>880</v>
      </c>
      <c r="C3434" s="47" t="s">
        <v>7693</v>
      </c>
      <c r="D3434" s="47" t="s">
        <v>7694</v>
      </c>
      <c r="E3434" s="47" t="s">
        <v>1719</v>
      </c>
      <c r="F3434" s="55" t="b">
        <v>1</v>
      </c>
      <c r="G3434" s="54" t="b">
        <v>1</v>
      </c>
      <c r="H3434" s="54" t="b">
        <v>1</v>
      </c>
      <c r="I3434" s="54" t="b">
        <v>1</v>
      </c>
      <c r="J3434" s="54" t="b">
        <v>1</v>
      </c>
      <c r="K3434" s="63" t="s">
        <v>880</v>
      </c>
      <c r="L3434" s="63" t="s">
        <v>7693</v>
      </c>
      <c r="M3434" s="63" t="s">
        <v>7694</v>
      </c>
      <c r="N3434" s="63" t="s">
        <v>1719</v>
      </c>
    </row>
    <row r="3435" spans="1:14" x14ac:dyDescent="0.2">
      <c r="A3435" s="51">
        <v>3434</v>
      </c>
      <c r="B3435" s="54" t="s">
        <v>880</v>
      </c>
      <c r="C3435" s="47" t="s">
        <v>7695</v>
      </c>
      <c r="D3435" s="47" t="s">
        <v>7696</v>
      </c>
      <c r="E3435" s="47" t="s">
        <v>1719</v>
      </c>
      <c r="F3435" s="55" t="b">
        <v>1</v>
      </c>
      <c r="G3435" s="54" t="b">
        <v>1</v>
      </c>
      <c r="H3435" s="54" t="b">
        <v>1</v>
      </c>
      <c r="I3435" s="54" t="b">
        <v>1</v>
      </c>
      <c r="J3435" s="54" t="b">
        <v>1</v>
      </c>
      <c r="K3435" s="63" t="s">
        <v>880</v>
      </c>
      <c r="L3435" s="63" t="s">
        <v>7695</v>
      </c>
      <c r="M3435" s="63" t="s">
        <v>7696</v>
      </c>
      <c r="N3435" s="63" t="s">
        <v>1719</v>
      </c>
    </row>
    <row r="3436" spans="1:14" x14ac:dyDescent="0.2">
      <c r="A3436" s="51">
        <v>3435</v>
      </c>
      <c r="B3436" s="54" t="s">
        <v>880</v>
      </c>
      <c r="C3436" s="47" t="s">
        <v>7697</v>
      </c>
      <c r="D3436" s="47" t="s">
        <v>7698</v>
      </c>
      <c r="E3436" s="47" t="s">
        <v>1719</v>
      </c>
      <c r="F3436" s="55" t="b">
        <v>1</v>
      </c>
      <c r="G3436" s="54" t="b">
        <v>1</v>
      </c>
      <c r="H3436" s="54" t="b">
        <v>1</v>
      </c>
      <c r="I3436" s="54" t="b">
        <v>1</v>
      </c>
      <c r="J3436" s="54" t="b">
        <v>1</v>
      </c>
      <c r="K3436" s="63" t="s">
        <v>880</v>
      </c>
      <c r="L3436" s="63" t="s">
        <v>7697</v>
      </c>
      <c r="M3436" s="63" t="s">
        <v>7698</v>
      </c>
      <c r="N3436" s="63" t="s">
        <v>1719</v>
      </c>
    </row>
    <row r="3437" spans="1:14" x14ac:dyDescent="0.2">
      <c r="A3437" s="51">
        <v>3436</v>
      </c>
      <c r="B3437" s="54" t="s">
        <v>880</v>
      </c>
      <c r="C3437" s="47" t="s">
        <v>7699</v>
      </c>
      <c r="D3437" s="47" t="s">
        <v>7700</v>
      </c>
      <c r="E3437" s="47" t="s">
        <v>1719</v>
      </c>
      <c r="F3437" s="55" t="b">
        <v>1</v>
      </c>
      <c r="G3437" s="54" t="b">
        <v>1</v>
      </c>
      <c r="H3437" s="54" t="b">
        <v>1</v>
      </c>
      <c r="I3437" s="54" t="b">
        <v>1</v>
      </c>
      <c r="J3437" s="54" t="b">
        <v>1</v>
      </c>
      <c r="K3437" s="63" t="s">
        <v>880</v>
      </c>
      <c r="L3437" s="63" t="s">
        <v>7699</v>
      </c>
      <c r="M3437" s="63" t="s">
        <v>7700</v>
      </c>
      <c r="N3437" s="63" t="s">
        <v>1719</v>
      </c>
    </row>
    <row r="3438" spans="1:14" x14ac:dyDescent="0.2">
      <c r="A3438" s="51">
        <v>3437</v>
      </c>
      <c r="B3438" s="54" t="s">
        <v>880</v>
      </c>
      <c r="C3438" s="47" t="s">
        <v>7701</v>
      </c>
      <c r="D3438" s="47" t="s">
        <v>7702</v>
      </c>
      <c r="E3438" s="47" t="s">
        <v>1719</v>
      </c>
      <c r="F3438" s="55" t="b">
        <v>1</v>
      </c>
      <c r="G3438" s="54" t="b">
        <v>1</v>
      </c>
      <c r="H3438" s="54" t="b">
        <v>1</v>
      </c>
      <c r="I3438" s="54" t="b">
        <v>1</v>
      </c>
      <c r="J3438" s="54" t="b">
        <v>1</v>
      </c>
      <c r="K3438" s="63" t="s">
        <v>880</v>
      </c>
      <c r="L3438" s="63" t="s">
        <v>7701</v>
      </c>
      <c r="M3438" s="63" t="s">
        <v>7702</v>
      </c>
      <c r="N3438" s="63" t="s">
        <v>1719</v>
      </c>
    </row>
    <row r="3439" spans="1:14" x14ac:dyDescent="0.2">
      <c r="A3439" s="51">
        <v>3438</v>
      </c>
      <c r="B3439" s="54" t="s">
        <v>880</v>
      </c>
      <c r="C3439" s="47" t="s">
        <v>7703</v>
      </c>
      <c r="D3439" s="47" t="s">
        <v>2561</v>
      </c>
      <c r="E3439" s="47" t="s">
        <v>1719</v>
      </c>
      <c r="F3439" s="55" t="b">
        <v>1</v>
      </c>
      <c r="G3439" s="54" t="b">
        <v>1</v>
      </c>
      <c r="H3439" s="54" t="b">
        <v>1</v>
      </c>
      <c r="I3439" s="54" t="b">
        <v>1</v>
      </c>
      <c r="J3439" s="54" t="b">
        <v>1</v>
      </c>
      <c r="K3439" s="63" t="s">
        <v>880</v>
      </c>
      <c r="L3439" s="63" t="s">
        <v>7703</v>
      </c>
      <c r="M3439" s="63" t="s">
        <v>2561</v>
      </c>
      <c r="N3439" s="63" t="s">
        <v>1719</v>
      </c>
    </row>
    <row r="3440" spans="1:14" x14ac:dyDescent="0.2">
      <c r="A3440" s="51">
        <v>3439</v>
      </c>
      <c r="B3440" s="54" t="s">
        <v>880</v>
      </c>
      <c r="C3440" s="47" t="s">
        <v>7704</v>
      </c>
      <c r="D3440" s="47" t="s">
        <v>7705</v>
      </c>
      <c r="E3440" s="47" t="s">
        <v>1719</v>
      </c>
      <c r="F3440" s="55" t="b">
        <v>1</v>
      </c>
      <c r="G3440" s="54" t="b">
        <v>1</v>
      </c>
      <c r="H3440" s="54" t="b">
        <v>1</v>
      </c>
      <c r="I3440" s="54" t="b">
        <v>1</v>
      </c>
      <c r="J3440" s="54" t="b">
        <v>1</v>
      </c>
      <c r="K3440" s="63" t="s">
        <v>880</v>
      </c>
      <c r="L3440" s="63" t="s">
        <v>7704</v>
      </c>
      <c r="M3440" s="63" t="s">
        <v>7705</v>
      </c>
      <c r="N3440" s="63" t="s">
        <v>1719</v>
      </c>
    </row>
    <row r="3441" spans="1:14" x14ac:dyDescent="0.2">
      <c r="A3441" s="51">
        <v>3440</v>
      </c>
      <c r="B3441" s="54" t="s">
        <v>880</v>
      </c>
      <c r="C3441" s="47" t="s">
        <v>7706</v>
      </c>
      <c r="D3441" s="47" t="s">
        <v>7707</v>
      </c>
      <c r="E3441" s="47" t="s">
        <v>1719</v>
      </c>
      <c r="F3441" s="55" t="b">
        <v>1</v>
      </c>
      <c r="G3441" s="54" t="b">
        <v>1</v>
      </c>
      <c r="H3441" s="54" t="b">
        <v>1</v>
      </c>
      <c r="I3441" s="54" t="b">
        <v>1</v>
      </c>
      <c r="J3441" s="54" t="b">
        <v>1</v>
      </c>
      <c r="K3441" s="63" t="s">
        <v>880</v>
      </c>
      <c r="L3441" s="63" t="s">
        <v>7706</v>
      </c>
      <c r="M3441" s="63" t="s">
        <v>7707</v>
      </c>
      <c r="N3441" s="63" t="s">
        <v>1719</v>
      </c>
    </row>
    <row r="3442" spans="1:14" x14ac:dyDescent="0.2">
      <c r="A3442" s="51">
        <v>3441</v>
      </c>
      <c r="B3442" s="54" t="s">
        <v>880</v>
      </c>
      <c r="C3442" s="47" t="s">
        <v>7708</v>
      </c>
      <c r="D3442" s="47" t="s">
        <v>7709</v>
      </c>
      <c r="E3442" s="47" t="s">
        <v>1719</v>
      </c>
      <c r="F3442" s="55" t="b">
        <v>1</v>
      </c>
      <c r="G3442" s="54" t="b">
        <v>1</v>
      </c>
      <c r="H3442" s="54" t="b">
        <v>1</v>
      </c>
      <c r="I3442" s="54" t="b">
        <v>1</v>
      </c>
      <c r="J3442" s="54" t="b">
        <v>1</v>
      </c>
      <c r="K3442" s="63" t="s">
        <v>880</v>
      </c>
      <c r="L3442" s="63" t="s">
        <v>7708</v>
      </c>
      <c r="M3442" s="63" t="s">
        <v>7709</v>
      </c>
      <c r="N3442" s="63" t="s">
        <v>1719</v>
      </c>
    </row>
    <row r="3443" spans="1:14" x14ac:dyDescent="0.2">
      <c r="A3443" s="51">
        <v>3442</v>
      </c>
      <c r="G3443" s="65" t="b">
        <v>0</v>
      </c>
      <c r="H3443" s="65" t="b">
        <v>0</v>
      </c>
      <c r="I3443" s="65" t="b">
        <v>0</v>
      </c>
      <c r="J3443" s="65" t="b">
        <v>0</v>
      </c>
      <c r="K3443" s="63" t="s">
        <v>880</v>
      </c>
      <c r="L3443" s="63" t="s">
        <v>7714</v>
      </c>
      <c r="M3443" s="63" t="s">
        <v>7715</v>
      </c>
      <c r="N3443" s="63" t="s">
        <v>7688</v>
      </c>
    </row>
    <row r="3444" spans="1:14" x14ac:dyDescent="0.2">
      <c r="A3444" s="51">
        <v>3443</v>
      </c>
      <c r="B3444" s="54" t="s">
        <v>880</v>
      </c>
      <c r="C3444" s="47" t="s">
        <v>7716</v>
      </c>
      <c r="D3444" s="47" t="s">
        <v>7717</v>
      </c>
      <c r="E3444" s="47" t="s">
        <v>1719</v>
      </c>
      <c r="F3444" s="55" t="b">
        <v>1</v>
      </c>
      <c r="G3444" s="54" t="b">
        <v>1</v>
      </c>
      <c r="H3444" s="54" t="b">
        <v>1</v>
      </c>
      <c r="I3444" s="54" t="b">
        <v>1</v>
      </c>
      <c r="J3444" s="54" t="b">
        <v>1</v>
      </c>
      <c r="K3444" s="63" t="s">
        <v>880</v>
      </c>
      <c r="L3444" s="63" t="s">
        <v>7716</v>
      </c>
      <c r="M3444" s="63" t="s">
        <v>7717</v>
      </c>
      <c r="N3444" s="63" t="s">
        <v>1719</v>
      </c>
    </row>
    <row r="3445" spans="1:14" x14ac:dyDescent="0.2">
      <c r="A3445" s="51">
        <v>3444</v>
      </c>
      <c r="B3445" s="54" t="s">
        <v>880</v>
      </c>
      <c r="C3445" s="47" t="s">
        <v>7718</v>
      </c>
      <c r="D3445" s="47" t="s">
        <v>7719</v>
      </c>
      <c r="E3445" s="47" t="s">
        <v>1719</v>
      </c>
      <c r="F3445" s="55" t="b">
        <v>1</v>
      </c>
      <c r="G3445" s="54" t="b">
        <v>1</v>
      </c>
      <c r="H3445" s="54" t="b">
        <v>1</v>
      </c>
      <c r="I3445" s="54" t="b">
        <v>1</v>
      </c>
      <c r="J3445" s="54" t="b">
        <v>1</v>
      </c>
      <c r="K3445" s="63" t="s">
        <v>880</v>
      </c>
      <c r="L3445" s="63" t="s">
        <v>7718</v>
      </c>
      <c r="M3445" s="63" t="s">
        <v>7719</v>
      </c>
      <c r="N3445" s="63" t="s">
        <v>1719</v>
      </c>
    </row>
    <row r="3446" spans="1:14" x14ac:dyDescent="0.2">
      <c r="A3446" s="51">
        <v>3445</v>
      </c>
      <c r="B3446" s="54" t="s">
        <v>880</v>
      </c>
      <c r="C3446" s="47" t="s">
        <v>7720</v>
      </c>
      <c r="D3446" s="47" t="s">
        <v>7721</v>
      </c>
      <c r="E3446" s="47" t="s">
        <v>1719</v>
      </c>
      <c r="F3446" s="55" t="b">
        <v>1</v>
      </c>
      <c r="G3446" s="54" t="b">
        <v>1</v>
      </c>
      <c r="H3446" s="54" t="b">
        <v>1</v>
      </c>
      <c r="I3446" s="54" t="b">
        <v>1</v>
      </c>
      <c r="J3446" s="54" t="b">
        <v>1</v>
      </c>
      <c r="K3446" s="63" t="s">
        <v>880</v>
      </c>
      <c r="L3446" s="63" t="s">
        <v>7720</v>
      </c>
      <c r="M3446" s="63" t="s">
        <v>7721</v>
      </c>
      <c r="N3446" s="63" t="s">
        <v>1719</v>
      </c>
    </row>
    <row r="3447" spans="1:14" x14ac:dyDescent="0.2">
      <c r="A3447" s="51">
        <v>3446</v>
      </c>
      <c r="B3447" s="56" t="s">
        <v>882</v>
      </c>
      <c r="C3447" s="47" t="s">
        <v>13086</v>
      </c>
      <c r="D3447" s="47" t="s">
        <v>13087</v>
      </c>
      <c r="E3447" s="47" t="s">
        <v>1719</v>
      </c>
      <c r="F3447" s="55" t="b">
        <v>1</v>
      </c>
      <c r="G3447" s="65" t="b">
        <v>0</v>
      </c>
      <c r="H3447" s="65" t="b">
        <v>0</v>
      </c>
      <c r="I3447" s="65" t="b">
        <v>0</v>
      </c>
      <c r="J3447" s="65" t="b">
        <v>0</v>
      </c>
    </row>
    <row r="3448" spans="1:14" x14ac:dyDescent="0.2">
      <c r="A3448" s="51">
        <v>3447</v>
      </c>
      <c r="B3448" s="56" t="s">
        <v>882</v>
      </c>
      <c r="C3448" s="47" t="s">
        <v>13088</v>
      </c>
      <c r="D3448" s="47" t="s">
        <v>13089</v>
      </c>
      <c r="E3448" s="47" t="s">
        <v>1719</v>
      </c>
      <c r="F3448" s="55" t="b">
        <v>1</v>
      </c>
      <c r="G3448" s="65" t="b">
        <v>0</v>
      </c>
      <c r="H3448" s="65" t="b">
        <v>0</v>
      </c>
      <c r="I3448" s="65" t="b">
        <v>0</v>
      </c>
      <c r="J3448" s="65" t="b">
        <v>0</v>
      </c>
    </row>
    <row r="3449" spans="1:14" x14ac:dyDescent="0.2">
      <c r="A3449" s="51">
        <v>3448</v>
      </c>
      <c r="B3449" s="56" t="s">
        <v>882</v>
      </c>
      <c r="C3449" s="47" t="s">
        <v>13090</v>
      </c>
      <c r="D3449" s="47" t="s">
        <v>13091</v>
      </c>
      <c r="E3449" s="47" t="s">
        <v>1719</v>
      </c>
      <c r="F3449" s="55" t="b">
        <v>1</v>
      </c>
      <c r="G3449" s="65" t="b">
        <v>0</v>
      </c>
      <c r="H3449" s="65" t="b">
        <v>0</v>
      </c>
      <c r="I3449" s="65" t="b">
        <v>0</v>
      </c>
      <c r="J3449" s="65" t="b">
        <v>0</v>
      </c>
    </row>
    <row r="3450" spans="1:14" x14ac:dyDescent="0.2">
      <c r="A3450" s="51">
        <v>3449</v>
      </c>
      <c r="B3450" s="54" t="s">
        <v>884</v>
      </c>
      <c r="C3450" s="47" t="s">
        <v>7722</v>
      </c>
      <c r="D3450" s="47" t="s">
        <v>7723</v>
      </c>
      <c r="E3450" s="47" t="s">
        <v>2087</v>
      </c>
      <c r="F3450" s="55" t="b">
        <v>1</v>
      </c>
      <c r="G3450" s="54" t="b">
        <v>1</v>
      </c>
      <c r="H3450" s="54" t="b">
        <v>1</v>
      </c>
      <c r="I3450" s="54" t="b">
        <v>1</v>
      </c>
      <c r="J3450" s="65" t="b">
        <v>0</v>
      </c>
      <c r="K3450" s="63" t="s">
        <v>884</v>
      </c>
      <c r="L3450" s="63" t="s">
        <v>7722</v>
      </c>
      <c r="M3450" s="63" t="s">
        <v>7723</v>
      </c>
      <c r="N3450" s="63" t="s">
        <v>7724</v>
      </c>
    </row>
    <row r="3451" spans="1:14" x14ac:dyDescent="0.2">
      <c r="A3451" s="51">
        <v>3450</v>
      </c>
      <c r="G3451" s="65" t="b">
        <v>0</v>
      </c>
      <c r="H3451" s="65" t="b">
        <v>0</v>
      </c>
      <c r="I3451" s="65" t="b">
        <v>0</v>
      </c>
      <c r="J3451" s="65" t="b">
        <v>0</v>
      </c>
      <c r="K3451" s="63" t="s">
        <v>884</v>
      </c>
      <c r="L3451" s="63" t="s">
        <v>7722</v>
      </c>
      <c r="M3451" s="63" t="s">
        <v>7766</v>
      </c>
      <c r="N3451" s="63" t="s">
        <v>7724</v>
      </c>
    </row>
    <row r="3452" spans="1:14" x14ac:dyDescent="0.2">
      <c r="A3452" s="51">
        <v>3451</v>
      </c>
      <c r="B3452" s="54" t="s">
        <v>884</v>
      </c>
      <c r="C3452" s="47" t="s">
        <v>7725</v>
      </c>
      <c r="D3452" s="47" t="s">
        <v>7726</v>
      </c>
      <c r="E3452" s="47" t="s">
        <v>2087</v>
      </c>
      <c r="F3452" s="55" t="b">
        <v>1</v>
      </c>
      <c r="G3452" s="54" t="b">
        <v>1</v>
      </c>
      <c r="H3452" s="54" t="b">
        <v>1</v>
      </c>
      <c r="I3452" s="54" t="b">
        <v>1</v>
      </c>
      <c r="J3452" s="65" t="b">
        <v>0</v>
      </c>
      <c r="K3452" s="63" t="s">
        <v>884</v>
      </c>
      <c r="L3452" s="63" t="s">
        <v>7725</v>
      </c>
      <c r="M3452" s="63" t="s">
        <v>7726</v>
      </c>
      <c r="N3452" s="63" t="s">
        <v>7724</v>
      </c>
    </row>
    <row r="3453" spans="1:14" x14ac:dyDescent="0.2">
      <c r="A3453" s="51">
        <v>3452</v>
      </c>
      <c r="G3453" s="65" t="b">
        <v>0</v>
      </c>
      <c r="H3453" s="65" t="b">
        <v>0</v>
      </c>
      <c r="I3453" s="65" t="b">
        <v>0</v>
      </c>
      <c r="J3453" s="65" t="b">
        <v>0</v>
      </c>
      <c r="K3453" s="63" t="s">
        <v>884</v>
      </c>
      <c r="L3453" s="63" t="s">
        <v>7725</v>
      </c>
      <c r="M3453" s="63" t="s">
        <v>7760</v>
      </c>
      <c r="N3453" s="63" t="s">
        <v>7724</v>
      </c>
    </row>
    <row r="3454" spans="1:14" x14ac:dyDescent="0.2">
      <c r="A3454" s="51">
        <v>3453</v>
      </c>
      <c r="B3454" s="54" t="s">
        <v>884</v>
      </c>
      <c r="C3454" s="47" t="s">
        <v>7727</v>
      </c>
      <c r="D3454" s="47" t="s">
        <v>7728</v>
      </c>
      <c r="E3454" s="47" t="s">
        <v>2087</v>
      </c>
      <c r="F3454" s="55" t="b">
        <v>1</v>
      </c>
      <c r="G3454" s="54" t="b">
        <v>1</v>
      </c>
      <c r="H3454" s="54" t="b">
        <v>1</v>
      </c>
      <c r="I3454" s="54" t="b">
        <v>1</v>
      </c>
      <c r="J3454" s="65" t="b">
        <v>0</v>
      </c>
      <c r="K3454" s="63" t="s">
        <v>884</v>
      </c>
      <c r="L3454" s="63" t="s">
        <v>7727</v>
      </c>
      <c r="M3454" s="63" t="s">
        <v>7728</v>
      </c>
      <c r="N3454" s="63" t="s">
        <v>7724</v>
      </c>
    </row>
    <row r="3455" spans="1:14" x14ac:dyDescent="0.2">
      <c r="A3455" s="51">
        <v>3454</v>
      </c>
      <c r="G3455" s="65" t="b">
        <v>0</v>
      </c>
      <c r="H3455" s="65" t="b">
        <v>0</v>
      </c>
      <c r="I3455" s="65" t="b">
        <v>0</v>
      </c>
      <c r="J3455" s="65" t="b">
        <v>0</v>
      </c>
      <c r="K3455" s="63" t="s">
        <v>884</v>
      </c>
      <c r="L3455" s="63" t="s">
        <v>7727</v>
      </c>
      <c r="M3455" s="63" t="s">
        <v>7770</v>
      </c>
      <c r="N3455" s="63" t="s">
        <v>7724</v>
      </c>
    </row>
    <row r="3456" spans="1:14" x14ac:dyDescent="0.2">
      <c r="A3456" s="51">
        <v>3455</v>
      </c>
      <c r="B3456" s="54" t="s">
        <v>884</v>
      </c>
      <c r="C3456" s="47" t="s">
        <v>7729</v>
      </c>
      <c r="D3456" s="47" t="s">
        <v>13092</v>
      </c>
      <c r="E3456" s="47" t="s">
        <v>1790</v>
      </c>
      <c r="F3456" s="55" t="b">
        <v>1</v>
      </c>
      <c r="G3456" s="54" t="b">
        <v>1</v>
      </c>
      <c r="H3456" s="54" t="b">
        <v>1</v>
      </c>
      <c r="I3456" s="65" t="b">
        <v>0</v>
      </c>
      <c r="J3456" s="65" t="b">
        <v>0</v>
      </c>
      <c r="K3456" s="63" t="s">
        <v>884</v>
      </c>
      <c r="L3456" s="63" t="s">
        <v>7729</v>
      </c>
      <c r="M3456" s="63" t="s">
        <v>7730</v>
      </c>
      <c r="N3456" s="63" t="s">
        <v>7731</v>
      </c>
    </row>
    <row r="3457" spans="1:14" x14ac:dyDescent="0.2">
      <c r="A3457" s="51">
        <v>3456</v>
      </c>
      <c r="G3457" s="65" t="b">
        <v>0</v>
      </c>
      <c r="H3457" s="65" t="b">
        <v>0</v>
      </c>
      <c r="I3457" s="65" t="b">
        <v>0</v>
      </c>
      <c r="J3457" s="65" t="b">
        <v>0</v>
      </c>
      <c r="K3457" s="63" t="s">
        <v>884</v>
      </c>
      <c r="L3457" s="63" t="s">
        <v>7729</v>
      </c>
      <c r="M3457" s="63" t="s">
        <v>7774</v>
      </c>
      <c r="N3457" s="63" t="s">
        <v>7731</v>
      </c>
    </row>
    <row r="3458" spans="1:14" x14ac:dyDescent="0.2">
      <c r="A3458" s="51">
        <v>3457</v>
      </c>
      <c r="B3458" s="54" t="s">
        <v>884</v>
      </c>
      <c r="C3458" s="47" t="s">
        <v>7732</v>
      </c>
      <c r="D3458" s="47" t="s">
        <v>13093</v>
      </c>
      <c r="E3458" s="47" t="s">
        <v>2087</v>
      </c>
      <c r="F3458" s="55" t="b">
        <v>1</v>
      </c>
      <c r="G3458" s="54" t="b">
        <v>1</v>
      </c>
      <c r="H3458" s="54" t="b">
        <v>1</v>
      </c>
      <c r="I3458" s="65" t="b">
        <v>0</v>
      </c>
      <c r="J3458" s="65" t="b">
        <v>0</v>
      </c>
      <c r="K3458" s="63" t="s">
        <v>884</v>
      </c>
      <c r="L3458" s="63" t="s">
        <v>7732</v>
      </c>
      <c r="M3458" s="63" t="s">
        <v>7733</v>
      </c>
      <c r="N3458" s="63" t="s">
        <v>7734</v>
      </c>
    </row>
    <row r="3459" spans="1:14" x14ac:dyDescent="0.2">
      <c r="A3459" s="51">
        <v>3458</v>
      </c>
      <c r="G3459" s="65" t="b">
        <v>0</v>
      </c>
      <c r="H3459" s="65" t="b">
        <v>0</v>
      </c>
      <c r="I3459" s="65" t="b">
        <v>0</v>
      </c>
      <c r="J3459" s="65" t="b">
        <v>0</v>
      </c>
      <c r="K3459" s="63" t="s">
        <v>884</v>
      </c>
      <c r="L3459" s="63" t="s">
        <v>7732</v>
      </c>
      <c r="M3459" s="63" t="s">
        <v>7767</v>
      </c>
      <c r="N3459" s="63" t="s">
        <v>7734</v>
      </c>
    </row>
    <row r="3460" spans="1:14" x14ac:dyDescent="0.2">
      <c r="A3460" s="51">
        <v>3459</v>
      </c>
      <c r="B3460" s="54" t="s">
        <v>884</v>
      </c>
      <c r="C3460" s="47" t="s">
        <v>7735</v>
      </c>
      <c r="D3460" s="47" t="s">
        <v>13094</v>
      </c>
      <c r="E3460" s="47" t="s">
        <v>2087</v>
      </c>
      <c r="F3460" s="55" t="b">
        <v>1</v>
      </c>
      <c r="G3460" s="54" t="b">
        <v>1</v>
      </c>
      <c r="H3460" s="54" t="b">
        <v>1</v>
      </c>
      <c r="I3460" s="65" t="b">
        <v>0</v>
      </c>
      <c r="J3460" s="65" t="b">
        <v>0</v>
      </c>
      <c r="K3460" s="63" t="s">
        <v>884</v>
      </c>
      <c r="L3460" s="63" t="s">
        <v>7735</v>
      </c>
      <c r="M3460" s="63" t="s">
        <v>7736</v>
      </c>
      <c r="N3460" s="63" t="s">
        <v>7724</v>
      </c>
    </row>
    <row r="3461" spans="1:14" x14ac:dyDescent="0.2">
      <c r="A3461" s="51">
        <v>3460</v>
      </c>
      <c r="G3461" s="65" t="b">
        <v>0</v>
      </c>
      <c r="H3461" s="65" t="b">
        <v>0</v>
      </c>
      <c r="I3461" s="65" t="b">
        <v>0</v>
      </c>
      <c r="J3461" s="65" t="b">
        <v>0</v>
      </c>
      <c r="K3461" s="63" t="s">
        <v>884</v>
      </c>
      <c r="L3461" s="63" t="s">
        <v>7735</v>
      </c>
      <c r="M3461" s="63" t="s">
        <v>7759</v>
      </c>
      <c r="N3461" s="63" t="s">
        <v>7724</v>
      </c>
    </row>
    <row r="3462" spans="1:14" x14ac:dyDescent="0.2">
      <c r="A3462" s="51">
        <v>3461</v>
      </c>
      <c r="B3462" s="54" t="s">
        <v>884</v>
      </c>
      <c r="C3462" s="47" t="s">
        <v>7740</v>
      </c>
      <c r="D3462" s="47" t="s">
        <v>13095</v>
      </c>
      <c r="E3462" s="47" t="s">
        <v>2087</v>
      </c>
      <c r="F3462" s="55" t="b">
        <v>1</v>
      </c>
      <c r="G3462" s="54" t="b">
        <v>1</v>
      </c>
      <c r="H3462" s="54" t="b">
        <v>1</v>
      </c>
      <c r="I3462" s="65" t="b">
        <v>0</v>
      </c>
      <c r="J3462" s="65" t="b">
        <v>0</v>
      </c>
      <c r="K3462" s="63" t="s">
        <v>884</v>
      </c>
      <c r="L3462" s="63" t="s">
        <v>7740</v>
      </c>
      <c r="M3462" s="63" t="s">
        <v>7741</v>
      </c>
      <c r="N3462" s="63" t="s">
        <v>7734</v>
      </c>
    </row>
    <row r="3463" spans="1:14" x14ac:dyDescent="0.2">
      <c r="A3463" s="51">
        <v>3462</v>
      </c>
      <c r="B3463" s="54" t="s">
        <v>884</v>
      </c>
      <c r="C3463" s="47" t="s">
        <v>7737</v>
      </c>
      <c r="D3463" s="47" t="s">
        <v>7739</v>
      </c>
      <c r="E3463" s="47" t="s">
        <v>2087</v>
      </c>
      <c r="F3463" s="55" t="b">
        <v>1</v>
      </c>
      <c r="G3463" s="54" t="b">
        <v>1</v>
      </c>
      <c r="H3463" s="54" t="b">
        <v>1</v>
      </c>
      <c r="I3463" s="65" t="b">
        <v>0</v>
      </c>
      <c r="J3463" s="65" t="b">
        <v>0</v>
      </c>
      <c r="K3463" s="63" t="s">
        <v>884</v>
      </c>
      <c r="L3463" s="63" t="s">
        <v>7737</v>
      </c>
      <c r="M3463" s="63" t="s">
        <v>7738</v>
      </c>
      <c r="N3463" s="63" t="s">
        <v>7724</v>
      </c>
    </row>
    <row r="3464" spans="1:14" x14ac:dyDescent="0.2">
      <c r="A3464" s="51">
        <v>3463</v>
      </c>
      <c r="G3464" s="65" t="b">
        <v>0</v>
      </c>
      <c r="H3464" s="65" t="b">
        <v>0</v>
      </c>
      <c r="I3464" s="65" t="b">
        <v>0</v>
      </c>
      <c r="J3464" s="65" t="b">
        <v>0</v>
      </c>
      <c r="K3464" s="63" t="s">
        <v>884</v>
      </c>
      <c r="L3464" s="63" t="s">
        <v>7737</v>
      </c>
      <c r="M3464" s="63" t="s">
        <v>7739</v>
      </c>
      <c r="N3464" s="63" t="s">
        <v>7724</v>
      </c>
    </row>
    <row r="3465" spans="1:14" x14ac:dyDescent="0.2">
      <c r="A3465" s="51">
        <v>3464</v>
      </c>
      <c r="B3465" s="54" t="s">
        <v>884</v>
      </c>
      <c r="C3465" s="47" t="s">
        <v>7746</v>
      </c>
      <c r="D3465" s="47" t="s">
        <v>7747</v>
      </c>
      <c r="E3465" s="48" t="s">
        <v>3443</v>
      </c>
      <c r="F3465" s="66" t="b">
        <v>0</v>
      </c>
      <c r="G3465" s="54" t="b">
        <v>1</v>
      </c>
      <c r="H3465" s="54" t="b">
        <v>1</v>
      </c>
      <c r="I3465" s="54" t="b">
        <v>1</v>
      </c>
      <c r="J3465" s="54" t="b">
        <v>1</v>
      </c>
      <c r="K3465" s="63" t="s">
        <v>884</v>
      </c>
      <c r="L3465" s="63" t="s">
        <v>7746</v>
      </c>
      <c r="M3465" s="63" t="s">
        <v>7747</v>
      </c>
      <c r="N3465" s="63" t="s">
        <v>3443</v>
      </c>
    </row>
    <row r="3466" spans="1:14" x14ac:dyDescent="0.2">
      <c r="A3466" s="51">
        <v>3465</v>
      </c>
      <c r="B3466" s="54" t="s">
        <v>884</v>
      </c>
      <c r="C3466" s="47" t="s">
        <v>7744</v>
      </c>
      <c r="D3466" s="47" t="s">
        <v>13096</v>
      </c>
      <c r="E3466" s="47" t="s">
        <v>2087</v>
      </c>
      <c r="F3466" s="55" t="b">
        <v>1</v>
      </c>
      <c r="G3466" s="54" t="b">
        <v>1</v>
      </c>
      <c r="H3466" s="54" t="b">
        <v>1</v>
      </c>
      <c r="I3466" s="65" t="b">
        <v>0</v>
      </c>
      <c r="J3466" s="65" t="b">
        <v>0</v>
      </c>
      <c r="K3466" s="63" t="s">
        <v>884</v>
      </c>
      <c r="L3466" s="63" t="s">
        <v>7744</v>
      </c>
      <c r="M3466" s="63" t="s">
        <v>7745</v>
      </c>
      <c r="N3466" s="63" t="s">
        <v>7734</v>
      </c>
    </row>
    <row r="3467" spans="1:14" x14ac:dyDescent="0.2">
      <c r="A3467" s="51">
        <v>3466</v>
      </c>
      <c r="G3467" s="65" t="b">
        <v>0</v>
      </c>
      <c r="H3467" s="65" t="b">
        <v>0</v>
      </c>
      <c r="I3467" s="65" t="b">
        <v>0</v>
      </c>
      <c r="J3467" s="65" t="b">
        <v>0</v>
      </c>
      <c r="K3467" s="63" t="s">
        <v>884</v>
      </c>
      <c r="L3467" s="63" t="s">
        <v>7744</v>
      </c>
      <c r="M3467" s="63" t="s">
        <v>7773</v>
      </c>
      <c r="N3467" s="63" t="s">
        <v>7734</v>
      </c>
    </row>
    <row r="3468" spans="1:14" x14ac:dyDescent="0.2">
      <c r="A3468" s="51">
        <v>3467</v>
      </c>
      <c r="B3468" s="54" t="s">
        <v>884</v>
      </c>
      <c r="C3468" s="47" t="s">
        <v>7748</v>
      </c>
      <c r="D3468" s="47" t="s">
        <v>7749</v>
      </c>
      <c r="E3468" s="47" t="s">
        <v>2087</v>
      </c>
      <c r="F3468" s="55" t="b">
        <v>1</v>
      </c>
      <c r="G3468" s="54" t="b">
        <v>1</v>
      </c>
      <c r="H3468" s="54" t="b">
        <v>1</v>
      </c>
      <c r="I3468" s="54" t="b">
        <v>1</v>
      </c>
      <c r="J3468" s="65" t="b">
        <v>0</v>
      </c>
      <c r="K3468" s="63" t="s">
        <v>884</v>
      </c>
      <c r="L3468" s="63" t="s">
        <v>7748</v>
      </c>
      <c r="M3468" s="63" t="s">
        <v>7749</v>
      </c>
      <c r="N3468" s="63" t="s">
        <v>7724</v>
      </c>
    </row>
    <row r="3469" spans="1:14" x14ac:dyDescent="0.2">
      <c r="A3469" s="51">
        <v>3468</v>
      </c>
      <c r="B3469" s="63"/>
      <c r="C3469" s="63"/>
      <c r="D3469" s="63"/>
      <c r="E3469" s="63"/>
      <c r="F3469" s="63"/>
      <c r="G3469" s="65" t="b">
        <v>0</v>
      </c>
      <c r="H3469" s="65" t="b">
        <v>0</v>
      </c>
      <c r="I3469" s="65" t="b">
        <v>0</v>
      </c>
      <c r="J3469" s="65" t="b">
        <v>0</v>
      </c>
      <c r="K3469" s="63" t="s">
        <v>884</v>
      </c>
      <c r="L3469" s="63" t="s">
        <v>7748</v>
      </c>
      <c r="M3469" s="63" t="s">
        <v>7761</v>
      </c>
      <c r="N3469" s="63" t="s">
        <v>7724</v>
      </c>
    </row>
    <row r="3470" spans="1:14" x14ac:dyDescent="0.2">
      <c r="A3470" s="51">
        <v>3469</v>
      </c>
      <c r="B3470" s="54" t="s">
        <v>884</v>
      </c>
      <c r="C3470" s="47" t="s">
        <v>7750</v>
      </c>
      <c r="D3470" s="47" t="s">
        <v>7751</v>
      </c>
      <c r="E3470" s="47" t="s">
        <v>2087</v>
      </c>
      <c r="F3470" s="55" t="b">
        <v>1</v>
      </c>
      <c r="G3470" s="54" t="b">
        <v>1</v>
      </c>
      <c r="H3470" s="54" t="b">
        <v>1</v>
      </c>
      <c r="I3470" s="54" t="b">
        <v>1</v>
      </c>
      <c r="J3470" s="65" t="b">
        <v>0</v>
      </c>
      <c r="K3470" s="63" t="s">
        <v>884</v>
      </c>
      <c r="L3470" s="63" t="s">
        <v>7750</v>
      </c>
      <c r="M3470" s="63" t="s">
        <v>7751</v>
      </c>
      <c r="N3470" s="63" t="s">
        <v>7724</v>
      </c>
    </row>
    <row r="3471" spans="1:14" x14ac:dyDescent="0.2">
      <c r="A3471" s="51">
        <v>3470</v>
      </c>
      <c r="G3471" s="65" t="b">
        <v>0</v>
      </c>
      <c r="H3471" s="65" t="b">
        <v>0</v>
      </c>
      <c r="I3471" s="65" t="b">
        <v>0</v>
      </c>
      <c r="J3471" s="65" t="b">
        <v>0</v>
      </c>
      <c r="K3471" s="63" t="s">
        <v>884</v>
      </c>
      <c r="L3471" s="63" t="s">
        <v>7750</v>
      </c>
      <c r="M3471" s="63" t="s">
        <v>7775</v>
      </c>
      <c r="N3471" s="63" t="s">
        <v>7724</v>
      </c>
    </row>
    <row r="3472" spans="1:14" x14ac:dyDescent="0.2">
      <c r="A3472" s="51">
        <v>3471</v>
      </c>
      <c r="B3472" s="54" t="s">
        <v>884</v>
      </c>
      <c r="C3472" s="47" t="s">
        <v>7752</v>
      </c>
      <c r="D3472" s="47" t="s">
        <v>7753</v>
      </c>
      <c r="E3472" s="48" t="s">
        <v>3443</v>
      </c>
      <c r="F3472" s="66" t="b">
        <v>0</v>
      </c>
      <c r="G3472" s="54" t="b">
        <v>1</v>
      </c>
      <c r="H3472" s="54" t="b">
        <v>1</v>
      </c>
      <c r="I3472" s="54" t="b">
        <v>1</v>
      </c>
      <c r="J3472" s="54" t="b">
        <v>1</v>
      </c>
      <c r="K3472" s="63" t="s">
        <v>884</v>
      </c>
      <c r="L3472" s="63" t="s">
        <v>7752</v>
      </c>
      <c r="M3472" s="63" t="s">
        <v>7753</v>
      </c>
      <c r="N3472" s="63" t="s">
        <v>3443</v>
      </c>
    </row>
    <row r="3473" spans="1:14" x14ac:dyDescent="0.2">
      <c r="A3473" s="51">
        <v>3472</v>
      </c>
      <c r="B3473" s="54" t="s">
        <v>884</v>
      </c>
      <c r="C3473" s="47" t="s">
        <v>7742</v>
      </c>
      <c r="D3473" s="47" t="s">
        <v>7754</v>
      </c>
      <c r="E3473" s="47" t="s">
        <v>2087</v>
      </c>
      <c r="F3473" s="55" t="b">
        <v>1</v>
      </c>
      <c r="G3473" s="54" t="b">
        <v>1</v>
      </c>
      <c r="H3473" s="54" t="b">
        <v>1</v>
      </c>
      <c r="I3473" s="65" t="b">
        <v>0</v>
      </c>
      <c r="J3473" s="65" t="b">
        <v>0</v>
      </c>
      <c r="K3473" s="63" t="s">
        <v>884</v>
      </c>
      <c r="L3473" s="63" t="s">
        <v>7742</v>
      </c>
      <c r="M3473" s="63" t="s">
        <v>7743</v>
      </c>
      <c r="N3473" s="63" t="s">
        <v>7724</v>
      </c>
    </row>
    <row r="3474" spans="1:14" x14ac:dyDescent="0.2">
      <c r="A3474" s="51">
        <v>3473</v>
      </c>
      <c r="G3474" s="65" t="b">
        <v>0</v>
      </c>
      <c r="H3474" s="65" t="b">
        <v>0</v>
      </c>
      <c r="I3474" s="65" t="b">
        <v>0</v>
      </c>
      <c r="J3474" s="65" t="b">
        <v>0</v>
      </c>
      <c r="K3474" s="63" t="s">
        <v>884</v>
      </c>
      <c r="L3474" s="63" t="s">
        <v>7742</v>
      </c>
      <c r="M3474" s="63" t="s">
        <v>7754</v>
      </c>
      <c r="N3474" s="63" t="s">
        <v>7724</v>
      </c>
    </row>
    <row r="3475" spans="1:14" x14ac:dyDescent="0.2">
      <c r="A3475" s="51">
        <v>3474</v>
      </c>
      <c r="B3475" s="54" t="s">
        <v>884</v>
      </c>
      <c r="C3475" s="47" t="s">
        <v>7757</v>
      </c>
      <c r="D3475" s="47" t="s">
        <v>13097</v>
      </c>
      <c r="E3475" s="47" t="s">
        <v>2087</v>
      </c>
      <c r="F3475" s="55" t="b">
        <v>1</v>
      </c>
      <c r="G3475" s="54" t="b">
        <v>1</v>
      </c>
      <c r="H3475" s="54" t="b">
        <v>1</v>
      </c>
      <c r="I3475" s="65" t="b">
        <v>0</v>
      </c>
      <c r="J3475" s="65" t="b">
        <v>0</v>
      </c>
      <c r="K3475" s="63" t="s">
        <v>884</v>
      </c>
      <c r="L3475" s="63" t="s">
        <v>7757</v>
      </c>
      <c r="M3475" s="63" t="s">
        <v>7758</v>
      </c>
      <c r="N3475" s="63" t="s">
        <v>7734</v>
      </c>
    </row>
    <row r="3476" spans="1:14" x14ac:dyDescent="0.2">
      <c r="A3476" s="51">
        <v>3475</v>
      </c>
      <c r="B3476" s="54" t="s">
        <v>884</v>
      </c>
      <c r="C3476" s="47" t="s">
        <v>7755</v>
      </c>
      <c r="D3476" s="47" t="s">
        <v>7756</v>
      </c>
      <c r="E3476" s="47" t="s">
        <v>2087</v>
      </c>
      <c r="F3476" s="55" t="b">
        <v>1</v>
      </c>
      <c r="G3476" s="54" t="b">
        <v>1</v>
      </c>
      <c r="H3476" s="54" t="b">
        <v>1</v>
      </c>
      <c r="I3476" s="54" t="b">
        <v>1</v>
      </c>
      <c r="J3476" s="65" t="b">
        <v>0</v>
      </c>
      <c r="K3476" s="63" t="s">
        <v>884</v>
      </c>
      <c r="L3476" s="63" t="s">
        <v>7755</v>
      </c>
      <c r="M3476" s="63" t="s">
        <v>7756</v>
      </c>
      <c r="N3476" s="63" t="s">
        <v>7724</v>
      </c>
    </row>
    <row r="3477" spans="1:14" x14ac:dyDescent="0.2">
      <c r="A3477" s="51">
        <v>3476</v>
      </c>
      <c r="B3477" s="54" t="s">
        <v>884</v>
      </c>
      <c r="C3477" s="47" t="s">
        <v>7764</v>
      </c>
      <c r="D3477" s="47" t="s">
        <v>7771</v>
      </c>
      <c r="E3477" s="47" t="s">
        <v>2087</v>
      </c>
      <c r="F3477" s="55" t="b">
        <v>1</v>
      </c>
      <c r="G3477" s="54" t="b">
        <v>1</v>
      </c>
      <c r="H3477" s="54" t="b">
        <v>1</v>
      </c>
      <c r="I3477" s="54" t="b">
        <v>1</v>
      </c>
      <c r="J3477" s="65" t="b">
        <v>0</v>
      </c>
      <c r="K3477" s="63" t="s">
        <v>884</v>
      </c>
      <c r="L3477" s="63" t="s">
        <v>7764</v>
      </c>
      <c r="M3477" s="63" t="s">
        <v>7771</v>
      </c>
      <c r="N3477" s="63" t="s">
        <v>7724</v>
      </c>
    </row>
    <row r="3478" spans="1:14" x14ac:dyDescent="0.2">
      <c r="A3478" s="51">
        <v>3477</v>
      </c>
      <c r="G3478" s="65" t="b">
        <v>0</v>
      </c>
      <c r="H3478" s="65" t="b">
        <v>0</v>
      </c>
      <c r="I3478" s="65" t="b">
        <v>0</v>
      </c>
      <c r="J3478" s="65" t="b">
        <v>0</v>
      </c>
      <c r="K3478" s="63" t="s">
        <v>884</v>
      </c>
      <c r="L3478" s="63" t="s">
        <v>7764</v>
      </c>
      <c r="M3478" s="63" t="s">
        <v>7765</v>
      </c>
      <c r="N3478" s="63" t="s">
        <v>7724</v>
      </c>
    </row>
    <row r="3479" spans="1:14" x14ac:dyDescent="0.2">
      <c r="A3479" s="51">
        <v>3478</v>
      </c>
      <c r="B3479" s="54" t="s">
        <v>884</v>
      </c>
      <c r="C3479" s="47" t="s">
        <v>7768</v>
      </c>
      <c r="D3479" s="47" t="s">
        <v>7769</v>
      </c>
      <c r="E3479" s="47" t="s">
        <v>2087</v>
      </c>
      <c r="F3479" s="55" t="b">
        <v>1</v>
      </c>
      <c r="G3479" s="54" t="b">
        <v>1</v>
      </c>
      <c r="H3479" s="54" t="b">
        <v>1</v>
      </c>
      <c r="I3479" s="54" t="b">
        <v>1</v>
      </c>
      <c r="J3479" s="65" t="b">
        <v>0</v>
      </c>
      <c r="K3479" s="63" t="s">
        <v>884</v>
      </c>
      <c r="L3479" s="63" t="s">
        <v>7768</v>
      </c>
      <c r="M3479" s="63" t="s">
        <v>7769</v>
      </c>
      <c r="N3479" s="63" t="s">
        <v>7724</v>
      </c>
    </row>
    <row r="3480" spans="1:14" x14ac:dyDescent="0.2">
      <c r="A3480" s="51">
        <v>3479</v>
      </c>
      <c r="G3480" s="65" t="b">
        <v>0</v>
      </c>
      <c r="H3480" s="65" t="b">
        <v>0</v>
      </c>
      <c r="I3480" s="65" t="b">
        <v>0</v>
      </c>
      <c r="J3480" s="65" t="b">
        <v>0</v>
      </c>
      <c r="K3480" s="63" t="s">
        <v>884</v>
      </c>
      <c r="L3480" s="63" t="s">
        <v>7762</v>
      </c>
      <c r="M3480" s="63" t="s">
        <v>7763</v>
      </c>
      <c r="N3480" s="63" t="s">
        <v>7724</v>
      </c>
    </row>
    <row r="3481" spans="1:14" x14ac:dyDescent="0.2">
      <c r="A3481" s="51">
        <v>3480</v>
      </c>
      <c r="B3481" s="54" t="s">
        <v>884</v>
      </c>
      <c r="C3481" s="47" t="s">
        <v>7762</v>
      </c>
      <c r="D3481" s="47" t="s">
        <v>7772</v>
      </c>
      <c r="E3481" s="47" t="s">
        <v>2087</v>
      </c>
      <c r="F3481" s="55" t="b">
        <v>1</v>
      </c>
      <c r="G3481" s="54" t="b">
        <v>1</v>
      </c>
      <c r="H3481" s="54" t="b">
        <v>1</v>
      </c>
      <c r="I3481" s="54" t="b">
        <v>1</v>
      </c>
      <c r="J3481" s="65" t="b">
        <v>0</v>
      </c>
      <c r="K3481" s="63" t="s">
        <v>884</v>
      </c>
      <c r="L3481" s="63" t="s">
        <v>7762</v>
      </c>
      <c r="M3481" s="63" t="s">
        <v>7772</v>
      </c>
      <c r="N3481" s="63" t="s">
        <v>7724</v>
      </c>
    </row>
    <row r="3482" spans="1:14" x14ac:dyDescent="0.2">
      <c r="A3482" s="51">
        <v>3481</v>
      </c>
      <c r="B3482" s="54" t="s">
        <v>886</v>
      </c>
      <c r="C3482" s="47" t="s">
        <v>7776</v>
      </c>
      <c r="D3482" s="47" t="s">
        <v>7777</v>
      </c>
      <c r="E3482" s="47" t="s">
        <v>3322</v>
      </c>
      <c r="F3482" s="55" t="b">
        <v>1</v>
      </c>
      <c r="G3482" s="54" t="b">
        <v>1</v>
      </c>
      <c r="H3482" s="54" t="b">
        <v>1</v>
      </c>
      <c r="I3482" s="54" t="b">
        <v>1</v>
      </c>
      <c r="J3482" s="54" t="b">
        <v>1</v>
      </c>
      <c r="K3482" s="63" t="s">
        <v>886</v>
      </c>
      <c r="L3482" s="63" t="s">
        <v>7776</v>
      </c>
      <c r="M3482" s="63" t="s">
        <v>7777</v>
      </c>
      <c r="N3482" s="63" t="s">
        <v>3322</v>
      </c>
    </row>
    <row r="3483" spans="1:14" x14ac:dyDescent="0.2">
      <c r="A3483" s="51">
        <v>3482</v>
      </c>
      <c r="B3483" s="54" t="s">
        <v>886</v>
      </c>
      <c r="C3483" s="47" t="s">
        <v>7778</v>
      </c>
      <c r="D3483" s="47" t="s">
        <v>7779</v>
      </c>
      <c r="E3483" s="47" t="s">
        <v>3322</v>
      </c>
      <c r="F3483" s="55" t="b">
        <v>1</v>
      </c>
      <c r="G3483" s="54" t="b">
        <v>1</v>
      </c>
      <c r="H3483" s="54" t="b">
        <v>1</v>
      </c>
      <c r="I3483" s="54" t="b">
        <v>1</v>
      </c>
      <c r="J3483" s="54" t="b">
        <v>1</v>
      </c>
      <c r="K3483" s="63" t="s">
        <v>886</v>
      </c>
      <c r="L3483" s="63" t="s">
        <v>7778</v>
      </c>
      <c r="M3483" s="63" t="s">
        <v>7779</v>
      </c>
      <c r="N3483" s="63" t="s">
        <v>3322</v>
      </c>
    </row>
    <row r="3484" spans="1:14" x14ac:dyDescent="0.2">
      <c r="A3484" s="51">
        <v>3483</v>
      </c>
      <c r="B3484" s="54" t="s">
        <v>886</v>
      </c>
      <c r="C3484" s="47" t="s">
        <v>7780</v>
      </c>
      <c r="D3484" s="47" t="s">
        <v>7781</v>
      </c>
      <c r="E3484" s="47" t="s">
        <v>2590</v>
      </c>
      <c r="F3484" s="55" t="b">
        <v>1</v>
      </c>
      <c r="G3484" s="54" t="b">
        <v>1</v>
      </c>
      <c r="H3484" s="54" t="b">
        <v>1</v>
      </c>
      <c r="I3484" s="54" t="b">
        <v>1</v>
      </c>
      <c r="J3484" s="54" t="b">
        <v>1</v>
      </c>
      <c r="K3484" s="63" t="s">
        <v>886</v>
      </c>
      <c r="L3484" s="63" t="s">
        <v>7780</v>
      </c>
      <c r="M3484" s="63" t="s">
        <v>7781</v>
      </c>
      <c r="N3484" s="63" t="s">
        <v>2590</v>
      </c>
    </row>
    <row r="3485" spans="1:14" x14ac:dyDescent="0.2">
      <c r="A3485" s="51">
        <v>3484</v>
      </c>
      <c r="B3485" s="54" t="s">
        <v>886</v>
      </c>
      <c r="C3485" s="47" t="s">
        <v>7782</v>
      </c>
      <c r="D3485" s="47" t="s">
        <v>7783</v>
      </c>
      <c r="E3485" s="47" t="s">
        <v>2590</v>
      </c>
      <c r="F3485" s="55" t="b">
        <v>1</v>
      </c>
      <c r="G3485" s="54" t="b">
        <v>1</v>
      </c>
      <c r="H3485" s="54" t="b">
        <v>1</v>
      </c>
      <c r="I3485" s="54" t="b">
        <v>1</v>
      </c>
      <c r="J3485" s="54" t="b">
        <v>1</v>
      </c>
      <c r="K3485" s="63" t="s">
        <v>886</v>
      </c>
      <c r="L3485" s="63" t="s">
        <v>7782</v>
      </c>
      <c r="M3485" s="63" t="s">
        <v>7783</v>
      </c>
      <c r="N3485" s="63" t="s">
        <v>2590</v>
      </c>
    </row>
    <row r="3486" spans="1:14" x14ac:dyDescent="0.2">
      <c r="A3486" s="51">
        <v>3485</v>
      </c>
      <c r="B3486" s="54" t="s">
        <v>886</v>
      </c>
      <c r="C3486" s="47" t="s">
        <v>7784</v>
      </c>
      <c r="D3486" s="47" t="s">
        <v>7785</v>
      </c>
      <c r="E3486" s="47" t="s">
        <v>2590</v>
      </c>
      <c r="F3486" s="55" t="b">
        <v>1</v>
      </c>
      <c r="G3486" s="54" t="b">
        <v>1</v>
      </c>
      <c r="H3486" s="54" t="b">
        <v>1</v>
      </c>
      <c r="I3486" s="54" t="b">
        <v>1</v>
      </c>
      <c r="J3486" s="54" t="b">
        <v>1</v>
      </c>
      <c r="K3486" s="63" t="s">
        <v>886</v>
      </c>
      <c r="L3486" s="63" t="s">
        <v>7784</v>
      </c>
      <c r="M3486" s="63" t="s">
        <v>7785</v>
      </c>
      <c r="N3486" s="63" t="s">
        <v>2590</v>
      </c>
    </row>
    <row r="3487" spans="1:14" x14ac:dyDescent="0.2">
      <c r="A3487" s="51">
        <v>3486</v>
      </c>
      <c r="B3487" s="54" t="s">
        <v>886</v>
      </c>
      <c r="C3487" s="47" t="s">
        <v>7786</v>
      </c>
      <c r="D3487" s="47" t="s">
        <v>7787</v>
      </c>
      <c r="E3487" s="47" t="s">
        <v>2590</v>
      </c>
      <c r="F3487" s="55" t="b">
        <v>1</v>
      </c>
      <c r="G3487" s="54" t="b">
        <v>1</v>
      </c>
      <c r="H3487" s="54" t="b">
        <v>1</v>
      </c>
      <c r="I3487" s="54" t="b">
        <v>1</v>
      </c>
      <c r="J3487" s="54" t="b">
        <v>1</v>
      </c>
      <c r="K3487" s="63" t="s">
        <v>886</v>
      </c>
      <c r="L3487" s="63" t="s">
        <v>7786</v>
      </c>
      <c r="M3487" s="63" t="s">
        <v>7787</v>
      </c>
      <c r="N3487" s="63" t="s">
        <v>2590</v>
      </c>
    </row>
    <row r="3488" spans="1:14" x14ac:dyDescent="0.2">
      <c r="A3488" s="51">
        <v>3487</v>
      </c>
      <c r="B3488" s="54" t="s">
        <v>886</v>
      </c>
      <c r="C3488" s="47" t="s">
        <v>7788</v>
      </c>
      <c r="D3488" s="47" t="s">
        <v>7789</v>
      </c>
      <c r="E3488" s="47" t="s">
        <v>2590</v>
      </c>
      <c r="F3488" s="55" t="b">
        <v>1</v>
      </c>
      <c r="G3488" s="54" t="b">
        <v>1</v>
      </c>
      <c r="H3488" s="54" t="b">
        <v>1</v>
      </c>
      <c r="I3488" s="54" t="b">
        <v>1</v>
      </c>
      <c r="J3488" s="54" t="b">
        <v>1</v>
      </c>
      <c r="K3488" s="63" t="s">
        <v>886</v>
      </c>
      <c r="L3488" s="63" t="s">
        <v>7788</v>
      </c>
      <c r="M3488" s="63" t="s">
        <v>7789</v>
      </c>
      <c r="N3488" s="63" t="s">
        <v>2590</v>
      </c>
    </row>
    <row r="3489" spans="1:14" x14ac:dyDescent="0.2">
      <c r="A3489" s="51">
        <v>3488</v>
      </c>
      <c r="B3489" s="54" t="s">
        <v>886</v>
      </c>
      <c r="C3489" s="47" t="s">
        <v>7790</v>
      </c>
      <c r="D3489" s="47" t="s">
        <v>7791</v>
      </c>
      <c r="E3489" s="47" t="s">
        <v>2590</v>
      </c>
      <c r="F3489" s="55" t="b">
        <v>1</v>
      </c>
      <c r="G3489" s="54" t="b">
        <v>1</v>
      </c>
      <c r="H3489" s="54" t="b">
        <v>1</v>
      </c>
      <c r="I3489" s="54" t="b">
        <v>1</v>
      </c>
      <c r="J3489" s="54" t="b">
        <v>1</v>
      </c>
      <c r="K3489" s="63" t="s">
        <v>886</v>
      </c>
      <c r="L3489" s="63" t="s">
        <v>7790</v>
      </c>
      <c r="M3489" s="63" t="s">
        <v>7791</v>
      </c>
      <c r="N3489" s="63" t="s">
        <v>2590</v>
      </c>
    </row>
    <row r="3490" spans="1:14" x14ac:dyDescent="0.2">
      <c r="A3490" s="51">
        <v>3489</v>
      </c>
      <c r="B3490" s="54" t="s">
        <v>886</v>
      </c>
      <c r="C3490" s="47" t="s">
        <v>7792</v>
      </c>
      <c r="D3490" s="47" t="s">
        <v>7793</v>
      </c>
      <c r="E3490" s="47" t="s">
        <v>2590</v>
      </c>
      <c r="F3490" s="55" t="b">
        <v>1</v>
      </c>
      <c r="G3490" s="54" t="b">
        <v>1</v>
      </c>
      <c r="H3490" s="54" t="b">
        <v>1</v>
      </c>
      <c r="I3490" s="54" t="b">
        <v>1</v>
      </c>
      <c r="J3490" s="54" t="b">
        <v>1</v>
      </c>
      <c r="K3490" s="63" t="s">
        <v>886</v>
      </c>
      <c r="L3490" s="63" t="s">
        <v>7792</v>
      </c>
      <c r="M3490" s="63" t="s">
        <v>7793</v>
      </c>
      <c r="N3490" s="63" t="s">
        <v>2590</v>
      </c>
    </row>
    <row r="3491" spans="1:14" x14ac:dyDescent="0.2">
      <c r="A3491" s="51">
        <v>3490</v>
      </c>
      <c r="B3491" s="54" t="s">
        <v>886</v>
      </c>
      <c r="C3491" s="47" t="s">
        <v>7794</v>
      </c>
      <c r="D3491" s="47" t="s">
        <v>7795</v>
      </c>
      <c r="E3491" s="47" t="s">
        <v>2590</v>
      </c>
      <c r="F3491" s="55" t="b">
        <v>1</v>
      </c>
      <c r="G3491" s="54" t="b">
        <v>1</v>
      </c>
      <c r="H3491" s="54" t="b">
        <v>1</v>
      </c>
      <c r="I3491" s="54" t="b">
        <v>1</v>
      </c>
      <c r="J3491" s="54" t="b">
        <v>1</v>
      </c>
      <c r="K3491" s="63" t="s">
        <v>886</v>
      </c>
      <c r="L3491" s="63" t="s">
        <v>7794</v>
      </c>
      <c r="M3491" s="63" t="s">
        <v>7795</v>
      </c>
      <c r="N3491" s="63" t="s">
        <v>2590</v>
      </c>
    </row>
    <row r="3492" spans="1:14" x14ac:dyDescent="0.2">
      <c r="A3492" s="51">
        <v>3491</v>
      </c>
      <c r="B3492" s="54" t="s">
        <v>886</v>
      </c>
      <c r="C3492" s="47" t="s">
        <v>7796</v>
      </c>
      <c r="D3492" s="47" t="s">
        <v>7797</v>
      </c>
      <c r="E3492" s="47" t="s">
        <v>2590</v>
      </c>
      <c r="F3492" s="55" t="b">
        <v>1</v>
      </c>
      <c r="G3492" s="54" t="b">
        <v>1</v>
      </c>
      <c r="H3492" s="54" t="b">
        <v>1</v>
      </c>
      <c r="I3492" s="54" t="b">
        <v>1</v>
      </c>
      <c r="J3492" s="54" t="b">
        <v>1</v>
      </c>
      <c r="K3492" s="63" t="s">
        <v>886</v>
      </c>
      <c r="L3492" s="63" t="s">
        <v>7796</v>
      </c>
      <c r="M3492" s="63" t="s">
        <v>7797</v>
      </c>
      <c r="N3492" s="63" t="s">
        <v>2590</v>
      </c>
    </row>
    <row r="3493" spans="1:14" x14ac:dyDescent="0.2">
      <c r="A3493" s="51">
        <v>3492</v>
      </c>
      <c r="B3493" s="54" t="s">
        <v>886</v>
      </c>
      <c r="C3493" s="47" t="s">
        <v>7798</v>
      </c>
      <c r="D3493" s="47" t="s">
        <v>7799</v>
      </c>
      <c r="E3493" s="47" t="s">
        <v>2590</v>
      </c>
      <c r="F3493" s="55" t="b">
        <v>1</v>
      </c>
      <c r="G3493" s="54" t="b">
        <v>1</v>
      </c>
      <c r="H3493" s="54" t="b">
        <v>1</v>
      </c>
      <c r="I3493" s="54" t="b">
        <v>1</v>
      </c>
      <c r="J3493" s="54" t="b">
        <v>1</v>
      </c>
      <c r="K3493" s="63" t="s">
        <v>886</v>
      </c>
      <c r="L3493" s="63" t="s">
        <v>7798</v>
      </c>
      <c r="M3493" s="63" t="s">
        <v>7799</v>
      </c>
      <c r="N3493" s="63" t="s">
        <v>2590</v>
      </c>
    </row>
    <row r="3494" spans="1:14" x14ac:dyDescent="0.2">
      <c r="A3494" s="51">
        <v>3493</v>
      </c>
      <c r="B3494" s="54" t="s">
        <v>886</v>
      </c>
      <c r="C3494" s="47" t="s">
        <v>7800</v>
      </c>
      <c r="D3494" s="47" t="s">
        <v>7801</v>
      </c>
      <c r="E3494" s="47" t="s">
        <v>2590</v>
      </c>
      <c r="F3494" s="55" t="b">
        <v>1</v>
      </c>
      <c r="G3494" s="54" t="b">
        <v>1</v>
      </c>
      <c r="H3494" s="54" t="b">
        <v>1</v>
      </c>
      <c r="I3494" s="54" t="b">
        <v>1</v>
      </c>
      <c r="J3494" s="54" t="b">
        <v>1</v>
      </c>
      <c r="K3494" s="63" t="s">
        <v>886</v>
      </c>
      <c r="L3494" s="63" t="s">
        <v>7800</v>
      </c>
      <c r="M3494" s="63" t="s">
        <v>7801</v>
      </c>
      <c r="N3494" s="63" t="s">
        <v>2590</v>
      </c>
    </row>
    <row r="3495" spans="1:14" x14ac:dyDescent="0.2">
      <c r="A3495" s="51">
        <v>3494</v>
      </c>
      <c r="B3495" s="54" t="s">
        <v>886</v>
      </c>
      <c r="C3495" s="47" t="s">
        <v>7802</v>
      </c>
      <c r="D3495" s="47" t="s">
        <v>7803</v>
      </c>
      <c r="E3495" s="47" t="s">
        <v>2590</v>
      </c>
      <c r="F3495" s="55" t="b">
        <v>1</v>
      </c>
      <c r="G3495" s="54" t="b">
        <v>1</v>
      </c>
      <c r="H3495" s="54" t="b">
        <v>1</v>
      </c>
      <c r="I3495" s="54" t="b">
        <v>1</v>
      </c>
      <c r="J3495" s="54" t="b">
        <v>1</v>
      </c>
      <c r="K3495" s="63" t="s">
        <v>886</v>
      </c>
      <c r="L3495" s="63" t="s">
        <v>7802</v>
      </c>
      <c r="M3495" s="63" t="s">
        <v>7803</v>
      </c>
      <c r="N3495" s="63" t="s">
        <v>2590</v>
      </c>
    </row>
    <row r="3496" spans="1:14" x14ac:dyDescent="0.2">
      <c r="A3496" s="51">
        <v>3495</v>
      </c>
      <c r="B3496" s="54" t="s">
        <v>886</v>
      </c>
      <c r="C3496" s="47" t="s">
        <v>7804</v>
      </c>
      <c r="D3496" s="47" t="s">
        <v>7805</v>
      </c>
      <c r="E3496" s="47" t="s">
        <v>2590</v>
      </c>
      <c r="F3496" s="55" t="b">
        <v>1</v>
      </c>
      <c r="G3496" s="54" t="b">
        <v>1</v>
      </c>
      <c r="H3496" s="54" t="b">
        <v>1</v>
      </c>
      <c r="I3496" s="54" t="b">
        <v>1</v>
      </c>
      <c r="J3496" s="54" t="b">
        <v>1</v>
      </c>
      <c r="K3496" s="63" t="s">
        <v>886</v>
      </c>
      <c r="L3496" s="63" t="s">
        <v>7804</v>
      </c>
      <c r="M3496" s="63" t="s">
        <v>7805</v>
      </c>
      <c r="N3496" s="63" t="s">
        <v>2590</v>
      </c>
    </row>
    <row r="3497" spans="1:14" x14ac:dyDescent="0.2">
      <c r="A3497" s="51">
        <v>3496</v>
      </c>
      <c r="B3497" s="54" t="s">
        <v>886</v>
      </c>
      <c r="C3497" s="47" t="s">
        <v>7806</v>
      </c>
      <c r="D3497" s="47" t="s">
        <v>7807</v>
      </c>
      <c r="E3497" s="47" t="s">
        <v>2590</v>
      </c>
      <c r="F3497" s="55" t="b">
        <v>1</v>
      </c>
      <c r="G3497" s="54" t="b">
        <v>1</v>
      </c>
      <c r="H3497" s="54" t="b">
        <v>1</v>
      </c>
      <c r="I3497" s="54" t="b">
        <v>1</v>
      </c>
      <c r="J3497" s="54" t="b">
        <v>1</v>
      </c>
      <c r="K3497" s="63" t="s">
        <v>886</v>
      </c>
      <c r="L3497" s="63" t="s">
        <v>7806</v>
      </c>
      <c r="M3497" s="63" t="s">
        <v>7807</v>
      </c>
      <c r="N3497" s="63" t="s">
        <v>2590</v>
      </c>
    </row>
    <row r="3498" spans="1:14" x14ac:dyDescent="0.2">
      <c r="A3498" s="51">
        <v>3497</v>
      </c>
      <c r="B3498" s="54" t="s">
        <v>886</v>
      </c>
      <c r="C3498" s="47" t="s">
        <v>7808</v>
      </c>
      <c r="D3498" s="47" t="s">
        <v>7809</v>
      </c>
      <c r="E3498" s="47" t="s">
        <v>2590</v>
      </c>
      <c r="F3498" s="55" t="b">
        <v>1</v>
      </c>
      <c r="G3498" s="54" t="b">
        <v>1</v>
      </c>
      <c r="H3498" s="54" t="b">
        <v>1</v>
      </c>
      <c r="I3498" s="54" t="b">
        <v>1</v>
      </c>
      <c r="J3498" s="54" t="b">
        <v>1</v>
      </c>
      <c r="K3498" s="63" t="s">
        <v>886</v>
      </c>
      <c r="L3498" s="63" t="s">
        <v>7808</v>
      </c>
      <c r="M3498" s="63" t="s">
        <v>7809</v>
      </c>
      <c r="N3498" s="63" t="s">
        <v>2590</v>
      </c>
    </row>
    <row r="3499" spans="1:14" x14ac:dyDescent="0.2">
      <c r="A3499" s="51">
        <v>3498</v>
      </c>
      <c r="B3499" s="54" t="s">
        <v>888</v>
      </c>
      <c r="C3499" s="47" t="s">
        <v>7810</v>
      </c>
      <c r="D3499" s="47" t="s">
        <v>7811</v>
      </c>
      <c r="E3499" s="47" t="s">
        <v>2087</v>
      </c>
      <c r="F3499" s="55" t="b">
        <v>1</v>
      </c>
      <c r="G3499" s="54" t="b">
        <v>1</v>
      </c>
      <c r="H3499" s="54" t="b">
        <v>1</v>
      </c>
      <c r="I3499" s="54" t="b">
        <v>1</v>
      </c>
      <c r="J3499" s="65" t="b">
        <v>0</v>
      </c>
      <c r="K3499" s="63" t="s">
        <v>888</v>
      </c>
      <c r="L3499" s="63" t="s">
        <v>7810</v>
      </c>
      <c r="M3499" s="63" t="s">
        <v>7811</v>
      </c>
      <c r="N3499" s="63" t="s">
        <v>2590</v>
      </c>
    </row>
    <row r="3500" spans="1:14" x14ac:dyDescent="0.2">
      <c r="A3500" s="51">
        <v>3499</v>
      </c>
      <c r="B3500" s="54" t="s">
        <v>888</v>
      </c>
      <c r="C3500" s="47" t="s">
        <v>7812</v>
      </c>
      <c r="D3500" s="47" t="s">
        <v>7813</v>
      </c>
      <c r="E3500" s="47" t="s">
        <v>2087</v>
      </c>
      <c r="F3500" s="55" t="b">
        <v>1</v>
      </c>
      <c r="G3500" s="54" t="b">
        <v>1</v>
      </c>
      <c r="H3500" s="54" t="b">
        <v>1</v>
      </c>
      <c r="I3500" s="54" t="b">
        <v>1</v>
      </c>
      <c r="J3500" s="65" t="b">
        <v>0</v>
      </c>
      <c r="K3500" s="63" t="s">
        <v>888</v>
      </c>
      <c r="L3500" s="63" t="s">
        <v>7812</v>
      </c>
      <c r="M3500" s="63" t="s">
        <v>7813</v>
      </c>
      <c r="N3500" s="63" t="s">
        <v>2590</v>
      </c>
    </row>
    <row r="3501" spans="1:14" x14ac:dyDescent="0.2">
      <c r="A3501" s="51">
        <v>3500</v>
      </c>
      <c r="B3501" s="54" t="s">
        <v>888</v>
      </c>
      <c r="C3501" s="47" t="s">
        <v>7814</v>
      </c>
      <c r="D3501" s="47" t="s">
        <v>7815</v>
      </c>
      <c r="E3501" s="47" t="s">
        <v>2087</v>
      </c>
      <c r="F3501" s="55" t="b">
        <v>1</v>
      </c>
      <c r="G3501" s="54" t="b">
        <v>1</v>
      </c>
      <c r="H3501" s="54" t="b">
        <v>1</v>
      </c>
      <c r="I3501" s="54" t="b">
        <v>1</v>
      </c>
      <c r="J3501" s="65" t="b">
        <v>0</v>
      </c>
      <c r="K3501" s="63" t="s">
        <v>888</v>
      </c>
      <c r="L3501" s="63" t="s">
        <v>7814</v>
      </c>
      <c r="M3501" s="63" t="s">
        <v>7815</v>
      </c>
      <c r="N3501" s="63" t="s">
        <v>2590</v>
      </c>
    </row>
    <row r="3502" spans="1:14" x14ac:dyDescent="0.2">
      <c r="A3502" s="51">
        <v>3501</v>
      </c>
      <c r="B3502" s="54" t="s">
        <v>888</v>
      </c>
      <c r="C3502" s="47" t="s">
        <v>7816</v>
      </c>
      <c r="D3502" s="47" t="s">
        <v>7817</v>
      </c>
      <c r="E3502" s="47" t="s">
        <v>2087</v>
      </c>
      <c r="F3502" s="55" t="b">
        <v>1</v>
      </c>
      <c r="G3502" s="54" t="b">
        <v>1</v>
      </c>
      <c r="H3502" s="54" t="b">
        <v>1</v>
      </c>
      <c r="I3502" s="54" t="b">
        <v>1</v>
      </c>
      <c r="J3502" s="65" t="b">
        <v>0</v>
      </c>
      <c r="K3502" s="63" t="s">
        <v>888</v>
      </c>
      <c r="L3502" s="63" t="s">
        <v>7816</v>
      </c>
      <c r="M3502" s="63" t="s">
        <v>7817</v>
      </c>
      <c r="N3502" s="63" t="s">
        <v>2590</v>
      </c>
    </row>
    <row r="3503" spans="1:14" x14ac:dyDescent="0.2">
      <c r="A3503" s="51">
        <v>3502</v>
      </c>
      <c r="B3503" s="54" t="s">
        <v>888</v>
      </c>
      <c r="C3503" s="47" t="s">
        <v>7821</v>
      </c>
      <c r="D3503" s="47" t="s">
        <v>7822</v>
      </c>
      <c r="E3503" s="47" t="s">
        <v>2087</v>
      </c>
      <c r="F3503" s="55" t="b">
        <v>1</v>
      </c>
      <c r="G3503" s="54" t="b">
        <v>1</v>
      </c>
      <c r="H3503" s="54" t="b">
        <v>1</v>
      </c>
      <c r="I3503" s="54" t="b">
        <v>1</v>
      </c>
      <c r="J3503" s="65" t="b">
        <v>0</v>
      </c>
      <c r="K3503" s="63" t="s">
        <v>888</v>
      </c>
      <c r="L3503" s="63" t="s">
        <v>7821</v>
      </c>
      <c r="M3503" s="63" t="s">
        <v>7822</v>
      </c>
      <c r="N3503" s="63" t="s">
        <v>2590</v>
      </c>
    </row>
    <row r="3504" spans="1:14" x14ac:dyDescent="0.2">
      <c r="A3504" s="51">
        <v>3503</v>
      </c>
      <c r="B3504" s="54" t="s">
        <v>888</v>
      </c>
      <c r="C3504" s="47" t="s">
        <v>7823</v>
      </c>
      <c r="D3504" s="47" t="s">
        <v>7824</v>
      </c>
      <c r="E3504" s="47" t="s">
        <v>2087</v>
      </c>
      <c r="F3504" s="55" t="b">
        <v>1</v>
      </c>
      <c r="G3504" s="54" t="b">
        <v>1</v>
      </c>
      <c r="H3504" s="54" t="b">
        <v>1</v>
      </c>
      <c r="I3504" s="54" t="b">
        <v>1</v>
      </c>
      <c r="J3504" s="65" t="b">
        <v>0</v>
      </c>
      <c r="K3504" s="63" t="s">
        <v>888</v>
      </c>
      <c r="L3504" s="63" t="s">
        <v>7823</v>
      </c>
      <c r="M3504" s="63" t="s">
        <v>7824</v>
      </c>
      <c r="N3504" s="63" t="s">
        <v>2590</v>
      </c>
    </row>
    <row r="3505" spans="1:14" x14ac:dyDescent="0.2">
      <c r="A3505" s="51">
        <v>3504</v>
      </c>
      <c r="B3505" s="54" t="s">
        <v>888</v>
      </c>
      <c r="C3505" s="47" t="s">
        <v>7825</v>
      </c>
      <c r="D3505" s="47" t="s">
        <v>7826</v>
      </c>
      <c r="E3505" s="47" t="s">
        <v>2087</v>
      </c>
      <c r="F3505" s="55" t="b">
        <v>1</v>
      </c>
      <c r="G3505" s="54" t="b">
        <v>1</v>
      </c>
      <c r="H3505" s="54" t="b">
        <v>1</v>
      </c>
      <c r="I3505" s="54" t="b">
        <v>1</v>
      </c>
      <c r="J3505" s="65" t="b">
        <v>0</v>
      </c>
      <c r="K3505" s="63" t="s">
        <v>888</v>
      </c>
      <c r="L3505" s="63" t="s">
        <v>7825</v>
      </c>
      <c r="M3505" s="63" t="s">
        <v>7826</v>
      </c>
      <c r="N3505" s="63" t="s">
        <v>2590</v>
      </c>
    </row>
    <row r="3506" spans="1:14" x14ac:dyDescent="0.2">
      <c r="A3506" s="51">
        <v>3505</v>
      </c>
      <c r="B3506" s="54" t="s">
        <v>888</v>
      </c>
      <c r="C3506" s="47" t="s">
        <v>7818</v>
      </c>
      <c r="D3506" s="47" t="s">
        <v>7819</v>
      </c>
      <c r="E3506" s="47" t="s">
        <v>3322</v>
      </c>
      <c r="F3506" s="55" t="b">
        <v>1</v>
      </c>
      <c r="G3506" s="54" t="b">
        <v>1</v>
      </c>
      <c r="H3506" s="54" t="b">
        <v>1</v>
      </c>
      <c r="I3506" s="54" t="b">
        <v>1</v>
      </c>
      <c r="J3506" s="65" t="b">
        <v>0</v>
      </c>
      <c r="K3506" s="63" t="s">
        <v>888</v>
      </c>
      <c r="L3506" s="63" t="s">
        <v>7818</v>
      </c>
      <c r="M3506" s="63" t="s">
        <v>7819</v>
      </c>
      <c r="N3506" s="63" t="s">
        <v>7820</v>
      </c>
    </row>
    <row r="3507" spans="1:14" x14ac:dyDescent="0.2">
      <c r="A3507" s="51">
        <v>3506</v>
      </c>
      <c r="B3507" s="54" t="s">
        <v>890</v>
      </c>
      <c r="C3507" s="47" t="s">
        <v>7827</v>
      </c>
      <c r="D3507" s="47" t="s">
        <v>7828</v>
      </c>
      <c r="E3507" s="47" t="s">
        <v>2113</v>
      </c>
      <c r="F3507" s="55" t="b">
        <v>1</v>
      </c>
      <c r="G3507" s="54" t="b">
        <v>1</v>
      </c>
      <c r="H3507" s="54" t="b">
        <v>1</v>
      </c>
      <c r="I3507" s="54" t="b">
        <v>1</v>
      </c>
      <c r="J3507" s="54" t="b">
        <v>1</v>
      </c>
      <c r="K3507" s="63" t="s">
        <v>890</v>
      </c>
      <c r="L3507" s="63" t="s">
        <v>7827</v>
      </c>
      <c r="M3507" s="63" t="s">
        <v>7828</v>
      </c>
      <c r="N3507" s="63" t="s">
        <v>2113</v>
      </c>
    </row>
    <row r="3508" spans="1:14" x14ac:dyDescent="0.2">
      <c r="A3508" s="51">
        <v>3507</v>
      </c>
      <c r="B3508" s="54" t="s">
        <v>890</v>
      </c>
      <c r="C3508" s="47" t="s">
        <v>7832</v>
      </c>
      <c r="D3508" s="47" t="s">
        <v>7833</v>
      </c>
      <c r="E3508" s="47" t="s">
        <v>2113</v>
      </c>
      <c r="F3508" s="55" t="b">
        <v>1</v>
      </c>
      <c r="G3508" s="54" t="b">
        <v>1</v>
      </c>
      <c r="H3508" s="54" t="b">
        <v>1</v>
      </c>
      <c r="I3508" s="54" t="b">
        <v>1</v>
      </c>
      <c r="J3508" s="54" t="b">
        <v>1</v>
      </c>
      <c r="K3508" s="63" t="s">
        <v>890</v>
      </c>
      <c r="L3508" s="63" t="s">
        <v>7832</v>
      </c>
      <c r="M3508" s="63" t="s">
        <v>7833</v>
      </c>
      <c r="N3508" s="63" t="s">
        <v>2113</v>
      </c>
    </row>
    <row r="3509" spans="1:14" x14ac:dyDescent="0.2">
      <c r="A3509" s="51">
        <v>3508</v>
      </c>
      <c r="B3509" s="54" t="s">
        <v>890</v>
      </c>
      <c r="C3509" s="47" t="s">
        <v>7834</v>
      </c>
      <c r="D3509" s="47" t="s">
        <v>7835</v>
      </c>
      <c r="E3509" s="47" t="s">
        <v>2113</v>
      </c>
      <c r="F3509" s="55" t="b">
        <v>1</v>
      </c>
      <c r="G3509" s="54" t="b">
        <v>1</v>
      </c>
      <c r="H3509" s="54" t="b">
        <v>1</v>
      </c>
      <c r="I3509" s="54" t="b">
        <v>1</v>
      </c>
      <c r="J3509" s="54" t="b">
        <v>1</v>
      </c>
      <c r="K3509" s="63" t="s">
        <v>890</v>
      </c>
      <c r="L3509" s="63" t="s">
        <v>7834</v>
      </c>
      <c r="M3509" s="63" t="s">
        <v>7835</v>
      </c>
      <c r="N3509" s="63" t="s">
        <v>2113</v>
      </c>
    </row>
    <row r="3510" spans="1:14" x14ac:dyDescent="0.2">
      <c r="A3510" s="51">
        <v>3509</v>
      </c>
      <c r="B3510" s="54" t="s">
        <v>890</v>
      </c>
      <c r="C3510" s="47" t="s">
        <v>7836</v>
      </c>
      <c r="D3510" s="47" t="s">
        <v>7837</v>
      </c>
      <c r="E3510" s="47" t="s">
        <v>2113</v>
      </c>
      <c r="F3510" s="55" t="b">
        <v>1</v>
      </c>
      <c r="G3510" s="54" t="b">
        <v>1</v>
      </c>
      <c r="H3510" s="54" t="b">
        <v>1</v>
      </c>
      <c r="I3510" s="54" t="b">
        <v>1</v>
      </c>
      <c r="J3510" s="54" t="b">
        <v>1</v>
      </c>
      <c r="K3510" s="63" t="s">
        <v>890</v>
      </c>
      <c r="L3510" s="63" t="s">
        <v>7836</v>
      </c>
      <c r="M3510" s="63" t="s">
        <v>7837</v>
      </c>
      <c r="N3510" s="63" t="s">
        <v>2113</v>
      </c>
    </row>
    <row r="3511" spans="1:14" x14ac:dyDescent="0.2">
      <c r="A3511" s="51">
        <v>3510</v>
      </c>
      <c r="B3511" s="54" t="s">
        <v>890</v>
      </c>
      <c r="C3511" s="47" t="s">
        <v>7838</v>
      </c>
      <c r="D3511" s="47" t="s">
        <v>7839</v>
      </c>
      <c r="E3511" s="47" t="s">
        <v>2113</v>
      </c>
      <c r="F3511" s="55" t="b">
        <v>1</v>
      </c>
      <c r="G3511" s="54" t="b">
        <v>1</v>
      </c>
      <c r="H3511" s="54" t="b">
        <v>1</v>
      </c>
      <c r="I3511" s="54" t="b">
        <v>1</v>
      </c>
      <c r="J3511" s="54" t="b">
        <v>1</v>
      </c>
      <c r="K3511" s="63" t="s">
        <v>890</v>
      </c>
      <c r="L3511" s="63" t="s">
        <v>7838</v>
      </c>
      <c r="M3511" s="63" t="s">
        <v>7839</v>
      </c>
      <c r="N3511" s="63" t="s">
        <v>2113</v>
      </c>
    </row>
    <row r="3512" spans="1:14" x14ac:dyDescent="0.2">
      <c r="A3512" s="51">
        <v>3511</v>
      </c>
      <c r="B3512" s="54" t="s">
        <v>890</v>
      </c>
      <c r="C3512" s="47" t="s">
        <v>7842</v>
      </c>
      <c r="D3512" s="47" t="s">
        <v>7843</v>
      </c>
      <c r="E3512" s="47" t="s">
        <v>2113</v>
      </c>
      <c r="F3512" s="55" t="b">
        <v>1</v>
      </c>
      <c r="G3512" s="54" t="b">
        <v>1</v>
      </c>
      <c r="H3512" s="54" t="b">
        <v>1</v>
      </c>
      <c r="I3512" s="54" t="b">
        <v>1</v>
      </c>
      <c r="J3512" s="54" t="b">
        <v>1</v>
      </c>
      <c r="K3512" s="63" t="s">
        <v>890</v>
      </c>
      <c r="L3512" s="63" t="s">
        <v>7842</v>
      </c>
      <c r="M3512" s="63" t="s">
        <v>7843</v>
      </c>
      <c r="N3512" s="63" t="s">
        <v>2113</v>
      </c>
    </row>
    <row r="3513" spans="1:14" x14ac:dyDescent="0.2">
      <c r="A3513" s="51">
        <v>3512</v>
      </c>
      <c r="B3513" s="54" t="s">
        <v>890</v>
      </c>
      <c r="C3513" s="47" t="s">
        <v>7844</v>
      </c>
      <c r="D3513" s="47" t="s">
        <v>7845</v>
      </c>
      <c r="E3513" s="47" t="s">
        <v>2113</v>
      </c>
      <c r="F3513" s="55" t="b">
        <v>1</v>
      </c>
      <c r="G3513" s="54" t="b">
        <v>1</v>
      </c>
      <c r="H3513" s="54" t="b">
        <v>1</v>
      </c>
      <c r="I3513" s="54" t="b">
        <v>1</v>
      </c>
      <c r="J3513" s="54" t="b">
        <v>1</v>
      </c>
      <c r="K3513" s="63" t="s">
        <v>890</v>
      </c>
      <c r="L3513" s="63" t="s">
        <v>7844</v>
      </c>
      <c r="M3513" s="63" t="s">
        <v>7845</v>
      </c>
      <c r="N3513" s="63" t="s">
        <v>2113</v>
      </c>
    </row>
    <row r="3514" spans="1:14" x14ac:dyDescent="0.2">
      <c r="A3514" s="51">
        <v>3513</v>
      </c>
      <c r="B3514" s="54" t="s">
        <v>890</v>
      </c>
      <c r="C3514" s="47" t="s">
        <v>7840</v>
      </c>
      <c r="D3514" s="47" t="s">
        <v>7841</v>
      </c>
      <c r="E3514" s="47" t="s">
        <v>2113</v>
      </c>
      <c r="F3514" s="55" t="b">
        <v>1</v>
      </c>
      <c r="G3514" s="54" t="b">
        <v>1</v>
      </c>
      <c r="H3514" s="54" t="b">
        <v>1</v>
      </c>
      <c r="I3514" s="54" t="b">
        <v>1</v>
      </c>
      <c r="J3514" s="54" t="b">
        <v>1</v>
      </c>
      <c r="K3514" s="63" t="s">
        <v>890</v>
      </c>
      <c r="L3514" s="63" t="s">
        <v>7840</v>
      </c>
      <c r="M3514" s="63" t="s">
        <v>7841</v>
      </c>
      <c r="N3514" s="63" t="s">
        <v>2113</v>
      </c>
    </row>
    <row r="3515" spans="1:14" x14ac:dyDescent="0.2">
      <c r="A3515" s="51">
        <v>3514</v>
      </c>
      <c r="B3515" s="54" t="s">
        <v>890</v>
      </c>
      <c r="C3515" s="47" t="s">
        <v>7846</v>
      </c>
      <c r="D3515" s="47" t="s">
        <v>7847</v>
      </c>
      <c r="E3515" s="47" t="s">
        <v>2113</v>
      </c>
      <c r="F3515" s="55" t="b">
        <v>1</v>
      </c>
      <c r="G3515" s="54" t="b">
        <v>1</v>
      </c>
      <c r="H3515" s="54" t="b">
        <v>1</v>
      </c>
      <c r="I3515" s="54" t="b">
        <v>1</v>
      </c>
      <c r="J3515" s="54" t="b">
        <v>1</v>
      </c>
      <c r="K3515" s="63" t="s">
        <v>890</v>
      </c>
      <c r="L3515" s="63" t="s">
        <v>7846</v>
      </c>
      <c r="M3515" s="63" t="s">
        <v>7847</v>
      </c>
      <c r="N3515" s="63" t="s">
        <v>2113</v>
      </c>
    </row>
    <row r="3516" spans="1:14" x14ac:dyDescent="0.2">
      <c r="A3516" s="51">
        <v>3515</v>
      </c>
      <c r="B3516" s="54" t="s">
        <v>890</v>
      </c>
      <c r="C3516" s="47" t="s">
        <v>7848</v>
      </c>
      <c r="D3516" s="47" t="s">
        <v>7849</v>
      </c>
      <c r="E3516" s="47" t="s">
        <v>2113</v>
      </c>
      <c r="F3516" s="55" t="b">
        <v>1</v>
      </c>
      <c r="G3516" s="54" t="b">
        <v>1</v>
      </c>
      <c r="H3516" s="54" t="b">
        <v>1</v>
      </c>
      <c r="I3516" s="54" t="b">
        <v>1</v>
      </c>
      <c r="J3516" s="54" t="b">
        <v>1</v>
      </c>
      <c r="K3516" s="63" t="s">
        <v>890</v>
      </c>
      <c r="L3516" s="63" t="s">
        <v>7848</v>
      </c>
      <c r="M3516" s="63" t="s">
        <v>7849</v>
      </c>
      <c r="N3516" s="63" t="s">
        <v>2113</v>
      </c>
    </row>
    <row r="3517" spans="1:14" x14ac:dyDescent="0.2">
      <c r="A3517" s="51">
        <v>3516</v>
      </c>
      <c r="B3517" s="54" t="s">
        <v>890</v>
      </c>
      <c r="C3517" s="47" t="s">
        <v>7850</v>
      </c>
      <c r="D3517" s="47" t="s">
        <v>7851</v>
      </c>
      <c r="E3517" s="47" t="s">
        <v>2113</v>
      </c>
      <c r="F3517" s="55" t="b">
        <v>1</v>
      </c>
      <c r="G3517" s="54" t="b">
        <v>1</v>
      </c>
      <c r="H3517" s="54" t="b">
        <v>1</v>
      </c>
      <c r="I3517" s="54" t="b">
        <v>1</v>
      </c>
      <c r="J3517" s="54" t="b">
        <v>1</v>
      </c>
      <c r="K3517" s="63" t="s">
        <v>890</v>
      </c>
      <c r="L3517" s="63" t="s">
        <v>7850</v>
      </c>
      <c r="M3517" s="63" t="s">
        <v>7851</v>
      </c>
      <c r="N3517" s="63" t="s">
        <v>2113</v>
      </c>
    </row>
    <row r="3518" spans="1:14" x14ac:dyDescent="0.2">
      <c r="A3518" s="51">
        <v>3517</v>
      </c>
      <c r="B3518" s="54" t="s">
        <v>890</v>
      </c>
      <c r="C3518" s="47" t="s">
        <v>7852</v>
      </c>
      <c r="D3518" s="47" t="s">
        <v>7853</v>
      </c>
      <c r="E3518" s="47" t="s">
        <v>2113</v>
      </c>
      <c r="F3518" s="55" t="b">
        <v>1</v>
      </c>
      <c r="G3518" s="54" t="b">
        <v>1</v>
      </c>
      <c r="H3518" s="54" t="b">
        <v>1</v>
      </c>
      <c r="I3518" s="54" t="b">
        <v>1</v>
      </c>
      <c r="J3518" s="54" t="b">
        <v>1</v>
      </c>
      <c r="K3518" s="63" t="s">
        <v>890</v>
      </c>
      <c r="L3518" s="63" t="s">
        <v>7852</v>
      </c>
      <c r="M3518" s="63" t="s">
        <v>7853</v>
      </c>
      <c r="N3518" s="63" t="s">
        <v>2113</v>
      </c>
    </row>
    <row r="3519" spans="1:14" x14ac:dyDescent="0.2">
      <c r="A3519" s="51">
        <v>3518</v>
      </c>
      <c r="B3519" s="54" t="s">
        <v>890</v>
      </c>
      <c r="C3519" s="47" t="s">
        <v>7854</v>
      </c>
      <c r="D3519" s="47" t="s">
        <v>7855</v>
      </c>
      <c r="E3519" s="47" t="s">
        <v>2113</v>
      </c>
      <c r="F3519" s="55" t="b">
        <v>1</v>
      </c>
      <c r="G3519" s="54" t="b">
        <v>1</v>
      </c>
      <c r="H3519" s="54" t="b">
        <v>1</v>
      </c>
      <c r="I3519" s="54" t="b">
        <v>1</v>
      </c>
      <c r="J3519" s="54" t="b">
        <v>1</v>
      </c>
      <c r="K3519" s="63" t="s">
        <v>890</v>
      </c>
      <c r="L3519" s="63" t="s">
        <v>7854</v>
      </c>
      <c r="M3519" s="63" t="s">
        <v>7855</v>
      </c>
      <c r="N3519" s="63" t="s">
        <v>2113</v>
      </c>
    </row>
    <row r="3520" spans="1:14" x14ac:dyDescent="0.2">
      <c r="A3520" s="51">
        <v>3519</v>
      </c>
      <c r="B3520" s="54" t="s">
        <v>890</v>
      </c>
      <c r="C3520" s="47" t="s">
        <v>7856</v>
      </c>
      <c r="D3520" s="47" t="s">
        <v>7857</v>
      </c>
      <c r="E3520" s="47" t="s">
        <v>2113</v>
      </c>
      <c r="F3520" s="55" t="b">
        <v>1</v>
      </c>
      <c r="G3520" s="54" t="b">
        <v>1</v>
      </c>
      <c r="H3520" s="54" t="b">
        <v>1</v>
      </c>
      <c r="I3520" s="54" t="b">
        <v>1</v>
      </c>
      <c r="J3520" s="54" t="b">
        <v>1</v>
      </c>
      <c r="K3520" s="63" t="s">
        <v>890</v>
      </c>
      <c r="L3520" s="63" t="s">
        <v>7856</v>
      </c>
      <c r="M3520" s="63" t="s">
        <v>7857</v>
      </c>
      <c r="N3520" s="63" t="s">
        <v>2113</v>
      </c>
    </row>
    <row r="3521" spans="1:14" x14ac:dyDescent="0.2">
      <c r="A3521" s="51">
        <v>3520</v>
      </c>
      <c r="B3521" s="54" t="s">
        <v>890</v>
      </c>
      <c r="C3521" s="47" t="s">
        <v>7829</v>
      </c>
      <c r="D3521" s="47" t="s">
        <v>13098</v>
      </c>
      <c r="E3521" s="47" t="s">
        <v>7831</v>
      </c>
      <c r="F3521" s="55" t="b">
        <v>1</v>
      </c>
      <c r="G3521" s="54" t="b">
        <v>1</v>
      </c>
      <c r="H3521" s="54" t="b">
        <v>1</v>
      </c>
      <c r="I3521" s="65" t="b">
        <v>0</v>
      </c>
      <c r="J3521" s="54" t="b">
        <v>1</v>
      </c>
      <c r="K3521" s="63" t="s">
        <v>890</v>
      </c>
      <c r="L3521" s="63" t="s">
        <v>7829</v>
      </c>
      <c r="M3521" s="63" t="s">
        <v>7830</v>
      </c>
      <c r="N3521" s="63" t="s">
        <v>7831</v>
      </c>
    </row>
    <row r="3522" spans="1:14" x14ac:dyDescent="0.2">
      <c r="A3522" s="51">
        <v>3521</v>
      </c>
      <c r="B3522" s="54" t="s">
        <v>890</v>
      </c>
      <c r="C3522" s="47" t="s">
        <v>7858</v>
      </c>
      <c r="D3522" s="47" t="s">
        <v>7859</v>
      </c>
      <c r="E3522" s="47" t="s">
        <v>2113</v>
      </c>
      <c r="F3522" s="55" t="b">
        <v>1</v>
      </c>
      <c r="G3522" s="54" t="b">
        <v>1</v>
      </c>
      <c r="H3522" s="54" t="b">
        <v>1</v>
      </c>
      <c r="I3522" s="54" t="b">
        <v>1</v>
      </c>
      <c r="J3522" s="54" t="b">
        <v>1</v>
      </c>
      <c r="K3522" s="63" t="s">
        <v>890</v>
      </c>
      <c r="L3522" s="63" t="s">
        <v>7858</v>
      </c>
      <c r="M3522" s="63" t="s">
        <v>7859</v>
      </c>
      <c r="N3522" s="63" t="s">
        <v>2113</v>
      </c>
    </row>
    <row r="3523" spans="1:14" x14ac:dyDescent="0.2">
      <c r="A3523" s="51">
        <v>3522</v>
      </c>
      <c r="B3523" s="54" t="s">
        <v>890</v>
      </c>
      <c r="C3523" s="47" t="s">
        <v>7860</v>
      </c>
      <c r="D3523" s="47" t="s">
        <v>7861</v>
      </c>
      <c r="E3523" s="47" t="s">
        <v>2113</v>
      </c>
      <c r="F3523" s="55" t="b">
        <v>1</v>
      </c>
      <c r="G3523" s="54" t="b">
        <v>1</v>
      </c>
      <c r="H3523" s="54" t="b">
        <v>1</v>
      </c>
      <c r="I3523" s="54" t="b">
        <v>1</v>
      </c>
      <c r="J3523" s="54" t="b">
        <v>1</v>
      </c>
      <c r="K3523" s="63" t="s">
        <v>890</v>
      </c>
      <c r="L3523" s="63" t="s">
        <v>7860</v>
      </c>
      <c r="M3523" s="63" t="s">
        <v>7861</v>
      </c>
      <c r="N3523" s="63" t="s">
        <v>2113</v>
      </c>
    </row>
    <row r="3524" spans="1:14" x14ac:dyDescent="0.2">
      <c r="A3524" s="51">
        <v>3523</v>
      </c>
      <c r="B3524" s="54" t="s">
        <v>890</v>
      </c>
      <c r="C3524" s="47" t="s">
        <v>7862</v>
      </c>
      <c r="D3524" s="47" t="s">
        <v>7863</v>
      </c>
      <c r="E3524" s="47" t="s">
        <v>2113</v>
      </c>
      <c r="F3524" s="55" t="b">
        <v>1</v>
      </c>
      <c r="G3524" s="54" t="b">
        <v>1</v>
      </c>
      <c r="H3524" s="54" t="b">
        <v>1</v>
      </c>
      <c r="I3524" s="54" t="b">
        <v>1</v>
      </c>
      <c r="J3524" s="54" t="b">
        <v>1</v>
      </c>
      <c r="K3524" s="63" t="s">
        <v>890</v>
      </c>
      <c r="L3524" s="63" t="s">
        <v>7862</v>
      </c>
      <c r="M3524" s="63" t="s">
        <v>7863</v>
      </c>
      <c r="N3524" s="63" t="s">
        <v>2113</v>
      </c>
    </row>
    <row r="3525" spans="1:14" x14ac:dyDescent="0.2">
      <c r="A3525" s="51">
        <v>3524</v>
      </c>
      <c r="B3525" s="54" t="s">
        <v>890</v>
      </c>
      <c r="C3525" s="47" t="s">
        <v>7864</v>
      </c>
      <c r="D3525" s="47" t="s">
        <v>7865</v>
      </c>
      <c r="E3525" s="47" t="s">
        <v>2113</v>
      </c>
      <c r="F3525" s="55" t="b">
        <v>1</v>
      </c>
      <c r="G3525" s="54" t="b">
        <v>1</v>
      </c>
      <c r="H3525" s="54" t="b">
        <v>1</v>
      </c>
      <c r="I3525" s="54" t="b">
        <v>1</v>
      </c>
      <c r="J3525" s="54" t="b">
        <v>1</v>
      </c>
      <c r="K3525" s="63" t="s">
        <v>890</v>
      </c>
      <c r="L3525" s="63" t="s">
        <v>7864</v>
      </c>
      <c r="M3525" s="63" t="s">
        <v>7865</v>
      </c>
      <c r="N3525" s="63" t="s">
        <v>2113</v>
      </c>
    </row>
    <row r="3526" spans="1:14" x14ac:dyDescent="0.2">
      <c r="A3526" s="51">
        <v>3525</v>
      </c>
      <c r="B3526" s="54" t="s">
        <v>890</v>
      </c>
      <c r="C3526" s="47" t="s">
        <v>7870</v>
      </c>
      <c r="D3526" s="47" t="s">
        <v>7871</v>
      </c>
      <c r="E3526" s="47" t="s">
        <v>2113</v>
      </c>
      <c r="F3526" s="55" t="b">
        <v>1</v>
      </c>
      <c r="G3526" s="54" t="b">
        <v>1</v>
      </c>
      <c r="H3526" s="54" t="b">
        <v>1</v>
      </c>
      <c r="I3526" s="54" t="b">
        <v>1</v>
      </c>
      <c r="J3526" s="54" t="b">
        <v>1</v>
      </c>
      <c r="K3526" s="63" t="s">
        <v>890</v>
      </c>
      <c r="L3526" s="63" t="s">
        <v>7870</v>
      </c>
      <c r="M3526" s="63" t="s">
        <v>7871</v>
      </c>
      <c r="N3526" s="63" t="s">
        <v>2113</v>
      </c>
    </row>
    <row r="3527" spans="1:14" x14ac:dyDescent="0.2">
      <c r="A3527" s="51">
        <v>3526</v>
      </c>
      <c r="B3527" s="54" t="s">
        <v>890</v>
      </c>
      <c r="C3527" s="47" t="s">
        <v>7866</v>
      </c>
      <c r="D3527" s="47" t="s">
        <v>7867</v>
      </c>
      <c r="E3527" s="47" t="s">
        <v>2113</v>
      </c>
      <c r="F3527" s="55" t="b">
        <v>1</v>
      </c>
      <c r="G3527" s="54" t="b">
        <v>1</v>
      </c>
      <c r="H3527" s="54" t="b">
        <v>1</v>
      </c>
      <c r="I3527" s="54" t="b">
        <v>1</v>
      </c>
      <c r="J3527" s="54" t="b">
        <v>1</v>
      </c>
      <c r="K3527" s="63" t="s">
        <v>890</v>
      </c>
      <c r="L3527" s="63" t="s">
        <v>7866</v>
      </c>
      <c r="M3527" s="63" t="s">
        <v>7867</v>
      </c>
      <c r="N3527" s="63" t="s">
        <v>2113</v>
      </c>
    </row>
    <row r="3528" spans="1:14" x14ac:dyDescent="0.2">
      <c r="A3528" s="51">
        <v>3527</v>
      </c>
      <c r="B3528" s="54" t="s">
        <v>890</v>
      </c>
      <c r="C3528" s="47" t="s">
        <v>7872</v>
      </c>
      <c r="D3528" s="47" t="s">
        <v>7873</v>
      </c>
      <c r="E3528" s="47" t="s">
        <v>2113</v>
      </c>
      <c r="F3528" s="55" t="b">
        <v>1</v>
      </c>
      <c r="G3528" s="54" t="b">
        <v>1</v>
      </c>
      <c r="H3528" s="54" t="b">
        <v>1</v>
      </c>
      <c r="I3528" s="54" t="b">
        <v>1</v>
      </c>
      <c r="J3528" s="54" t="b">
        <v>1</v>
      </c>
      <c r="K3528" s="63" t="s">
        <v>890</v>
      </c>
      <c r="L3528" s="63" t="s">
        <v>7872</v>
      </c>
      <c r="M3528" s="63" t="s">
        <v>7873</v>
      </c>
      <c r="N3528" s="63" t="s">
        <v>2113</v>
      </c>
    </row>
    <row r="3529" spans="1:14" x14ac:dyDescent="0.2">
      <c r="A3529" s="51">
        <v>3528</v>
      </c>
      <c r="B3529" s="54" t="s">
        <v>890</v>
      </c>
      <c r="C3529" s="47" t="s">
        <v>7868</v>
      </c>
      <c r="D3529" s="47" t="s">
        <v>7869</v>
      </c>
      <c r="E3529" s="47" t="s">
        <v>2113</v>
      </c>
      <c r="F3529" s="55" t="b">
        <v>1</v>
      </c>
      <c r="G3529" s="54" t="b">
        <v>1</v>
      </c>
      <c r="H3529" s="54" t="b">
        <v>1</v>
      </c>
      <c r="I3529" s="54" t="b">
        <v>1</v>
      </c>
      <c r="J3529" s="54" t="b">
        <v>1</v>
      </c>
      <c r="K3529" s="63" t="s">
        <v>890</v>
      </c>
      <c r="L3529" s="63" t="s">
        <v>7868</v>
      </c>
      <c r="M3529" s="63" t="s">
        <v>7869</v>
      </c>
      <c r="N3529" s="63" t="s">
        <v>2113</v>
      </c>
    </row>
    <row r="3530" spans="1:14" x14ac:dyDescent="0.2">
      <c r="A3530" s="51">
        <v>3529</v>
      </c>
      <c r="B3530" s="54" t="s">
        <v>890</v>
      </c>
      <c r="C3530" s="47" t="s">
        <v>7874</v>
      </c>
      <c r="D3530" s="47" t="s">
        <v>7875</v>
      </c>
      <c r="E3530" s="47" t="s">
        <v>2113</v>
      </c>
      <c r="F3530" s="55" t="b">
        <v>1</v>
      </c>
      <c r="G3530" s="54" t="b">
        <v>1</v>
      </c>
      <c r="H3530" s="54" t="b">
        <v>1</v>
      </c>
      <c r="I3530" s="54" t="b">
        <v>1</v>
      </c>
      <c r="J3530" s="54" t="b">
        <v>1</v>
      </c>
      <c r="K3530" s="63" t="s">
        <v>890</v>
      </c>
      <c r="L3530" s="63" t="s">
        <v>7874</v>
      </c>
      <c r="M3530" s="63" t="s">
        <v>7875</v>
      </c>
      <c r="N3530" s="63" t="s">
        <v>2113</v>
      </c>
    </row>
    <row r="3531" spans="1:14" x14ac:dyDescent="0.2">
      <c r="A3531" s="51">
        <v>3530</v>
      </c>
      <c r="B3531" s="54" t="s">
        <v>890</v>
      </c>
      <c r="C3531" s="47" t="s">
        <v>7876</v>
      </c>
      <c r="D3531" s="47" t="s">
        <v>7877</v>
      </c>
      <c r="E3531" s="47" t="s">
        <v>2113</v>
      </c>
      <c r="F3531" s="55" t="b">
        <v>1</v>
      </c>
      <c r="G3531" s="54" t="b">
        <v>1</v>
      </c>
      <c r="H3531" s="54" t="b">
        <v>1</v>
      </c>
      <c r="I3531" s="54" t="b">
        <v>1</v>
      </c>
      <c r="J3531" s="54" t="b">
        <v>1</v>
      </c>
      <c r="K3531" s="63" t="s">
        <v>890</v>
      </c>
      <c r="L3531" s="63" t="s">
        <v>7876</v>
      </c>
      <c r="M3531" s="63" t="s">
        <v>7877</v>
      </c>
      <c r="N3531" s="63" t="s">
        <v>2113</v>
      </c>
    </row>
    <row r="3532" spans="1:14" x14ac:dyDescent="0.2">
      <c r="A3532" s="51">
        <v>3531</v>
      </c>
      <c r="B3532" s="54" t="s">
        <v>890</v>
      </c>
      <c r="C3532" s="47" t="s">
        <v>7878</v>
      </c>
      <c r="D3532" s="47" t="s">
        <v>13099</v>
      </c>
      <c r="E3532" s="47" t="s">
        <v>2113</v>
      </c>
      <c r="F3532" s="55" t="b">
        <v>1</v>
      </c>
      <c r="G3532" s="54" t="b">
        <v>1</v>
      </c>
      <c r="H3532" s="54" t="b">
        <v>1</v>
      </c>
      <c r="I3532" s="65" t="b">
        <v>0</v>
      </c>
      <c r="J3532" s="54" t="b">
        <v>1</v>
      </c>
      <c r="K3532" s="63" t="s">
        <v>890</v>
      </c>
      <c r="L3532" s="63" t="s">
        <v>7878</v>
      </c>
      <c r="M3532" s="63" t="s">
        <v>7879</v>
      </c>
      <c r="N3532" s="63" t="s">
        <v>2113</v>
      </c>
    </row>
    <row r="3533" spans="1:14" x14ac:dyDescent="0.2">
      <c r="A3533" s="51">
        <v>3532</v>
      </c>
      <c r="B3533" s="54" t="s">
        <v>890</v>
      </c>
      <c r="C3533" s="47" t="s">
        <v>7880</v>
      </c>
      <c r="D3533" s="47" t="s">
        <v>1632</v>
      </c>
      <c r="E3533" s="47" t="s">
        <v>2113</v>
      </c>
      <c r="F3533" s="55" t="b">
        <v>1</v>
      </c>
      <c r="G3533" s="54" t="b">
        <v>1</v>
      </c>
      <c r="H3533" s="54" t="b">
        <v>1</v>
      </c>
      <c r="I3533" s="54" t="b">
        <v>1</v>
      </c>
      <c r="J3533" s="54" t="b">
        <v>1</v>
      </c>
      <c r="K3533" s="63" t="s">
        <v>890</v>
      </c>
      <c r="L3533" s="63" t="s">
        <v>7880</v>
      </c>
      <c r="M3533" s="63" t="s">
        <v>1632</v>
      </c>
      <c r="N3533" s="63" t="s">
        <v>2113</v>
      </c>
    </row>
    <row r="3534" spans="1:14" x14ac:dyDescent="0.2">
      <c r="A3534" s="51">
        <v>3533</v>
      </c>
      <c r="B3534" s="54" t="s">
        <v>890</v>
      </c>
      <c r="C3534" s="47" t="s">
        <v>7881</v>
      </c>
      <c r="D3534" s="47" t="s">
        <v>7882</v>
      </c>
      <c r="E3534" s="47" t="s">
        <v>2113</v>
      </c>
      <c r="F3534" s="55" t="b">
        <v>1</v>
      </c>
      <c r="G3534" s="54" t="b">
        <v>1</v>
      </c>
      <c r="H3534" s="54" t="b">
        <v>1</v>
      </c>
      <c r="I3534" s="54" t="b">
        <v>1</v>
      </c>
      <c r="J3534" s="54" t="b">
        <v>1</v>
      </c>
      <c r="K3534" s="63" t="s">
        <v>890</v>
      </c>
      <c r="L3534" s="63" t="s">
        <v>7881</v>
      </c>
      <c r="M3534" s="63" t="s">
        <v>7882</v>
      </c>
      <c r="N3534" s="63" t="s">
        <v>2113</v>
      </c>
    </row>
    <row r="3535" spans="1:14" x14ac:dyDescent="0.2">
      <c r="A3535" s="51">
        <v>3534</v>
      </c>
      <c r="B3535" s="54" t="s">
        <v>890</v>
      </c>
      <c r="C3535" s="47" t="s">
        <v>7883</v>
      </c>
      <c r="D3535" s="47" t="s">
        <v>7884</v>
      </c>
      <c r="E3535" s="47" t="s">
        <v>2113</v>
      </c>
      <c r="F3535" s="55" t="b">
        <v>1</v>
      </c>
      <c r="G3535" s="54" t="b">
        <v>1</v>
      </c>
      <c r="H3535" s="54" t="b">
        <v>1</v>
      </c>
      <c r="I3535" s="54" t="b">
        <v>1</v>
      </c>
      <c r="J3535" s="54" t="b">
        <v>1</v>
      </c>
      <c r="K3535" s="63" t="s">
        <v>890</v>
      </c>
      <c r="L3535" s="63" t="s">
        <v>7883</v>
      </c>
      <c r="M3535" s="63" t="s">
        <v>7884</v>
      </c>
      <c r="N3535" s="63" t="s">
        <v>2113</v>
      </c>
    </row>
    <row r="3536" spans="1:14" x14ac:dyDescent="0.2">
      <c r="A3536" s="51">
        <v>3535</v>
      </c>
      <c r="B3536" s="54" t="s">
        <v>890</v>
      </c>
      <c r="C3536" s="47" t="s">
        <v>7885</v>
      </c>
      <c r="D3536" s="47" t="s">
        <v>7886</v>
      </c>
      <c r="E3536" s="47" t="s">
        <v>2113</v>
      </c>
      <c r="F3536" s="55" t="b">
        <v>1</v>
      </c>
      <c r="G3536" s="54" t="b">
        <v>1</v>
      </c>
      <c r="H3536" s="54" t="b">
        <v>1</v>
      </c>
      <c r="I3536" s="54" t="b">
        <v>1</v>
      </c>
      <c r="J3536" s="54" t="b">
        <v>1</v>
      </c>
      <c r="K3536" s="63" t="s">
        <v>890</v>
      </c>
      <c r="L3536" s="63" t="s">
        <v>7885</v>
      </c>
      <c r="M3536" s="63" t="s">
        <v>7886</v>
      </c>
      <c r="N3536" s="63" t="s">
        <v>2113</v>
      </c>
    </row>
    <row r="3537" spans="1:14" x14ac:dyDescent="0.2">
      <c r="A3537" s="51">
        <v>3536</v>
      </c>
      <c r="B3537" s="54" t="s">
        <v>890</v>
      </c>
      <c r="C3537" s="47" t="s">
        <v>7887</v>
      </c>
      <c r="D3537" s="47" t="s">
        <v>7888</v>
      </c>
      <c r="E3537" s="47" t="s">
        <v>2113</v>
      </c>
      <c r="F3537" s="55" t="b">
        <v>1</v>
      </c>
      <c r="G3537" s="54" t="b">
        <v>1</v>
      </c>
      <c r="H3537" s="54" t="b">
        <v>1</v>
      </c>
      <c r="I3537" s="54" t="b">
        <v>1</v>
      </c>
      <c r="J3537" s="54" t="b">
        <v>1</v>
      </c>
      <c r="K3537" s="63" t="s">
        <v>890</v>
      </c>
      <c r="L3537" s="63" t="s">
        <v>7887</v>
      </c>
      <c r="M3537" s="63" t="s">
        <v>7888</v>
      </c>
      <c r="N3537" s="63" t="s">
        <v>2113</v>
      </c>
    </row>
    <row r="3538" spans="1:14" x14ac:dyDescent="0.2">
      <c r="A3538" s="51">
        <v>3537</v>
      </c>
      <c r="B3538" s="54" t="s">
        <v>890</v>
      </c>
      <c r="C3538" s="47" t="s">
        <v>7889</v>
      </c>
      <c r="D3538" s="47" t="s">
        <v>2610</v>
      </c>
      <c r="E3538" s="47" t="s">
        <v>2113</v>
      </c>
      <c r="F3538" s="55" t="b">
        <v>1</v>
      </c>
      <c r="G3538" s="54" t="b">
        <v>1</v>
      </c>
      <c r="H3538" s="54" t="b">
        <v>1</v>
      </c>
      <c r="I3538" s="54" t="b">
        <v>1</v>
      </c>
      <c r="J3538" s="54" t="b">
        <v>1</v>
      </c>
      <c r="K3538" s="63" t="s">
        <v>890</v>
      </c>
      <c r="L3538" s="63" t="s">
        <v>7889</v>
      </c>
      <c r="M3538" s="63" t="s">
        <v>2610</v>
      </c>
      <c r="N3538" s="63" t="s">
        <v>2113</v>
      </c>
    </row>
    <row r="3539" spans="1:14" x14ac:dyDescent="0.2">
      <c r="A3539" s="51">
        <v>3538</v>
      </c>
      <c r="B3539" s="54" t="s">
        <v>890</v>
      </c>
      <c r="C3539" s="47" t="s">
        <v>7890</v>
      </c>
      <c r="D3539" s="47" t="s">
        <v>7891</v>
      </c>
      <c r="E3539" s="47" t="s">
        <v>2113</v>
      </c>
      <c r="F3539" s="55" t="b">
        <v>1</v>
      </c>
      <c r="G3539" s="54" t="b">
        <v>1</v>
      </c>
      <c r="H3539" s="54" t="b">
        <v>1</v>
      </c>
      <c r="I3539" s="54" t="b">
        <v>1</v>
      </c>
      <c r="J3539" s="54" t="b">
        <v>1</v>
      </c>
      <c r="K3539" s="63" t="s">
        <v>890</v>
      </c>
      <c r="L3539" s="63" t="s">
        <v>7890</v>
      </c>
      <c r="M3539" s="63" t="s">
        <v>7891</v>
      </c>
      <c r="N3539" s="63" t="s">
        <v>2113</v>
      </c>
    </row>
    <row r="3540" spans="1:14" x14ac:dyDescent="0.2">
      <c r="A3540" s="51">
        <v>3539</v>
      </c>
      <c r="B3540" s="54" t="s">
        <v>890</v>
      </c>
      <c r="C3540" s="47" t="s">
        <v>7892</v>
      </c>
      <c r="D3540" s="47" t="s">
        <v>7893</v>
      </c>
      <c r="E3540" s="47" t="s">
        <v>2113</v>
      </c>
      <c r="F3540" s="55" t="b">
        <v>1</v>
      </c>
      <c r="G3540" s="54" t="b">
        <v>1</v>
      </c>
      <c r="H3540" s="54" t="b">
        <v>1</v>
      </c>
      <c r="I3540" s="54" t="b">
        <v>1</v>
      </c>
      <c r="J3540" s="54" t="b">
        <v>1</v>
      </c>
      <c r="K3540" s="63" t="s">
        <v>890</v>
      </c>
      <c r="L3540" s="63" t="s">
        <v>7892</v>
      </c>
      <c r="M3540" s="63" t="s">
        <v>7893</v>
      </c>
      <c r="N3540" s="63" t="s">
        <v>2113</v>
      </c>
    </row>
    <row r="3541" spans="1:14" x14ac:dyDescent="0.2">
      <c r="A3541" s="51">
        <v>3540</v>
      </c>
      <c r="B3541" s="54" t="s">
        <v>890</v>
      </c>
      <c r="C3541" s="47" t="s">
        <v>7894</v>
      </c>
      <c r="D3541" s="47" t="s">
        <v>7895</v>
      </c>
      <c r="E3541" s="47" t="s">
        <v>2113</v>
      </c>
      <c r="F3541" s="55" t="b">
        <v>1</v>
      </c>
      <c r="G3541" s="54" t="b">
        <v>1</v>
      </c>
      <c r="H3541" s="54" t="b">
        <v>1</v>
      </c>
      <c r="I3541" s="54" t="b">
        <v>1</v>
      </c>
      <c r="J3541" s="54" t="b">
        <v>1</v>
      </c>
      <c r="K3541" s="63" t="s">
        <v>890</v>
      </c>
      <c r="L3541" s="63" t="s">
        <v>7894</v>
      </c>
      <c r="M3541" s="63" t="s">
        <v>7895</v>
      </c>
      <c r="N3541" s="63" t="s">
        <v>2113</v>
      </c>
    </row>
    <row r="3542" spans="1:14" x14ac:dyDescent="0.2">
      <c r="A3542" s="51">
        <v>3541</v>
      </c>
      <c r="B3542" s="54" t="s">
        <v>890</v>
      </c>
      <c r="C3542" s="47" t="s">
        <v>7896</v>
      </c>
      <c r="D3542" s="47" t="s">
        <v>7897</v>
      </c>
      <c r="E3542" s="47" t="s">
        <v>2113</v>
      </c>
      <c r="F3542" s="55" t="b">
        <v>1</v>
      </c>
      <c r="G3542" s="54" t="b">
        <v>1</v>
      </c>
      <c r="H3542" s="54" t="b">
        <v>1</v>
      </c>
      <c r="I3542" s="54" t="b">
        <v>1</v>
      </c>
      <c r="J3542" s="54" t="b">
        <v>1</v>
      </c>
      <c r="K3542" s="63" t="s">
        <v>890</v>
      </c>
      <c r="L3542" s="63" t="s">
        <v>7896</v>
      </c>
      <c r="M3542" s="63" t="s">
        <v>7897</v>
      </c>
      <c r="N3542" s="63" t="s">
        <v>2113</v>
      </c>
    </row>
    <row r="3543" spans="1:14" x14ac:dyDescent="0.2">
      <c r="A3543" s="51">
        <v>3542</v>
      </c>
      <c r="B3543" s="54" t="s">
        <v>890</v>
      </c>
      <c r="C3543" s="47" t="s">
        <v>7898</v>
      </c>
      <c r="D3543" s="47" t="s">
        <v>7899</v>
      </c>
      <c r="E3543" s="47" t="s">
        <v>2113</v>
      </c>
      <c r="F3543" s="55" t="b">
        <v>1</v>
      </c>
      <c r="G3543" s="54" t="b">
        <v>1</v>
      </c>
      <c r="H3543" s="54" t="b">
        <v>1</v>
      </c>
      <c r="I3543" s="54" t="b">
        <v>1</v>
      </c>
      <c r="J3543" s="54" t="b">
        <v>1</v>
      </c>
      <c r="K3543" s="63" t="s">
        <v>890</v>
      </c>
      <c r="L3543" s="63" t="s">
        <v>7898</v>
      </c>
      <c r="M3543" s="63" t="s">
        <v>7899</v>
      </c>
      <c r="N3543" s="63" t="s">
        <v>2113</v>
      </c>
    </row>
    <row r="3544" spans="1:14" x14ac:dyDescent="0.2">
      <c r="A3544" s="51">
        <v>3543</v>
      </c>
      <c r="B3544" s="54" t="s">
        <v>898</v>
      </c>
      <c r="C3544" s="47" t="s">
        <v>7944</v>
      </c>
      <c r="D3544" s="47" t="s">
        <v>7945</v>
      </c>
      <c r="E3544" s="47" t="s">
        <v>1788</v>
      </c>
      <c r="F3544" s="55" t="b">
        <v>1</v>
      </c>
      <c r="G3544" s="54" t="b">
        <v>1</v>
      </c>
      <c r="H3544" s="54" t="b">
        <v>1</v>
      </c>
      <c r="I3544" s="54" t="b">
        <v>1</v>
      </c>
      <c r="J3544" s="54" t="b">
        <v>1</v>
      </c>
      <c r="K3544" s="63" t="s">
        <v>898</v>
      </c>
      <c r="L3544" s="63" t="s">
        <v>7944</v>
      </c>
      <c r="M3544" s="63" t="s">
        <v>7945</v>
      </c>
      <c r="N3544" s="63" t="s">
        <v>1788</v>
      </c>
    </row>
    <row r="3545" spans="1:14" x14ac:dyDescent="0.2">
      <c r="A3545" s="51">
        <v>3544</v>
      </c>
      <c r="B3545" s="54" t="s">
        <v>898</v>
      </c>
      <c r="C3545" s="47" t="s">
        <v>7900</v>
      </c>
      <c r="D3545" s="47" t="s">
        <v>7901</v>
      </c>
      <c r="E3545" s="47" t="s">
        <v>1788</v>
      </c>
      <c r="F3545" s="55" t="b">
        <v>1</v>
      </c>
      <c r="G3545" s="54" t="b">
        <v>1</v>
      </c>
      <c r="H3545" s="54" t="b">
        <v>1</v>
      </c>
      <c r="I3545" s="54" t="b">
        <v>1</v>
      </c>
      <c r="J3545" s="54" t="b">
        <v>1</v>
      </c>
      <c r="K3545" s="63" t="s">
        <v>898</v>
      </c>
      <c r="L3545" s="63" t="s">
        <v>7900</v>
      </c>
      <c r="M3545" s="63" t="s">
        <v>7901</v>
      </c>
      <c r="N3545" s="63" t="s">
        <v>1788</v>
      </c>
    </row>
    <row r="3546" spans="1:14" x14ac:dyDescent="0.2">
      <c r="A3546" s="51">
        <v>3545</v>
      </c>
      <c r="B3546" s="54" t="s">
        <v>898</v>
      </c>
      <c r="C3546" s="47" t="s">
        <v>7925</v>
      </c>
      <c r="D3546" s="47" t="s">
        <v>7926</v>
      </c>
      <c r="E3546" s="47" t="s">
        <v>1788</v>
      </c>
      <c r="F3546" s="55" t="b">
        <v>1</v>
      </c>
      <c r="G3546" s="54" t="b">
        <v>1</v>
      </c>
      <c r="H3546" s="54" t="b">
        <v>1</v>
      </c>
      <c r="I3546" s="54" t="b">
        <v>1</v>
      </c>
      <c r="J3546" s="54" t="b">
        <v>1</v>
      </c>
      <c r="K3546" s="63" t="s">
        <v>898</v>
      </c>
      <c r="L3546" s="63" t="s">
        <v>7925</v>
      </c>
      <c r="M3546" s="63" t="s">
        <v>7926</v>
      </c>
      <c r="N3546" s="63" t="s">
        <v>1788</v>
      </c>
    </row>
    <row r="3547" spans="1:14" x14ac:dyDescent="0.2">
      <c r="A3547" s="51">
        <v>3546</v>
      </c>
      <c r="B3547" s="54" t="s">
        <v>898</v>
      </c>
      <c r="C3547" s="47" t="s">
        <v>7910</v>
      </c>
      <c r="D3547" s="47" t="s">
        <v>7911</v>
      </c>
      <c r="E3547" s="47" t="s">
        <v>1788</v>
      </c>
      <c r="F3547" s="55" t="b">
        <v>1</v>
      </c>
      <c r="G3547" s="54" t="b">
        <v>1</v>
      </c>
      <c r="H3547" s="54" t="b">
        <v>1</v>
      </c>
      <c r="I3547" s="54" t="b">
        <v>1</v>
      </c>
      <c r="J3547" s="54" t="b">
        <v>1</v>
      </c>
      <c r="K3547" s="63" t="s">
        <v>898</v>
      </c>
      <c r="L3547" s="63" t="s">
        <v>7910</v>
      </c>
      <c r="M3547" s="63" t="s">
        <v>7911</v>
      </c>
      <c r="N3547" s="63" t="s">
        <v>1788</v>
      </c>
    </row>
    <row r="3548" spans="1:14" x14ac:dyDescent="0.2">
      <c r="A3548" s="51">
        <v>3547</v>
      </c>
      <c r="B3548" s="54" t="s">
        <v>898</v>
      </c>
      <c r="C3548" s="47" t="s">
        <v>7923</v>
      </c>
      <c r="D3548" s="47" t="s">
        <v>7924</v>
      </c>
      <c r="E3548" s="47" t="s">
        <v>1788</v>
      </c>
      <c r="F3548" s="55" t="b">
        <v>1</v>
      </c>
      <c r="G3548" s="54" t="b">
        <v>1</v>
      </c>
      <c r="H3548" s="54" t="b">
        <v>1</v>
      </c>
      <c r="I3548" s="54" t="b">
        <v>1</v>
      </c>
      <c r="J3548" s="54" t="b">
        <v>1</v>
      </c>
      <c r="K3548" s="63" t="s">
        <v>898</v>
      </c>
      <c r="L3548" s="63" t="s">
        <v>7923</v>
      </c>
      <c r="M3548" s="63" t="s">
        <v>7924</v>
      </c>
      <c r="N3548" s="63" t="s">
        <v>1788</v>
      </c>
    </row>
    <row r="3549" spans="1:14" x14ac:dyDescent="0.2">
      <c r="A3549" s="51">
        <v>3548</v>
      </c>
      <c r="B3549" s="54" t="s">
        <v>898</v>
      </c>
      <c r="C3549" s="47" t="s">
        <v>7904</v>
      </c>
      <c r="D3549" s="47" t="s">
        <v>7905</v>
      </c>
      <c r="E3549" s="47" t="s">
        <v>1788</v>
      </c>
      <c r="F3549" s="55" t="b">
        <v>1</v>
      </c>
      <c r="G3549" s="54" t="b">
        <v>1</v>
      </c>
      <c r="H3549" s="54" t="b">
        <v>1</v>
      </c>
      <c r="I3549" s="54" t="b">
        <v>1</v>
      </c>
      <c r="J3549" s="54" t="b">
        <v>1</v>
      </c>
      <c r="K3549" s="63" t="s">
        <v>898</v>
      </c>
      <c r="L3549" s="63" t="s">
        <v>7904</v>
      </c>
      <c r="M3549" s="63" t="s">
        <v>7905</v>
      </c>
      <c r="N3549" s="63" t="s">
        <v>1788</v>
      </c>
    </row>
    <row r="3550" spans="1:14" x14ac:dyDescent="0.2">
      <c r="A3550" s="51">
        <v>3549</v>
      </c>
      <c r="B3550" s="54" t="s">
        <v>898</v>
      </c>
      <c r="C3550" s="47" t="s">
        <v>7942</v>
      </c>
      <c r="D3550" s="47" t="s">
        <v>7943</v>
      </c>
      <c r="E3550" s="47" t="s">
        <v>1788</v>
      </c>
      <c r="F3550" s="55" t="b">
        <v>1</v>
      </c>
      <c r="G3550" s="54" t="b">
        <v>1</v>
      </c>
      <c r="H3550" s="54" t="b">
        <v>1</v>
      </c>
      <c r="I3550" s="54" t="b">
        <v>1</v>
      </c>
      <c r="J3550" s="54" t="b">
        <v>1</v>
      </c>
      <c r="K3550" s="63" t="s">
        <v>898</v>
      </c>
      <c r="L3550" s="63" t="s">
        <v>7942</v>
      </c>
      <c r="M3550" s="63" t="s">
        <v>7943</v>
      </c>
      <c r="N3550" s="63" t="s">
        <v>1788</v>
      </c>
    </row>
    <row r="3551" spans="1:14" x14ac:dyDescent="0.2">
      <c r="A3551" s="51">
        <v>3550</v>
      </c>
      <c r="B3551" s="54" t="s">
        <v>898</v>
      </c>
      <c r="C3551" s="47" t="s">
        <v>7937</v>
      </c>
      <c r="D3551" s="47" t="s">
        <v>7938</v>
      </c>
      <c r="E3551" s="47" t="s">
        <v>1788</v>
      </c>
      <c r="F3551" s="55" t="b">
        <v>1</v>
      </c>
      <c r="G3551" s="54" t="b">
        <v>1</v>
      </c>
      <c r="H3551" s="54" t="b">
        <v>1</v>
      </c>
      <c r="I3551" s="54" t="b">
        <v>1</v>
      </c>
      <c r="J3551" s="54" t="b">
        <v>1</v>
      </c>
      <c r="K3551" s="63" t="s">
        <v>898</v>
      </c>
      <c r="L3551" s="63" t="s">
        <v>7937</v>
      </c>
      <c r="M3551" s="63" t="s">
        <v>7938</v>
      </c>
      <c r="N3551" s="63" t="s">
        <v>1788</v>
      </c>
    </row>
    <row r="3552" spans="1:14" x14ac:dyDescent="0.2">
      <c r="A3552" s="51">
        <v>3551</v>
      </c>
      <c r="B3552" s="54" t="s">
        <v>898</v>
      </c>
      <c r="C3552" s="47" t="s">
        <v>7902</v>
      </c>
      <c r="D3552" s="47" t="s">
        <v>7903</v>
      </c>
      <c r="E3552" s="47" t="s">
        <v>1788</v>
      </c>
      <c r="F3552" s="55" t="b">
        <v>1</v>
      </c>
      <c r="G3552" s="54" t="b">
        <v>1</v>
      </c>
      <c r="H3552" s="54" t="b">
        <v>1</v>
      </c>
      <c r="I3552" s="54" t="b">
        <v>1</v>
      </c>
      <c r="J3552" s="54" t="b">
        <v>1</v>
      </c>
      <c r="K3552" s="63" t="s">
        <v>898</v>
      </c>
      <c r="L3552" s="63" t="s">
        <v>7902</v>
      </c>
      <c r="M3552" s="63" t="s">
        <v>7903</v>
      </c>
      <c r="N3552" s="63" t="s">
        <v>1788</v>
      </c>
    </row>
    <row r="3553" spans="1:14" x14ac:dyDescent="0.2">
      <c r="A3553" s="51">
        <v>3552</v>
      </c>
      <c r="B3553" s="54" t="s">
        <v>898</v>
      </c>
      <c r="C3553" s="47" t="s">
        <v>7940</v>
      </c>
      <c r="D3553" s="47" t="s">
        <v>7941</v>
      </c>
      <c r="E3553" s="47" t="s">
        <v>1788</v>
      </c>
      <c r="F3553" s="55" t="b">
        <v>1</v>
      </c>
      <c r="G3553" s="54" t="b">
        <v>1</v>
      </c>
      <c r="H3553" s="54" t="b">
        <v>1</v>
      </c>
      <c r="I3553" s="54" t="b">
        <v>1</v>
      </c>
      <c r="J3553" s="54" t="b">
        <v>1</v>
      </c>
      <c r="K3553" s="63" t="s">
        <v>898</v>
      </c>
      <c r="L3553" s="63" t="s">
        <v>7940</v>
      </c>
      <c r="M3553" s="63" t="s">
        <v>7941</v>
      </c>
      <c r="N3553" s="63" t="s">
        <v>1788</v>
      </c>
    </row>
    <row r="3554" spans="1:14" x14ac:dyDescent="0.2">
      <c r="A3554" s="51">
        <v>3553</v>
      </c>
      <c r="B3554" s="54" t="s">
        <v>898</v>
      </c>
      <c r="C3554" s="47" t="s">
        <v>7927</v>
      </c>
      <c r="D3554" s="47" t="s">
        <v>7928</v>
      </c>
      <c r="E3554" s="47" t="s">
        <v>1788</v>
      </c>
      <c r="F3554" s="55" t="b">
        <v>1</v>
      </c>
      <c r="G3554" s="54" t="b">
        <v>1</v>
      </c>
      <c r="H3554" s="54" t="b">
        <v>1</v>
      </c>
      <c r="I3554" s="54" t="b">
        <v>1</v>
      </c>
      <c r="J3554" s="54" t="b">
        <v>1</v>
      </c>
      <c r="K3554" s="63" t="s">
        <v>898</v>
      </c>
      <c r="L3554" s="63" t="s">
        <v>7927</v>
      </c>
      <c r="M3554" s="63" t="s">
        <v>7928</v>
      </c>
      <c r="N3554" s="63" t="s">
        <v>1788</v>
      </c>
    </row>
    <row r="3555" spans="1:14" x14ac:dyDescent="0.2">
      <c r="A3555" s="51">
        <v>3554</v>
      </c>
      <c r="B3555" s="54" t="s">
        <v>898</v>
      </c>
      <c r="C3555" s="47" t="s">
        <v>7912</v>
      </c>
      <c r="D3555" s="47" t="s">
        <v>7913</v>
      </c>
      <c r="E3555" s="47" t="s">
        <v>1788</v>
      </c>
      <c r="F3555" s="55" t="b">
        <v>1</v>
      </c>
      <c r="G3555" s="54" t="b">
        <v>1</v>
      </c>
      <c r="H3555" s="54" t="b">
        <v>1</v>
      </c>
      <c r="I3555" s="54" t="b">
        <v>1</v>
      </c>
      <c r="J3555" s="54" t="b">
        <v>1</v>
      </c>
      <c r="K3555" s="63" t="s">
        <v>898</v>
      </c>
      <c r="L3555" s="63" t="s">
        <v>7912</v>
      </c>
      <c r="M3555" s="63" t="s">
        <v>7913</v>
      </c>
      <c r="N3555" s="63" t="s">
        <v>1788</v>
      </c>
    </row>
    <row r="3556" spans="1:14" x14ac:dyDescent="0.2">
      <c r="A3556" s="51">
        <v>3555</v>
      </c>
      <c r="B3556" s="54" t="s">
        <v>898</v>
      </c>
      <c r="C3556" s="47" t="s">
        <v>7931</v>
      </c>
      <c r="D3556" s="47" t="s">
        <v>7932</v>
      </c>
      <c r="E3556" s="47" t="s">
        <v>1788</v>
      </c>
      <c r="F3556" s="55" t="b">
        <v>1</v>
      </c>
      <c r="G3556" s="54" t="b">
        <v>1</v>
      </c>
      <c r="H3556" s="54" t="b">
        <v>1</v>
      </c>
      <c r="I3556" s="54" t="b">
        <v>1</v>
      </c>
      <c r="J3556" s="54" t="b">
        <v>1</v>
      </c>
      <c r="K3556" s="63" t="s">
        <v>898</v>
      </c>
      <c r="L3556" s="63" t="s">
        <v>7931</v>
      </c>
      <c r="M3556" s="63" t="s">
        <v>7932</v>
      </c>
      <c r="N3556" s="63" t="s">
        <v>1788</v>
      </c>
    </row>
    <row r="3557" spans="1:14" x14ac:dyDescent="0.2">
      <c r="A3557" s="51">
        <v>3556</v>
      </c>
      <c r="B3557" s="54" t="s">
        <v>898</v>
      </c>
      <c r="C3557" s="47" t="s">
        <v>7917</v>
      </c>
      <c r="D3557" s="47" t="s">
        <v>7918</v>
      </c>
      <c r="E3557" s="47" t="s">
        <v>1788</v>
      </c>
      <c r="F3557" s="55" t="b">
        <v>1</v>
      </c>
      <c r="G3557" s="54" t="b">
        <v>1</v>
      </c>
      <c r="H3557" s="54" t="b">
        <v>1</v>
      </c>
      <c r="I3557" s="54" t="b">
        <v>1</v>
      </c>
      <c r="J3557" s="54" t="b">
        <v>1</v>
      </c>
      <c r="K3557" s="63" t="s">
        <v>898</v>
      </c>
      <c r="L3557" s="63" t="s">
        <v>7917</v>
      </c>
      <c r="M3557" s="63" t="s">
        <v>7918</v>
      </c>
      <c r="N3557" s="63" t="s">
        <v>1788</v>
      </c>
    </row>
    <row r="3558" spans="1:14" x14ac:dyDescent="0.2">
      <c r="A3558" s="51">
        <v>3557</v>
      </c>
      <c r="B3558" s="54" t="s">
        <v>898</v>
      </c>
      <c r="C3558" s="47" t="s">
        <v>7935</v>
      </c>
      <c r="D3558" s="47" t="s">
        <v>7936</v>
      </c>
      <c r="E3558" s="47" t="s">
        <v>1788</v>
      </c>
      <c r="F3558" s="55" t="b">
        <v>1</v>
      </c>
      <c r="G3558" s="54" t="b">
        <v>1</v>
      </c>
      <c r="H3558" s="54" t="b">
        <v>1</v>
      </c>
      <c r="I3558" s="54" t="b">
        <v>1</v>
      </c>
      <c r="J3558" s="54" t="b">
        <v>1</v>
      </c>
      <c r="K3558" s="63" t="s">
        <v>898</v>
      </c>
      <c r="L3558" s="63" t="s">
        <v>7935</v>
      </c>
      <c r="M3558" s="63" t="s">
        <v>7936</v>
      </c>
      <c r="N3558" s="63" t="s">
        <v>1788</v>
      </c>
    </row>
    <row r="3559" spans="1:14" x14ac:dyDescent="0.2">
      <c r="A3559" s="51">
        <v>3558</v>
      </c>
      <c r="B3559" s="54" t="s">
        <v>898</v>
      </c>
      <c r="C3559" s="47" t="s">
        <v>7919</v>
      </c>
      <c r="D3559" s="47" t="s">
        <v>7920</v>
      </c>
      <c r="E3559" s="47" t="s">
        <v>1788</v>
      </c>
      <c r="F3559" s="55" t="b">
        <v>1</v>
      </c>
      <c r="G3559" s="54" t="b">
        <v>1</v>
      </c>
      <c r="H3559" s="54" t="b">
        <v>1</v>
      </c>
      <c r="I3559" s="54" t="b">
        <v>1</v>
      </c>
      <c r="J3559" s="54" t="b">
        <v>1</v>
      </c>
      <c r="K3559" s="63" t="s">
        <v>898</v>
      </c>
      <c r="L3559" s="63" t="s">
        <v>7919</v>
      </c>
      <c r="M3559" s="63" t="s">
        <v>7920</v>
      </c>
      <c r="N3559" s="63" t="s">
        <v>1788</v>
      </c>
    </row>
    <row r="3560" spans="1:14" x14ac:dyDescent="0.2">
      <c r="A3560" s="51">
        <v>3559</v>
      </c>
      <c r="B3560" s="54" t="s">
        <v>898</v>
      </c>
      <c r="C3560" s="47" t="s">
        <v>7921</v>
      </c>
      <c r="D3560" s="47" t="s">
        <v>7922</v>
      </c>
      <c r="E3560" s="47" t="s">
        <v>1788</v>
      </c>
      <c r="F3560" s="55" t="b">
        <v>1</v>
      </c>
      <c r="G3560" s="54" t="b">
        <v>1</v>
      </c>
      <c r="H3560" s="54" t="b">
        <v>1</v>
      </c>
      <c r="I3560" s="54" t="b">
        <v>1</v>
      </c>
      <c r="J3560" s="54" t="b">
        <v>1</v>
      </c>
      <c r="K3560" s="63" t="s">
        <v>898</v>
      </c>
      <c r="L3560" s="63" t="s">
        <v>7921</v>
      </c>
      <c r="M3560" s="63" t="s">
        <v>7922</v>
      </c>
      <c r="N3560" s="63" t="s">
        <v>1788</v>
      </c>
    </row>
    <row r="3561" spans="1:14" x14ac:dyDescent="0.2">
      <c r="A3561" s="51">
        <v>3560</v>
      </c>
      <c r="G3561" s="65" t="b">
        <v>0</v>
      </c>
      <c r="H3561" s="65" t="b">
        <v>0</v>
      </c>
      <c r="I3561" s="65" t="b">
        <v>0</v>
      </c>
      <c r="J3561" s="65" t="b">
        <v>0</v>
      </c>
      <c r="K3561" s="63" t="s">
        <v>898</v>
      </c>
      <c r="L3561" s="63" t="s">
        <v>7929</v>
      </c>
      <c r="M3561" s="63" t="s">
        <v>7930</v>
      </c>
      <c r="N3561" s="63" t="s">
        <v>1788</v>
      </c>
    </row>
    <row r="3562" spans="1:14" x14ac:dyDescent="0.2">
      <c r="A3562" s="51">
        <v>3561</v>
      </c>
      <c r="B3562" s="54" t="s">
        <v>898</v>
      </c>
      <c r="C3562" s="47" t="s">
        <v>7929</v>
      </c>
      <c r="D3562" s="47" t="s">
        <v>7939</v>
      </c>
      <c r="E3562" s="47" t="s">
        <v>1788</v>
      </c>
      <c r="F3562" s="55" t="b">
        <v>1</v>
      </c>
      <c r="G3562" s="54" t="b">
        <v>1</v>
      </c>
      <c r="H3562" s="54" t="b">
        <v>1</v>
      </c>
      <c r="I3562" s="54" t="b">
        <v>1</v>
      </c>
      <c r="J3562" s="54" t="b">
        <v>1</v>
      </c>
      <c r="K3562" s="63" t="s">
        <v>898</v>
      </c>
      <c r="L3562" s="63" t="s">
        <v>7929</v>
      </c>
      <c r="M3562" s="63" t="s">
        <v>7939</v>
      </c>
      <c r="N3562" s="63" t="s">
        <v>1788</v>
      </c>
    </row>
    <row r="3563" spans="1:14" x14ac:dyDescent="0.2">
      <c r="A3563" s="51">
        <v>3562</v>
      </c>
      <c r="B3563" s="54" t="s">
        <v>898</v>
      </c>
      <c r="C3563" s="47" t="s">
        <v>7906</v>
      </c>
      <c r="D3563" s="47" t="s">
        <v>7907</v>
      </c>
      <c r="E3563" s="47" t="s">
        <v>1788</v>
      </c>
      <c r="F3563" s="55" t="b">
        <v>1</v>
      </c>
      <c r="G3563" s="54" t="b">
        <v>1</v>
      </c>
      <c r="H3563" s="54" t="b">
        <v>1</v>
      </c>
      <c r="I3563" s="54" t="b">
        <v>1</v>
      </c>
      <c r="J3563" s="54" t="b">
        <v>1</v>
      </c>
      <c r="K3563" s="63" t="s">
        <v>898</v>
      </c>
      <c r="L3563" s="63" t="s">
        <v>7906</v>
      </c>
      <c r="M3563" s="63" t="s">
        <v>7907</v>
      </c>
      <c r="N3563" s="63" t="s">
        <v>1788</v>
      </c>
    </row>
    <row r="3564" spans="1:14" x14ac:dyDescent="0.2">
      <c r="A3564" s="51">
        <v>3563</v>
      </c>
      <c r="G3564" s="65" t="b">
        <v>0</v>
      </c>
      <c r="H3564" s="65" t="b">
        <v>0</v>
      </c>
      <c r="I3564" s="65" t="b">
        <v>0</v>
      </c>
      <c r="J3564" s="65" t="b">
        <v>0</v>
      </c>
      <c r="K3564" s="63" t="s">
        <v>898</v>
      </c>
      <c r="L3564" s="63" t="s">
        <v>7906</v>
      </c>
      <c r="M3564" s="63" t="s">
        <v>7908</v>
      </c>
      <c r="N3564" s="63" t="s">
        <v>1788</v>
      </c>
    </row>
    <row r="3565" spans="1:14" x14ac:dyDescent="0.2">
      <c r="A3565" s="51">
        <v>3564</v>
      </c>
      <c r="G3565" s="65" t="b">
        <v>0</v>
      </c>
      <c r="H3565" s="65" t="b">
        <v>0</v>
      </c>
      <c r="I3565" s="65" t="b">
        <v>0</v>
      </c>
      <c r="J3565" s="65" t="b">
        <v>0</v>
      </c>
      <c r="K3565" s="63" t="s">
        <v>898</v>
      </c>
      <c r="L3565" s="63" t="s">
        <v>7906</v>
      </c>
      <c r="M3565" s="63" t="s">
        <v>7909</v>
      </c>
      <c r="N3565" s="63" t="s">
        <v>1788</v>
      </c>
    </row>
    <row r="3566" spans="1:14" x14ac:dyDescent="0.2">
      <c r="A3566" s="51">
        <v>3565</v>
      </c>
      <c r="G3566" s="65" t="b">
        <v>0</v>
      </c>
      <c r="H3566" s="65" t="b">
        <v>0</v>
      </c>
      <c r="I3566" s="65" t="b">
        <v>0</v>
      </c>
      <c r="J3566" s="65" t="b">
        <v>0</v>
      </c>
      <c r="K3566" s="63" t="s">
        <v>898</v>
      </c>
      <c r="L3566" s="63" t="s">
        <v>7933</v>
      </c>
      <c r="M3566" s="63" t="s">
        <v>7934</v>
      </c>
      <c r="N3566" s="63" t="s">
        <v>7916</v>
      </c>
    </row>
    <row r="3567" spans="1:14" x14ac:dyDescent="0.2">
      <c r="A3567" s="51">
        <v>3566</v>
      </c>
      <c r="G3567" s="65" t="b">
        <v>0</v>
      </c>
      <c r="H3567" s="65" t="b">
        <v>0</v>
      </c>
      <c r="I3567" s="65" t="b">
        <v>0</v>
      </c>
      <c r="J3567" s="65" t="b">
        <v>0</v>
      </c>
      <c r="K3567" s="63" t="s">
        <v>898</v>
      </c>
      <c r="L3567" s="63" t="s">
        <v>7914</v>
      </c>
      <c r="M3567" s="63" t="s">
        <v>7915</v>
      </c>
      <c r="N3567" s="63" t="s">
        <v>7916</v>
      </c>
    </row>
    <row r="3568" spans="1:14" x14ac:dyDescent="0.2">
      <c r="A3568" s="51">
        <v>3567</v>
      </c>
      <c r="G3568" s="65" t="b">
        <v>0</v>
      </c>
      <c r="H3568" s="65" t="b">
        <v>0</v>
      </c>
      <c r="I3568" s="65" t="b">
        <v>0</v>
      </c>
      <c r="J3568" s="65" t="b">
        <v>0</v>
      </c>
      <c r="K3568" s="63" t="s">
        <v>900</v>
      </c>
      <c r="L3568" s="63" t="s">
        <v>7950</v>
      </c>
      <c r="M3568" s="63" t="s">
        <v>7951</v>
      </c>
      <c r="N3568" s="63" t="s">
        <v>2087</v>
      </c>
    </row>
    <row r="3569" spans="1:14" x14ac:dyDescent="0.2">
      <c r="A3569" s="51">
        <v>3568</v>
      </c>
      <c r="B3569" s="54" t="s">
        <v>900</v>
      </c>
      <c r="C3569" s="47" t="s">
        <v>7948</v>
      </c>
      <c r="D3569" s="47" t="s">
        <v>7949</v>
      </c>
      <c r="E3569" s="47" t="s">
        <v>2365</v>
      </c>
      <c r="F3569" s="55" t="b">
        <v>1</v>
      </c>
      <c r="G3569" s="54" t="b">
        <v>1</v>
      </c>
      <c r="H3569" s="54" t="b">
        <v>1</v>
      </c>
      <c r="I3569" s="54" t="b">
        <v>1</v>
      </c>
      <c r="J3569" s="54" t="b">
        <v>1</v>
      </c>
      <c r="K3569" s="63" t="s">
        <v>900</v>
      </c>
      <c r="L3569" s="63" t="s">
        <v>7948</v>
      </c>
      <c r="M3569" s="63" t="s">
        <v>7949</v>
      </c>
      <c r="N3569" s="63" t="s">
        <v>2365</v>
      </c>
    </row>
    <row r="3570" spans="1:14" x14ac:dyDescent="0.2">
      <c r="A3570" s="51">
        <v>3569</v>
      </c>
      <c r="B3570" s="54" t="s">
        <v>900</v>
      </c>
      <c r="C3570" s="47" t="s">
        <v>7946</v>
      </c>
      <c r="D3570" s="47" t="s">
        <v>7947</v>
      </c>
      <c r="E3570" s="47" t="s">
        <v>2365</v>
      </c>
      <c r="F3570" s="55" t="b">
        <v>1</v>
      </c>
      <c r="G3570" s="54" t="b">
        <v>1</v>
      </c>
      <c r="H3570" s="54" t="b">
        <v>1</v>
      </c>
      <c r="I3570" s="54" t="b">
        <v>1</v>
      </c>
      <c r="J3570" s="65" t="b">
        <v>0</v>
      </c>
      <c r="K3570" s="63" t="s">
        <v>900</v>
      </c>
      <c r="L3570" s="63" t="s">
        <v>7946</v>
      </c>
      <c r="M3570" s="63" t="s">
        <v>7947</v>
      </c>
      <c r="N3570" s="63" t="s">
        <v>2087</v>
      </c>
    </row>
    <row r="3571" spans="1:14" x14ac:dyDescent="0.2">
      <c r="A3571" s="51">
        <v>3570</v>
      </c>
      <c r="B3571" s="54" t="s">
        <v>900</v>
      </c>
      <c r="C3571" s="47" t="s">
        <v>13100</v>
      </c>
      <c r="D3571" s="47" t="s">
        <v>13101</v>
      </c>
      <c r="E3571" s="47" t="s">
        <v>2365</v>
      </c>
      <c r="F3571" s="55" t="b">
        <v>1</v>
      </c>
      <c r="G3571" s="65" t="b">
        <v>0</v>
      </c>
      <c r="H3571" s="65" t="b">
        <v>0</v>
      </c>
      <c r="I3571" s="65" t="b">
        <v>0</v>
      </c>
      <c r="J3571" s="65" t="b">
        <v>0</v>
      </c>
    </row>
    <row r="3572" spans="1:14" x14ac:dyDescent="0.2">
      <c r="A3572" s="51">
        <v>3571</v>
      </c>
      <c r="B3572" s="54" t="s">
        <v>900</v>
      </c>
      <c r="C3572" s="47" t="s">
        <v>13102</v>
      </c>
      <c r="D3572" s="47" t="s">
        <v>13103</v>
      </c>
      <c r="E3572" s="47" t="s">
        <v>2365</v>
      </c>
      <c r="F3572" s="55" t="b">
        <v>1</v>
      </c>
      <c r="G3572" s="65" t="b">
        <v>0</v>
      </c>
      <c r="H3572" s="65" t="b">
        <v>0</v>
      </c>
      <c r="I3572" s="65" t="b">
        <v>0</v>
      </c>
      <c r="J3572" s="65" t="b">
        <v>0</v>
      </c>
    </row>
    <row r="3573" spans="1:14" x14ac:dyDescent="0.2">
      <c r="A3573" s="51">
        <v>3572</v>
      </c>
      <c r="B3573" s="54" t="s">
        <v>900</v>
      </c>
      <c r="C3573" s="47" t="s">
        <v>7956</v>
      </c>
      <c r="D3573" s="47" t="s">
        <v>7957</v>
      </c>
      <c r="E3573" s="47" t="s">
        <v>2365</v>
      </c>
      <c r="F3573" s="55" t="b">
        <v>1</v>
      </c>
      <c r="G3573" s="54" t="b">
        <v>1</v>
      </c>
      <c r="H3573" s="54" t="b">
        <v>1</v>
      </c>
      <c r="I3573" s="54" t="b">
        <v>1</v>
      </c>
      <c r="J3573" s="54" t="b">
        <v>1</v>
      </c>
      <c r="K3573" s="63" t="s">
        <v>900</v>
      </c>
      <c r="L3573" s="63" t="s">
        <v>7956</v>
      </c>
      <c r="M3573" s="63" t="s">
        <v>7957</v>
      </c>
      <c r="N3573" s="63" t="s">
        <v>2365</v>
      </c>
    </row>
    <row r="3574" spans="1:14" x14ac:dyDescent="0.2">
      <c r="A3574" s="51">
        <v>3573</v>
      </c>
      <c r="B3574" s="54" t="s">
        <v>900</v>
      </c>
      <c r="C3574" s="47" t="s">
        <v>7958</v>
      </c>
      <c r="D3574" s="47" t="s">
        <v>7959</v>
      </c>
      <c r="E3574" s="47" t="s">
        <v>2365</v>
      </c>
      <c r="F3574" s="55" t="b">
        <v>1</v>
      </c>
      <c r="G3574" s="54" t="b">
        <v>1</v>
      </c>
      <c r="H3574" s="54" t="b">
        <v>1</v>
      </c>
      <c r="I3574" s="54" t="b">
        <v>1</v>
      </c>
      <c r="J3574" s="54" t="b">
        <v>1</v>
      </c>
      <c r="K3574" s="63" t="s">
        <v>900</v>
      </c>
      <c r="L3574" s="63" t="s">
        <v>7958</v>
      </c>
      <c r="M3574" s="63" t="s">
        <v>7959</v>
      </c>
      <c r="N3574" s="63" t="s">
        <v>2365</v>
      </c>
    </row>
    <row r="3575" spans="1:14" x14ac:dyDescent="0.2">
      <c r="A3575" s="51">
        <v>3574</v>
      </c>
      <c r="B3575" s="54" t="s">
        <v>900</v>
      </c>
      <c r="C3575" s="47" t="s">
        <v>13104</v>
      </c>
      <c r="D3575" s="47" t="s">
        <v>13105</v>
      </c>
      <c r="E3575" s="47" t="s">
        <v>2365</v>
      </c>
      <c r="F3575" s="55" t="b">
        <v>1</v>
      </c>
      <c r="G3575" s="65" t="b">
        <v>0</v>
      </c>
      <c r="H3575" s="65" t="b">
        <v>0</v>
      </c>
      <c r="I3575" s="65" t="b">
        <v>0</v>
      </c>
      <c r="J3575" s="65" t="b">
        <v>0</v>
      </c>
    </row>
    <row r="3576" spans="1:14" x14ac:dyDescent="0.2">
      <c r="A3576" s="51">
        <v>3575</v>
      </c>
      <c r="B3576" s="63"/>
      <c r="C3576" s="63"/>
      <c r="D3576" s="63"/>
      <c r="E3576" s="63"/>
      <c r="F3576" s="63"/>
      <c r="G3576" s="65" t="b">
        <v>0</v>
      </c>
      <c r="H3576" s="65" t="b">
        <v>0</v>
      </c>
      <c r="I3576" s="65" t="b">
        <v>0</v>
      </c>
      <c r="J3576" s="65" t="b">
        <v>0</v>
      </c>
      <c r="K3576" s="63" t="s">
        <v>900</v>
      </c>
      <c r="L3576" s="63" t="s">
        <v>7953</v>
      </c>
      <c r="M3576" s="63" t="s">
        <v>4032</v>
      </c>
      <c r="N3576" s="63" t="s">
        <v>2087</v>
      </c>
    </row>
    <row r="3577" spans="1:14" x14ac:dyDescent="0.2">
      <c r="A3577" s="51">
        <v>3576</v>
      </c>
      <c r="B3577" s="54" t="s">
        <v>900</v>
      </c>
      <c r="C3577" s="47" t="s">
        <v>13106</v>
      </c>
      <c r="D3577" s="47" t="s">
        <v>13107</v>
      </c>
      <c r="E3577" s="47" t="s">
        <v>2365</v>
      </c>
      <c r="F3577" s="55" t="b">
        <v>1</v>
      </c>
      <c r="G3577" s="65" t="b">
        <v>0</v>
      </c>
      <c r="H3577" s="65" t="b">
        <v>0</v>
      </c>
      <c r="I3577" s="65" t="b">
        <v>0</v>
      </c>
      <c r="J3577" s="65" t="b">
        <v>0</v>
      </c>
    </row>
    <row r="3578" spans="1:14" x14ac:dyDescent="0.2">
      <c r="A3578" s="51">
        <v>3577</v>
      </c>
      <c r="B3578" s="54" t="s">
        <v>900</v>
      </c>
      <c r="C3578" s="47" t="s">
        <v>7952</v>
      </c>
      <c r="D3578" s="47" t="s">
        <v>2371</v>
      </c>
      <c r="E3578" s="47" t="s">
        <v>2365</v>
      </c>
      <c r="F3578" s="55" t="b">
        <v>1</v>
      </c>
      <c r="G3578" s="54" t="b">
        <v>1</v>
      </c>
      <c r="H3578" s="54" t="b">
        <v>1</v>
      </c>
      <c r="I3578" s="54" t="b">
        <v>1</v>
      </c>
      <c r="J3578" s="65" t="b">
        <v>0</v>
      </c>
      <c r="K3578" s="63" t="s">
        <v>900</v>
      </c>
      <c r="L3578" s="63" t="s">
        <v>7952</v>
      </c>
      <c r="M3578" s="63" t="s">
        <v>2371</v>
      </c>
      <c r="N3578" s="63" t="s">
        <v>2087</v>
      </c>
    </row>
    <row r="3579" spans="1:14" x14ac:dyDescent="0.2">
      <c r="A3579" s="51">
        <v>3578</v>
      </c>
      <c r="B3579" s="54" t="s">
        <v>900</v>
      </c>
      <c r="C3579" s="47" t="s">
        <v>7954</v>
      </c>
      <c r="D3579" s="47" t="s">
        <v>7955</v>
      </c>
      <c r="E3579" s="47" t="s">
        <v>2365</v>
      </c>
      <c r="F3579" s="55" t="b">
        <v>1</v>
      </c>
      <c r="G3579" s="54" t="b">
        <v>1</v>
      </c>
      <c r="H3579" s="54" t="b">
        <v>1</v>
      </c>
      <c r="I3579" s="54" t="b">
        <v>1</v>
      </c>
      <c r="J3579" s="65" t="b">
        <v>0</v>
      </c>
      <c r="K3579" s="63" t="s">
        <v>900</v>
      </c>
      <c r="L3579" s="63" t="s">
        <v>7954</v>
      </c>
      <c r="M3579" s="63" t="s">
        <v>7955</v>
      </c>
      <c r="N3579" s="63" t="s">
        <v>2087</v>
      </c>
    </row>
    <row r="3580" spans="1:14" x14ac:dyDescent="0.2">
      <c r="A3580" s="51">
        <v>3579</v>
      </c>
      <c r="B3580" s="54" t="s">
        <v>900</v>
      </c>
      <c r="C3580" s="47" t="s">
        <v>7960</v>
      </c>
      <c r="D3580" s="47" t="s">
        <v>7961</v>
      </c>
      <c r="E3580" s="47" t="s">
        <v>2365</v>
      </c>
      <c r="F3580" s="55" t="b">
        <v>1</v>
      </c>
      <c r="G3580" s="54" t="b">
        <v>1</v>
      </c>
      <c r="H3580" s="54" t="b">
        <v>1</v>
      </c>
      <c r="I3580" s="54" t="b">
        <v>1</v>
      </c>
      <c r="J3580" s="54" t="b">
        <v>1</v>
      </c>
      <c r="K3580" s="63" t="s">
        <v>900</v>
      </c>
      <c r="L3580" s="63" t="s">
        <v>7960</v>
      </c>
      <c r="M3580" s="63" t="s">
        <v>7961</v>
      </c>
      <c r="N3580" s="63" t="s">
        <v>2365</v>
      </c>
    </row>
    <row r="3581" spans="1:14" x14ac:dyDescent="0.2">
      <c r="A3581" s="51">
        <v>3580</v>
      </c>
      <c r="B3581" s="54" t="s">
        <v>902</v>
      </c>
      <c r="C3581" s="47" t="s">
        <v>7965</v>
      </c>
      <c r="D3581" s="47" t="s">
        <v>13108</v>
      </c>
      <c r="E3581" s="47" t="s">
        <v>1719</v>
      </c>
      <c r="F3581" s="55" t="b">
        <v>1</v>
      </c>
      <c r="G3581" s="54" t="b">
        <v>1</v>
      </c>
      <c r="H3581" s="54" t="b">
        <v>1</v>
      </c>
      <c r="I3581" s="65" t="b">
        <v>0</v>
      </c>
      <c r="J3581" s="54" t="b">
        <v>1</v>
      </c>
      <c r="K3581" s="63" t="s">
        <v>902</v>
      </c>
      <c r="L3581" s="63" t="s">
        <v>7965</v>
      </c>
      <c r="M3581" s="63" t="s">
        <v>7966</v>
      </c>
      <c r="N3581" s="63" t="s">
        <v>1719</v>
      </c>
    </row>
    <row r="3582" spans="1:14" x14ac:dyDescent="0.2">
      <c r="A3582" s="51">
        <v>3581</v>
      </c>
      <c r="G3582" s="65" t="b">
        <v>0</v>
      </c>
      <c r="H3582" s="65" t="b">
        <v>0</v>
      </c>
      <c r="I3582" s="65" t="b">
        <v>0</v>
      </c>
      <c r="J3582" s="65" t="b">
        <v>0</v>
      </c>
      <c r="K3582" s="63" t="s">
        <v>902</v>
      </c>
      <c r="L3582" s="63" t="s">
        <v>7965</v>
      </c>
      <c r="M3582" s="63" t="s">
        <v>7967</v>
      </c>
      <c r="N3582" s="63" t="s">
        <v>1719</v>
      </c>
    </row>
    <row r="3583" spans="1:14" x14ac:dyDescent="0.2">
      <c r="A3583" s="51">
        <v>3582</v>
      </c>
      <c r="B3583" s="54" t="s">
        <v>902</v>
      </c>
      <c r="C3583" s="47" t="s">
        <v>7970</v>
      </c>
      <c r="D3583" s="47" t="s">
        <v>7971</v>
      </c>
      <c r="E3583" s="47" t="s">
        <v>7964</v>
      </c>
      <c r="F3583" s="55" t="b">
        <v>1</v>
      </c>
      <c r="G3583" s="54" t="b">
        <v>1</v>
      </c>
      <c r="H3583" s="54" t="b">
        <v>1</v>
      </c>
      <c r="I3583" s="54" t="b">
        <v>1</v>
      </c>
      <c r="J3583" s="54" t="b">
        <v>1</v>
      </c>
      <c r="K3583" s="63" t="s">
        <v>902</v>
      </c>
      <c r="L3583" s="63" t="s">
        <v>7970</v>
      </c>
      <c r="M3583" s="63" t="s">
        <v>7971</v>
      </c>
      <c r="N3583" s="63" t="s">
        <v>7964</v>
      </c>
    </row>
    <row r="3584" spans="1:14" x14ac:dyDescent="0.2">
      <c r="A3584" s="51">
        <v>3583</v>
      </c>
      <c r="G3584" s="65" t="b">
        <v>0</v>
      </c>
      <c r="H3584" s="65" t="b">
        <v>0</v>
      </c>
      <c r="I3584" s="65" t="b">
        <v>0</v>
      </c>
      <c r="J3584" s="65" t="b">
        <v>0</v>
      </c>
      <c r="K3584" s="63" t="s">
        <v>902</v>
      </c>
      <c r="L3584" s="63" t="s">
        <v>7970</v>
      </c>
      <c r="M3584" s="63" t="s">
        <v>7972</v>
      </c>
      <c r="N3584" s="63" t="s">
        <v>7964</v>
      </c>
    </row>
    <row r="3585" spans="1:14" x14ac:dyDescent="0.2">
      <c r="A3585" s="51">
        <v>3584</v>
      </c>
      <c r="B3585" s="54" t="s">
        <v>902</v>
      </c>
      <c r="C3585" s="47" t="s">
        <v>7973</v>
      </c>
      <c r="D3585" s="47" t="s">
        <v>7976</v>
      </c>
      <c r="E3585" s="47" t="s">
        <v>7831</v>
      </c>
      <c r="F3585" s="55" t="b">
        <v>1</v>
      </c>
      <c r="G3585" s="54" t="b">
        <v>1</v>
      </c>
      <c r="H3585" s="54" t="b">
        <v>1</v>
      </c>
      <c r="I3585" s="65" t="b">
        <v>0</v>
      </c>
      <c r="J3585" s="65" t="b">
        <v>0</v>
      </c>
      <c r="K3585" s="63" t="s">
        <v>902</v>
      </c>
      <c r="L3585" s="63" t="s">
        <v>7973</v>
      </c>
      <c r="M3585" s="63" t="s">
        <v>7974</v>
      </c>
      <c r="N3585" s="63" t="s">
        <v>7975</v>
      </c>
    </row>
    <row r="3586" spans="1:14" x14ac:dyDescent="0.2">
      <c r="A3586" s="51">
        <v>3585</v>
      </c>
      <c r="G3586" s="65" t="b">
        <v>0</v>
      </c>
      <c r="H3586" s="65" t="b">
        <v>0</v>
      </c>
      <c r="I3586" s="65" t="b">
        <v>0</v>
      </c>
      <c r="J3586" s="65" t="b">
        <v>0</v>
      </c>
      <c r="K3586" s="63" t="s">
        <v>902</v>
      </c>
      <c r="L3586" s="63" t="s">
        <v>7973</v>
      </c>
      <c r="M3586" s="63" t="s">
        <v>7976</v>
      </c>
      <c r="N3586" s="63" t="s">
        <v>7975</v>
      </c>
    </row>
    <row r="3587" spans="1:14" x14ac:dyDescent="0.2">
      <c r="A3587" s="51">
        <v>3586</v>
      </c>
      <c r="B3587" s="54" t="s">
        <v>902</v>
      </c>
      <c r="C3587" s="47" t="s">
        <v>7962</v>
      </c>
      <c r="D3587" s="47" t="s">
        <v>7963</v>
      </c>
      <c r="E3587" s="47" t="s">
        <v>7964</v>
      </c>
      <c r="F3587" s="55" t="b">
        <v>1</v>
      </c>
      <c r="G3587" s="54" t="b">
        <v>1</v>
      </c>
      <c r="H3587" s="54" t="b">
        <v>1</v>
      </c>
      <c r="I3587" s="54" t="b">
        <v>1</v>
      </c>
      <c r="J3587" s="54" t="b">
        <v>1</v>
      </c>
      <c r="K3587" s="63" t="s">
        <v>902</v>
      </c>
      <c r="L3587" s="63" t="s">
        <v>7962</v>
      </c>
      <c r="M3587" s="63" t="s">
        <v>7963</v>
      </c>
      <c r="N3587" s="63" t="s">
        <v>7964</v>
      </c>
    </row>
    <row r="3588" spans="1:14" x14ac:dyDescent="0.2">
      <c r="A3588" s="51">
        <v>3587</v>
      </c>
      <c r="G3588" s="65" t="b">
        <v>0</v>
      </c>
      <c r="H3588" s="65" t="b">
        <v>0</v>
      </c>
      <c r="I3588" s="65" t="b">
        <v>0</v>
      </c>
      <c r="J3588" s="65" t="b">
        <v>0</v>
      </c>
      <c r="K3588" s="63" t="s">
        <v>902</v>
      </c>
      <c r="L3588" s="63" t="s">
        <v>7962</v>
      </c>
      <c r="M3588" s="63" t="s">
        <v>7984</v>
      </c>
      <c r="N3588" s="63" t="s">
        <v>7964</v>
      </c>
    </row>
    <row r="3589" spans="1:14" x14ac:dyDescent="0.2">
      <c r="A3589" s="51">
        <v>3588</v>
      </c>
      <c r="B3589" s="54" t="s">
        <v>902</v>
      </c>
      <c r="C3589" s="47" t="s">
        <v>7977</v>
      </c>
      <c r="D3589" s="47" t="s">
        <v>7979</v>
      </c>
      <c r="E3589" s="47" t="s">
        <v>1719</v>
      </c>
      <c r="F3589" s="55" t="b">
        <v>1</v>
      </c>
      <c r="G3589" s="54" t="b">
        <v>1</v>
      </c>
      <c r="H3589" s="54" t="b">
        <v>1</v>
      </c>
      <c r="I3589" s="65" t="b">
        <v>0</v>
      </c>
      <c r="J3589" s="54" t="b">
        <v>1</v>
      </c>
      <c r="K3589" s="63" t="s">
        <v>902</v>
      </c>
      <c r="L3589" s="63" t="s">
        <v>7977</v>
      </c>
      <c r="M3589" s="63" t="s">
        <v>7978</v>
      </c>
      <c r="N3589" s="63" t="s">
        <v>1719</v>
      </c>
    </row>
    <row r="3590" spans="1:14" x14ac:dyDescent="0.2">
      <c r="A3590" s="51">
        <v>3589</v>
      </c>
      <c r="G3590" s="65" t="b">
        <v>0</v>
      </c>
      <c r="H3590" s="65" t="b">
        <v>0</v>
      </c>
      <c r="I3590" s="65" t="b">
        <v>0</v>
      </c>
      <c r="J3590" s="65" t="b">
        <v>0</v>
      </c>
      <c r="K3590" s="63" t="s">
        <v>902</v>
      </c>
      <c r="L3590" s="63" t="s">
        <v>7977</v>
      </c>
      <c r="M3590" s="63" t="s">
        <v>7979</v>
      </c>
      <c r="N3590" s="63" t="s">
        <v>1719</v>
      </c>
    </row>
    <row r="3591" spans="1:14" x14ac:dyDescent="0.2">
      <c r="A3591" s="51">
        <v>3590</v>
      </c>
      <c r="B3591" s="54" t="s">
        <v>902</v>
      </c>
      <c r="C3591" s="47" t="s">
        <v>7980</v>
      </c>
      <c r="D3591" s="47" t="s">
        <v>5150</v>
      </c>
      <c r="E3591" s="47" t="s">
        <v>1719</v>
      </c>
      <c r="F3591" s="55" t="b">
        <v>1</v>
      </c>
      <c r="G3591" s="54" t="b">
        <v>1</v>
      </c>
      <c r="H3591" s="54" t="b">
        <v>1</v>
      </c>
      <c r="I3591" s="65" t="b">
        <v>0</v>
      </c>
      <c r="J3591" s="54" t="b">
        <v>1</v>
      </c>
      <c r="K3591" s="63" t="s">
        <v>902</v>
      </c>
      <c r="L3591" s="63" t="s">
        <v>7980</v>
      </c>
      <c r="M3591" s="63" t="s">
        <v>7981</v>
      </c>
      <c r="N3591" s="63" t="s">
        <v>1719</v>
      </c>
    </row>
    <row r="3592" spans="1:14" x14ac:dyDescent="0.2">
      <c r="A3592" s="51">
        <v>3591</v>
      </c>
      <c r="G3592" s="65" t="b">
        <v>0</v>
      </c>
      <c r="H3592" s="65" t="b">
        <v>0</v>
      </c>
      <c r="I3592" s="65" t="b">
        <v>0</v>
      </c>
      <c r="J3592" s="65" t="b">
        <v>0</v>
      </c>
      <c r="K3592" s="63" t="s">
        <v>902</v>
      </c>
      <c r="L3592" s="63" t="s">
        <v>7980</v>
      </c>
      <c r="M3592" s="63" t="s">
        <v>5150</v>
      </c>
      <c r="N3592" s="63" t="s">
        <v>1719</v>
      </c>
    </row>
    <row r="3593" spans="1:14" x14ac:dyDescent="0.2">
      <c r="A3593" s="51">
        <v>3592</v>
      </c>
      <c r="B3593" s="54" t="s">
        <v>902</v>
      </c>
      <c r="C3593" s="47" t="s">
        <v>7982</v>
      </c>
      <c r="D3593" s="47" t="s">
        <v>7983</v>
      </c>
      <c r="E3593" s="47" t="s">
        <v>1719</v>
      </c>
      <c r="F3593" s="55" t="b">
        <v>1</v>
      </c>
      <c r="G3593" s="54" t="b">
        <v>1</v>
      </c>
      <c r="H3593" s="54" t="b">
        <v>1</v>
      </c>
      <c r="I3593" s="54" t="b">
        <v>1</v>
      </c>
      <c r="J3593" s="54" t="b">
        <v>1</v>
      </c>
      <c r="K3593" s="63" t="s">
        <v>902</v>
      </c>
      <c r="L3593" s="63" t="s">
        <v>7982</v>
      </c>
      <c r="M3593" s="63" t="s">
        <v>7983</v>
      </c>
      <c r="N3593" s="63" t="s">
        <v>1719</v>
      </c>
    </row>
    <row r="3594" spans="1:14" x14ac:dyDescent="0.2">
      <c r="A3594" s="51">
        <v>3593</v>
      </c>
      <c r="B3594" s="54" t="s">
        <v>902</v>
      </c>
      <c r="C3594" s="47" t="s">
        <v>7968</v>
      </c>
      <c r="D3594" s="47" t="s">
        <v>7969</v>
      </c>
      <c r="E3594" s="47" t="s">
        <v>2110</v>
      </c>
      <c r="F3594" s="55" t="b">
        <v>1</v>
      </c>
      <c r="G3594" s="54" t="b">
        <v>1</v>
      </c>
      <c r="H3594" s="54" t="b">
        <v>1</v>
      </c>
      <c r="I3594" s="54" t="b">
        <v>1</v>
      </c>
      <c r="J3594" s="54" t="b">
        <v>1</v>
      </c>
      <c r="K3594" s="63" t="s">
        <v>902</v>
      </c>
      <c r="L3594" s="63" t="s">
        <v>7968</v>
      </c>
      <c r="M3594" s="63" t="s">
        <v>7969</v>
      </c>
      <c r="N3594" s="63" t="s">
        <v>2110</v>
      </c>
    </row>
    <row r="3595" spans="1:14" x14ac:dyDescent="0.2">
      <c r="A3595" s="51">
        <v>3594</v>
      </c>
      <c r="B3595" s="54" t="s">
        <v>904</v>
      </c>
      <c r="C3595" s="47" t="s">
        <v>7985</v>
      </c>
      <c r="D3595" s="47" t="s">
        <v>7986</v>
      </c>
      <c r="E3595" s="47" t="s">
        <v>2113</v>
      </c>
      <c r="F3595" s="55" t="b">
        <v>1</v>
      </c>
      <c r="G3595" s="54" t="b">
        <v>1</v>
      </c>
      <c r="H3595" s="54" t="b">
        <v>1</v>
      </c>
      <c r="I3595" s="54" t="b">
        <v>1</v>
      </c>
      <c r="J3595" s="54" t="b">
        <v>1</v>
      </c>
      <c r="K3595" s="63" t="s">
        <v>904</v>
      </c>
      <c r="L3595" s="63" t="s">
        <v>7985</v>
      </c>
      <c r="M3595" s="63" t="s">
        <v>7986</v>
      </c>
      <c r="N3595" s="63" t="s">
        <v>2113</v>
      </c>
    </row>
    <row r="3596" spans="1:14" x14ac:dyDescent="0.2">
      <c r="A3596" s="51">
        <v>3595</v>
      </c>
      <c r="B3596" s="54" t="s">
        <v>904</v>
      </c>
      <c r="C3596" s="47" t="s">
        <v>7987</v>
      </c>
      <c r="D3596" s="47" t="s">
        <v>7988</v>
      </c>
      <c r="E3596" s="47" t="s">
        <v>2113</v>
      </c>
      <c r="F3596" s="55" t="b">
        <v>1</v>
      </c>
      <c r="G3596" s="54" t="b">
        <v>1</v>
      </c>
      <c r="H3596" s="54" t="b">
        <v>1</v>
      </c>
      <c r="I3596" s="54" t="b">
        <v>1</v>
      </c>
      <c r="J3596" s="54" t="b">
        <v>1</v>
      </c>
      <c r="K3596" s="63" t="s">
        <v>904</v>
      </c>
      <c r="L3596" s="63" t="s">
        <v>7987</v>
      </c>
      <c r="M3596" s="63" t="s">
        <v>7988</v>
      </c>
      <c r="N3596" s="63" t="s">
        <v>2113</v>
      </c>
    </row>
    <row r="3597" spans="1:14" x14ac:dyDescent="0.2">
      <c r="A3597" s="51">
        <v>3596</v>
      </c>
      <c r="B3597" s="54" t="s">
        <v>904</v>
      </c>
      <c r="C3597" s="47" t="s">
        <v>7989</v>
      </c>
      <c r="D3597" s="47" t="s">
        <v>7990</v>
      </c>
      <c r="E3597" s="47" t="s">
        <v>2113</v>
      </c>
      <c r="F3597" s="55" t="b">
        <v>1</v>
      </c>
      <c r="G3597" s="54" t="b">
        <v>1</v>
      </c>
      <c r="H3597" s="54" t="b">
        <v>1</v>
      </c>
      <c r="I3597" s="54" t="b">
        <v>1</v>
      </c>
      <c r="J3597" s="54" t="b">
        <v>1</v>
      </c>
      <c r="K3597" s="63" t="s">
        <v>904</v>
      </c>
      <c r="L3597" s="63" t="s">
        <v>7989</v>
      </c>
      <c r="M3597" s="63" t="s">
        <v>7990</v>
      </c>
      <c r="N3597" s="63" t="s">
        <v>2113</v>
      </c>
    </row>
    <row r="3598" spans="1:14" x14ac:dyDescent="0.2">
      <c r="A3598" s="51">
        <v>3597</v>
      </c>
      <c r="B3598" s="54" t="s">
        <v>904</v>
      </c>
      <c r="C3598" s="47" t="s">
        <v>7991</v>
      </c>
      <c r="D3598" s="47" t="s">
        <v>13109</v>
      </c>
      <c r="E3598" s="47" t="s">
        <v>2113</v>
      </c>
      <c r="F3598" s="55" t="b">
        <v>1</v>
      </c>
      <c r="G3598" s="54" t="b">
        <v>1</v>
      </c>
      <c r="H3598" s="54" t="b">
        <v>1</v>
      </c>
      <c r="I3598" s="65" t="b">
        <v>0</v>
      </c>
      <c r="J3598" s="54" t="b">
        <v>1</v>
      </c>
      <c r="K3598" s="63" t="s">
        <v>904</v>
      </c>
      <c r="L3598" s="63" t="s">
        <v>7991</v>
      </c>
      <c r="M3598" s="63" t="s">
        <v>7992</v>
      </c>
      <c r="N3598" s="63" t="s">
        <v>2113</v>
      </c>
    </row>
    <row r="3599" spans="1:14" x14ac:dyDescent="0.2">
      <c r="A3599" s="51">
        <v>3598</v>
      </c>
      <c r="B3599" s="54" t="s">
        <v>904</v>
      </c>
      <c r="C3599" s="47" t="s">
        <v>7993</v>
      </c>
      <c r="D3599" s="47" t="s">
        <v>7994</v>
      </c>
      <c r="E3599" s="47" t="s">
        <v>2113</v>
      </c>
      <c r="F3599" s="55" t="b">
        <v>1</v>
      </c>
      <c r="G3599" s="54" t="b">
        <v>1</v>
      </c>
      <c r="H3599" s="54" t="b">
        <v>1</v>
      </c>
      <c r="I3599" s="54" t="b">
        <v>1</v>
      </c>
      <c r="J3599" s="54" t="b">
        <v>1</v>
      </c>
      <c r="K3599" s="63" t="s">
        <v>904</v>
      </c>
      <c r="L3599" s="63" t="s">
        <v>7993</v>
      </c>
      <c r="M3599" s="63" t="s">
        <v>7994</v>
      </c>
      <c r="N3599" s="63" t="s">
        <v>2113</v>
      </c>
    </row>
    <row r="3600" spans="1:14" x14ac:dyDescent="0.2">
      <c r="A3600" s="51">
        <v>3599</v>
      </c>
      <c r="B3600" s="54" t="s">
        <v>904</v>
      </c>
      <c r="C3600" s="47" t="s">
        <v>7995</v>
      </c>
      <c r="D3600" s="47" t="s">
        <v>7996</v>
      </c>
      <c r="E3600" s="47" t="s">
        <v>2113</v>
      </c>
      <c r="F3600" s="55" t="b">
        <v>1</v>
      </c>
      <c r="G3600" s="54" t="b">
        <v>1</v>
      </c>
      <c r="H3600" s="54" t="b">
        <v>1</v>
      </c>
      <c r="I3600" s="54" t="b">
        <v>1</v>
      </c>
      <c r="J3600" s="54" t="b">
        <v>1</v>
      </c>
      <c r="K3600" s="63" t="s">
        <v>904</v>
      </c>
      <c r="L3600" s="63" t="s">
        <v>7995</v>
      </c>
      <c r="M3600" s="63" t="s">
        <v>7996</v>
      </c>
      <c r="N3600" s="63" t="s">
        <v>2113</v>
      </c>
    </row>
    <row r="3601" spans="1:14" x14ac:dyDescent="0.2">
      <c r="A3601" s="51">
        <v>3600</v>
      </c>
      <c r="B3601" s="54" t="s">
        <v>904</v>
      </c>
      <c r="C3601" s="47" t="s">
        <v>7997</v>
      </c>
      <c r="D3601" s="47" t="s">
        <v>7998</v>
      </c>
      <c r="E3601" s="47" t="s">
        <v>2113</v>
      </c>
      <c r="F3601" s="55" t="b">
        <v>1</v>
      </c>
      <c r="G3601" s="54" t="b">
        <v>1</v>
      </c>
      <c r="H3601" s="54" t="b">
        <v>1</v>
      </c>
      <c r="I3601" s="54" t="b">
        <v>1</v>
      </c>
      <c r="J3601" s="54" t="b">
        <v>1</v>
      </c>
      <c r="K3601" s="63" t="s">
        <v>904</v>
      </c>
      <c r="L3601" s="63" t="s">
        <v>7997</v>
      </c>
      <c r="M3601" s="63" t="s">
        <v>7998</v>
      </c>
      <c r="N3601" s="63" t="s">
        <v>2113</v>
      </c>
    </row>
    <row r="3602" spans="1:14" x14ac:dyDescent="0.2">
      <c r="A3602" s="51">
        <v>3601</v>
      </c>
      <c r="B3602" s="54" t="s">
        <v>904</v>
      </c>
      <c r="C3602" s="47" t="s">
        <v>7999</v>
      </c>
      <c r="D3602" s="47" t="s">
        <v>8000</v>
      </c>
      <c r="E3602" s="47" t="s">
        <v>2113</v>
      </c>
      <c r="F3602" s="55" t="b">
        <v>1</v>
      </c>
      <c r="G3602" s="54" t="b">
        <v>1</v>
      </c>
      <c r="H3602" s="54" t="b">
        <v>1</v>
      </c>
      <c r="I3602" s="54" t="b">
        <v>1</v>
      </c>
      <c r="J3602" s="54" t="b">
        <v>1</v>
      </c>
      <c r="K3602" s="63" t="s">
        <v>904</v>
      </c>
      <c r="L3602" s="63" t="s">
        <v>7999</v>
      </c>
      <c r="M3602" s="63" t="s">
        <v>8000</v>
      </c>
      <c r="N3602" s="63" t="s">
        <v>2113</v>
      </c>
    </row>
    <row r="3603" spans="1:14" x14ac:dyDescent="0.2">
      <c r="A3603" s="51">
        <v>3602</v>
      </c>
      <c r="B3603" s="54" t="s">
        <v>904</v>
      </c>
      <c r="C3603" s="47" t="s">
        <v>8001</v>
      </c>
      <c r="D3603" s="47" t="s">
        <v>8002</v>
      </c>
      <c r="E3603" s="47" t="s">
        <v>2113</v>
      </c>
      <c r="F3603" s="55" t="b">
        <v>1</v>
      </c>
      <c r="G3603" s="54" t="b">
        <v>1</v>
      </c>
      <c r="H3603" s="54" t="b">
        <v>1</v>
      </c>
      <c r="I3603" s="54" t="b">
        <v>1</v>
      </c>
      <c r="J3603" s="54" t="b">
        <v>1</v>
      </c>
      <c r="K3603" s="63" t="s">
        <v>904</v>
      </c>
      <c r="L3603" s="63" t="s">
        <v>8001</v>
      </c>
      <c r="M3603" s="63" t="s">
        <v>8002</v>
      </c>
      <c r="N3603" s="63" t="s">
        <v>2113</v>
      </c>
    </row>
    <row r="3604" spans="1:14" x14ac:dyDescent="0.2">
      <c r="A3604" s="51">
        <v>3603</v>
      </c>
      <c r="B3604" s="54" t="s">
        <v>904</v>
      </c>
      <c r="C3604" s="47" t="s">
        <v>8003</v>
      </c>
      <c r="D3604" s="47" t="s">
        <v>8004</v>
      </c>
      <c r="E3604" s="47" t="s">
        <v>2113</v>
      </c>
      <c r="F3604" s="55" t="b">
        <v>1</v>
      </c>
      <c r="G3604" s="54" t="b">
        <v>1</v>
      </c>
      <c r="H3604" s="54" t="b">
        <v>1</v>
      </c>
      <c r="I3604" s="54" t="b">
        <v>1</v>
      </c>
      <c r="J3604" s="54" t="b">
        <v>1</v>
      </c>
      <c r="K3604" s="63" t="s">
        <v>904</v>
      </c>
      <c r="L3604" s="63" t="s">
        <v>8003</v>
      </c>
      <c r="M3604" s="63" t="s">
        <v>8004</v>
      </c>
      <c r="N3604" s="63" t="s">
        <v>2113</v>
      </c>
    </row>
    <row r="3605" spans="1:14" x14ac:dyDescent="0.2">
      <c r="A3605" s="51">
        <v>3604</v>
      </c>
      <c r="B3605" s="54" t="s">
        <v>904</v>
      </c>
      <c r="C3605" s="47" t="s">
        <v>8005</v>
      </c>
      <c r="D3605" s="47" t="s">
        <v>8006</v>
      </c>
      <c r="E3605" s="47" t="s">
        <v>2113</v>
      </c>
      <c r="F3605" s="55" t="b">
        <v>1</v>
      </c>
      <c r="G3605" s="54" t="b">
        <v>1</v>
      </c>
      <c r="H3605" s="54" t="b">
        <v>1</v>
      </c>
      <c r="I3605" s="54" t="b">
        <v>1</v>
      </c>
      <c r="J3605" s="54" t="b">
        <v>1</v>
      </c>
      <c r="K3605" s="63" t="s">
        <v>904</v>
      </c>
      <c r="L3605" s="63" t="s">
        <v>8005</v>
      </c>
      <c r="M3605" s="63" t="s">
        <v>8006</v>
      </c>
      <c r="N3605" s="63" t="s">
        <v>2113</v>
      </c>
    </row>
    <row r="3606" spans="1:14" x14ac:dyDescent="0.2">
      <c r="A3606" s="51">
        <v>3605</v>
      </c>
      <c r="B3606" s="54" t="s">
        <v>904</v>
      </c>
      <c r="C3606" s="47" t="s">
        <v>8007</v>
      </c>
      <c r="D3606" s="47" t="s">
        <v>8008</v>
      </c>
      <c r="E3606" s="47" t="s">
        <v>2113</v>
      </c>
      <c r="F3606" s="55" t="b">
        <v>1</v>
      </c>
      <c r="G3606" s="54" t="b">
        <v>1</v>
      </c>
      <c r="H3606" s="54" t="b">
        <v>1</v>
      </c>
      <c r="I3606" s="54" t="b">
        <v>1</v>
      </c>
      <c r="J3606" s="54" t="b">
        <v>1</v>
      </c>
      <c r="K3606" s="63" t="s">
        <v>904</v>
      </c>
      <c r="L3606" s="63" t="s">
        <v>8007</v>
      </c>
      <c r="M3606" s="63" t="s">
        <v>8008</v>
      </c>
      <c r="N3606" s="63" t="s">
        <v>2113</v>
      </c>
    </row>
    <row r="3607" spans="1:14" x14ac:dyDescent="0.2">
      <c r="A3607" s="51">
        <v>3606</v>
      </c>
      <c r="B3607" s="54" t="s">
        <v>904</v>
      </c>
      <c r="C3607" s="47" t="s">
        <v>8009</v>
      </c>
      <c r="D3607" s="47" t="s">
        <v>8010</v>
      </c>
      <c r="E3607" s="47" t="s">
        <v>2113</v>
      </c>
      <c r="F3607" s="55" t="b">
        <v>1</v>
      </c>
      <c r="G3607" s="54" t="b">
        <v>1</v>
      </c>
      <c r="H3607" s="54" t="b">
        <v>1</v>
      </c>
      <c r="I3607" s="54" t="b">
        <v>1</v>
      </c>
      <c r="J3607" s="54" t="b">
        <v>1</v>
      </c>
      <c r="K3607" s="63" t="s">
        <v>904</v>
      </c>
      <c r="L3607" s="63" t="s">
        <v>8009</v>
      </c>
      <c r="M3607" s="63" t="s">
        <v>8010</v>
      </c>
      <c r="N3607" s="63" t="s">
        <v>2113</v>
      </c>
    </row>
    <row r="3608" spans="1:14" x14ac:dyDescent="0.2">
      <c r="A3608" s="51">
        <v>3607</v>
      </c>
      <c r="B3608" s="54" t="s">
        <v>904</v>
      </c>
      <c r="C3608" s="47" t="s">
        <v>8011</v>
      </c>
      <c r="D3608" s="47" t="s">
        <v>8012</v>
      </c>
      <c r="E3608" s="47" t="s">
        <v>2113</v>
      </c>
      <c r="F3608" s="55" t="b">
        <v>1</v>
      </c>
      <c r="G3608" s="54" t="b">
        <v>1</v>
      </c>
      <c r="H3608" s="54" t="b">
        <v>1</v>
      </c>
      <c r="I3608" s="54" t="b">
        <v>1</v>
      </c>
      <c r="J3608" s="54" t="b">
        <v>1</v>
      </c>
      <c r="K3608" s="63" t="s">
        <v>904</v>
      </c>
      <c r="L3608" s="63" t="s">
        <v>8011</v>
      </c>
      <c r="M3608" s="63" t="s">
        <v>8012</v>
      </c>
      <c r="N3608" s="63" t="s">
        <v>2113</v>
      </c>
    </row>
    <row r="3609" spans="1:14" x14ac:dyDescent="0.2">
      <c r="A3609" s="51">
        <v>3608</v>
      </c>
      <c r="B3609" s="54" t="s">
        <v>904</v>
      </c>
      <c r="C3609" s="47" t="s">
        <v>8013</v>
      </c>
      <c r="D3609" s="47" t="s">
        <v>8014</v>
      </c>
      <c r="E3609" s="47" t="s">
        <v>2113</v>
      </c>
      <c r="F3609" s="55" t="b">
        <v>1</v>
      </c>
      <c r="G3609" s="54" t="b">
        <v>1</v>
      </c>
      <c r="H3609" s="54" t="b">
        <v>1</v>
      </c>
      <c r="I3609" s="54" t="b">
        <v>1</v>
      </c>
      <c r="J3609" s="54" t="b">
        <v>1</v>
      </c>
      <c r="K3609" s="63" t="s">
        <v>904</v>
      </c>
      <c r="L3609" s="63" t="s">
        <v>8013</v>
      </c>
      <c r="M3609" s="63" t="s">
        <v>8014</v>
      </c>
      <c r="N3609" s="63" t="s">
        <v>2113</v>
      </c>
    </row>
    <row r="3610" spans="1:14" x14ac:dyDescent="0.2">
      <c r="A3610" s="51">
        <v>3609</v>
      </c>
      <c r="B3610" s="54" t="s">
        <v>904</v>
      </c>
      <c r="C3610" s="47" t="s">
        <v>8015</v>
      </c>
      <c r="D3610" s="47" t="s">
        <v>8016</v>
      </c>
      <c r="E3610" s="47" t="s">
        <v>2113</v>
      </c>
      <c r="F3610" s="55" t="b">
        <v>1</v>
      </c>
      <c r="G3610" s="54" t="b">
        <v>1</v>
      </c>
      <c r="H3610" s="54" t="b">
        <v>1</v>
      </c>
      <c r="I3610" s="54" t="b">
        <v>1</v>
      </c>
      <c r="J3610" s="54" t="b">
        <v>1</v>
      </c>
      <c r="K3610" s="63" t="s">
        <v>904</v>
      </c>
      <c r="L3610" s="63" t="s">
        <v>8015</v>
      </c>
      <c r="M3610" s="63" t="s">
        <v>8016</v>
      </c>
      <c r="N3610" s="63" t="s">
        <v>2113</v>
      </c>
    </row>
    <row r="3611" spans="1:14" x14ac:dyDescent="0.2">
      <c r="A3611" s="51">
        <v>3610</v>
      </c>
      <c r="G3611" s="65" t="b">
        <v>0</v>
      </c>
      <c r="H3611" s="65" t="b">
        <v>0</v>
      </c>
      <c r="I3611" s="65" t="b">
        <v>0</v>
      </c>
      <c r="J3611" s="65" t="b">
        <v>0</v>
      </c>
      <c r="K3611" s="63" t="s">
        <v>8017</v>
      </c>
      <c r="L3611" s="63" t="s">
        <v>8023</v>
      </c>
      <c r="M3611" s="63" t="s">
        <v>8024</v>
      </c>
      <c r="N3611" s="63" t="s">
        <v>2365</v>
      </c>
    </row>
    <row r="3612" spans="1:14" x14ac:dyDescent="0.2">
      <c r="A3612" s="51">
        <v>3611</v>
      </c>
      <c r="G3612" s="65" t="b">
        <v>0</v>
      </c>
      <c r="H3612" s="65" t="b">
        <v>0</v>
      </c>
      <c r="I3612" s="65" t="b">
        <v>0</v>
      </c>
      <c r="J3612" s="65" t="b">
        <v>0</v>
      </c>
      <c r="K3612" s="63" t="s">
        <v>8017</v>
      </c>
      <c r="L3612" s="63" t="s">
        <v>8023</v>
      </c>
      <c r="M3612" s="63" t="s">
        <v>8025</v>
      </c>
      <c r="N3612" s="63" t="s">
        <v>2365</v>
      </c>
    </row>
    <row r="3613" spans="1:14" x14ac:dyDescent="0.2">
      <c r="A3613" s="51">
        <v>3612</v>
      </c>
      <c r="G3613" s="65" t="b">
        <v>0</v>
      </c>
      <c r="H3613" s="65" t="b">
        <v>0</v>
      </c>
      <c r="I3613" s="65" t="b">
        <v>0</v>
      </c>
      <c r="J3613" s="65" t="b">
        <v>0</v>
      </c>
      <c r="K3613" s="63" t="s">
        <v>8017</v>
      </c>
      <c r="L3613" s="63" t="s">
        <v>8026</v>
      </c>
      <c r="M3613" s="63" t="s">
        <v>8027</v>
      </c>
      <c r="N3613" s="63" t="s">
        <v>2365</v>
      </c>
    </row>
    <row r="3614" spans="1:14" x14ac:dyDescent="0.2">
      <c r="A3614" s="51">
        <v>3613</v>
      </c>
      <c r="G3614" s="65" t="b">
        <v>0</v>
      </c>
      <c r="H3614" s="65" t="b">
        <v>0</v>
      </c>
      <c r="I3614" s="65" t="b">
        <v>0</v>
      </c>
      <c r="J3614" s="65" t="b">
        <v>0</v>
      </c>
      <c r="K3614" s="63" t="s">
        <v>8017</v>
      </c>
      <c r="L3614" s="63" t="s">
        <v>8026</v>
      </c>
      <c r="M3614" s="63" t="s">
        <v>8028</v>
      </c>
      <c r="N3614" s="63" t="s">
        <v>2365</v>
      </c>
    </row>
    <row r="3615" spans="1:14" x14ac:dyDescent="0.2">
      <c r="A3615" s="51">
        <v>3614</v>
      </c>
      <c r="G3615" s="65" t="b">
        <v>0</v>
      </c>
      <c r="H3615" s="65" t="b">
        <v>0</v>
      </c>
      <c r="I3615" s="65" t="b">
        <v>0</v>
      </c>
      <c r="J3615" s="65" t="b">
        <v>0</v>
      </c>
      <c r="K3615" s="63" t="s">
        <v>8017</v>
      </c>
      <c r="L3615" s="63" t="s">
        <v>8029</v>
      </c>
      <c r="M3615" s="63" t="s">
        <v>7544</v>
      </c>
      <c r="N3615" s="63" t="s">
        <v>2365</v>
      </c>
    </row>
    <row r="3616" spans="1:14" x14ac:dyDescent="0.2">
      <c r="A3616" s="51">
        <v>3615</v>
      </c>
      <c r="G3616" s="65" t="b">
        <v>0</v>
      </c>
      <c r="H3616" s="65" t="b">
        <v>0</v>
      </c>
      <c r="I3616" s="65" t="b">
        <v>0</v>
      </c>
      <c r="J3616" s="65" t="b">
        <v>0</v>
      </c>
      <c r="K3616" s="63" t="s">
        <v>8017</v>
      </c>
      <c r="L3616" s="63" t="s">
        <v>8029</v>
      </c>
      <c r="M3616" s="63" t="s">
        <v>8030</v>
      </c>
      <c r="N3616" s="63" t="s">
        <v>2365</v>
      </c>
    </row>
    <row r="3617" spans="1:14" x14ac:dyDescent="0.2">
      <c r="A3617" s="51">
        <v>3616</v>
      </c>
      <c r="G3617" s="65" t="b">
        <v>0</v>
      </c>
      <c r="H3617" s="65" t="b">
        <v>0</v>
      </c>
      <c r="I3617" s="65" t="b">
        <v>0</v>
      </c>
      <c r="J3617" s="65" t="b">
        <v>0</v>
      </c>
      <c r="K3617" s="63" t="s">
        <v>8017</v>
      </c>
      <c r="L3617" s="63" t="s">
        <v>8018</v>
      </c>
      <c r="M3617" s="63" t="s">
        <v>8019</v>
      </c>
      <c r="N3617" s="63" t="s">
        <v>2365</v>
      </c>
    </row>
    <row r="3618" spans="1:14" x14ac:dyDescent="0.2">
      <c r="A3618" s="51">
        <v>3617</v>
      </c>
      <c r="G3618" s="65" t="b">
        <v>0</v>
      </c>
      <c r="H3618" s="65" t="b">
        <v>0</v>
      </c>
      <c r="I3618" s="65" t="b">
        <v>0</v>
      </c>
      <c r="J3618" s="65" t="b">
        <v>0</v>
      </c>
      <c r="K3618" s="63" t="s">
        <v>8017</v>
      </c>
      <c r="L3618" s="63" t="s">
        <v>8018</v>
      </c>
      <c r="M3618" s="63" t="s">
        <v>8031</v>
      </c>
      <c r="N3618" s="63" t="s">
        <v>2365</v>
      </c>
    </row>
    <row r="3619" spans="1:14" x14ac:dyDescent="0.2">
      <c r="A3619" s="51">
        <v>3618</v>
      </c>
      <c r="G3619" s="65" t="b">
        <v>0</v>
      </c>
      <c r="H3619" s="65" t="b">
        <v>0</v>
      </c>
      <c r="I3619" s="65" t="b">
        <v>0</v>
      </c>
      <c r="J3619" s="65" t="b">
        <v>0</v>
      </c>
      <c r="K3619" s="63" t="s">
        <v>8017</v>
      </c>
      <c r="L3619" s="63" t="s">
        <v>8020</v>
      </c>
      <c r="M3619" s="63" t="s">
        <v>5432</v>
      </c>
      <c r="N3619" s="63" t="s">
        <v>2365</v>
      </c>
    </row>
    <row r="3620" spans="1:14" x14ac:dyDescent="0.2">
      <c r="A3620" s="51">
        <v>3619</v>
      </c>
      <c r="G3620" s="65" t="b">
        <v>0</v>
      </c>
      <c r="H3620" s="65" t="b">
        <v>0</v>
      </c>
      <c r="I3620" s="65" t="b">
        <v>0</v>
      </c>
      <c r="J3620" s="65" t="b">
        <v>0</v>
      </c>
      <c r="K3620" s="63" t="s">
        <v>8017</v>
      </c>
      <c r="L3620" s="63" t="s">
        <v>8020</v>
      </c>
      <c r="M3620" s="63" t="s">
        <v>8036</v>
      </c>
      <c r="N3620" s="63" t="s">
        <v>2365</v>
      </c>
    </row>
    <row r="3621" spans="1:14" x14ac:dyDescent="0.2">
      <c r="A3621" s="51">
        <v>3620</v>
      </c>
      <c r="G3621" s="65" t="b">
        <v>0</v>
      </c>
      <c r="H3621" s="65" t="b">
        <v>0</v>
      </c>
      <c r="I3621" s="65" t="b">
        <v>0</v>
      </c>
      <c r="J3621" s="65" t="b">
        <v>0</v>
      </c>
      <c r="K3621" s="63" t="s">
        <v>8017</v>
      </c>
      <c r="L3621" s="63" t="s">
        <v>8032</v>
      </c>
      <c r="M3621" s="63" t="s">
        <v>8033</v>
      </c>
      <c r="N3621" s="63" t="s">
        <v>2365</v>
      </c>
    </row>
    <row r="3622" spans="1:14" x14ac:dyDescent="0.2">
      <c r="A3622" s="51">
        <v>3621</v>
      </c>
      <c r="G3622" s="65" t="b">
        <v>0</v>
      </c>
      <c r="H3622" s="65" t="b">
        <v>0</v>
      </c>
      <c r="I3622" s="65" t="b">
        <v>0</v>
      </c>
      <c r="J3622" s="65" t="b">
        <v>0</v>
      </c>
      <c r="K3622" s="63" t="s">
        <v>8017</v>
      </c>
      <c r="L3622" s="63" t="s">
        <v>8032</v>
      </c>
      <c r="M3622" s="63" t="s">
        <v>8034</v>
      </c>
      <c r="N3622" s="63" t="s">
        <v>2365</v>
      </c>
    </row>
    <row r="3623" spans="1:14" x14ac:dyDescent="0.2">
      <c r="A3623" s="51">
        <v>3622</v>
      </c>
      <c r="G3623" s="65" t="b">
        <v>0</v>
      </c>
      <c r="H3623" s="65" t="b">
        <v>0</v>
      </c>
      <c r="I3623" s="65" t="b">
        <v>0</v>
      </c>
      <c r="J3623" s="65" t="b">
        <v>0</v>
      </c>
      <c r="K3623" s="63" t="s">
        <v>8017</v>
      </c>
      <c r="L3623" s="63" t="s">
        <v>8021</v>
      </c>
      <c r="M3623" s="63" t="s">
        <v>8022</v>
      </c>
      <c r="N3623" s="63" t="s">
        <v>2365</v>
      </c>
    </row>
    <row r="3624" spans="1:14" x14ac:dyDescent="0.2">
      <c r="A3624" s="51">
        <v>3623</v>
      </c>
      <c r="G3624" s="65" t="b">
        <v>0</v>
      </c>
      <c r="H3624" s="65" t="b">
        <v>0</v>
      </c>
      <c r="I3624" s="65" t="b">
        <v>0</v>
      </c>
      <c r="J3624" s="65" t="b">
        <v>0</v>
      </c>
      <c r="K3624" s="63" t="s">
        <v>8017</v>
      </c>
      <c r="L3624" s="63" t="s">
        <v>8021</v>
      </c>
      <c r="M3624" s="63" t="s">
        <v>8035</v>
      </c>
      <c r="N3624" s="63" t="s">
        <v>2365</v>
      </c>
    </row>
    <row r="3625" spans="1:14" x14ac:dyDescent="0.2">
      <c r="A3625" s="51">
        <v>3624</v>
      </c>
      <c r="G3625" s="65" t="b">
        <v>0</v>
      </c>
      <c r="H3625" s="65" t="b">
        <v>0</v>
      </c>
      <c r="I3625" s="65" t="b">
        <v>0</v>
      </c>
      <c r="J3625" s="65" t="b">
        <v>0</v>
      </c>
      <c r="K3625" s="63" t="s">
        <v>8017</v>
      </c>
      <c r="L3625" s="63" t="s">
        <v>8037</v>
      </c>
      <c r="M3625" s="63" t="s">
        <v>8038</v>
      </c>
      <c r="N3625" s="63" t="s">
        <v>2365</v>
      </c>
    </row>
    <row r="3626" spans="1:14" x14ac:dyDescent="0.2">
      <c r="A3626" s="51">
        <v>3625</v>
      </c>
      <c r="G3626" s="65" t="b">
        <v>0</v>
      </c>
      <c r="H3626" s="65" t="b">
        <v>0</v>
      </c>
      <c r="I3626" s="65" t="b">
        <v>0</v>
      </c>
      <c r="J3626" s="65" t="b">
        <v>0</v>
      </c>
      <c r="K3626" s="63" t="s">
        <v>8017</v>
      </c>
      <c r="L3626" s="63" t="s">
        <v>8037</v>
      </c>
      <c r="M3626" s="63" t="s">
        <v>8039</v>
      </c>
      <c r="N3626" s="63" t="s">
        <v>2365</v>
      </c>
    </row>
    <row r="3627" spans="1:14" x14ac:dyDescent="0.2">
      <c r="A3627" s="51">
        <v>3626</v>
      </c>
      <c r="G3627" s="65" t="b">
        <v>0</v>
      </c>
      <c r="H3627" s="65" t="b">
        <v>0</v>
      </c>
      <c r="I3627" s="65" t="b">
        <v>0</v>
      </c>
      <c r="J3627" s="65" t="b">
        <v>0</v>
      </c>
      <c r="K3627" s="63" t="s">
        <v>8017</v>
      </c>
      <c r="L3627" s="63" t="s">
        <v>8040</v>
      </c>
      <c r="M3627" s="63" t="s">
        <v>8041</v>
      </c>
      <c r="N3627" s="63" t="s">
        <v>2365</v>
      </c>
    </row>
    <row r="3628" spans="1:14" x14ac:dyDescent="0.2">
      <c r="A3628" s="51">
        <v>3627</v>
      </c>
      <c r="G3628" s="65" t="b">
        <v>0</v>
      </c>
      <c r="H3628" s="65" t="b">
        <v>0</v>
      </c>
      <c r="I3628" s="65" t="b">
        <v>0</v>
      </c>
      <c r="J3628" s="65" t="b">
        <v>0</v>
      </c>
      <c r="K3628" s="63" t="s">
        <v>8017</v>
      </c>
      <c r="L3628" s="63" t="s">
        <v>8040</v>
      </c>
      <c r="M3628" s="63" t="s">
        <v>8044</v>
      </c>
      <c r="N3628" s="63" t="s">
        <v>2365</v>
      </c>
    </row>
    <row r="3629" spans="1:14" x14ac:dyDescent="0.2">
      <c r="A3629" s="51">
        <v>3628</v>
      </c>
      <c r="G3629" s="65" t="b">
        <v>0</v>
      </c>
      <c r="H3629" s="65" t="b">
        <v>0</v>
      </c>
      <c r="I3629" s="65" t="b">
        <v>0</v>
      </c>
      <c r="J3629" s="65" t="b">
        <v>0</v>
      </c>
      <c r="K3629" s="63" t="s">
        <v>8017</v>
      </c>
      <c r="L3629" s="63" t="s">
        <v>8042</v>
      </c>
      <c r="M3629" s="63" t="s">
        <v>8043</v>
      </c>
      <c r="N3629" s="63" t="s">
        <v>2365</v>
      </c>
    </row>
    <row r="3630" spans="1:14" x14ac:dyDescent="0.2">
      <c r="A3630" s="51">
        <v>3629</v>
      </c>
      <c r="G3630" s="65" t="b">
        <v>0</v>
      </c>
      <c r="H3630" s="65" t="b">
        <v>0</v>
      </c>
      <c r="I3630" s="65" t="b">
        <v>0</v>
      </c>
      <c r="J3630" s="65" t="b">
        <v>0</v>
      </c>
      <c r="K3630" s="63" t="s">
        <v>8017</v>
      </c>
      <c r="L3630" s="63" t="s">
        <v>8042</v>
      </c>
      <c r="M3630" s="63" t="s">
        <v>8057</v>
      </c>
      <c r="N3630" s="63" t="s">
        <v>2365</v>
      </c>
    </row>
    <row r="3631" spans="1:14" x14ac:dyDescent="0.2">
      <c r="A3631" s="51">
        <v>3630</v>
      </c>
      <c r="G3631" s="65" t="b">
        <v>0</v>
      </c>
      <c r="H3631" s="65" t="b">
        <v>0</v>
      </c>
      <c r="I3631" s="65" t="b">
        <v>0</v>
      </c>
      <c r="J3631" s="65" t="b">
        <v>0</v>
      </c>
      <c r="K3631" s="63" t="s">
        <v>8017</v>
      </c>
      <c r="L3631" s="63" t="s">
        <v>8045</v>
      </c>
      <c r="M3631" s="63" t="s">
        <v>8046</v>
      </c>
      <c r="N3631" s="63" t="s">
        <v>2365</v>
      </c>
    </row>
    <row r="3632" spans="1:14" x14ac:dyDescent="0.2">
      <c r="A3632" s="51">
        <v>3631</v>
      </c>
      <c r="G3632" s="65" t="b">
        <v>0</v>
      </c>
      <c r="H3632" s="65" t="b">
        <v>0</v>
      </c>
      <c r="I3632" s="65" t="b">
        <v>0</v>
      </c>
      <c r="J3632" s="65" t="b">
        <v>0</v>
      </c>
      <c r="K3632" s="63" t="s">
        <v>8017</v>
      </c>
      <c r="L3632" s="63" t="s">
        <v>8045</v>
      </c>
      <c r="M3632" s="63" t="s">
        <v>8047</v>
      </c>
      <c r="N3632" s="63" t="s">
        <v>2365</v>
      </c>
    </row>
    <row r="3633" spans="1:14" x14ac:dyDescent="0.2">
      <c r="A3633" s="51">
        <v>3632</v>
      </c>
      <c r="G3633" s="65" t="b">
        <v>0</v>
      </c>
      <c r="H3633" s="65" t="b">
        <v>0</v>
      </c>
      <c r="I3633" s="65" t="b">
        <v>0</v>
      </c>
      <c r="J3633" s="65" t="b">
        <v>0</v>
      </c>
      <c r="K3633" s="63" t="s">
        <v>8017</v>
      </c>
      <c r="L3633" s="63" t="s">
        <v>8051</v>
      </c>
      <c r="M3633" s="63" t="s">
        <v>8052</v>
      </c>
      <c r="N3633" s="63" t="s">
        <v>2365</v>
      </c>
    </row>
    <row r="3634" spans="1:14" x14ac:dyDescent="0.2">
      <c r="A3634" s="51">
        <v>3633</v>
      </c>
      <c r="G3634" s="65" t="b">
        <v>0</v>
      </c>
      <c r="H3634" s="65" t="b">
        <v>0</v>
      </c>
      <c r="I3634" s="65" t="b">
        <v>0</v>
      </c>
      <c r="J3634" s="65" t="b">
        <v>0</v>
      </c>
      <c r="K3634" s="63" t="s">
        <v>8017</v>
      </c>
      <c r="L3634" s="63" t="s">
        <v>8051</v>
      </c>
      <c r="M3634" s="63" t="s">
        <v>8053</v>
      </c>
      <c r="N3634" s="63" t="s">
        <v>2365</v>
      </c>
    </row>
    <row r="3635" spans="1:14" x14ac:dyDescent="0.2">
      <c r="A3635" s="51">
        <v>3634</v>
      </c>
      <c r="G3635" s="65" t="b">
        <v>0</v>
      </c>
      <c r="H3635" s="65" t="b">
        <v>0</v>
      </c>
      <c r="I3635" s="65" t="b">
        <v>0</v>
      </c>
      <c r="J3635" s="65" t="b">
        <v>0</v>
      </c>
      <c r="K3635" s="63" t="s">
        <v>8017</v>
      </c>
      <c r="L3635" s="63" t="s">
        <v>8048</v>
      </c>
      <c r="M3635" s="63" t="s">
        <v>8049</v>
      </c>
      <c r="N3635" s="63" t="s">
        <v>2365</v>
      </c>
    </row>
    <row r="3636" spans="1:14" x14ac:dyDescent="0.2">
      <c r="A3636" s="51">
        <v>3635</v>
      </c>
      <c r="G3636" s="65" t="b">
        <v>0</v>
      </c>
      <c r="H3636" s="65" t="b">
        <v>0</v>
      </c>
      <c r="I3636" s="65" t="b">
        <v>0</v>
      </c>
      <c r="J3636" s="65" t="b">
        <v>0</v>
      </c>
      <c r="K3636" s="63" t="s">
        <v>8017</v>
      </c>
      <c r="L3636" s="63" t="s">
        <v>8048</v>
      </c>
      <c r="M3636" s="63" t="s">
        <v>8050</v>
      </c>
      <c r="N3636" s="63" t="s">
        <v>2365</v>
      </c>
    </row>
    <row r="3637" spans="1:14" x14ac:dyDescent="0.2">
      <c r="A3637" s="51">
        <v>3636</v>
      </c>
      <c r="G3637" s="65" t="b">
        <v>0</v>
      </c>
      <c r="H3637" s="65" t="b">
        <v>0</v>
      </c>
      <c r="I3637" s="65" t="b">
        <v>0</v>
      </c>
      <c r="J3637" s="65" t="b">
        <v>0</v>
      </c>
      <c r="K3637" s="63" t="s">
        <v>8017</v>
      </c>
      <c r="L3637" s="63" t="s">
        <v>8054</v>
      </c>
      <c r="M3637" s="63" t="s">
        <v>8055</v>
      </c>
      <c r="N3637" s="63" t="s">
        <v>2365</v>
      </c>
    </row>
    <row r="3638" spans="1:14" x14ac:dyDescent="0.2">
      <c r="A3638" s="51">
        <v>3637</v>
      </c>
      <c r="G3638" s="65" t="b">
        <v>0</v>
      </c>
      <c r="H3638" s="65" t="b">
        <v>0</v>
      </c>
      <c r="I3638" s="65" t="b">
        <v>0</v>
      </c>
      <c r="J3638" s="65" t="b">
        <v>0</v>
      </c>
      <c r="K3638" s="63" t="s">
        <v>8017</v>
      </c>
      <c r="L3638" s="63" t="s">
        <v>8054</v>
      </c>
      <c r="M3638" s="63" t="s">
        <v>8056</v>
      </c>
      <c r="N3638" s="63" t="s">
        <v>2365</v>
      </c>
    </row>
    <row r="3639" spans="1:14" x14ac:dyDescent="0.2">
      <c r="A3639" s="51">
        <v>3638</v>
      </c>
      <c r="G3639" s="65" t="b">
        <v>0</v>
      </c>
      <c r="H3639" s="65" t="b">
        <v>0</v>
      </c>
      <c r="I3639" s="65" t="b">
        <v>0</v>
      </c>
      <c r="J3639" s="65" t="b">
        <v>0</v>
      </c>
      <c r="K3639" s="63" t="s">
        <v>8017</v>
      </c>
      <c r="L3639" s="63" t="s">
        <v>8058</v>
      </c>
      <c r="M3639" s="63" t="s">
        <v>8059</v>
      </c>
      <c r="N3639" s="63" t="s">
        <v>2365</v>
      </c>
    </row>
    <row r="3640" spans="1:14" x14ac:dyDescent="0.2">
      <c r="A3640" s="51">
        <v>3639</v>
      </c>
      <c r="G3640" s="65" t="b">
        <v>0</v>
      </c>
      <c r="H3640" s="65" t="b">
        <v>0</v>
      </c>
      <c r="I3640" s="65" t="b">
        <v>0</v>
      </c>
      <c r="J3640" s="65" t="b">
        <v>0</v>
      </c>
      <c r="K3640" s="63" t="s">
        <v>8017</v>
      </c>
      <c r="L3640" s="63" t="s">
        <v>8058</v>
      </c>
      <c r="M3640" s="63" t="s">
        <v>8062</v>
      </c>
      <c r="N3640" s="63" t="s">
        <v>2365</v>
      </c>
    </row>
    <row r="3641" spans="1:14" x14ac:dyDescent="0.2">
      <c r="A3641" s="51">
        <v>3640</v>
      </c>
      <c r="G3641" s="65" t="b">
        <v>0</v>
      </c>
      <c r="H3641" s="65" t="b">
        <v>0</v>
      </c>
      <c r="I3641" s="65" t="b">
        <v>0</v>
      </c>
      <c r="J3641" s="65" t="b">
        <v>0</v>
      </c>
      <c r="K3641" s="63" t="s">
        <v>8017</v>
      </c>
      <c r="L3641" s="63" t="s">
        <v>8060</v>
      </c>
      <c r="M3641" s="63" t="s">
        <v>8061</v>
      </c>
      <c r="N3641" s="63" t="s">
        <v>2365</v>
      </c>
    </row>
    <row r="3642" spans="1:14" x14ac:dyDescent="0.2">
      <c r="A3642" s="51">
        <v>3641</v>
      </c>
      <c r="G3642" s="65" t="b">
        <v>0</v>
      </c>
      <c r="H3642" s="65" t="b">
        <v>0</v>
      </c>
      <c r="I3642" s="65" t="b">
        <v>0</v>
      </c>
      <c r="J3642" s="65" t="b">
        <v>0</v>
      </c>
      <c r="K3642" s="63" t="s">
        <v>8017</v>
      </c>
      <c r="L3642" s="63" t="s">
        <v>8060</v>
      </c>
      <c r="M3642" s="63" t="s">
        <v>8063</v>
      </c>
      <c r="N3642" s="63" t="s">
        <v>2365</v>
      </c>
    </row>
    <row r="3643" spans="1:14" x14ac:dyDescent="0.2">
      <c r="A3643" s="51">
        <v>3642</v>
      </c>
      <c r="B3643" s="54" t="s">
        <v>910</v>
      </c>
      <c r="C3643" s="47" t="s">
        <v>8064</v>
      </c>
      <c r="D3643" s="47" t="s">
        <v>8065</v>
      </c>
      <c r="E3643" s="47" t="s">
        <v>1719</v>
      </c>
      <c r="F3643" s="55" t="b">
        <v>1</v>
      </c>
      <c r="G3643" s="54" t="b">
        <v>1</v>
      </c>
      <c r="H3643" s="54" t="b">
        <v>1</v>
      </c>
      <c r="I3643" s="54" t="b">
        <v>1</v>
      </c>
      <c r="J3643" s="54" t="b">
        <v>1</v>
      </c>
      <c r="K3643" s="63" t="s">
        <v>910</v>
      </c>
      <c r="L3643" s="63" t="s">
        <v>8064</v>
      </c>
      <c r="M3643" s="63" t="s">
        <v>8065</v>
      </c>
      <c r="N3643" s="63" t="s">
        <v>1719</v>
      </c>
    </row>
    <row r="3644" spans="1:14" x14ac:dyDescent="0.2">
      <c r="A3644" s="51">
        <v>3643</v>
      </c>
      <c r="B3644" s="54" t="s">
        <v>910</v>
      </c>
      <c r="C3644" s="47" t="s">
        <v>13111</v>
      </c>
      <c r="D3644" s="47" t="s">
        <v>13112</v>
      </c>
      <c r="E3644" s="47" t="s">
        <v>1719</v>
      </c>
      <c r="F3644" s="55" t="b">
        <v>1</v>
      </c>
      <c r="G3644" s="65" t="b">
        <v>0</v>
      </c>
      <c r="H3644" s="65" t="b">
        <v>0</v>
      </c>
      <c r="I3644" s="65" t="b">
        <v>0</v>
      </c>
      <c r="J3644" s="65" t="b">
        <v>0</v>
      </c>
    </row>
    <row r="3645" spans="1:14" x14ac:dyDescent="0.2">
      <c r="A3645" s="51">
        <v>3644</v>
      </c>
      <c r="B3645" s="54" t="s">
        <v>910</v>
      </c>
      <c r="C3645" s="47" t="s">
        <v>8068</v>
      </c>
      <c r="D3645" s="47" t="s">
        <v>8069</v>
      </c>
      <c r="E3645" s="47" t="s">
        <v>1719</v>
      </c>
      <c r="F3645" s="55" t="b">
        <v>1</v>
      </c>
      <c r="G3645" s="54" t="b">
        <v>1</v>
      </c>
      <c r="H3645" s="54" t="b">
        <v>1</v>
      </c>
      <c r="I3645" s="54" t="b">
        <v>1</v>
      </c>
      <c r="J3645" s="54" t="b">
        <v>1</v>
      </c>
      <c r="K3645" s="63" t="s">
        <v>910</v>
      </c>
      <c r="L3645" s="63" t="s">
        <v>8068</v>
      </c>
      <c r="M3645" s="63" t="s">
        <v>8069</v>
      </c>
      <c r="N3645" s="63" t="s">
        <v>1719</v>
      </c>
    </row>
    <row r="3646" spans="1:14" x14ac:dyDescent="0.2">
      <c r="A3646" s="51">
        <v>3645</v>
      </c>
      <c r="B3646" s="54" t="s">
        <v>910</v>
      </c>
      <c r="C3646" s="47" t="s">
        <v>8070</v>
      </c>
      <c r="D3646" s="47" t="s">
        <v>4960</v>
      </c>
      <c r="E3646" s="47" t="s">
        <v>1719</v>
      </c>
      <c r="F3646" s="55" t="b">
        <v>1</v>
      </c>
      <c r="G3646" s="54" t="b">
        <v>1</v>
      </c>
      <c r="H3646" s="54" t="b">
        <v>1</v>
      </c>
      <c r="I3646" s="54" t="b">
        <v>1</v>
      </c>
      <c r="J3646" s="54" t="b">
        <v>1</v>
      </c>
      <c r="K3646" s="63" t="s">
        <v>910</v>
      </c>
      <c r="L3646" s="63" t="s">
        <v>8070</v>
      </c>
      <c r="M3646" s="63" t="s">
        <v>4960</v>
      </c>
      <c r="N3646" s="63" t="s">
        <v>1719</v>
      </c>
    </row>
    <row r="3647" spans="1:14" x14ac:dyDescent="0.2">
      <c r="A3647" s="51">
        <v>3646</v>
      </c>
      <c r="B3647" s="54" t="s">
        <v>910</v>
      </c>
      <c r="C3647" s="47" t="s">
        <v>8066</v>
      </c>
      <c r="D3647" s="47" t="s">
        <v>8067</v>
      </c>
      <c r="E3647" s="47" t="s">
        <v>1719</v>
      </c>
      <c r="F3647" s="55" t="b">
        <v>1</v>
      </c>
      <c r="G3647" s="54" t="b">
        <v>1</v>
      </c>
      <c r="H3647" s="54" t="b">
        <v>1</v>
      </c>
      <c r="I3647" s="54" t="b">
        <v>1</v>
      </c>
      <c r="J3647" s="54" t="b">
        <v>1</v>
      </c>
      <c r="K3647" s="63" t="s">
        <v>910</v>
      </c>
      <c r="L3647" s="63" t="s">
        <v>8066</v>
      </c>
      <c r="M3647" s="63" t="s">
        <v>8067</v>
      </c>
      <c r="N3647" s="63" t="s">
        <v>1719</v>
      </c>
    </row>
    <row r="3648" spans="1:14" x14ac:dyDescent="0.2">
      <c r="A3648" s="51">
        <v>3647</v>
      </c>
      <c r="B3648" s="54" t="s">
        <v>910</v>
      </c>
      <c r="C3648" s="47" t="s">
        <v>8071</v>
      </c>
      <c r="D3648" s="47" t="s">
        <v>8072</v>
      </c>
      <c r="E3648" s="47" t="s">
        <v>1719</v>
      </c>
      <c r="F3648" s="55" t="b">
        <v>1</v>
      </c>
      <c r="G3648" s="54" t="b">
        <v>1</v>
      </c>
      <c r="H3648" s="54" t="b">
        <v>1</v>
      </c>
      <c r="I3648" s="54" t="b">
        <v>1</v>
      </c>
      <c r="J3648" s="54" t="b">
        <v>1</v>
      </c>
      <c r="K3648" s="63" t="s">
        <v>910</v>
      </c>
      <c r="L3648" s="63" t="s">
        <v>8071</v>
      </c>
      <c r="M3648" s="63" t="s">
        <v>8072</v>
      </c>
      <c r="N3648" s="63" t="s">
        <v>1719</v>
      </c>
    </row>
    <row r="3649" spans="1:14" x14ac:dyDescent="0.2">
      <c r="A3649" s="51">
        <v>3648</v>
      </c>
      <c r="B3649" s="54" t="s">
        <v>910</v>
      </c>
      <c r="C3649" s="47" t="s">
        <v>8076</v>
      </c>
      <c r="D3649" s="47" t="s">
        <v>8077</v>
      </c>
      <c r="E3649" s="47" t="s">
        <v>1719</v>
      </c>
      <c r="F3649" s="55" t="b">
        <v>1</v>
      </c>
      <c r="G3649" s="54" t="b">
        <v>1</v>
      </c>
      <c r="H3649" s="54" t="b">
        <v>1</v>
      </c>
      <c r="I3649" s="54" t="b">
        <v>1</v>
      </c>
      <c r="J3649" s="54" t="b">
        <v>1</v>
      </c>
      <c r="K3649" s="63" t="s">
        <v>910</v>
      </c>
      <c r="L3649" s="63" t="s">
        <v>8076</v>
      </c>
      <c r="M3649" s="63" t="s">
        <v>8077</v>
      </c>
      <c r="N3649" s="63" t="s">
        <v>1719</v>
      </c>
    </row>
    <row r="3650" spans="1:14" x14ac:dyDescent="0.2">
      <c r="A3650" s="51">
        <v>3649</v>
      </c>
      <c r="B3650" s="54" t="s">
        <v>910</v>
      </c>
      <c r="C3650" s="47" t="s">
        <v>8080</v>
      </c>
      <c r="D3650" s="47" t="s">
        <v>8081</v>
      </c>
      <c r="E3650" s="47" t="s">
        <v>1719</v>
      </c>
      <c r="F3650" s="55" t="b">
        <v>1</v>
      </c>
      <c r="G3650" s="54" t="b">
        <v>1</v>
      </c>
      <c r="H3650" s="54" t="b">
        <v>1</v>
      </c>
      <c r="I3650" s="54" t="b">
        <v>1</v>
      </c>
      <c r="J3650" s="54" t="b">
        <v>1</v>
      </c>
      <c r="K3650" s="63" t="s">
        <v>910</v>
      </c>
      <c r="L3650" s="63" t="s">
        <v>8080</v>
      </c>
      <c r="M3650" s="63" t="s">
        <v>8081</v>
      </c>
      <c r="N3650" s="63" t="s">
        <v>1719</v>
      </c>
    </row>
    <row r="3651" spans="1:14" x14ac:dyDescent="0.2">
      <c r="A3651" s="51">
        <v>3650</v>
      </c>
      <c r="B3651" s="54" t="s">
        <v>910</v>
      </c>
      <c r="C3651" s="47" t="s">
        <v>8084</v>
      </c>
      <c r="D3651" s="47" t="s">
        <v>8085</v>
      </c>
      <c r="E3651" s="47" t="s">
        <v>1719</v>
      </c>
      <c r="F3651" s="55" t="b">
        <v>1</v>
      </c>
      <c r="G3651" s="54" t="b">
        <v>1</v>
      </c>
      <c r="H3651" s="54" t="b">
        <v>1</v>
      </c>
      <c r="I3651" s="54" t="b">
        <v>1</v>
      </c>
      <c r="J3651" s="54" t="b">
        <v>1</v>
      </c>
      <c r="K3651" s="63" t="s">
        <v>910</v>
      </c>
      <c r="L3651" s="63" t="s">
        <v>8084</v>
      </c>
      <c r="M3651" s="63" t="s">
        <v>8085</v>
      </c>
      <c r="N3651" s="63" t="s">
        <v>1719</v>
      </c>
    </row>
    <row r="3652" spans="1:14" x14ac:dyDescent="0.2">
      <c r="A3652" s="51">
        <v>3651</v>
      </c>
      <c r="B3652" s="54" t="s">
        <v>910</v>
      </c>
      <c r="C3652" s="47" t="s">
        <v>8086</v>
      </c>
      <c r="D3652" s="47" t="s">
        <v>8087</v>
      </c>
      <c r="E3652" s="47" t="s">
        <v>1719</v>
      </c>
      <c r="F3652" s="55" t="b">
        <v>1</v>
      </c>
      <c r="G3652" s="54" t="b">
        <v>1</v>
      </c>
      <c r="H3652" s="54" t="b">
        <v>1</v>
      </c>
      <c r="I3652" s="54" t="b">
        <v>1</v>
      </c>
      <c r="J3652" s="54" t="b">
        <v>1</v>
      </c>
      <c r="K3652" s="63" t="s">
        <v>910</v>
      </c>
      <c r="L3652" s="63" t="s">
        <v>8086</v>
      </c>
      <c r="M3652" s="63" t="s">
        <v>8087</v>
      </c>
      <c r="N3652" s="63" t="s">
        <v>1719</v>
      </c>
    </row>
    <row r="3653" spans="1:14" x14ac:dyDescent="0.2">
      <c r="A3653" s="51">
        <v>3652</v>
      </c>
      <c r="B3653" s="54" t="s">
        <v>910</v>
      </c>
      <c r="C3653" s="47" t="s">
        <v>8073</v>
      </c>
      <c r="D3653" s="47" t="s">
        <v>13110</v>
      </c>
      <c r="E3653" s="47" t="s">
        <v>8075</v>
      </c>
      <c r="F3653" s="55" t="b">
        <v>1</v>
      </c>
      <c r="G3653" s="54" t="b">
        <v>1</v>
      </c>
      <c r="H3653" s="54" t="b">
        <v>1</v>
      </c>
      <c r="I3653" s="65" t="b">
        <v>0</v>
      </c>
      <c r="J3653" s="54" t="b">
        <v>1</v>
      </c>
      <c r="K3653" s="63" t="s">
        <v>910</v>
      </c>
      <c r="L3653" s="63" t="s">
        <v>8073</v>
      </c>
      <c r="M3653" s="63" t="s">
        <v>8074</v>
      </c>
      <c r="N3653" s="63" t="s">
        <v>8075</v>
      </c>
    </row>
    <row r="3654" spans="1:14" x14ac:dyDescent="0.2">
      <c r="A3654" s="51">
        <v>3653</v>
      </c>
      <c r="B3654" s="54" t="s">
        <v>910</v>
      </c>
      <c r="C3654" s="47" t="s">
        <v>8078</v>
      </c>
      <c r="D3654" s="47" t="s">
        <v>8079</v>
      </c>
      <c r="E3654" s="47" t="s">
        <v>8075</v>
      </c>
      <c r="F3654" s="55" t="b">
        <v>1</v>
      </c>
      <c r="G3654" s="54" t="b">
        <v>1</v>
      </c>
      <c r="H3654" s="54" t="b">
        <v>1</v>
      </c>
      <c r="I3654" s="54" t="b">
        <v>1</v>
      </c>
      <c r="J3654" s="54" t="b">
        <v>1</v>
      </c>
      <c r="K3654" s="63" t="s">
        <v>910</v>
      </c>
      <c r="L3654" s="63" t="s">
        <v>8078</v>
      </c>
      <c r="M3654" s="63" t="s">
        <v>8079</v>
      </c>
      <c r="N3654" s="63" t="s">
        <v>8075</v>
      </c>
    </row>
    <row r="3655" spans="1:14" x14ac:dyDescent="0.2">
      <c r="A3655" s="51">
        <v>3654</v>
      </c>
      <c r="B3655" s="54" t="s">
        <v>910</v>
      </c>
      <c r="C3655" s="47" t="s">
        <v>8082</v>
      </c>
      <c r="D3655" s="47" t="s">
        <v>8083</v>
      </c>
      <c r="E3655" s="47" t="s">
        <v>8075</v>
      </c>
      <c r="F3655" s="55" t="b">
        <v>1</v>
      </c>
      <c r="G3655" s="54" t="b">
        <v>1</v>
      </c>
      <c r="H3655" s="54" t="b">
        <v>1</v>
      </c>
      <c r="I3655" s="54" t="b">
        <v>1</v>
      </c>
      <c r="J3655" s="54" t="b">
        <v>1</v>
      </c>
      <c r="K3655" s="63" t="s">
        <v>910</v>
      </c>
      <c r="L3655" s="63" t="s">
        <v>8082</v>
      </c>
      <c r="M3655" s="63" t="s">
        <v>8083</v>
      </c>
      <c r="N3655" s="63" t="s">
        <v>8075</v>
      </c>
    </row>
    <row r="3656" spans="1:14" x14ac:dyDescent="0.2">
      <c r="A3656" s="51">
        <v>3655</v>
      </c>
      <c r="B3656" s="54" t="s">
        <v>912</v>
      </c>
      <c r="C3656" s="47" t="s">
        <v>8091</v>
      </c>
      <c r="D3656" s="47" t="s">
        <v>8092</v>
      </c>
      <c r="E3656" s="47" t="s">
        <v>1719</v>
      </c>
      <c r="F3656" s="55" t="b">
        <v>1</v>
      </c>
      <c r="G3656" s="54" t="b">
        <v>1</v>
      </c>
      <c r="H3656" s="54" t="b">
        <v>1</v>
      </c>
      <c r="I3656" s="54" t="b">
        <v>1</v>
      </c>
      <c r="J3656" s="54" t="b">
        <v>1</v>
      </c>
      <c r="K3656" s="63" t="s">
        <v>912</v>
      </c>
      <c r="L3656" s="63" t="s">
        <v>8091</v>
      </c>
      <c r="M3656" s="63" t="s">
        <v>8092</v>
      </c>
      <c r="N3656" s="63" t="s">
        <v>1719</v>
      </c>
    </row>
    <row r="3657" spans="1:14" x14ac:dyDescent="0.2">
      <c r="A3657" s="51">
        <v>3656</v>
      </c>
      <c r="B3657" s="54" t="s">
        <v>912</v>
      </c>
      <c r="C3657" s="47" t="s">
        <v>8090</v>
      </c>
      <c r="D3657" s="47" t="s">
        <v>2720</v>
      </c>
      <c r="E3657" s="47" t="s">
        <v>1719</v>
      </c>
      <c r="F3657" s="55" t="b">
        <v>1</v>
      </c>
      <c r="G3657" s="54" t="b">
        <v>1</v>
      </c>
      <c r="H3657" s="54" t="b">
        <v>1</v>
      </c>
      <c r="I3657" s="54" t="b">
        <v>1</v>
      </c>
      <c r="J3657" s="54" t="b">
        <v>1</v>
      </c>
      <c r="K3657" s="63" t="s">
        <v>912</v>
      </c>
      <c r="L3657" s="63" t="s">
        <v>8090</v>
      </c>
      <c r="M3657" s="63" t="s">
        <v>2720</v>
      </c>
      <c r="N3657" s="63" t="s">
        <v>1719</v>
      </c>
    </row>
    <row r="3658" spans="1:14" x14ac:dyDescent="0.2">
      <c r="A3658" s="51">
        <v>3657</v>
      </c>
      <c r="B3658" s="54" t="s">
        <v>912</v>
      </c>
      <c r="C3658" s="47" t="s">
        <v>8093</v>
      </c>
      <c r="D3658" s="47" t="s">
        <v>8094</v>
      </c>
      <c r="E3658" s="47" t="s">
        <v>1719</v>
      </c>
      <c r="F3658" s="55" t="b">
        <v>1</v>
      </c>
      <c r="G3658" s="54" t="b">
        <v>1</v>
      </c>
      <c r="H3658" s="54" t="b">
        <v>1</v>
      </c>
      <c r="I3658" s="54" t="b">
        <v>1</v>
      </c>
      <c r="J3658" s="54" t="b">
        <v>1</v>
      </c>
      <c r="K3658" s="63" t="s">
        <v>912</v>
      </c>
      <c r="L3658" s="63" t="s">
        <v>8093</v>
      </c>
      <c r="M3658" s="63" t="s">
        <v>8094</v>
      </c>
      <c r="N3658" s="63" t="s">
        <v>1719</v>
      </c>
    </row>
    <row r="3659" spans="1:14" x14ac:dyDescent="0.2">
      <c r="A3659" s="51">
        <v>3658</v>
      </c>
      <c r="B3659" s="54" t="s">
        <v>912</v>
      </c>
      <c r="C3659" s="47" t="s">
        <v>8097</v>
      </c>
      <c r="D3659" s="47" t="s">
        <v>8098</v>
      </c>
      <c r="E3659" s="47" t="s">
        <v>1719</v>
      </c>
      <c r="F3659" s="55" t="b">
        <v>1</v>
      </c>
      <c r="G3659" s="54" t="b">
        <v>1</v>
      </c>
      <c r="H3659" s="54" t="b">
        <v>1</v>
      </c>
      <c r="I3659" s="54" t="b">
        <v>1</v>
      </c>
      <c r="J3659" s="54" t="b">
        <v>1</v>
      </c>
      <c r="K3659" s="63" t="s">
        <v>912</v>
      </c>
      <c r="L3659" s="63" t="s">
        <v>8097</v>
      </c>
      <c r="M3659" s="63" t="s">
        <v>8098</v>
      </c>
      <c r="N3659" s="63" t="s">
        <v>1719</v>
      </c>
    </row>
    <row r="3660" spans="1:14" x14ac:dyDescent="0.2">
      <c r="A3660" s="51">
        <v>3659</v>
      </c>
      <c r="B3660" s="54" t="s">
        <v>912</v>
      </c>
      <c r="C3660" s="47" t="s">
        <v>8099</v>
      </c>
      <c r="D3660" s="47" t="s">
        <v>8100</v>
      </c>
      <c r="E3660" s="47" t="s">
        <v>1719</v>
      </c>
      <c r="F3660" s="55" t="b">
        <v>1</v>
      </c>
      <c r="G3660" s="54" t="b">
        <v>1</v>
      </c>
      <c r="H3660" s="54" t="b">
        <v>1</v>
      </c>
      <c r="I3660" s="54" t="b">
        <v>1</v>
      </c>
      <c r="J3660" s="54" t="b">
        <v>1</v>
      </c>
      <c r="K3660" s="63" t="s">
        <v>912</v>
      </c>
      <c r="L3660" s="63" t="s">
        <v>8099</v>
      </c>
      <c r="M3660" s="63" t="s">
        <v>8100</v>
      </c>
      <c r="N3660" s="63" t="s">
        <v>1719</v>
      </c>
    </row>
    <row r="3661" spans="1:14" x14ac:dyDescent="0.2">
      <c r="A3661" s="51">
        <v>3660</v>
      </c>
      <c r="B3661" s="54" t="s">
        <v>912</v>
      </c>
      <c r="C3661" s="47" t="s">
        <v>8095</v>
      </c>
      <c r="D3661" s="47" t="s">
        <v>8096</v>
      </c>
      <c r="E3661" s="47" t="s">
        <v>1719</v>
      </c>
      <c r="F3661" s="55" t="b">
        <v>1</v>
      </c>
      <c r="G3661" s="54" t="b">
        <v>1</v>
      </c>
      <c r="H3661" s="54" t="b">
        <v>1</v>
      </c>
      <c r="I3661" s="54" t="b">
        <v>1</v>
      </c>
      <c r="J3661" s="54" t="b">
        <v>1</v>
      </c>
      <c r="K3661" s="63" t="s">
        <v>912</v>
      </c>
      <c r="L3661" s="63" t="s">
        <v>8095</v>
      </c>
      <c r="M3661" s="63" t="s">
        <v>8096</v>
      </c>
      <c r="N3661" s="63" t="s">
        <v>1719</v>
      </c>
    </row>
    <row r="3662" spans="1:14" x14ac:dyDescent="0.2">
      <c r="A3662" s="51">
        <v>3661</v>
      </c>
      <c r="B3662" s="54" t="s">
        <v>912</v>
      </c>
      <c r="C3662" s="47" t="s">
        <v>8101</v>
      </c>
      <c r="D3662" s="47" t="s">
        <v>8102</v>
      </c>
      <c r="E3662" s="47" t="s">
        <v>1719</v>
      </c>
      <c r="F3662" s="55" t="b">
        <v>1</v>
      </c>
      <c r="G3662" s="54" t="b">
        <v>1</v>
      </c>
      <c r="H3662" s="54" t="b">
        <v>1</v>
      </c>
      <c r="I3662" s="54" t="b">
        <v>1</v>
      </c>
      <c r="J3662" s="54" t="b">
        <v>1</v>
      </c>
      <c r="K3662" s="63" t="s">
        <v>912</v>
      </c>
      <c r="L3662" s="63" t="s">
        <v>8101</v>
      </c>
      <c r="M3662" s="63" t="s">
        <v>8102</v>
      </c>
      <c r="N3662" s="63" t="s">
        <v>1719</v>
      </c>
    </row>
    <row r="3663" spans="1:14" x14ac:dyDescent="0.2">
      <c r="A3663" s="51">
        <v>3662</v>
      </c>
      <c r="B3663" s="54" t="s">
        <v>912</v>
      </c>
      <c r="C3663" s="47" t="s">
        <v>13113</v>
      </c>
      <c r="D3663" s="47" t="s">
        <v>13114</v>
      </c>
      <c r="E3663" s="47" t="s">
        <v>1719</v>
      </c>
      <c r="F3663" s="55" t="b">
        <v>1</v>
      </c>
      <c r="G3663" s="65" t="b">
        <v>0</v>
      </c>
      <c r="H3663" s="65" t="b">
        <v>0</v>
      </c>
      <c r="I3663" s="65" t="b">
        <v>0</v>
      </c>
      <c r="J3663" s="65" t="b">
        <v>0</v>
      </c>
    </row>
    <row r="3664" spans="1:14" x14ac:dyDescent="0.2">
      <c r="A3664" s="51">
        <v>3663</v>
      </c>
      <c r="B3664" s="54" t="s">
        <v>912</v>
      </c>
      <c r="C3664" s="47" t="s">
        <v>13115</v>
      </c>
      <c r="D3664" s="47" t="s">
        <v>13116</v>
      </c>
      <c r="E3664" s="47" t="s">
        <v>1719</v>
      </c>
      <c r="F3664" s="55" t="b">
        <v>1</v>
      </c>
      <c r="G3664" s="65" t="b">
        <v>0</v>
      </c>
      <c r="H3664" s="65" t="b">
        <v>0</v>
      </c>
      <c r="I3664" s="65" t="b">
        <v>0</v>
      </c>
      <c r="J3664" s="65" t="b">
        <v>0</v>
      </c>
    </row>
    <row r="3665" spans="1:14" x14ac:dyDescent="0.2">
      <c r="A3665" s="51">
        <v>3664</v>
      </c>
      <c r="B3665" s="54" t="s">
        <v>912</v>
      </c>
      <c r="C3665" s="47" t="s">
        <v>8107</v>
      </c>
      <c r="D3665" s="47" t="s">
        <v>8108</v>
      </c>
      <c r="E3665" s="47" t="s">
        <v>1719</v>
      </c>
      <c r="F3665" s="55" t="b">
        <v>1</v>
      </c>
      <c r="G3665" s="54" t="b">
        <v>1</v>
      </c>
      <c r="H3665" s="54" t="b">
        <v>1</v>
      </c>
      <c r="I3665" s="54" t="b">
        <v>1</v>
      </c>
      <c r="J3665" s="54" t="b">
        <v>1</v>
      </c>
      <c r="K3665" s="63" t="s">
        <v>912</v>
      </c>
      <c r="L3665" s="63" t="s">
        <v>8107</v>
      </c>
      <c r="M3665" s="63" t="s">
        <v>8108</v>
      </c>
      <c r="N3665" s="63" t="s">
        <v>1719</v>
      </c>
    </row>
    <row r="3666" spans="1:14" x14ac:dyDescent="0.2">
      <c r="A3666" s="51">
        <v>3665</v>
      </c>
      <c r="B3666" s="54" t="s">
        <v>912</v>
      </c>
      <c r="C3666" s="47" t="s">
        <v>8109</v>
      </c>
      <c r="D3666" s="47" t="s">
        <v>8110</v>
      </c>
      <c r="E3666" s="47" t="s">
        <v>1719</v>
      </c>
      <c r="F3666" s="55" t="b">
        <v>1</v>
      </c>
      <c r="G3666" s="54" t="b">
        <v>1</v>
      </c>
      <c r="H3666" s="54" t="b">
        <v>1</v>
      </c>
      <c r="I3666" s="54" t="b">
        <v>1</v>
      </c>
      <c r="J3666" s="54" t="b">
        <v>1</v>
      </c>
      <c r="K3666" s="63" t="s">
        <v>912</v>
      </c>
      <c r="L3666" s="63" t="s">
        <v>8109</v>
      </c>
      <c r="M3666" s="63" t="s">
        <v>8110</v>
      </c>
      <c r="N3666" s="63" t="s">
        <v>1719</v>
      </c>
    </row>
    <row r="3667" spans="1:14" x14ac:dyDescent="0.2">
      <c r="A3667" s="51">
        <v>3666</v>
      </c>
      <c r="B3667" s="54" t="s">
        <v>912</v>
      </c>
      <c r="C3667" s="47" t="s">
        <v>8103</v>
      </c>
      <c r="D3667" s="47" t="s">
        <v>8104</v>
      </c>
      <c r="E3667" s="47" t="s">
        <v>1719</v>
      </c>
      <c r="F3667" s="55" t="b">
        <v>1</v>
      </c>
      <c r="G3667" s="54" t="b">
        <v>1</v>
      </c>
      <c r="H3667" s="54" t="b">
        <v>1</v>
      </c>
      <c r="I3667" s="54" t="b">
        <v>1</v>
      </c>
      <c r="J3667" s="54" t="b">
        <v>1</v>
      </c>
      <c r="K3667" s="63" t="s">
        <v>912</v>
      </c>
      <c r="L3667" s="63" t="s">
        <v>8103</v>
      </c>
      <c r="M3667" s="63" t="s">
        <v>8104</v>
      </c>
      <c r="N3667" s="63" t="s">
        <v>1719</v>
      </c>
    </row>
    <row r="3668" spans="1:14" x14ac:dyDescent="0.2">
      <c r="A3668" s="51">
        <v>3667</v>
      </c>
      <c r="B3668" s="54" t="s">
        <v>912</v>
      </c>
      <c r="C3668" s="47" t="s">
        <v>8105</v>
      </c>
      <c r="D3668" s="47" t="s">
        <v>8106</v>
      </c>
      <c r="E3668" s="47" t="s">
        <v>1719</v>
      </c>
      <c r="F3668" s="55" t="b">
        <v>1</v>
      </c>
      <c r="G3668" s="54" t="b">
        <v>1</v>
      </c>
      <c r="H3668" s="54" t="b">
        <v>1</v>
      </c>
      <c r="I3668" s="54" t="b">
        <v>1</v>
      </c>
      <c r="J3668" s="54" t="b">
        <v>1</v>
      </c>
      <c r="K3668" s="63" t="s">
        <v>912</v>
      </c>
      <c r="L3668" s="63" t="s">
        <v>8105</v>
      </c>
      <c r="M3668" s="63" t="s">
        <v>8106</v>
      </c>
      <c r="N3668" s="63" t="s">
        <v>1719</v>
      </c>
    </row>
    <row r="3669" spans="1:14" x14ac:dyDescent="0.2">
      <c r="A3669" s="51">
        <v>3668</v>
      </c>
      <c r="B3669" s="54" t="s">
        <v>912</v>
      </c>
      <c r="C3669" s="47" t="s">
        <v>8111</v>
      </c>
      <c r="D3669" s="47" t="s">
        <v>13117</v>
      </c>
      <c r="E3669" s="47" t="s">
        <v>1790</v>
      </c>
      <c r="F3669" s="55" t="b">
        <v>1</v>
      </c>
      <c r="G3669" s="54" t="b">
        <v>1</v>
      </c>
      <c r="H3669" s="54" t="b">
        <v>1</v>
      </c>
      <c r="I3669" s="65" t="b">
        <v>0</v>
      </c>
      <c r="J3669" s="54" t="b">
        <v>1</v>
      </c>
      <c r="K3669" s="63" t="s">
        <v>912</v>
      </c>
      <c r="L3669" s="63" t="s">
        <v>8111</v>
      </c>
      <c r="M3669" s="63" t="s">
        <v>8112</v>
      </c>
      <c r="N3669" s="63" t="s">
        <v>1790</v>
      </c>
    </row>
    <row r="3670" spans="1:14" x14ac:dyDescent="0.2">
      <c r="A3670" s="51">
        <v>3669</v>
      </c>
      <c r="B3670" s="54" t="s">
        <v>912</v>
      </c>
      <c r="C3670" s="47" t="s">
        <v>8113</v>
      </c>
      <c r="D3670" s="47" t="s">
        <v>8114</v>
      </c>
      <c r="E3670" s="47" t="s">
        <v>1719</v>
      </c>
      <c r="F3670" s="55" t="b">
        <v>1</v>
      </c>
      <c r="G3670" s="54" t="b">
        <v>1</v>
      </c>
      <c r="H3670" s="54" t="b">
        <v>1</v>
      </c>
      <c r="I3670" s="54" t="b">
        <v>1</v>
      </c>
      <c r="J3670" s="54" t="b">
        <v>1</v>
      </c>
      <c r="K3670" s="63" t="s">
        <v>912</v>
      </c>
      <c r="L3670" s="63" t="s">
        <v>8113</v>
      </c>
      <c r="M3670" s="63" t="s">
        <v>8114</v>
      </c>
      <c r="N3670" s="63" t="s">
        <v>1719</v>
      </c>
    </row>
    <row r="3671" spans="1:14" x14ac:dyDescent="0.2">
      <c r="A3671" s="51">
        <v>3670</v>
      </c>
      <c r="B3671" s="54" t="s">
        <v>912</v>
      </c>
      <c r="C3671" s="47" t="s">
        <v>8115</v>
      </c>
      <c r="D3671" s="47" t="s">
        <v>4193</v>
      </c>
      <c r="E3671" s="47" t="s">
        <v>1719</v>
      </c>
      <c r="F3671" s="55" t="b">
        <v>1</v>
      </c>
      <c r="G3671" s="54" t="b">
        <v>1</v>
      </c>
      <c r="H3671" s="54" t="b">
        <v>1</v>
      </c>
      <c r="I3671" s="54" t="b">
        <v>1</v>
      </c>
      <c r="J3671" s="54" t="b">
        <v>1</v>
      </c>
      <c r="K3671" s="63" t="s">
        <v>912</v>
      </c>
      <c r="L3671" s="63" t="s">
        <v>8115</v>
      </c>
      <c r="M3671" s="63" t="s">
        <v>4193</v>
      </c>
      <c r="N3671" s="63" t="s">
        <v>1719</v>
      </c>
    </row>
    <row r="3672" spans="1:14" x14ac:dyDescent="0.2">
      <c r="A3672" s="51">
        <v>3671</v>
      </c>
      <c r="B3672" s="54" t="s">
        <v>912</v>
      </c>
      <c r="C3672" s="47" t="s">
        <v>8088</v>
      </c>
      <c r="D3672" s="47" t="s">
        <v>8089</v>
      </c>
      <c r="E3672" s="47" t="s">
        <v>3322</v>
      </c>
      <c r="F3672" s="55" t="b">
        <v>1</v>
      </c>
      <c r="G3672" s="54" t="b">
        <v>1</v>
      </c>
      <c r="H3672" s="54" t="b">
        <v>1</v>
      </c>
      <c r="I3672" s="54" t="b">
        <v>1</v>
      </c>
      <c r="J3672" s="54" t="b">
        <v>1</v>
      </c>
      <c r="K3672" s="63" t="s">
        <v>912</v>
      </c>
      <c r="L3672" s="63" t="s">
        <v>8088</v>
      </c>
      <c r="M3672" s="63" t="s">
        <v>8089</v>
      </c>
      <c r="N3672" s="63" t="s">
        <v>3322</v>
      </c>
    </row>
    <row r="3673" spans="1:14" x14ac:dyDescent="0.2">
      <c r="A3673" s="51">
        <v>3672</v>
      </c>
      <c r="B3673" s="54" t="s">
        <v>912</v>
      </c>
      <c r="C3673" s="47" t="s">
        <v>8116</v>
      </c>
      <c r="D3673" s="47" t="s">
        <v>13118</v>
      </c>
      <c r="E3673" s="47" t="s">
        <v>1719</v>
      </c>
      <c r="F3673" s="55" t="b">
        <v>1</v>
      </c>
      <c r="G3673" s="54" t="b">
        <v>1</v>
      </c>
      <c r="H3673" s="54" t="b">
        <v>1</v>
      </c>
      <c r="I3673" s="65" t="b">
        <v>0</v>
      </c>
      <c r="J3673" s="54" t="b">
        <v>1</v>
      </c>
      <c r="K3673" s="63" t="s">
        <v>912</v>
      </c>
      <c r="L3673" s="63" t="s">
        <v>8116</v>
      </c>
      <c r="M3673" s="63" t="s">
        <v>8117</v>
      </c>
      <c r="N3673" s="63" t="s">
        <v>1719</v>
      </c>
    </row>
    <row r="3674" spans="1:14" x14ac:dyDescent="0.2">
      <c r="A3674" s="51">
        <v>3673</v>
      </c>
      <c r="B3674" s="54" t="s">
        <v>912</v>
      </c>
      <c r="C3674" s="47" t="s">
        <v>8118</v>
      </c>
      <c r="D3674" s="47" t="s">
        <v>8119</v>
      </c>
      <c r="E3674" s="47" t="s">
        <v>1719</v>
      </c>
      <c r="F3674" s="55" t="b">
        <v>1</v>
      </c>
      <c r="G3674" s="54" t="b">
        <v>1</v>
      </c>
      <c r="H3674" s="54" t="b">
        <v>1</v>
      </c>
      <c r="I3674" s="54" t="b">
        <v>1</v>
      </c>
      <c r="J3674" s="54" t="b">
        <v>1</v>
      </c>
      <c r="K3674" s="63" t="s">
        <v>912</v>
      </c>
      <c r="L3674" s="63" t="s">
        <v>8118</v>
      </c>
      <c r="M3674" s="63" t="s">
        <v>8119</v>
      </c>
      <c r="N3674" s="63" t="s">
        <v>1719</v>
      </c>
    </row>
    <row r="3675" spans="1:14" x14ac:dyDescent="0.2">
      <c r="A3675" s="51">
        <v>3674</v>
      </c>
      <c r="B3675" s="54" t="s">
        <v>912</v>
      </c>
      <c r="C3675" s="47" t="s">
        <v>8120</v>
      </c>
      <c r="D3675" s="47" t="s">
        <v>8121</v>
      </c>
      <c r="E3675" s="47" t="s">
        <v>1719</v>
      </c>
      <c r="F3675" s="55" t="b">
        <v>1</v>
      </c>
      <c r="G3675" s="54" t="b">
        <v>1</v>
      </c>
      <c r="H3675" s="54" t="b">
        <v>1</v>
      </c>
      <c r="I3675" s="54" t="b">
        <v>1</v>
      </c>
      <c r="J3675" s="54" t="b">
        <v>1</v>
      </c>
      <c r="K3675" s="63" t="s">
        <v>912</v>
      </c>
      <c r="L3675" s="63" t="s">
        <v>8120</v>
      </c>
      <c r="M3675" s="63" t="s">
        <v>8121</v>
      </c>
      <c r="N3675" s="63" t="s">
        <v>1719</v>
      </c>
    </row>
    <row r="3676" spans="1:14" x14ac:dyDescent="0.2">
      <c r="A3676" s="51">
        <v>3675</v>
      </c>
      <c r="B3676" s="54" t="s">
        <v>912</v>
      </c>
      <c r="C3676" s="47" t="s">
        <v>8123</v>
      </c>
      <c r="D3676" s="47" t="s">
        <v>8124</v>
      </c>
      <c r="E3676" s="47" t="s">
        <v>1719</v>
      </c>
      <c r="F3676" s="55" t="b">
        <v>1</v>
      </c>
      <c r="G3676" s="54" t="b">
        <v>1</v>
      </c>
      <c r="H3676" s="54" t="b">
        <v>1</v>
      </c>
      <c r="I3676" s="54" t="b">
        <v>1</v>
      </c>
      <c r="J3676" s="54" t="b">
        <v>1</v>
      </c>
      <c r="K3676" s="63" t="s">
        <v>912</v>
      </c>
      <c r="L3676" s="63" t="s">
        <v>8123</v>
      </c>
      <c r="M3676" s="63" t="s">
        <v>8124</v>
      </c>
      <c r="N3676" s="63" t="s">
        <v>1719</v>
      </c>
    </row>
    <row r="3677" spans="1:14" x14ac:dyDescent="0.2">
      <c r="A3677" s="51">
        <v>3676</v>
      </c>
      <c r="B3677" s="54" t="s">
        <v>912</v>
      </c>
      <c r="C3677" s="47" t="s">
        <v>8122</v>
      </c>
      <c r="D3677" s="47" t="s">
        <v>4197</v>
      </c>
      <c r="E3677" s="47" t="s">
        <v>1719</v>
      </c>
      <c r="F3677" s="55" t="b">
        <v>1</v>
      </c>
      <c r="G3677" s="54" t="b">
        <v>1</v>
      </c>
      <c r="H3677" s="54" t="b">
        <v>1</v>
      </c>
      <c r="I3677" s="54" t="b">
        <v>1</v>
      </c>
      <c r="J3677" s="54" t="b">
        <v>1</v>
      </c>
      <c r="K3677" s="63" t="s">
        <v>912</v>
      </c>
      <c r="L3677" s="63" t="s">
        <v>8122</v>
      </c>
      <c r="M3677" s="63" t="s">
        <v>4197</v>
      </c>
      <c r="N3677" s="63" t="s">
        <v>1719</v>
      </c>
    </row>
    <row r="3678" spans="1:14" x14ac:dyDescent="0.2">
      <c r="A3678" s="51">
        <v>3677</v>
      </c>
      <c r="B3678" s="54" t="s">
        <v>917</v>
      </c>
      <c r="C3678" s="47" t="s">
        <v>8142</v>
      </c>
      <c r="D3678" s="47" t="s">
        <v>8143</v>
      </c>
      <c r="E3678" s="47" t="s">
        <v>2590</v>
      </c>
      <c r="F3678" s="55" t="b">
        <v>1</v>
      </c>
      <c r="G3678" s="54" t="b">
        <v>1</v>
      </c>
      <c r="H3678" s="54" t="b">
        <v>1</v>
      </c>
      <c r="I3678" s="54" t="b">
        <v>1</v>
      </c>
      <c r="J3678" s="54" t="b">
        <v>1</v>
      </c>
      <c r="K3678" s="63" t="s">
        <v>917</v>
      </c>
      <c r="L3678" s="63" t="s">
        <v>8142</v>
      </c>
      <c r="M3678" s="63" t="s">
        <v>8143</v>
      </c>
      <c r="N3678" s="63" t="s">
        <v>2590</v>
      </c>
    </row>
    <row r="3679" spans="1:14" x14ac:dyDescent="0.2">
      <c r="A3679" s="51">
        <v>3678</v>
      </c>
      <c r="B3679" s="54" t="s">
        <v>917</v>
      </c>
      <c r="C3679" s="47" t="s">
        <v>8127</v>
      </c>
      <c r="D3679" s="47" t="s">
        <v>8128</v>
      </c>
      <c r="E3679" s="47" t="s">
        <v>2590</v>
      </c>
      <c r="F3679" s="55" t="b">
        <v>1</v>
      </c>
      <c r="G3679" s="54" t="b">
        <v>1</v>
      </c>
      <c r="H3679" s="54" t="b">
        <v>1</v>
      </c>
      <c r="I3679" s="54" t="b">
        <v>1</v>
      </c>
      <c r="J3679" s="54" t="b">
        <v>1</v>
      </c>
      <c r="K3679" s="63" t="s">
        <v>917</v>
      </c>
      <c r="L3679" s="63" t="s">
        <v>8127</v>
      </c>
      <c r="M3679" s="63" t="s">
        <v>8128</v>
      </c>
      <c r="N3679" s="63" t="s">
        <v>2590</v>
      </c>
    </row>
    <row r="3680" spans="1:14" x14ac:dyDescent="0.2">
      <c r="A3680" s="51">
        <v>3679</v>
      </c>
      <c r="B3680" s="54" t="s">
        <v>917</v>
      </c>
      <c r="C3680" s="47" t="s">
        <v>8141</v>
      </c>
      <c r="D3680" s="47" t="s">
        <v>2720</v>
      </c>
      <c r="E3680" s="47" t="s">
        <v>2590</v>
      </c>
      <c r="F3680" s="55" t="b">
        <v>1</v>
      </c>
      <c r="G3680" s="54" t="b">
        <v>1</v>
      </c>
      <c r="H3680" s="54" t="b">
        <v>1</v>
      </c>
      <c r="I3680" s="54" t="b">
        <v>1</v>
      </c>
      <c r="J3680" s="54" t="b">
        <v>1</v>
      </c>
      <c r="K3680" s="63" t="s">
        <v>917</v>
      </c>
      <c r="L3680" s="63" t="s">
        <v>8141</v>
      </c>
      <c r="M3680" s="63" t="s">
        <v>2720</v>
      </c>
      <c r="N3680" s="63" t="s">
        <v>2590</v>
      </c>
    </row>
    <row r="3681" spans="1:14" x14ac:dyDescent="0.2">
      <c r="A3681" s="51">
        <v>3680</v>
      </c>
      <c r="B3681" s="54" t="s">
        <v>917</v>
      </c>
      <c r="C3681" s="47" t="s">
        <v>8157</v>
      </c>
      <c r="D3681" s="47" t="s">
        <v>8158</v>
      </c>
      <c r="E3681" s="47" t="s">
        <v>2590</v>
      </c>
      <c r="F3681" s="55" t="b">
        <v>1</v>
      </c>
      <c r="G3681" s="54" t="b">
        <v>1</v>
      </c>
      <c r="H3681" s="54" t="b">
        <v>1</v>
      </c>
      <c r="I3681" s="54" t="b">
        <v>1</v>
      </c>
      <c r="J3681" s="54" t="b">
        <v>1</v>
      </c>
      <c r="K3681" s="63" t="s">
        <v>917</v>
      </c>
      <c r="L3681" s="63" t="s">
        <v>8157</v>
      </c>
      <c r="M3681" s="63" t="s">
        <v>8158</v>
      </c>
      <c r="N3681" s="63" t="s">
        <v>2590</v>
      </c>
    </row>
    <row r="3682" spans="1:14" x14ac:dyDescent="0.2">
      <c r="A3682" s="51">
        <v>3681</v>
      </c>
      <c r="B3682" s="54" t="s">
        <v>917</v>
      </c>
      <c r="C3682" s="47" t="s">
        <v>8129</v>
      </c>
      <c r="D3682" s="47" t="s">
        <v>8130</v>
      </c>
      <c r="E3682" s="47" t="s">
        <v>2590</v>
      </c>
      <c r="F3682" s="55" t="b">
        <v>1</v>
      </c>
      <c r="G3682" s="54" t="b">
        <v>1</v>
      </c>
      <c r="H3682" s="54" t="b">
        <v>1</v>
      </c>
      <c r="I3682" s="54" t="b">
        <v>1</v>
      </c>
      <c r="J3682" s="54" t="b">
        <v>1</v>
      </c>
      <c r="K3682" s="63" t="s">
        <v>917</v>
      </c>
      <c r="L3682" s="63" t="s">
        <v>8129</v>
      </c>
      <c r="M3682" s="63" t="s">
        <v>8130</v>
      </c>
      <c r="N3682" s="63" t="s">
        <v>2590</v>
      </c>
    </row>
    <row r="3683" spans="1:14" x14ac:dyDescent="0.2">
      <c r="A3683" s="51">
        <v>3682</v>
      </c>
      <c r="B3683" s="54" t="s">
        <v>917</v>
      </c>
      <c r="C3683" s="47" t="s">
        <v>8139</v>
      </c>
      <c r="D3683" s="47" t="s">
        <v>8140</v>
      </c>
      <c r="E3683" s="47" t="s">
        <v>2590</v>
      </c>
      <c r="F3683" s="55" t="b">
        <v>1</v>
      </c>
      <c r="G3683" s="54" t="b">
        <v>1</v>
      </c>
      <c r="H3683" s="54" t="b">
        <v>1</v>
      </c>
      <c r="I3683" s="54" t="b">
        <v>1</v>
      </c>
      <c r="J3683" s="54" t="b">
        <v>1</v>
      </c>
      <c r="K3683" s="63" t="s">
        <v>917</v>
      </c>
      <c r="L3683" s="63" t="s">
        <v>8139</v>
      </c>
      <c r="M3683" s="63" t="s">
        <v>8140</v>
      </c>
      <c r="N3683" s="63" t="s">
        <v>2590</v>
      </c>
    </row>
    <row r="3684" spans="1:14" x14ac:dyDescent="0.2">
      <c r="A3684" s="51">
        <v>3683</v>
      </c>
      <c r="B3684" s="54" t="s">
        <v>917</v>
      </c>
      <c r="C3684" s="47" t="s">
        <v>8153</v>
      </c>
      <c r="D3684" s="47" t="s">
        <v>8154</v>
      </c>
      <c r="E3684" s="47" t="s">
        <v>2590</v>
      </c>
      <c r="F3684" s="55" t="b">
        <v>1</v>
      </c>
      <c r="G3684" s="54" t="b">
        <v>1</v>
      </c>
      <c r="H3684" s="54" t="b">
        <v>1</v>
      </c>
      <c r="I3684" s="54" t="b">
        <v>1</v>
      </c>
      <c r="J3684" s="54" t="b">
        <v>1</v>
      </c>
      <c r="K3684" s="63" t="s">
        <v>917</v>
      </c>
      <c r="L3684" s="63" t="s">
        <v>8153</v>
      </c>
      <c r="M3684" s="63" t="s">
        <v>8154</v>
      </c>
      <c r="N3684" s="63" t="s">
        <v>2590</v>
      </c>
    </row>
    <row r="3685" spans="1:14" x14ac:dyDescent="0.2">
      <c r="A3685" s="51">
        <v>3684</v>
      </c>
      <c r="B3685" s="54" t="s">
        <v>917</v>
      </c>
      <c r="C3685" s="47" t="s">
        <v>8125</v>
      </c>
      <c r="D3685" s="47" t="s">
        <v>8126</v>
      </c>
      <c r="E3685" s="47" t="s">
        <v>2590</v>
      </c>
      <c r="F3685" s="55" t="b">
        <v>1</v>
      </c>
      <c r="G3685" s="54" t="b">
        <v>1</v>
      </c>
      <c r="H3685" s="54" t="b">
        <v>1</v>
      </c>
      <c r="I3685" s="54" t="b">
        <v>1</v>
      </c>
      <c r="J3685" s="54" t="b">
        <v>1</v>
      </c>
      <c r="K3685" s="63" t="s">
        <v>917</v>
      </c>
      <c r="L3685" s="63" t="s">
        <v>8125</v>
      </c>
      <c r="M3685" s="63" t="s">
        <v>8126</v>
      </c>
      <c r="N3685" s="63" t="s">
        <v>2590</v>
      </c>
    </row>
    <row r="3686" spans="1:14" x14ac:dyDescent="0.2">
      <c r="A3686" s="51">
        <v>3685</v>
      </c>
      <c r="B3686" s="54" t="s">
        <v>917</v>
      </c>
      <c r="C3686" s="47" t="s">
        <v>8133</v>
      </c>
      <c r="D3686" s="47" t="s">
        <v>8134</v>
      </c>
      <c r="E3686" s="47" t="s">
        <v>2590</v>
      </c>
      <c r="F3686" s="55" t="b">
        <v>1</v>
      </c>
      <c r="G3686" s="54" t="b">
        <v>1</v>
      </c>
      <c r="H3686" s="54" t="b">
        <v>1</v>
      </c>
      <c r="I3686" s="54" t="b">
        <v>1</v>
      </c>
      <c r="J3686" s="54" t="b">
        <v>1</v>
      </c>
      <c r="K3686" s="63" t="s">
        <v>917</v>
      </c>
      <c r="L3686" s="63" t="s">
        <v>8133</v>
      </c>
      <c r="M3686" s="63" t="s">
        <v>8134</v>
      </c>
      <c r="N3686" s="63" t="s">
        <v>2590</v>
      </c>
    </row>
    <row r="3687" spans="1:14" x14ac:dyDescent="0.2">
      <c r="A3687" s="51">
        <v>3686</v>
      </c>
      <c r="B3687" s="54" t="s">
        <v>917</v>
      </c>
      <c r="C3687" s="47" t="s">
        <v>8155</v>
      </c>
      <c r="D3687" s="47" t="s">
        <v>8156</v>
      </c>
      <c r="E3687" s="47" t="s">
        <v>2590</v>
      </c>
      <c r="F3687" s="55" t="b">
        <v>1</v>
      </c>
      <c r="G3687" s="54" t="b">
        <v>1</v>
      </c>
      <c r="H3687" s="54" t="b">
        <v>1</v>
      </c>
      <c r="I3687" s="54" t="b">
        <v>1</v>
      </c>
      <c r="J3687" s="54" t="b">
        <v>1</v>
      </c>
      <c r="K3687" s="63" t="s">
        <v>917</v>
      </c>
      <c r="L3687" s="63" t="s">
        <v>8155</v>
      </c>
      <c r="M3687" s="63" t="s">
        <v>8156</v>
      </c>
      <c r="N3687" s="63" t="s">
        <v>2590</v>
      </c>
    </row>
    <row r="3688" spans="1:14" x14ac:dyDescent="0.2">
      <c r="A3688" s="51">
        <v>3687</v>
      </c>
      <c r="B3688" s="54" t="s">
        <v>917</v>
      </c>
      <c r="C3688" s="47" t="s">
        <v>8144</v>
      </c>
      <c r="D3688" s="47" t="s">
        <v>8145</v>
      </c>
      <c r="E3688" s="47" t="s">
        <v>2590</v>
      </c>
      <c r="F3688" s="55" t="b">
        <v>1</v>
      </c>
      <c r="G3688" s="54" t="b">
        <v>1</v>
      </c>
      <c r="H3688" s="54" t="b">
        <v>1</v>
      </c>
      <c r="I3688" s="54" t="b">
        <v>1</v>
      </c>
      <c r="J3688" s="54" t="b">
        <v>1</v>
      </c>
      <c r="K3688" s="63" t="s">
        <v>917</v>
      </c>
      <c r="L3688" s="63" t="s">
        <v>8144</v>
      </c>
      <c r="M3688" s="63" t="s">
        <v>8145</v>
      </c>
      <c r="N3688" s="63" t="s">
        <v>2590</v>
      </c>
    </row>
    <row r="3689" spans="1:14" x14ac:dyDescent="0.2">
      <c r="A3689" s="51">
        <v>3688</v>
      </c>
      <c r="B3689" s="54" t="s">
        <v>917</v>
      </c>
      <c r="C3689" s="47" t="s">
        <v>8146</v>
      </c>
      <c r="D3689" s="47" t="s">
        <v>8147</v>
      </c>
      <c r="E3689" s="47" t="s">
        <v>2590</v>
      </c>
      <c r="F3689" s="55" t="b">
        <v>1</v>
      </c>
      <c r="G3689" s="54" t="b">
        <v>1</v>
      </c>
      <c r="H3689" s="54" t="b">
        <v>1</v>
      </c>
      <c r="I3689" s="54" t="b">
        <v>1</v>
      </c>
      <c r="J3689" s="54" t="b">
        <v>1</v>
      </c>
      <c r="K3689" s="63" t="s">
        <v>917</v>
      </c>
      <c r="L3689" s="63" t="s">
        <v>8146</v>
      </c>
      <c r="M3689" s="63" t="s">
        <v>8147</v>
      </c>
      <c r="N3689" s="63" t="s">
        <v>2590</v>
      </c>
    </row>
    <row r="3690" spans="1:14" x14ac:dyDescent="0.2">
      <c r="A3690" s="51">
        <v>3689</v>
      </c>
      <c r="B3690" s="54" t="s">
        <v>917</v>
      </c>
      <c r="C3690" s="47" t="s">
        <v>8135</v>
      </c>
      <c r="D3690" s="47" t="s">
        <v>8136</v>
      </c>
      <c r="E3690" s="47" t="s">
        <v>2590</v>
      </c>
      <c r="F3690" s="55" t="b">
        <v>1</v>
      </c>
      <c r="G3690" s="54" t="b">
        <v>1</v>
      </c>
      <c r="H3690" s="54" t="b">
        <v>1</v>
      </c>
      <c r="I3690" s="54" t="b">
        <v>1</v>
      </c>
      <c r="J3690" s="54" t="b">
        <v>1</v>
      </c>
      <c r="K3690" s="63" t="s">
        <v>917</v>
      </c>
      <c r="L3690" s="63" t="s">
        <v>8135</v>
      </c>
      <c r="M3690" s="63" t="s">
        <v>8136</v>
      </c>
      <c r="N3690" s="63" t="s">
        <v>2590</v>
      </c>
    </row>
    <row r="3691" spans="1:14" x14ac:dyDescent="0.2">
      <c r="A3691" s="51">
        <v>3690</v>
      </c>
      <c r="B3691" s="54" t="s">
        <v>917</v>
      </c>
      <c r="C3691" s="47" t="s">
        <v>8137</v>
      </c>
      <c r="D3691" s="47" t="s">
        <v>8138</v>
      </c>
      <c r="E3691" s="47" t="s">
        <v>2590</v>
      </c>
      <c r="F3691" s="55" t="b">
        <v>1</v>
      </c>
      <c r="G3691" s="54" t="b">
        <v>1</v>
      </c>
      <c r="H3691" s="54" t="b">
        <v>1</v>
      </c>
      <c r="I3691" s="54" t="b">
        <v>1</v>
      </c>
      <c r="J3691" s="54" t="b">
        <v>1</v>
      </c>
      <c r="K3691" s="63" t="s">
        <v>917</v>
      </c>
      <c r="L3691" s="63" t="s">
        <v>8137</v>
      </c>
      <c r="M3691" s="63" t="s">
        <v>8138</v>
      </c>
      <c r="N3691" s="63" t="s">
        <v>2590</v>
      </c>
    </row>
    <row r="3692" spans="1:14" x14ac:dyDescent="0.2">
      <c r="A3692" s="51">
        <v>3691</v>
      </c>
      <c r="B3692" s="54" t="s">
        <v>917</v>
      </c>
      <c r="C3692" s="47" t="s">
        <v>8148</v>
      </c>
      <c r="D3692" s="47" t="s">
        <v>8149</v>
      </c>
      <c r="E3692" s="47" t="s">
        <v>2590</v>
      </c>
      <c r="F3692" s="55" t="b">
        <v>1</v>
      </c>
      <c r="G3692" s="54" t="b">
        <v>1</v>
      </c>
      <c r="H3692" s="54" t="b">
        <v>1</v>
      </c>
      <c r="I3692" s="54" t="b">
        <v>1</v>
      </c>
      <c r="J3692" s="54" t="b">
        <v>1</v>
      </c>
      <c r="K3692" s="63" t="s">
        <v>917</v>
      </c>
      <c r="L3692" s="63" t="s">
        <v>8148</v>
      </c>
      <c r="M3692" s="63" t="s">
        <v>8149</v>
      </c>
      <c r="N3692" s="63" t="s">
        <v>2590</v>
      </c>
    </row>
    <row r="3693" spans="1:14" x14ac:dyDescent="0.2">
      <c r="A3693" s="51">
        <v>3692</v>
      </c>
      <c r="B3693" s="54" t="s">
        <v>917</v>
      </c>
      <c r="C3693" s="47" t="s">
        <v>8150</v>
      </c>
      <c r="D3693" s="47" t="s">
        <v>2064</v>
      </c>
      <c r="E3693" s="47" t="s">
        <v>2590</v>
      </c>
      <c r="F3693" s="55" t="b">
        <v>1</v>
      </c>
      <c r="G3693" s="54" t="b">
        <v>1</v>
      </c>
      <c r="H3693" s="54" t="b">
        <v>1</v>
      </c>
      <c r="I3693" s="54" t="b">
        <v>1</v>
      </c>
      <c r="J3693" s="54" t="b">
        <v>1</v>
      </c>
      <c r="K3693" s="63" t="s">
        <v>917</v>
      </c>
      <c r="L3693" s="63" t="s">
        <v>8150</v>
      </c>
      <c r="M3693" s="63" t="s">
        <v>2064</v>
      </c>
      <c r="N3693" s="63" t="s">
        <v>2590</v>
      </c>
    </row>
    <row r="3694" spans="1:14" x14ac:dyDescent="0.2">
      <c r="A3694" s="51">
        <v>3693</v>
      </c>
      <c r="B3694" s="54" t="s">
        <v>917</v>
      </c>
      <c r="C3694" s="47" t="s">
        <v>8151</v>
      </c>
      <c r="D3694" s="47" t="s">
        <v>8152</v>
      </c>
      <c r="E3694" s="47" t="s">
        <v>2590</v>
      </c>
      <c r="F3694" s="55" t="b">
        <v>1</v>
      </c>
      <c r="G3694" s="54" t="b">
        <v>1</v>
      </c>
      <c r="H3694" s="54" t="b">
        <v>1</v>
      </c>
      <c r="I3694" s="54" t="b">
        <v>1</v>
      </c>
      <c r="J3694" s="54" t="b">
        <v>1</v>
      </c>
      <c r="K3694" s="63" t="s">
        <v>917</v>
      </c>
      <c r="L3694" s="63" t="s">
        <v>8151</v>
      </c>
      <c r="M3694" s="63" t="s">
        <v>8152</v>
      </c>
      <c r="N3694" s="63" t="s">
        <v>2590</v>
      </c>
    </row>
    <row r="3695" spans="1:14" x14ac:dyDescent="0.2">
      <c r="A3695" s="51">
        <v>3694</v>
      </c>
      <c r="B3695" s="54" t="s">
        <v>917</v>
      </c>
      <c r="C3695" s="47" t="s">
        <v>8131</v>
      </c>
      <c r="D3695" s="47" t="s">
        <v>8132</v>
      </c>
      <c r="E3695" s="47" t="s">
        <v>3404</v>
      </c>
      <c r="F3695" s="55" t="b">
        <v>1</v>
      </c>
      <c r="G3695" s="54" t="b">
        <v>1</v>
      </c>
      <c r="H3695" s="54" t="b">
        <v>1</v>
      </c>
      <c r="I3695" s="54" t="b">
        <v>1</v>
      </c>
      <c r="J3695" s="65" t="b">
        <v>0</v>
      </c>
      <c r="K3695" s="63" t="s">
        <v>917</v>
      </c>
      <c r="L3695" s="63" t="s">
        <v>8131</v>
      </c>
      <c r="M3695" s="63" t="s">
        <v>8132</v>
      </c>
      <c r="N3695" s="63" t="s">
        <v>3458</v>
      </c>
    </row>
    <row r="3696" spans="1:14" x14ac:dyDescent="0.2">
      <c r="A3696" s="51">
        <v>3695</v>
      </c>
      <c r="B3696" s="54" t="s">
        <v>919</v>
      </c>
      <c r="C3696" s="47" t="s">
        <v>8159</v>
      </c>
      <c r="D3696" s="47" t="s">
        <v>2744</v>
      </c>
      <c r="E3696" s="47" t="s">
        <v>2087</v>
      </c>
      <c r="F3696" s="55" t="b">
        <v>1</v>
      </c>
      <c r="G3696" s="54" t="b">
        <v>1</v>
      </c>
      <c r="H3696" s="54" t="b">
        <v>1</v>
      </c>
      <c r="I3696" s="65" t="b">
        <v>0</v>
      </c>
      <c r="J3696" s="65" t="b">
        <v>0</v>
      </c>
      <c r="K3696" s="63" t="s">
        <v>919</v>
      </c>
      <c r="L3696" s="63" t="s">
        <v>8159</v>
      </c>
      <c r="M3696" s="63" t="s">
        <v>8160</v>
      </c>
      <c r="N3696" s="63" t="s">
        <v>2590</v>
      </c>
    </row>
    <row r="3697" spans="1:14" x14ac:dyDescent="0.2">
      <c r="A3697" s="51">
        <v>3696</v>
      </c>
      <c r="G3697" s="65" t="b">
        <v>0</v>
      </c>
      <c r="H3697" s="65" t="b">
        <v>0</v>
      </c>
      <c r="I3697" s="65" t="b">
        <v>0</v>
      </c>
      <c r="J3697" s="65" t="b">
        <v>0</v>
      </c>
      <c r="K3697" s="63" t="s">
        <v>919</v>
      </c>
      <c r="L3697" s="63" t="s">
        <v>8159</v>
      </c>
      <c r="M3697" s="63" t="s">
        <v>8161</v>
      </c>
      <c r="N3697" s="63" t="s">
        <v>2590</v>
      </c>
    </row>
    <row r="3698" spans="1:14" x14ac:dyDescent="0.2">
      <c r="A3698" s="51">
        <v>3697</v>
      </c>
      <c r="G3698" s="65" t="b">
        <v>0</v>
      </c>
      <c r="H3698" s="65" t="b">
        <v>0</v>
      </c>
      <c r="I3698" s="65" t="b">
        <v>0</v>
      </c>
      <c r="J3698" s="65" t="b">
        <v>0</v>
      </c>
      <c r="K3698" s="63" t="s">
        <v>919</v>
      </c>
      <c r="L3698" s="63" t="s">
        <v>8159</v>
      </c>
      <c r="M3698" s="63" t="s">
        <v>2744</v>
      </c>
      <c r="N3698" s="63" t="s">
        <v>2590</v>
      </c>
    </row>
    <row r="3699" spans="1:14" x14ac:dyDescent="0.2">
      <c r="A3699" s="51">
        <v>3698</v>
      </c>
      <c r="B3699" s="54" t="s">
        <v>919</v>
      </c>
      <c r="C3699" s="47" t="s">
        <v>8162</v>
      </c>
      <c r="D3699" s="47" t="s">
        <v>8163</v>
      </c>
      <c r="E3699" s="47" t="s">
        <v>2087</v>
      </c>
      <c r="F3699" s="55" t="b">
        <v>1</v>
      </c>
      <c r="G3699" s="54" t="b">
        <v>1</v>
      </c>
      <c r="H3699" s="54" t="b">
        <v>1</v>
      </c>
      <c r="I3699" s="54" t="b">
        <v>1</v>
      </c>
      <c r="J3699" s="65" t="b">
        <v>0</v>
      </c>
      <c r="K3699" s="63" t="s">
        <v>919</v>
      </c>
      <c r="L3699" s="63" t="s">
        <v>8162</v>
      </c>
      <c r="M3699" s="63" t="s">
        <v>8163</v>
      </c>
      <c r="N3699" s="63" t="s">
        <v>2590</v>
      </c>
    </row>
    <row r="3700" spans="1:14" x14ac:dyDescent="0.2">
      <c r="A3700" s="51">
        <v>3699</v>
      </c>
      <c r="G3700" s="65" t="b">
        <v>0</v>
      </c>
      <c r="H3700" s="65" t="b">
        <v>0</v>
      </c>
      <c r="I3700" s="65" t="b">
        <v>0</v>
      </c>
      <c r="J3700" s="65" t="b">
        <v>0</v>
      </c>
      <c r="K3700" s="63" t="s">
        <v>919</v>
      </c>
      <c r="L3700" s="63" t="s">
        <v>8162</v>
      </c>
      <c r="M3700" s="63" t="s">
        <v>8164</v>
      </c>
      <c r="N3700" s="63" t="s">
        <v>2590</v>
      </c>
    </row>
    <row r="3701" spans="1:14" x14ac:dyDescent="0.2">
      <c r="A3701" s="51">
        <v>3700</v>
      </c>
      <c r="G3701" s="65" t="b">
        <v>0</v>
      </c>
      <c r="H3701" s="65" t="b">
        <v>0</v>
      </c>
      <c r="I3701" s="65" t="b">
        <v>0</v>
      </c>
      <c r="J3701" s="65" t="b">
        <v>0</v>
      </c>
      <c r="K3701" s="63" t="s">
        <v>919</v>
      </c>
      <c r="L3701" s="63" t="s">
        <v>8162</v>
      </c>
      <c r="M3701" s="63" t="s">
        <v>8165</v>
      </c>
      <c r="N3701" s="63" t="s">
        <v>2590</v>
      </c>
    </row>
    <row r="3702" spans="1:14" x14ac:dyDescent="0.2">
      <c r="A3702" s="51">
        <v>3701</v>
      </c>
      <c r="B3702" s="54" t="s">
        <v>919</v>
      </c>
      <c r="C3702" s="47" t="s">
        <v>8166</v>
      </c>
      <c r="D3702" s="47" t="s">
        <v>8168</v>
      </c>
      <c r="E3702" s="47" t="s">
        <v>2087</v>
      </c>
      <c r="F3702" s="55" t="b">
        <v>1</v>
      </c>
      <c r="G3702" s="54" t="b">
        <v>1</v>
      </c>
      <c r="H3702" s="54" t="b">
        <v>1</v>
      </c>
      <c r="I3702" s="65" t="b">
        <v>0</v>
      </c>
      <c r="J3702" s="65" t="b">
        <v>0</v>
      </c>
      <c r="K3702" s="63" t="s">
        <v>919</v>
      </c>
      <c r="L3702" s="63" t="s">
        <v>8166</v>
      </c>
      <c r="M3702" s="63" t="s">
        <v>8167</v>
      </c>
      <c r="N3702" s="63" t="s">
        <v>2590</v>
      </c>
    </row>
    <row r="3703" spans="1:14" x14ac:dyDescent="0.2">
      <c r="A3703" s="51">
        <v>3702</v>
      </c>
      <c r="G3703" s="65" t="b">
        <v>0</v>
      </c>
      <c r="H3703" s="65" t="b">
        <v>0</v>
      </c>
      <c r="I3703" s="65" t="b">
        <v>0</v>
      </c>
      <c r="J3703" s="65" t="b">
        <v>0</v>
      </c>
      <c r="K3703" s="63" t="s">
        <v>919</v>
      </c>
      <c r="L3703" s="63" t="s">
        <v>8166</v>
      </c>
      <c r="M3703" s="63" t="s">
        <v>8168</v>
      </c>
      <c r="N3703" s="63" t="s">
        <v>2590</v>
      </c>
    </row>
    <row r="3704" spans="1:14" x14ac:dyDescent="0.2">
      <c r="A3704" s="51">
        <v>3703</v>
      </c>
      <c r="B3704" s="54" t="s">
        <v>919</v>
      </c>
      <c r="C3704" s="47" t="s">
        <v>8169</v>
      </c>
      <c r="D3704" s="47" t="s">
        <v>8170</v>
      </c>
      <c r="E3704" s="47" t="s">
        <v>2087</v>
      </c>
      <c r="F3704" s="55" t="b">
        <v>1</v>
      </c>
      <c r="G3704" s="54" t="b">
        <v>1</v>
      </c>
      <c r="H3704" s="54" t="b">
        <v>1</v>
      </c>
      <c r="I3704" s="54" t="b">
        <v>1</v>
      </c>
      <c r="J3704" s="65" t="b">
        <v>0</v>
      </c>
      <c r="K3704" s="63" t="s">
        <v>919</v>
      </c>
      <c r="L3704" s="63" t="s">
        <v>8169</v>
      </c>
      <c r="M3704" s="63" t="s">
        <v>8170</v>
      </c>
      <c r="N3704" s="63" t="s">
        <v>2590</v>
      </c>
    </row>
    <row r="3705" spans="1:14" x14ac:dyDescent="0.2">
      <c r="A3705" s="51">
        <v>3704</v>
      </c>
      <c r="G3705" s="65" t="b">
        <v>0</v>
      </c>
      <c r="H3705" s="65" t="b">
        <v>0</v>
      </c>
      <c r="I3705" s="65" t="b">
        <v>0</v>
      </c>
      <c r="J3705" s="65" t="b">
        <v>0</v>
      </c>
      <c r="K3705" s="63" t="s">
        <v>919</v>
      </c>
      <c r="L3705" s="63" t="s">
        <v>8169</v>
      </c>
      <c r="M3705" s="63" t="s">
        <v>8171</v>
      </c>
      <c r="N3705" s="63" t="s">
        <v>2590</v>
      </c>
    </row>
    <row r="3706" spans="1:14" x14ac:dyDescent="0.2">
      <c r="A3706" s="51">
        <v>3705</v>
      </c>
      <c r="G3706" s="65" t="b">
        <v>0</v>
      </c>
      <c r="H3706" s="65" t="b">
        <v>0</v>
      </c>
      <c r="I3706" s="65" t="b">
        <v>0</v>
      </c>
      <c r="J3706" s="65" t="b">
        <v>0</v>
      </c>
      <c r="K3706" s="63" t="s">
        <v>919</v>
      </c>
      <c r="L3706" s="63" t="s">
        <v>8169</v>
      </c>
      <c r="M3706" s="63" t="s">
        <v>8172</v>
      </c>
      <c r="N3706" s="63" t="s">
        <v>2590</v>
      </c>
    </row>
    <row r="3707" spans="1:14" x14ac:dyDescent="0.2">
      <c r="A3707" s="51">
        <v>3706</v>
      </c>
      <c r="B3707" s="54" t="s">
        <v>919</v>
      </c>
      <c r="C3707" s="47" t="s">
        <v>8173</v>
      </c>
      <c r="D3707" s="47" t="s">
        <v>8174</v>
      </c>
      <c r="E3707" s="47" t="s">
        <v>2087</v>
      </c>
      <c r="F3707" s="55" t="b">
        <v>1</v>
      </c>
      <c r="G3707" s="54" t="b">
        <v>1</v>
      </c>
      <c r="H3707" s="54" t="b">
        <v>1</v>
      </c>
      <c r="I3707" s="54" t="b">
        <v>1</v>
      </c>
      <c r="J3707" s="65" t="b">
        <v>0</v>
      </c>
      <c r="K3707" s="63" t="s">
        <v>919</v>
      </c>
      <c r="L3707" s="63" t="s">
        <v>8173</v>
      </c>
      <c r="M3707" s="63" t="s">
        <v>8174</v>
      </c>
      <c r="N3707" s="63" t="s">
        <v>2590</v>
      </c>
    </row>
    <row r="3708" spans="1:14" x14ac:dyDescent="0.2">
      <c r="A3708" s="51">
        <v>3707</v>
      </c>
      <c r="G3708" s="65" t="b">
        <v>0</v>
      </c>
      <c r="H3708" s="65" t="b">
        <v>0</v>
      </c>
      <c r="I3708" s="65" t="b">
        <v>0</v>
      </c>
      <c r="J3708" s="65" t="b">
        <v>0</v>
      </c>
      <c r="K3708" s="63" t="s">
        <v>919</v>
      </c>
      <c r="L3708" s="63" t="s">
        <v>8173</v>
      </c>
      <c r="M3708" s="63" t="s">
        <v>8175</v>
      </c>
      <c r="N3708" s="63" t="s">
        <v>2590</v>
      </c>
    </row>
    <row r="3709" spans="1:14" x14ac:dyDescent="0.2">
      <c r="A3709" s="51">
        <v>3708</v>
      </c>
      <c r="G3709" s="65" t="b">
        <v>0</v>
      </c>
      <c r="H3709" s="65" t="b">
        <v>0</v>
      </c>
      <c r="I3709" s="65" t="b">
        <v>0</v>
      </c>
      <c r="J3709" s="65" t="b">
        <v>0</v>
      </c>
      <c r="K3709" s="63" t="s">
        <v>919</v>
      </c>
      <c r="L3709" s="63" t="s">
        <v>8173</v>
      </c>
      <c r="M3709" s="63" t="s">
        <v>8176</v>
      </c>
      <c r="N3709" s="63" t="s">
        <v>2590</v>
      </c>
    </row>
    <row r="3710" spans="1:14" x14ac:dyDescent="0.2">
      <c r="A3710" s="51">
        <v>3709</v>
      </c>
      <c r="B3710" s="54" t="s">
        <v>919</v>
      </c>
      <c r="C3710" s="47" t="s">
        <v>8177</v>
      </c>
      <c r="D3710" s="47" t="s">
        <v>8178</v>
      </c>
      <c r="E3710" s="47" t="s">
        <v>2087</v>
      </c>
      <c r="F3710" s="55" t="b">
        <v>1</v>
      </c>
      <c r="G3710" s="54" t="b">
        <v>1</v>
      </c>
      <c r="H3710" s="54" t="b">
        <v>1</v>
      </c>
      <c r="I3710" s="54" t="b">
        <v>1</v>
      </c>
      <c r="J3710" s="65" t="b">
        <v>0</v>
      </c>
      <c r="K3710" s="63" t="s">
        <v>919</v>
      </c>
      <c r="L3710" s="63" t="s">
        <v>8177</v>
      </c>
      <c r="M3710" s="63" t="s">
        <v>8178</v>
      </c>
      <c r="N3710" s="63" t="s">
        <v>2590</v>
      </c>
    </row>
    <row r="3711" spans="1:14" x14ac:dyDescent="0.2">
      <c r="A3711" s="51">
        <v>3710</v>
      </c>
      <c r="G3711" s="65" t="b">
        <v>0</v>
      </c>
      <c r="H3711" s="65" t="b">
        <v>0</v>
      </c>
      <c r="I3711" s="65" t="b">
        <v>0</v>
      </c>
      <c r="J3711" s="65" t="b">
        <v>0</v>
      </c>
      <c r="K3711" s="63" t="s">
        <v>919</v>
      </c>
      <c r="L3711" s="63" t="s">
        <v>8177</v>
      </c>
      <c r="M3711" s="63" t="s">
        <v>8196</v>
      </c>
      <c r="N3711" s="63" t="s">
        <v>2590</v>
      </c>
    </row>
    <row r="3712" spans="1:14" x14ac:dyDescent="0.2">
      <c r="A3712" s="51">
        <v>3711</v>
      </c>
      <c r="G3712" s="65" t="b">
        <v>0</v>
      </c>
      <c r="H3712" s="65" t="b">
        <v>0</v>
      </c>
      <c r="I3712" s="65" t="b">
        <v>0</v>
      </c>
      <c r="J3712" s="65" t="b">
        <v>0</v>
      </c>
      <c r="K3712" s="63" t="s">
        <v>919</v>
      </c>
      <c r="L3712" s="63" t="s">
        <v>8177</v>
      </c>
      <c r="M3712" s="63" t="s">
        <v>8227</v>
      </c>
      <c r="N3712" s="63" t="s">
        <v>2590</v>
      </c>
    </row>
    <row r="3713" spans="1:14" x14ac:dyDescent="0.2">
      <c r="A3713" s="51">
        <v>3712</v>
      </c>
      <c r="B3713" s="54" t="s">
        <v>919</v>
      </c>
      <c r="C3713" s="47" t="s">
        <v>8181</v>
      </c>
      <c r="D3713" s="47" t="s">
        <v>13119</v>
      </c>
      <c r="E3713" s="47" t="s">
        <v>2087</v>
      </c>
      <c r="F3713" s="55" t="b">
        <v>1</v>
      </c>
      <c r="G3713" s="54" t="b">
        <v>1</v>
      </c>
      <c r="H3713" s="54" t="b">
        <v>1</v>
      </c>
      <c r="I3713" s="65" t="b">
        <v>0</v>
      </c>
      <c r="J3713" s="65" t="b">
        <v>0</v>
      </c>
      <c r="K3713" s="63" t="s">
        <v>919</v>
      </c>
      <c r="L3713" s="63" t="s">
        <v>8181</v>
      </c>
      <c r="M3713" s="63" t="s">
        <v>8182</v>
      </c>
      <c r="N3713" s="63" t="s">
        <v>8183</v>
      </c>
    </row>
    <row r="3714" spans="1:14" x14ac:dyDescent="0.2">
      <c r="A3714" s="51">
        <v>3713</v>
      </c>
      <c r="G3714" s="65" t="b">
        <v>0</v>
      </c>
      <c r="H3714" s="65" t="b">
        <v>0</v>
      </c>
      <c r="I3714" s="65" t="b">
        <v>0</v>
      </c>
      <c r="J3714" s="65" t="b">
        <v>0</v>
      </c>
      <c r="K3714" s="63" t="s">
        <v>919</v>
      </c>
      <c r="L3714" s="63" t="s">
        <v>8181</v>
      </c>
      <c r="M3714" s="63" t="s">
        <v>8195</v>
      </c>
      <c r="N3714" s="63" t="s">
        <v>8183</v>
      </c>
    </row>
    <row r="3715" spans="1:14" x14ac:dyDescent="0.2">
      <c r="A3715" s="51">
        <v>3714</v>
      </c>
      <c r="G3715" s="65" t="b">
        <v>0</v>
      </c>
      <c r="H3715" s="65" t="b">
        <v>0</v>
      </c>
      <c r="I3715" s="65" t="b">
        <v>0</v>
      </c>
      <c r="J3715" s="65" t="b">
        <v>0</v>
      </c>
      <c r="K3715" s="63" t="s">
        <v>919</v>
      </c>
      <c r="L3715" s="63" t="s">
        <v>8181</v>
      </c>
      <c r="M3715" s="63" t="s">
        <v>8228</v>
      </c>
      <c r="N3715" s="63" t="s">
        <v>8183</v>
      </c>
    </row>
    <row r="3716" spans="1:14" x14ac:dyDescent="0.2">
      <c r="A3716" s="51">
        <v>3715</v>
      </c>
      <c r="B3716" s="54" t="s">
        <v>919</v>
      </c>
      <c r="C3716" s="47" t="s">
        <v>8179</v>
      </c>
      <c r="D3716" s="47" t="s">
        <v>13120</v>
      </c>
      <c r="E3716" s="47" t="s">
        <v>2087</v>
      </c>
      <c r="F3716" s="55" t="b">
        <v>1</v>
      </c>
      <c r="G3716" s="54" t="b">
        <v>1</v>
      </c>
      <c r="H3716" s="54" t="b">
        <v>1</v>
      </c>
      <c r="I3716" s="65" t="b">
        <v>0</v>
      </c>
      <c r="J3716" s="65" t="b">
        <v>0</v>
      </c>
      <c r="K3716" s="63" t="s">
        <v>919</v>
      </c>
      <c r="L3716" s="63" t="s">
        <v>8179</v>
      </c>
      <c r="M3716" s="63" t="s">
        <v>8180</v>
      </c>
      <c r="N3716" s="63" t="s">
        <v>2590</v>
      </c>
    </row>
    <row r="3717" spans="1:14" x14ac:dyDescent="0.2">
      <c r="A3717" s="51">
        <v>3716</v>
      </c>
      <c r="G3717" s="65" t="b">
        <v>0</v>
      </c>
      <c r="H3717" s="65" t="b">
        <v>0</v>
      </c>
      <c r="I3717" s="65" t="b">
        <v>0</v>
      </c>
      <c r="J3717" s="65" t="b">
        <v>0</v>
      </c>
      <c r="K3717" s="63" t="s">
        <v>919</v>
      </c>
      <c r="L3717" s="63" t="s">
        <v>8179</v>
      </c>
      <c r="M3717" s="63" t="s">
        <v>8197</v>
      </c>
      <c r="N3717" s="63" t="s">
        <v>2590</v>
      </c>
    </row>
    <row r="3718" spans="1:14" x14ac:dyDescent="0.2">
      <c r="A3718" s="51">
        <v>3717</v>
      </c>
      <c r="G3718" s="65" t="b">
        <v>0</v>
      </c>
      <c r="H3718" s="65" t="b">
        <v>0</v>
      </c>
      <c r="I3718" s="65" t="b">
        <v>0</v>
      </c>
      <c r="J3718" s="65" t="b">
        <v>0</v>
      </c>
      <c r="K3718" s="63" t="s">
        <v>919</v>
      </c>
      <c r="L3718" s="63" t="s">
        <v>8179</v>
      </c>
      <c r="M3718" s="63" t="s">
        <v>8230</v>
      </c>
      <c r="N3718" s="63" t="s">
        <v>2590</v>
      </c>
    </row>
    <row r="3719" spans="1:14" x14ac:dyDescent="0.2">
      <c r="A3719" s="51">
        <v>3718</v>
      </c>
      <c r="B3719" s="54" t="s">
        <v>919</v>
      </c>
      <c r="C3719" s="47" t="s">
        <v>8188</v>
      </c>
      <c r="D3719" s="47" t="s">
        <v>8189</v>
      </c>
      <c r="E3719" s="47" t="s">
        <v>2087</v>
      </c>
      <c r="F3719" s="55" t="b">
        <v>1</v>
      </c>
      <c r="G3719" s="54" t="b">
        <v>1</v>
      </c>
      <c r="H3719" s="54" t="b">
        <v>1</v>
      </c>
      <c r="I3719" s="54" t="b">
        <v>1</v>
      </c>
      <c r="J3719" s="65" t="b">
        <v>0</v>
      </c>
      <c r="K3719" s="63" t="s">
        <v>919</v>
      </c>
      <c r="L3719" s="63" t="s">
        <v>8188</v>
      </c>
      <c r="M3719" s="63" t="s">
        <v>8189</v>
      </c>
      <c r="N3719" s="63" t="s">
        <v>2590</v>
      </c>
    </row>
    <row r="3720" spans="1:14" x14ac:dyDescent="0.2">
      <c r="A3720" s="51">
        <v>3719</v>
      </c>
      <c r="G3720" s="65" t="b">
        <v>0</v>
      </c>
      <c r="H3720" s="65" t="b">
        <v>0</v>
      </c>
      <c r="I3720" s="65" t="b">
        <v>0</v>
      </c>
      <c r="J3720" s="65" t="b">
        <v>0</v>
      </c>
      <c r="K3720" s="63" t="s">
        <v>919</v>
      </c>
      <c r="L3720" s="63" t="s">
        <v>8188</v>
      </c>
      <c r="M3720" s="63" t="s">
        <v>8246</v>
      </c>
      <c r="N3720" s="63" t="s">
        <v>2590</v>
      </c>
    </row>
    <row r="3721" spans="1:14" x14ac:dyDescent="0.2">
      <c r="A3721" s="51">
        <v>3720</v>
      </c>
      <c r="B3721" s="54" t="s">
        <v>919</v>
      </c>
      <c r="C3721" s="47" t="s">
        <v>8184</v>
      </c>
      <c r="D3721" s="47" t="s">
        <v>8185</v>
      </c>
      <c r="E3721" s="47" t="s">
        <v>2087</v>
      </c>
      <c r="F3721" s="55" t="b">
        <v>1</v>
      </c>
      <c r="G3721" s="54" t="b">
        <v>1</v>
      </c>
      <c r="H3721" s="54" t="b">
        <v>1</v>
      </c>
      <c r="I3721" s="54" t="b">
        <v>1</v>
      </c>
      <c r="J3721" s="65" t="b">
        <v>0</v>
      </c>
      <c r="K3721" s="63" t="s">
        <v>919</v>
      </c>
      <c r="L3721" s="63" t="s">
        <v>8184</v>
      </c>
      <c r="M3721" s="63" t="s">
        <v>8185</v>
      </c>
      <c r="N3721" s="63" t="s">
        <v>2590</v>
      </c>
    </row>
    <row r="3722" spans="1:14" x14ac:dyDescent="0.2">
      <c r="A3722" s="51">
        <v>3721</v>
      </c>
      <c r="G3722" s="65" t="b">
        <v>0</v>
      </c>
      <c r="H3722" s="65" t="b">
        <v>0</v>
      </c>
      <c r="I3722" s="65" t="b">
        <v>0</v>
      </c>
      <c r="J3722" s="65" t="b">
        <v>0</v>
      </c>
      <c r="K3722" s="63" t="s">
        <v>919</v>
      </c>
      <c r="L3722" s="63" t="s">
        <v>8184</v>
      </c>
      <c r="M3722" s="63" t="s">
        <v>8244</v>
      </c>
      <c r="N3722" s="63" t="s">
        <v>2590</v>
      </c>
    </row>
    <row r="3723" spans="1:14" x14ac:dyDescent="0.2">
      <c r="A3723" s="51">
        <v>3722</v>
      </c>
      <c r="G3723" s="65" t="b">
        <v>0</v>
      </c>
      <c r="H3723" s="65" t="b">
        <v>0</v>
      </c>
      <c r="I3723" s="65" t="b">
        <v>0</v>
      </c>
      <c r="J3723" s="65" t="b">
        <v>0</v>
      </c>
      <c r="K3723" s="63" t="s">
        <v>919</v>
      </c>
      <c r="L3723" s="63" t="s">
        <v>8184</v>
      </c>
      <c r="M3723" s="63" t="s">
        <v>8245</v>
      </c>
      <c r="N3723" s="63" t="s">
        <v>2590</v>
      </c>
    </row>
    <row r="3724" spans="1:14" x14ac:dyDescent="0.2">
      <c r="A3724" s="51">
        <v>3723</v>
      </c>
      <c r="B3724" s="54" t="s">
        <v>919</v>
      </c>
      <c r="C3724" s="47" t="s">
        <v>8190</v>
      </c>
      <c r="D3724" s="47" t="s">
        <v>8191</v>
      </c>
      <c r="E3724" s="47" t="s">
        <v>2087</v>
      </c>
      <c r="F3724" s="55" t="b">
        <v>1</v>
      </c>
      <c r="G3724" s="54" t="b">
        <v>1</v>
      </c>
      <c r="H3724" s="54" t="b">
        <v>1</v>
      </c>
      <c r="I3724" s="54" t="b">
        <v>1</v>
      </c>
      <c r="J3724" s="65" t="b">
        <v>0</v>
      </c>
      <c r="K3724" s="63" t="s">
        <v>919</v>
      </c>
      <c r="L3724" s="63" t="s">
        <v>8190</v>
      </c>
      <c r="M3724" s="63" t="s">
        <v>8191</v>
      </c>
      <c r="N3724" s="63" t="s">
        <v>2590</v>
      </c>
    </row>
    <row r="3725" spans="1:14" x14ac:dyDescent="0.2">
      <c r="A3725" s="51">
        <v>3724</v>
      </c>
      <c r="G3725" s="65" t="b">
        <v>0</v>
      </c>
      <c r="H3725" s="65" t="b">
        <v>0</v>
      </c>
      <c r="I3725" s="65" t="b">
        <v>0</v>
      </c>
      <c r="J3725" s="65" t="b">
        <v>0</v>
      </c>
      <c r="K3725" s="63" t="s">
        <v>919</v>
      </c>
      <c r="L3725" s="63" t="s">
        <v>8190</v>
      </c>
      <c r="M3725" s="63" t="s">
        <v>8192</v>
      </c>
      <c r="N3725" s="63" t="s">
        <v>2590</v>
      </c>
    </row>
    <row r="3726" spans="1:14" x14ac:dyDescent="0.2">
      <c r="A3726" s="51">
        <v>3725</v>
      </c>
      <c r="G3726" s="65" t="b">
        <v>0</v>
      </c>
      <c r="H3726" s="65" t="b">
        <v>0</v>
      </c>
      <c r="I3726" s="65" t="b">
        <v>0</v>
      </c>
      <c r="J3726" s="65" t="b">
        <v>0</v>
      </c>
      <c r="K3726" s="63" t="s">
        <v>919</v>
      </c>
      <c r="L3726" s="63" t="s">
        <v>8186</v>
      </c>
      <c r="M3726" s="63" t="s">
        <v>8187</v>
      </c>
      <c r="N3726" s="63" t="s">
        <v>2590</v>
      </c>
    </row>
    <row r="3727" spans="1:14" x14ac:dyDescent="0.2">
      <c r="A3727" s="51">
        <v>3726</v>
      </c>
      <c r="B3727" s="54" t="s">
        <v>919</v>
      </c>
      <c r="C3727" s="47" t="s">
        <v>8186</v>
      </c>
      <c r="D3727" s="47" t="s">
        <v>8194</v>
      </c>
      <c r="E3727" s="47" t="s">
        <v>2087</v>
      </c>
      <c r="F3727" s="55" t="b">
        <v>1</v>
      </c>
      <c r="G3727" s="54" t="b">
        <v>1</v>
      </c>
      <c r="H3727" s="54" t="b">
        <v>1</v>
      </c>
      <c r="I3727" s="65" t="b">
        <v>0</v>
      </c>
      <c r="J3727" s="65" t="b">
        <v>0</v>
      </c>
      <c r="K3727" s="63" t="s">
        <v>919</v>
      </c>
      <c r="L3727" s="63" t="s">
        <v>8186</v>
      </c>
      <c r="M3727" s="63" t="s">
        <v>8193</v>
      </c>
      <c r="N3727" s="63" t="s">
        <v>2590</v>
      </c>
    </row>
    <row r="3728" spans="1:14" x14ac:dyDescent="0.2">
      <c r="A3728" s="51">
        <v>3727</v>
      </c>
      <c r="G3728" s="65" t="b">
        <v>0</v>
      </c>
      <c r="H3728" s="65" t="b">
        <v>0</v>
      </c>
      <c r="I3728" s="65" t="b">
        <v>0</v>
      </c>
      <c r="J3728" s="65" t="b">
        <v>0</v>
      </c>
      <c r="K3728" s="63" t="s">
        <v>919</v>
      </c>
      <c r="L3728" s="63" t="s">
        <v>8186</v>
      </c>
      <c r="M3728" s="63" t="s">
        <v>8194</v>
      </c>
      <c r="N3728" s="63" t="s">
        <v>2590</v>
      </c>
    </row>
    <row r="3729" spans="1:14" x14ac:dyDescent="0.2">
      <c r="A3729" s="51">
        <v>3728</v>
      </c>
      <c r="B3729" s="54" t="s">
        <v>919</v>
      </c>
      <c r="C3729" s="47" t="s">
        <v>8198</v>
      </c>
      <c r="D3729" s="47" t="s">
        <v>4066</v>
      </c>
      <c r="E3729" s="47" t="s">
        <v>2087</v>
      </c>
      <c r="F3729" s="55" t="b">
        <v>1</v>
      </c>
      <c r="G3729" s="54" t="b">
        <v>1</v>
      </c>
      <c r="H3729" s="54" t="b">
        <v>1</v>
      </c>
      <c r="I3729" s="54" t="b">
        <v>1</v>
      </c>
      <c r="J3729" s="65" t="b">
        <v>0</v>
      </c>
      <c r="K3729" s="63" t="s">
        <v>919</v>
      </c>
      <c r="L3729" s="63" t="s">
        <v>8198</v>
      </c>
      <c r="M3729" s="63" t="s">
        <v>4066</v>
      </c>
      <c r="N3729" s="63" t="s">
        <v>2590</v>
      </c>
    </row>
    <row r="3730" spans="1:14" x14ac:dyDescent="0.2">
      <c r="A3730" s="51">
        <v>3729</v>
      </c>
      <c r="G3730" s="65" t="b">
        <v>0</v>
      </c>
      <c r="H3730" s="65" t="b">
        <v>0</v>
      </c>
      <c r="I3730" s="65" t="b">
        <v>0</v>
      </c>
      <c r="J3730" s="65" t="b">
        <v>0</v>
      </c>
      <c r="K3730" s="63" t="s">
        <v>919</v>
      </c>
      <c r="L3730" s="63" t="s">
        <v>8198</v>
      </c>
      <c r="M3730" s="63" t="s">
        <v>8229</v>
      </c>
      <c r="N3730" s="63" t="s">
        <v>2590</v>
      </c>
    </row>
    <row r="3731" spans="1:14" x14ac:dyDescent="0.2">
      <c r="A3731" s="51">
        <v>3730</v>
      </c>
      <c r="B3731" s="54" t="s">
        <v>919</v>
      </c>
      <c r="C3731" s="47" t="s">
        <v>8199</v>
      </c>
      <c r="D3731" s="47" t="s">
        <v>8200</v>
      </c>
      <c r="E3731" s="47" t="s">
        <v>2087</v>
      </c>
      <c r="F3731" s="55" t="b">
        <v>1</v>
      </c>
      <c r="G3731" s="54" t="b">
        <v>1</v>
      </c>
      <c r="H3731" s="54" t="b">
        <v>1</v>
      </c>
      <c r="I3731" s="54" t="b">
        <v>1</v>
      </c>
      <c r="J3731" s="65" t="b">
        <v>0</v>
      </c>
      <c r="K3731" s="63" t="s">
        <v>919</v>
      </c>
      <c r="L3731" s="63" t="s">
        <v>8199</v>
      </c>
      <c r="M3731" s="63" t="s">
        <v>8200</v>
      </c>
      <c r="N3731" s="63" t="s">
        <v>2590</v>
      </c>
    </row>
    <row r="3732" spans="1:14" x14ac:dyDescent="0.2">
      <c r="A3732" s="51">
        <v>3731</v>
      </c>
      <c r="G3732" s="65" t="b">
        <v>0</v>
      </c>
      <c r="H3732" s="65" t="b">
        <v>0</v>
      </c>
      <c r="I3732" s="65" t="b">
        <v>0</v>
      </c>
      <c r="J3732" s="65" t="b">
        <v>0</v>
      </c>
      <c r="K3732" s="63" t="s">
        <v>919</v>
      </c>
      <c r="L3732" s="63" t="s">
        <v>8199</v>
      </c>
      <c r="M3732" s="63" t="s">
        <v>8201</v>
      </c>
      <c r="N3732" s="63" t="s">
        <v>2590</v>
      </c>
    </row>
    <row r="3733" spans="1:14" x14ac:dyDescent="0.2">
      <c r="A3733" s="51">
        <v>3732</v>
      </c>
      <c r="B3733" s="54" t="s">
        <v>919</v>
      </c>
      <c r="C3733" s="47" t="s">
        <v>8202</v>
      </c>
      <c r="D3733" s="47" t="s">
        <v>8203</v>
      </c>
      <c r="E3733" s="47" t="s">
        <v>2087</v>
      </c>
      <c r="F3733" s="55" t="b">
        <v>1</v>
      </c>
      <c r="G3733" s="54" t="b">
        <v>1</v>
      </c>
      <c r="H3733" s="54" t="b">
        <v>1</v>
      </c>
      <c r="I3733" s="54" t="b">
        <v>1</v>
      </c>
      <c r="J3733" s="65" t="b">
        <v>0</v>
      </c>
      <c r="K3733" s="63" t="s">
        <v>919</v>
      </c>
      <c r="L3733" s="63" t="s">
        <v>8202</v>
      </c>
      <c r="M3733" s="63" t="s">
        <v>8203</v>
      </c>
      <c r="N3733" s="63" t="s">
        <v>2590</v>
      </c>
    </row>
    <row r="3734" spans="1:14" x14ac:dyDescent="0.2">
      <c r="A3734" s="51">
        <v>3733</v>
      </c>
      <c r="B3734" s="54" t="s">
        <v>919</v>
      </c>
      <c r="C3734" s="47" t="s">
        <v>8204</v>
      </c>
      <c r="D3734" s="47" t="s">
        <v>8203</v>
      </c>
      <c r="E3734" s="47" t="s">
        <v>1719</v>
      </c>
      <c r="F3734" s="55" t="b">
        <v>1</v>
      </c>
      <c r="G3734" s="54" t="b">
        <v>1</v>
      </c>
      <c r="H3734" s="54" t="b">
        <v>1</v>
      </c>
      <c r="I3734" s="65" t="b">
        <v>0</v>
      </c>
      <c r="J3734" s="65" t="b">
        <v>0</v>
      </c>
      <c r="K3734" s="63" t="s">
        <v>919</v>
      </c>
      <c r="L3734" s="63" t="s">
        <v>8204</v>
      </c>
      <c r="M3734" s="63" t="s">
        <v>8205</v>
      </c>
      <c r="N3734" s="63" t="s">
        <v>2164</v>
      </c>
    </row>
    <row r="3735" spans="1:14" x14ac:dyDescent="0.2">
      <c r="A3735" s="51">
        <v>3734</v>
      </c>
      <c r="G3735" s="65" t="b">
        <v>0</v>
      </c>
      <c r="H3735" s="65" t="b">
        <v>0</v>
      </c>
      <c r="I3735" s="65" t="b">
        <v>0</v>
      </c>
      <c r="J3735" s="65" t="b">
        <v>0</v>
      </c>
      <c r="K3735" s="63" t="s">
        <v>919</v>
      </c>
      <c r="L3735" s="63" t="s">
        <v>8204</v>
      </c>
      <c r="M3735" s="63" t="s">
        <v>8206</v>
      </c>
      <c r="N3735" s="63" t="s">
        <v>2164</v>
      </c>
    </row>
    <row r="3736" spans="1:14" x14ac:dyDescent="0.2">
      <c r="A3736" s="51">
        <v>3735</v>
      </c>
      <c r="G3736" s="65" t="b">
        <v>0</v>
      </c>
      <c r="H3736" s="65" t="b">
        <v>0</v>
      </c>
      <c r="I3736" s="65" t="b">
        <v>0</v>
      </c>
      <c r="J3736" s="65" t="b">
        <v>0</v>
      </c>
      <c r="K3736" s="63" t="s">
        <v>919</v>
      </c>
      <c r="L3736" s="63" t="s">
        <v>8204</v>
      </c>
      <c r="M3736" s="63" t="s">
        <v>8216</v>
      </c>
      <c r="N3736" s="63" t="s">
        <v>2164</v>
      </c>
    </row>
    <row r="3737" spans="1:14" x14ac:dyDescent="0.2">
      <c r="A3737" s="51">
        <v>3736</v>
      </c>
      <c r="B3737" s="54" t="s">
        <v>919</v>
      </c>
      <c r="C3737" s="47" t="s">
        <v>8207</v>
      </c>
      <c r="D3737" s="47" t="s">
        <v>8208</v>
      </c>
      <c r="E3737" s="47" t="s">
        <v>2087</v>
      </c>
      <c r="F3737" s="55" t="b">
        <v>1</v>
      </c>
      <c r="G3737" s="54" t="b">
        <v>1</v>
      </c>
      <c r="H3737" s="54" t="b">
        <v>1</v>
      </c>
      <c r="I3737" s="54" t="b">
        <v>1</v>
      </c>
      <c r="J3737" s="65" t="b">
        <v>0</v>
      </c>
      <c r="K3737" s="63" t="s">
        <v>919</v>
      </c>
      <c r="L3737" s="63" t="s">
        <v>8207</v>
      </c>
      <c r="M3737" s="63" t="s">
        <v>8208</v>
      </c>
      <c r="N3737" s="63" t="s">
        <v>2590</v>
      </c>
    </row>
    <row r="3738" spans="1:14" x14ac:dyDescent="0.2">
      <c r="A3738" s="51">
        <v>3737</v>
      </c>
      <c r="G3738" s="65" t="b">
        <v>0</v>
      </c>
      <c r="H3738" s="65" t="b">
        <v>0</v>
      </c>
      <c r="I3738" s="65" t="b">
        <v>0</v>
      </c>
      <c r="J3738" s="65" t="b">
        <v>0</v>
      </c>
      <c r="K3738" s="63" t="s">
        <v>919</v>
      </c>
      <c r="L3738" s="63" t="s">
        <v>8207</v>
      </c>
      <c r="M3738" s="63" t="s">
        <v>8209</v>
      </c>
      <c r="N3738" s="63" t="s">
        <v>2590</v>
      </c>
    </row>
    <row r="3739" spans="1:14" x14ac:dyDescent="0.2">
      <c r="A3739" s="51">
        <v>3738</v>
      </c>
      <c r="B3739" s="54" t="s">
        <v>919</v>
      </c>
      <c r="C3739" s="47" t="s">
        <v>8210</v>
      </c>
      <c r="D3739" s="47" t="s">
        <v>8211</v>
      </c>
      <c r="E3739" s="47" t="s">
        <v>2087</v>
      </c>
      <c r="F3739" s="55" t="b">
        <v>1</v>
      </c>
      <c r="G3739" s="54" t="b">
        <v>1</v>
      </c>
      <c r="H3739" s="54" t="b">
        <v>1</v>
      </c>
      <c r="I3739" s="54" t="b">
        <v>1</v>
      </c>
      <c r="J3739" s="65" t="b">
        <v>0</v>
      </c>
      <c r="K3739" s="63" t="s">
        <v>919</v>
      </c>
      <c r="L3739" s="63" t="s">
        <v>8210</v>
      </c>
      <c r="M3739" s="63" t="s">
        <v>8211</v>
      </c>
      <c r="N3739" s="63" t="s">
        <v>2590</v>
      </c>
    </row>
    <row r="3740" spans="1:14" x14ac:dyDescent="0.2">
      <c r="A3740" s="51">
        <v>3739</v>
      </c>
      <c r="G3740" s="65" t="b">
        <v>0</v>
      </c>
      <c r="H3740" s="65" t="b">
        <v>0</v>
      </c>
      <c r="I3740" s="65" t="b">
        <v>0</v>
      </c>
      <c r="J3740" s="65" t="b">
        <v>0</v>
      </c>
      <c r="K3740" s="63" t="s">
        <v>919</v>
      </c>
      <c r="L3740" s="63" t="s">
        <v>8210</v>
      </c>
      <c r="M3740" s="63" t="s">
        <v>8212</v>
      </c>
      <c r="N3740" s="63" t="s">
        <v>2590</v>
      </c>
    </row>
    <row r="3741" spans="1:14" x14ac:dyDescent="0.2">
      <c r="A3741" s="51">
        <v>3740</v>
      </c>
      <c r="B3741" s="54" t="s">
        <v>919</v>
      </c>
      <c r="C3741" s="47" t="s">
        <v>8213</v>
      </c>
      <c r="D3741" s="47" t="s">
        <v>8214</v>
      </c>
      <c r="E3741" s="47" t="s">
        <v>2087</v>
      </c>
      <c r="F3741" s="55" t="b">
        <v>1</v>
      </c>
      <c r="G3741" s="54" t="b">
        <v>1</v>
      </c>
      <c r="H3741" s="54" t="b">
        <v>1</v>
      </c>
      <c r="I3741" s="54" t="b">
        <v>1</v>
      </c>
      <c r="J3741" s="65" t="b">
        <v>0</v>
      </c>
      <c r="K3741" s="63" t="s">
        <v>919</v>
      </c>
      <c r="L3741" s="63" t="s">
        <v>8213</v>
      </c>
      <c r="M3741" s="63" t="s">
        <v>8214</v>
      </c>
      <c r="N3741" s="63" t="s">
        <v>2590</v>
      </c>
    </row>
    <row r="3742" spans="1:14" x14ac:dyDescent="0.2">
      <c r="A3742" s="51">
        <v>3741</v>
      </c>
      <c r="G3742" s="65" t="b">
        <v>0</v>
      </c>
      <c r="H3742" s="65" t="b">
        <v>0</v>
      </c>
      <c r="I3742" s="65" t="b">
        <v>0</v>
      </c>
      <c r="J3742" s="65" t="b">
        <v>0</v>
      </c>
      <c r="K3742" s="63" t="s">
        <v>919</v>
      </c>
      <c r="L3742" s="63" t="s">
        <v>8213</v>
      </c>
      <c r="M3742" s="63" t="s">
        <v>8215</v>
      </c>
      <c r="N3742" s="63" t="s">
        <v>2590</v>
      </c>
    </row>
    <row r="3743" spans="1:14" x14ac:dyDescent="0.2">
      <c r="A3743" s="51">
        <v>3742</v>
      </c>
      <c r="G3743" s="65" t="b">
        <v>0</v>
      </c>
      <c r="H3743" s="65" t="b">
        <v>0</v>
      </c>
      <c r="I3743" s="65" t="b">
        <v>0</v>
      </c>
      <c r="J3743" s="65" t="b">
        <v>0</v>
      </c>
      <c r="K3743" s="63" t="s">
        <v>919</v>
      </c>
      <c r="L3743" s="63" t="s">
        <v>8213</v>
      </c>
      <c r="M3743" s="63" t="s">
        <v>8217</v>
      </c>
      <c r="N3743" s="63" t="s">
        <v>2590</v>
      </c>
    </row>
    <row r="3744" spans="1:14" x14ac:dyDescent="0.2">
      <c r="A3744" s="51">
        <v>3743</v>
      </c>
      <c r="B3744" s="54" t="s">
        <v>919</v>
      </c>
      <c r="C3744" s="47" t="s">
        <v>8218</v>
      </c>
      <c r="D3744" s="47" t="s">
        <v>8219</v>
      </c>
      <c r="E3744" s="47" t="s">
        <v>2087</v>
      </c>
      <c r="F3744" s="55" t="b">
        <v>1</v>
      </c>
      <c r="G3744" s="54" t="b">
        <v>1</v>
      </c>
      <c r="H3744" s="54" t="b">
        <v>1</v>
      </c>
      <c r="I3744" s="54" t="b">
        <v>1</v>
      </c>
      <c r="J3744" s="65" t="b">
        <v>0</v>
      </c>
      <c r="K3744" s="63" t="s">
        <v>919</v>
      </c>
      <c r="L3744" s="63" t="s">
        <v>8218</v>
      </c>
      <c r="M3744" s="63" t="s">
        <v>8219</v>
      </c>
      <c r="N3744" s="63" t="s">
        <v>2590</v>
      </c>
    </row>
    <row r="3745" spans="1:14" x14ac:dyDescent="0.2">
      <c r="A3745" s="51">
        <v>3744</v>
      </c>
      <c r="G3745" s="65" t="b">
        <v>0</v>
      </c>
      <c r="H3745" s="65" t="b">
        <v>0</v>
      </c>
      <c r="I3745" s="65" t="b">
        <v>0</v>
      </c>
      <c r="J3745" s="65" t="b">
        <v>0</v>
      </c>
      <c r="K3745" s="63" t="s">
        <v>919</v>
      </c>
      <c r="L3745" s="63" t="s">
        <v>8218</v>
      </c>
      <c r="M3745" s="63" t="s">
        <v>8220</v>
      </c>
      <c r="N3745" s="63" t="s">
        <v>2590</v>
      </c>
    </row>
    <row r="3746" spans="1:14" x14ac:dyDescent="0.2">
      <c r="A3746" s="51">
        <v>3745</v>
      </c>
      <c r="B3746" s="54" t="s">
        <v>919</v>
      </c>
      <c r="C3746" s="47" t="s">
        <v>8221</v>
      </c>
      <c r="D3746" s="47" t="s">
        <v>8222</v>
      </c>
      <c r="E3746" s="47" t="s">
        <v>2087</v>
      </c>
      <c r="F3746" s="55" t="b">
        <v>1</v>
      </c>
      <c r="G3746" s="54" t="b">
        <v>1</v>
      </c>
      <c r="H3746" s="54" t="b">
        <v>1</v>
      </c>
      <c r="I3746" s="54" t="b">
        <v>1</v>
      </c>
      <c r="J3746" s="65" t="b">
        <v>0</v>
      </c>
      <c r="K3746" s="63" t="s">
        <v>919</v>
      </c>
      <c r="L3746" s="63" t="s">
        <v>8221</v>
      </c>
      <c r="M3746" s="63" t="s">
        <v>8222</v>
      </c>
      <c r="N3746" s="63" t="s">
        <v>2590</v>
      </c>
    </row>
    <row r="3747" spans="1:14" x14ac:dyDescent="0.2">
      <c r="A3747" s="51">
        <v>3746</v>
      </c>
      <c r="G3747" s="65" t="b">
        <v>0</v>
      </c>
      <c r="H3747" s="65" t="b">
        <v>0</v>
      </c>
      <c r="I3747" s="65" t="b">
        <v>0</v>
      </c>
      <c r="J3747" s="65" t="b">
        <v>0</v>
      </c>
      <c r="K3747" s="63" t="s">
        <v>919</v>
      </c>
      <c r="L3747" s="63" t="s">
        <v>8221</v>
      </c>
      <c r="M3747" s="63" t="s">
        <v>8223</v>
      </c>
      <c r="N3747" s="63" t="s">
        <v>2590</v>
      </c>
    </row>
    <row r="3748" spans="1:14" x14ac:dyDescent="0.2">
      <c r="A3748" s="51">
        <v>3747</v>
      </c>
      <c r="B3748" s="54" t="s">
        <v>919</v>
      </c>
      <c r="C3748" s="47" t="s">
        <v>8224</v>
      </c>
      <c r="D3748" s="47" t="s">
        <v>8225</v>
      </c>
      <c r="E3748" s="47" t="s">
        <v>2087</v>
      </c>
      <c r="F3748" s="55" t="b">
        <v>1</v>
      </c>
      <c r="G3748" s="54" t="b">
        <v>1</v>
      </c>
      <c r="H3748" s="54" t="b">
        <v>1</v>
      </c>
      <c r="I3748" s="54" t="b">
        <v>1</v>
      </c>
      <c r="J3748" s="65" t="b">
        <v>0</v>
      </c>
      <c r="K3748" s="63" t="s">
        <v>919</v>
      </c>
      <c r="L3748" s="63" t="s">
        <v>8224</v>
      </c>
      <c r="M3748" s="63" t="s">
        <v>8225</v>
      </c>
      <c r="N3748" s="63" t="s">
        <v>2590</v>
      </c>
    </row>
    <row r="3749" spans="1:14" x14ac:dyDescent="0.2">
      <c r="A3749" s="51">
        <v>3748</v>
      </c>
      <c r="G3749" s="65" t="b">
        <v>0</v>
      </c>
      <c r="H3749" s="65" t="b">
        <v>0</v>
      </c>
      <c r="I3749" s="65" t="b">
        <v>0</v>
      </c>
      <c r="J3749" s="65" t="b">
        <v>0</v>
      </c>
      <c r="K3749" s="63" t="s">
        <v>919</v>
      </c>
      <c r="L3749" s="63" t="s">
        <v>8224</v>
      </c>
      <c r="M3749" s="63" t="s">
        <v>8226</v>
      </c>
      <c r="N3749" s="63" t="s">
        <v>2590</v>
      </c>
    </row>
    <row r="3750" spans="1:14" x14ac:dyDescent="0.2">
      <c r="A3750" s="51">
        <v>3749</v>
      </c>
      <c r="B3750" s="54" t="s">
        <v>919</v>
      </c>
      <c r="C3750" s="47" t="s">
        <v>8231</v>
      </c>
      <c r="D3750" s="47" t="s">
        <v>8233</v>
      </c>
      <c r="E3750" s="47" t="s">
        <v>2087</v>
      </c>
      <c r="F3750" s="55" t="b">
        <v>1</v>
      </c>
      <c r="G3750" s="54" t="b">
        <v>1</v>
      </c>
      <c r="H3750" s="54" t="b">
        <v>1</v>
      </c>
      <c r="I3750" s="65" t="b">
        <v>0</v>
      </c>
      <c r="J3750" s="65" t="b">
        <v>0</v>
      </c>
      <c r="K3750" s="63" t="s">
        <v>919</v>
      </c>
      <c r="L3750" s="63" t="s">
        <v>8231</v>
      </c>
      <c r="M3750" s="63" t="s">
        <v>8232</v>
      </c>
      <c r="N3750" s="63" t="s">
        <v>2590</v>
      </c>
    </row>
    <row r="3751" spans="1:14" x14ac:dyDescent="0.2">
      <c r="A3751" s="51">
        <v>3750</v>
      </c>
      <c r="G3751" s="65" t="b">
        <v>0</v>
      </c>
      <c r="H3751" s="65" t="b">
        <v>0</v>
      </c>
      <c r="I3751" s="65" t="b">
        <v>0</v>
      </c>
      <c r="J3751" s="65" t="b">
        <v>0</v>
      </c>
      <c r="K3751" s="63" t="s">
        <v>919</v>
      </c>
      <c r="L3751" s="63" t="s">
        <v>8231</v>
      </c>
      <c r="M3751" s="63" t="s">
        <v>8233</v>
      </c>
      <c r="N3751" s="63" t="s">
        <v>2590</v>
      </c>
    </row>
    <row r="3752" spans="1:14" x14ac:dyDescent="0.2">
      <c r="A3752" s="51">
        <v>3751</v>
      </c>
      <c r="B3752" s="54" t="s">
        <v>919</v>
      </c>
      <c r="C3752" s="47" t="s">
        <v>8234</v>
      </c>
      <c r="D3752" s="47" t="s">
        <v>8235</v>
      </c>
      <c r="E3752" s="47" t="s">
        <v>2087</v>
      </c>
      <c r="F3752" s="55" t="b">
        <v>1</v>
      </c>
      <c r="G3752" s="54" t="b">
        <v>1</v>
      </c>
      <c r="H3752" s="54" t="b">
        <v>1</v>
      </c>
      <c r="I3752" s="54" t="b">
        <v>1</v>
      </c>
      <c r="J3752" s="65" t="b">
        <v>0</v>
      </c>
      <c r="K3752" s="63" t="s">
        <v>919</v>
      </c>
      <c r="L3752" s="63" t="s">
        <v>8234</v>
      </c>
      <c r="M3752" s="63" t="s">
        <v>8235</v>
      </c>
      <c r="N3752" s="63" t="s">
        <v>2590</v>
      </c>
    </row>
    <row r="3753" spans="1:14" x14ac:dyDescent="0.2">
      <c r="A3753" s="51">
        <v>3752</v>
      </c>
      <c r="G3753" s="65" t="b">
        <v>0</v>
      </c>
      <c r="H3753" s="65" t="b">
        <v>0</v>
      </c>
      <c r="I3753" s="65" t="b">
        <v>0</v>
      </c>
      <c r="J3753" s="65" t="b">
        <v>0</v>
      </c>
      <c r="K3753" s="63" t="s">
        <v>919</v>
      </c>
      <c r="L3753" s="63" t="s">
        <v>8234</v>
      </c>
      <c r="M3753" s="63" t="s">
        <v>8236</v>
      </c>
      <c r="N3753" s="63" t="s">
        <v>2590</v>
      </c>
    </row>
    <row r="3754" spans="1:14" x14ac:dyDescent="0.2">
      <c r="A3754" s="51">
        <v>3753</v>
      </c>
      <c r="G3754" s="65" t="b">
        <v>0</v>
      </c>
      <c r="H3754" s="65" t="b">
        <v>0</v>
      </c>
      <c r="I3754" s="65" t="b">
        <v>0</v>
      </c>
      <c r="J3754" s="65" t="b">
        <v>0</v>
      </c>
      <c r="K3754" s="63" t="s">
        <v>919</v>
      </c>
      <c r="L3754" s="63" t="s">
        <v>8234</v>
      </c>
      <c r="M3754" s="63" t="s">
        <v>8237</v>
      </c>
      <c r="N3754" s="63" t="s">
        <v>2590</v>
      </c>
    </row>
    <row r="3755" spans="1:14" x14ac:dyDescent="0.2">
      <c r="A3755" s="51">
        <v>3754</v>
      </c>
      <c r="B3755" s="54" t="s">
        <v>919</v>
      </c>
      <c r="C3755" s="47" t="s">
        <v>8238</v>
      </c>
      <c r="D3755" s="47" t="s">
        <v>8239</v>
      </c>
      <c r="E3755" s="47" t="s">
        <v>2087</v>
      </c>
      <c r="F3755" s="55" t="b">
        <v>1</v>
      </c>
      <c r="G3755" s="54" t="b">
        <v>1</v>
      </c>
      <c r="H3755" s="54" t="b">
        <v>1</v>
      </c>
      <c r="I3755" s="54" t="b">
        <v>1</v>
      </c>
      <c r="J3755" s="65" t="b">
        <v>0</v>
      </c>
      <c r="K3755" s="63" t="s">
        <v>919</v>
      </c>
      <c r="L3755" s="63" t="s">
        <v>8238</v>
      </c>
      <c r="M3755" s="63" t="s">
        <v>8239</v>
      </c>
      <c r="N3755" s="63" t="s">
        <v>2590</v>
      </c>
    </row>
    <row r="3756" spans="1:14" x14ac:dyDescent="0.2">
      <c r="A3756" s="51">
        <v>3755</v>
      </c>
      <c r="G3756" s="65" t="b">
        <v>0</v>
      </c>
      <c r="H3756" s="65" t="b">
        <v>0</v>
      </c>
      <c r="I3756" s="65" t="b">
        <v>0</v>
      </c>
      <c r="J3756" s="65" t="b">
        <v>0</v>
      </c>
      <c r="K3756" s="63" t="s">
        <v>919</v>
      </c>
      <c r="L3756" s="63" t="s">
        <v>8238</v>
      </c>
      <c r="M3756" s="63" t="s">
        <v>8240</v>
      </c>
      <c r="N3756" s="63" t="s">
        <v>2590</v>
      </c>
    </row>
    <row r="3757" spans="1:14" x14ac:dyDescent="0.2">
      <c r="A3757" s="51">
        <v>3756</v>
      </c>
      <c r="G3757" s="65" t="b">
        <v>0</v>
      </c>
      <c r="H3757" s="65" t="b">
        <v>0</v>
      </c>
      <c r="I3757" s="65" t="b">
        <v>0</v>
      </c>
      <c r="J3757" s="65" t="b">
        <v>0</v>
      </c>
      <c r="K3757" s="63" t="s">
        <v>919</v>
      </c>
      <c r="L3757" s="63" t="s">
        <v>8241</v>
      </c>
      <c r="M3757" s="63" t="s">
        <v>8242</v>
      </c>
      <c r="N3757" s="63" t="s">
        <v>2590</v>
      </c>
    </row>
    <row r="3758" spans="1:14" x14ac:dyDescent="0.2">
      <c r="A3758" s="51">
        <v>3757</v>
      </c>
      <c r="B3758" s="54" t="s">
        <v>919</v>
      </c>
      <c r="C3758" s="47" t="s">
        <v>8241</v>
      </c>
      <c r="D3758" s="47" t="s">
        <v>8242</v>
      </c>
      <c r="E3758" s="47" t="s">
        <v>2087</v>
      </c>
      <c r="F3758" s="55" t="b">
        <v>1</v>
      </c>
      <c r="G3758" s="54" t="b">
        <v>1</v>
      </c>
      <c r="H3758" s="54" t="b">
        <v>1</v>
      </c>
      <c r="I3758" s="65" t="b">
        <v>0</v>
      </c>
      <c r="J3758" s="65" t="b">
        <v>0</v>
      </c>
      <c r="K3758" s="63" t="s">
        <v>919</v>
      </c>
      <c r="L3758" s="63" t="s">
        <v>8241</v>
      </c>
      <c r="M3758" s="63" t="s">
        <v>8243</v>
      </c>
      <c r="N3758" s="63" t="s">
        <v>2590</v>
      </c>
    </row>
    <row r="3759" spans="1:14" x14ac:dyDescent="0.2">
      <c r="A3759" s="51">
        <v>3758</v>
      </c>
      <c r="B3759" s="54" t="s">
        <v>921</v>
      </c>
      <c r="C3759" s="47" t="s">
        <v>8414</v>
      </c>
      <c r="D3759" s="47" t="s">
        <v>8415</v>
      </c>
      <c r="E3759" s="48" t="s">
        <v>2087</v>
      </c>
      <c r="F3759" s="66" t="b">
        <v>0</v>
      </c>
      <c r="G3759" s="54" t="b">
        <v>1</v>
      </c>
      <c r="H3759" s="54" t="b">
        <v>1</v>
      </c>
      <c r="I3759" s="54" t="b">
        <v>1</v>
      </c>
      <c r="J3759" s="54" t="b">
        <v>1</v>
      </c>
      <c r="K3759" s="63" t="s">
        <v>921</v>
      </c>
      <c r="L3759" s="63" t="s">
        <v>8414</v>
      </c>
      <c r="M3759" s="63" t="s">
        <v>8415</v>
      </c>
      <c r="N3759" s="63" t="s">
        <v>2087</v>
      </c>
    </row>
    <row r="3760" spans="1:14" x14ac:dyDescent="0.2">
      <c r="A3760" s="51">
        <v>3759</v>
      </c>
      <c r="E3760" s="48"/>
      <c r="G3760" s="65" t="b">
        <v>0</v>
      </c>
      <c r="H3760" s="65" t="b">
        <v>0</v>
      </c>
      <c r="I3760" s="65" t="b">
        <v>0</v>
      </c>
      <c r="J3760" s="65" t="b">
        <v>0</v>
      </c>
      <c r="K3760" s="63" t="s">
        <v>921</v>
      </c>
      <c r="L3760" s="63" t="s">
        <v>8414</v>
      </c>
      <c r="M3760" s="63" t="s">
        <v>8430</v>
      </c>
      <c r="N3760" s="63" t="s">
        <v>2087</v>
      </c>
    </row>
    <row r="3761" spans="1:14" x14ac:dyDescent="0.2">
      <c r="A3761" s="51">
        <v>3760</v>
      </c>
      <c r="B3761" s="54" t="s">
        <v>921</v>
      </c>
      <c r="C3761" s="47" t="s">
        <v>8353</v>
      </c>
      <c r="D3761" s="47" t="s">
        <v>13155</v>
      </c>
      <c r="E3761" s="48" t="s">
        <v>2087</v>
      </c>
      <c r="F3761" s="66" t="b">
        <v>0</v>
      </c>
      <c r="G3761" s="54" t="b">
        <v>1</v>
      </c>
      <c r="H3761" s="54" t="b">
        <v>1</v>
      </c>
      <c r="I3761" s="65" t="b">
        <v>0</v>
      </c>
      <c r="J3761" s="54" t="b">
        <v>1</v>
      </c>
      <c r="K3761" s="63" t="s">
        <v>921</v>
      </c>
      <c r="L3761" s="63" t="s">
        <v>8353</v>
      </c>
      <c r="M3761" s="63" t="s">
        <v>8354</v>
      </c>
      <c r="N3761" s="63" t="s">
        <v>2087</v>
      </c>
    </row>
    <row r="3762" spans="1:14" x14ac:dyDescent="0.2">
      <c r="A3762" s="51">
        <v>3761</v>
      </c>
      <c r="E3762" s="48"/>
      <c r="G3762" s="65" t="b">
        <v>0</v>
      </c>
      <c r="H3762" s="65" t="b">
        <v>0</v>
      </c>
      <c r="I3762" s="65" t="b">
        <v>0</v>
      </c>
      <c r="J3762" s="65" t="b">
        <v>0</v>
      </c>
      <c r="K3762" s="63" t="s">
        <v>921</v>
      </c>
      <c r="L3762" s="63" t="s">
        <v>8353</v>
      </c>
      <c r="M3762" s="63" t="s">
        <v>8445</v>
      </c>
      <c r="N3762" s="63" t="s">
        <v>2087</v>
      </c>
    </row>
    <row r="3763" spans="1:14" x14ac:dyDescent="0.2">
      <c r="A3763" s="51">
        <v>3762</v>
      </c>
      <c r="B3763" s="54" t="s">
        <v>921</v>
      </c>
      <c r="C3763" s="47" t="s">
        <v>8293</v>
      </c>
      <c r="D3763" s="47" t="s">
        <v>13136</v>
      </c>
      <c r="E3763" s="48" t="s">
        <v>2087</v>
      </c>
      <c r="F3763" s="66" t="b">
        <v>0</v>
      </c>
      <c r="G3763" s="54" t="b">
        <v>1</v>
      </c>
      <c r="H3763" s="54" t="b">
        <v>1</v>
      </c>
      <c r="I3763" s="65" t="b">
        <v>0</v>
      </c>
      <c r="J3763" s="54" t="b">
        <v>1</v>
      </c>
      <c r="K3763" s="63" t="s">
        <v>921</v>
      </c>
      <c r="L3763" s="63" t="s">
        <v>8293</v>
      </c>
      <c r="M3763" s="63" t="s">
        <v>8294</v>
      </c>
      <c r="N3763" s="63" t="s">
        <v>2087</v>
      </c>
    </row>
    <row r="3764" spans="1:14" x14ac:dyDescent="0.2">
      <c r="A3764" s="51">
        <v>3763</v>
      </c>
      <c r="E3764" s="48"/>
      <c r="G3764" s="65" t="b">
        <v>0</v>
      </c>
      <c r="H3764" s="65" t="b">
        <v>0</v>
      </c>
      <c r="I3764" s="65" t="b">
        <v>0</v>
      </c>
      <c r="J3764" s="65" t="b">
        <v>0</v>
      </c>
      <c r="K3764" s="63" t="s">
        <v>921</v>
      </c>
      <c r="L3764" s="63" t="s">
        <v>8293</v>
      </c>
      <c r="M3764" s="63" t="s">
        <v>8449</v>
      </c>
      <c r="N3764" s="63" t="s">
        <v>2087</v>
      </c>
    </row>
    <row r="3765" spans="1:14" x14ac:dyDescent="0.2">
      <c r="A3765" s="51">
        <v>3764</v>
      </c>
      <c r="B3765" s="54" t="s">
        <v>921</v>
      </c>
      <c r="C3765" s="47" t="s">
        <v>8311</v>
      </c>
      <c r="D3765" s="47" t="s">
        <v>13142</v>
      </c>
      <c r="E3765" s="48" t="s">
        <v>2087</v>
      </c>
      <c r="F3765" s="66" t="b">
        <v>0</v>
      </c>
      <c r="G3765" s="54" t="b">
        <v>1</v>
      </c>
      <c r="H3765" s="54" t="b">
        <v>1</v>
      </c>
      <c r="I3765" s="65" t="b">
        <v>0</v>
      </c>
      <c r="J3765" s="54" t="b">
        <v>1</v>
      </c>
      <c r="K3765" s="63" t="s">
        <v>921</v>
      </c>
      <c r="L3765" s="63" t="s">
        <v>8311</v>
      </c>
      <c r="M3765" s="63" t="s">
        <v>8312</v>
      </c>
      <c r="N3765" s="63" t="s">
        <v>2087</v>
      </c>
    </row>
    <row r="3766" spans="1:14" x14ac:dyDescent="0.2">
      <c r="A3766" s="51">
        <v>3765</v>
      </c>
      <c r="E3766" s="48"/>
      <c r="G3766" s="65" t="b">
        <v>0</v>
      </c>
      <c r="H3766" s="65" t="b">
        <v>0</v>
      </c>
      <c r="I3766" s="65" t="b">
        <v>0</v>
      </c>
      <c r="J3766" s="65" t="b">
        <v>0</v>
      </c>
      <c r="K3766" s="63" t="s">
        <v>921</v>
      </c>
      <c r="L3766" s="63" t="s">
        <v>8311</v>
      </c>
      <c r="M3766" s="63" t="s">
        <v>8443</v>
      </c>
      <c r="N3766" s="63" t="s">
        <v>2087</v>
      </c>
    </row>
    <row r="3767" spans="1:14" x14ac:dyDescent="0.2">
      <c r="A3767" s="51">
        <v>3766</v>
      </c>
      <c r="B3767" s="54" t="s">
        <v>921</v>
      </c>
      <c r="C3767" s="47" t="s">
        <v>8278</v>
      </c>
      <c r="D3767" s="47" t="s">
        <v>13131</v>
      </c>
      <c r="E3767" s="48" t="s">
        <v>2087</v>
      </c>
      <c r="F3767" s="66" t="b">
        <v>0</v>
      </c>
      <c r="G3767" s="54" t="b">
        <v>1</v>
      </c>
      <c r="H3767" s="54" t="b">
        <v>1</v>
      </c>
      <c r="I3767" s="65" t="b">
        <v>0</v>
      </c>
      <c r="J3767" s="54" t="b">
        <v>1</v>
      </c>
      <c r="K3767" s="63" t="s">
        <v>921</v>
      </c>
      <c r="L3767" s="63" t="s">
        <v>8278</v>
      </c>
      <c r="M3767" s="63" t="s">
        <v>8279</v>
      </c>
      <c r="N3767" s="63" t="s">
        <v>2087</v>
      </c>
    </row>
    <row r="3768" spans="1:14" x14ac:dyDescent="0.2">
      <c r="A3768" s="51">
        <v>3767</v>
      </c>
      <c r="E3768" s="48"/>
      <c r="G3768" s="65" t="b">
        <v>0</v>
      </c>
      <c r="H3768" s="65" t="b">
        <v>0</v>
      </c>
      <c r="I3768" s="65" t="b">
        <v>0</v>
      </c>
      <c r="J3768" s="65" t="b">
        <v>0</v>
      </c>
      <c r="K3768" s="63" t="s">
        <v>921</v>
      </c>
      <c r="L3768" s="63" t="s">
        <v>8278</v>
      </c>
      <c r="M3768" s="63" t="s">
        <v>8439</v>
      </c>
      <c r="N3768" s="63" t="s">
        <v>2087</v>
      </c>
    </row>
    <row r="3769" spans="1:14" x14ac:dyDescent="0.2">
      <c r="A3769" s="51">
        <v>3768</v>
      </c>
      <c r="B3769" s="54" t="s">
        <v>921</v>
      </c>
      <c r="C3769" s="47" t="s">
        <v>8446</v>
      </c>
      <c r="D3769" s="47" t="s">
        <v>13208</v>
      </c>
      <c r="E3769" s="48" t="s">
        <v>2087</v>
      </c>
      <c r="F3769" s="66" t="b">
        <v>0</v>
      </c>
      <c r="G3769" s="54" t="b">
        <v>1</v>
      </c>
      <c r="H3769" s="54" t="b">
        <v>1</v>
      </c>
      <c r="I3769" s="65" t="b">
        <v>0</v>
      </c>
      <c r="J3769" s="54" t="b">
        <v>1</v>
      </c>
      <c r="K3769" s="63" t="s">
        <v>921</v>
      </c>
      <c r="L3769" s="63" t="s">
        <v>8446</v>
      </c>
      <c r="M3769" s="63" t="s">
        <v>8447</v>
      </c>
      <c r="N3769" s="63" t="s">
        <v>2087</v>
      </c>
    </row>
    <row r="3770" spans="1:14" x14ac:dyDescent="0.2">
      <c r="A3770" s="51">
        <v>3769</v>
      </c>
      <c r="E3770" s="48"/>
      <c r="G3770" s="65" t="b">
        <v>0</v>
      </c>
      <c r="H3770" s="65" t="b">
        <v>0</v>
      </c>
      <c r="I3770" s="65" t="b">
        <v>0</v>
      </c>
      <c r="J3770" s="65" t="b">
        <v>0</v>
      </c>
      <c r="K3770" s="63" t="s">
        <v>921</v>
      </c>
      <c r="L3770" s="63" t="s">
        <v>8446</v>
      </c>
      <c r="M3770" s="63" t="s">
        <v>8506</v>
      </c>
      <c r="N3770" s="63" t="s">
        <v>2087</v>
      </c>
    </row>
    <row r="3771" spans="1:14" x14ac:dyDescent="0.2">
      <c r="A3771" s="51">
        <v>3770</v>
      </c>
      <c r="B3771" s="54" t="s">
        <v>921</v>
      </c>
      <c r="C3771" s="47" t="s">
        <v>8313</v>
      </c>
      <c r="D3771" s="47" t="s">
        <v>13143</v>
      </c>
      <c r="E3771" s="48" t="s">
        <v>2087</v>
      </c>
      <c r="F3771" s="66" t="b">
        <v>0</v>
      </c>
      <c r="G3771" s="54" t="b">
        <v>1</v>
      </c>
      <c r="H3771" s="54" t="b">
        <v>1</v>
      </c>
      <c r="I3771" s="65" t="b">
        <v>0</v>
      </c>
      <c r="J3771" s="54" t="b">
        <v>1</v>
      </c>
      <c r="K3771" s="63" t="s">
        <v>921</v>
      </c>
      <c r="L3771" s="63" t="s">
        <v>8313</v>
      </c>
      <c r="M3771" s="63" t="s">
        <v>8314</v>
      </c>
      <c r="N3771" s="63" t="s">
        <v>2087</v>
      </c>
    </row>
    <row r="3772" spans="1:14" x14ac:dyDescent="0.2">
      <c r="A3772" s="51">
        <v>3771</v>
      </c>
      <c r="E3772" s="48"/>
      <c r="G3772" s="65" t="b">
        <v>0</v>
      </c>
      <c r="H3772" s="65" t="b">
        <v>0</v>
      </c>
      <c r="I3772" s="65" t="b">
        <v>0</v>
      </c>
      <c r="J3772" s="65" t="b">
        <v>0</v>
      </c>
      <c r="K3772" s="63" t="s">
        <v>921</v>
      </c>
      <c r="L3772" s="63" t="s">
        <v>8313</v>
      </c>
      <c r="M3772" s="63" t="s">
        <v>8442</v>
      </c>
      <c r="N3772" s="63" t="s">
        <v>2087</v>
      </c>
    </row>
    <row r="3773" spans="1:14" x14ac:dyDescent="0.2">
      <c r="A3773" s="51">
        <v>3772</v>
      </c>
      <c r="B3773" s="54" t="s">
        <v>921</v>
      </c>
      <c r="C3773" s="47" t="s">
        <v>8333</v>
      </c>
      <c r="D3773" s="47" t="s">
        <v>13150</v>
      </c>
      <c r="E3773" s="48" t="s">
        <v>2087</v>
      </c>
      <c r="F3773" s="66" t="b">
        <v>0</v>
      </c>
      <c r="G3773" s="54" t="b">
        <v>1</v>
      </c>
      <c r="H3773" s="54" t="b">
        <v>1</v>
      </c>
      <c r="I3773" s="65" t="b">
        <v>0</v>
      </c>
      <c r="J3773" s="54" t="b">
        <v>1</v>
      </c>
      <c r="K3773" s="63" t="s">
        <v>921</v>
      </c>
      <c r="L3773" s="63" t="s">
        <v>8333</v>
      </c>
      <c r="M3773" s="63" t="s">
        <v>8334</v>
      </c>
      <c r="N3773" s="63" t="s">
        <v>2087</v>
      </c>
    </row>
    <row r="3774" spans="1:14" x14ac:dyDescent="0.2">
      <c r="A3774" s="51">
        <v>3773</v>
      </c>
      <c r="E3774" s="48"/>
      <c r="G3774" s="65" t="b">
        <v>0</v>
      </c>
      <c r="H3774" s="65" t="b">
        <v>0</v>
      </c>
      <c r="I3774" s="65" t="b">
        <v>0</v>
      </c>
      <c r="J3774" s="65" t="b">
        <v>0</v>
      </c>
      <c r="K3774" s="63" t="s">
        <v>921</v>
      </c>
      <c r="L3774" s="63" t="s">
        <v>8333</v>
      </c>
      <c r="M3774" s="63" t="s">
        <v>8451</v>
      </c>
      <c r="N3774" s="63" t="s">
        <v>2087</v>
      </c>
    </row>
    <row r="3775" spans="1:14" x14ac:dyDescent="0.2">
      <c r="A3775" s="51">
        <v>3774</v>
      </c>
      <c r="B3775" s="54" t="s">
        <v>921</v>
      </c>
      <c r="C3775" s="47" t="s">
        <v>8454</v>
      </c>
      <c r="D3775" s="47" t="s">
        <v>13211</v>
      </c>
      <c r="E3775" s="48" t="s">
        <v>2087</v>
      </c>
      <c r="F3775" s="66" t="b">
        <v>0</v>
      </c>
      <c r="G3775" s="54" t="b">
        <v>1</v>
      </c>
      <c r="H3775" s="54" t="b">
        <v>1</v>
      </c>
      <c r="I3775" s="65" t="b">
        <v>0</v>
      </c>
      <c r="J3775" s="54" t="b">
        <v>1</v>
      </c>
      <c r="K3775" s="63" t="s">
        <v>921</v>
      </c>
      <c r="L3775" s="63" t="s">
        <v>8454</v>
      </c>
      <c r="M3775" s="63" t="s">
        <v>8455</v>
      </c>
      <c r="N3775" s="63" t="s">
        <v>2087</v>
      </c>
    </row>
    <row r="3776" spans="1:14" x14ac:dyDescent="0.2">
      <c r="A3776" s="51">
        <v>3775</v>
      </c>
      <c r="E3776" s="48"/>
      <c r="G3776" s="65" t="b">
        <v>0</v>
      </c>
      <c r="H3776" s="65" t="b">
        <v>0</v>
      </c>
      <c r="I3776" s="65" t="b">
        <v>0</v>
      </c>
      <c r="J3776" s="65" t="b">
        <v>0</v>
      </c>
      <c r="K3776" s="63" t="s">
        <v>921</v>
      </c>
      <c r="L3776" s="63" t="s">
        <v>8454</v>
      </c>
      <c r="M3776" s="63" t="s">
        <v>8508</v>
      </c>
      <c r="N3776" s="63" t="s">
        <v>2087</v>
      </c>
    </row>
    <row r="3777" spans="1:14" x14ac:dyDescent="0.2">
      <c r="A3777" s="51">
        <v>3776</v>
      </c>
      <c r="B3777" s="54" t="s">
        <v>921</v>
      </c>
      <c r="C3777" s="47" t="s">
        <v>8419</v>
      </c>
      <c r="D3777" s="47" t="s">
        <v>13183</v>
      </c>
      <c r="E3777" s="48" t="s">
        <v>2087</v>
      </c>
      <c r="F3777" s="66" t="b">
        <v>0</v>
      </c>
      <c r="G3777" s="54" t="b">
        <v>1</v>
      </c>
      <c r="H3777" s="54" t="b">
        <v>1</v>
      </c>
      <c r="I3777" s="65" t="b">
        <v>0</v>
      </c>
      <c r="J3777" s="54" t="b">
        <v>1</v>
      </c>
      <c r="K3777" s="63" t="s">
        <v>921</v>
      </c>
      <c r="L3777" s="63" t="s">
        <v>8419</v>
      </c>
      <c r="M3777" s="63" t="s">
        <v>8420</v>
      </c>
      <c r="N3777" s="63" t="s">
        <v>2087</v>
      </c>
    </row>
    <row r="3778" spans="1:14" x14ac:dyDescent="0.2">
      <c r="A3778" s="51">
        <v>3777</v>
      </c>
      <c r="E3778" s="48"/>
      <c r="G3778" s="65" t="b">
        <v>0</v>
      </c>
      <c r="H3778" s="65" t="b">
        <v>0</v>
      </c>
      <c r="I3778" s="65" t="b">
        <v>0</v>
      </c>
      <c r="J3778" s="65" t="b">
        <v>0</v>
      </c>
      <c r="K3778" s="63" t="s">
        <v>921</v>
      </c>
      <c r="L3778" s="63" t="s">
        <v>8419</v>
      </c>
      <c r="M3778" s="63" t="s">
        <v>8444</v>
      </c>
      <c r="N3778" s="63" t="s">
        <v>2087</v>
      </c>
    </row>
    <row r="3779" spans="1:14" x14ac:dyDescent="0.2">
      <c r="A3779" s="51">
        <v>3778</v>
      </c>
      <c r="B3779" s="54" t="s">
        <v>921</v>
      </c>
      <c r="C3779" s="47" t="s">
        <v>8321</v>
      </c>
      <c r="D3779" s="47" t="s">
        <v>13149</v>
      </c>
      <c r="E3779" s="48" t="s">
        <v>2087</v>
      </c>
      <c r="F3779" s="66" t="b">
        <v>0</v>
      </c>
      <c r="G3779" s="54" t="b">
        <v>1</v>
      </c>
      <c r="H3779" s="54" t="b">
        <v>1</v>
      </c>
      <c r="I3779" s="65" t="b">
        <v>0</v>
      </c>
      <c r="J3779" s="54" t="b">
        <v>1</v>
      </c>
      <c r="K3779" s="63" t="s">
        <v>921</v>
      </c>
      <c r="L3779" s="63" t="s">
        <v>8321</v>
      </c>
      <c r="M3779" s="63" t="s">
        <v>8322</v>
      </c>
      <c r="N3779" s="63" t="s">
        <v>2087</v>
      </c>
    </row>
    <row r="3780" spans="1:14" x14ac:dyDescent="0.2">
      <c r="A3780" s="51">
        <v>3779</v>
      </c>
      <c r="E3780" s="48"/>
      <c r="G3780" s="65" t="b">
        <v>0</v>
      </c>
      <c r="H3780" s="65" t="b">
        <v>0</v>
      </c>
      <c r="I3780" s="65" t="b">
        <v>0</v>
      </c>
      <c r="J3780" s="65" t="b">
        <v>0</v>
      </c>
      <c r="K3780" s="63" t="s">
        <v>921</v>
      </c>
      <c r="L3780" s="63" t="s">
        <v>8321</v>
      </c>
      <c r="M3780" s="63" t="s">
        <v>8441</v>
      </c>
      <c r="N3780" s="63" t="s">
        <v>2087</v>
      </c>
    </row>
    <row r="3781" spans="1:14" x14ac:dyDescent="0.2">
      <c r="A3781" s="51">
        <v>3780</v>
      </c>
      <c r="B3781" s="54" t="s">
        <v>921</v>
      </c>
      <c r="C3781" s="47" t="s">
        <v>8452</v>
      </c>
      <c r="D3781" s="47" t="s">
        <v>13201</v>
      </c>
      <c r="E3781" s="48" t="s">
        <v>2087</v>
      </c>
      <c r="F3781" s="66" t="b">
        <v>0</v>
      </c>
      <c r="G3781" s="54" t="b">
        <v>1</v>
      </c>
      <c r="H3781" s="54" t="b">
        <v>1</v>
      </c>
      <c r="I3781" s="65" t="b">
        <v>0</v>
      </c>
      <c r="J3781" s="54" t="b">
        <v>1</v>
      </c>
      <c r="K3781" s="63" t="s">
        <v>921</v>
      </c>
      <c r="L3781" s="63" t="s">
        <v>8452</v>
      </c>
      <c r="M3781" s="63" t="s">
        <v>8453</v>
      </c>
      <c r="N3781" s="63" t="s">
        <v>2087</v>
      </c>
    </row>
    <row r="3782" spans="1:14" x14ac:dyDescent="0.2">
      <c r="A3782" s="51">
        <v>3781</v>
      </c>
      <c r="E3782" s="48"/>
      <c r="G3782" s="65" t="b">
        <v>0</v>
      </c>
      <c r="H3782" s="65" t="b">
        <v>0</v>
      </c>
      <c r="I3782" s="65" t="b">
        <v>0</v>
      </c>
      <c r="J3782" s="65" t="b">
        <v>0</v>
      </c>
      <c r="K3782" s="63" t="s">
        <v>921</v>
      </c>
      <c r="L3782" s="63" t="s">
        <v>8452</v>
      </c>
      <c r="M3782" s="63" t="s">
        <v>8479</v>
      </c>
      <c r="N3782" s="63" t="s">
        <v>2087</v>
      </c>
    </row>
    <row r="3783" spans="1:14" x14ac:dyDescent="0.2">
      <c r="A3783" s="51">
        <v>3782</v>
      </c>
      <c r="B3783" s="54" t="s">
        <v>921</v>
      </c>
      <c r="C3783" s="47" t="s">
        <v>8303</v>
      </c>
      <c r="D3783" s="47" t="s">
        <v>13140</v>
      </c>
      <c r="E3783" s="48" t="s">
        <v>2087</v>
      </c>
      <c r="F3783" s="66" t="b">
        <v>0</v>
      </c>
      <c r="G3783" s="54" t="b">
        <v>1</v>
      </c>
      <c r="H3783" s="54" t="b">
        <v>1</v>
      </c>
      <c r="I3783" s="65" t="b">
        <v>0</v>
      </c>
      <c r="J3783" s="54" t="b">
        <v>1</v>
      </c>
      <c r="K3783" s="63" t="s">
        <v>921</v>
      </c>
      <c r="L3783" s="63" t="s">
        <v>8303</v>
      </c>
      <c r="M3783" s="63" t="s">
        <v>8304</v>
      </c>
      <c r="N3783" s="63" t="s">
        <v>2087</v>
      </c>
    </row>
    <row r="3784" spans="1:14" x14ac:dyDescent="0.2">
      <c r="A3784" s="51">
        <v>3783</v>
      </c>
      <c r="E3784" s="48"/>
      <c r="G3784" s="65" t="b">
        <v>0</v>
      </c>
      <c r="H3784" s="65" t="b">
        <v>0</v>
      </c>
      <c r="I3784" s="65" t="b">
        <v>0</v>
      </c>
      <c r="J3784" s="65" t="b">
        <v>0</v>
      </c>
      <c r="K3784" s="63" t="s">
        <v>921</v>
      </c>
      <c r="L3784" s="63" t="s">
        <v>8303</v>
      </c>
      <c r="M3784" s="63" t="s">
        <v>8448</v>
      </c>
      <c r="N3784" s="63" t="s">
        <v>2087</v>
      </c>
    </row>
    <row r="3785" spans="1:14" x14ac:dyDescent="0.2">
      <c r="A3785" s="51">
        <v>3784</v>
      </c>
      <c r="B3785" s="54" t="s">
        <v>921</v>
      </c>
      <c r="C3785" s="47" t="s">
        <v>8265</v>
      </c>
      <c r="D3785" s="47" t="s">
        <v>8266</v>
      </c>
      <c r="E3785" s="48" t="s">
        <v>2087</v>
      </c>
      <c r="F3785" s="66" t="b">
        <v>0</v>
      </c>
      <c r="G3785" s="54" t="b">
        <v>1</v>
      </c>
      <c r="H3785" s="54" t="b">
        <v>1</v>
      </c>
      <c r="I3785" s="54" t="b">
        <v>1</v>
      </c>
      <c r="J3785" s="54" t="b">
        <v>1</v>
      </c>
      <c r="K3785" s="63" t="s">
        <v>921</v>
      </c>
      <c r="L3785" s="63" t="s">
        <v>8265</v>
      </c>
      <c r="M3785" s="63" t="s">
        <v>8266</v>
      </c>
      <c r="N3785" s="63" t="s">
        <v>2087</v>
      </c>
    </row>
    <row r="3786" spans="1:14" x14ac:dyDescent="0.2">
      <c r="A3786" s="51">
        <v>3785</v>
      </c>
      <c r="E3786" s="48"/>
      <c r="G3786" s="65" t="b">
        <v>0</v>
      </c>
      <c r="H3786" s="65" t="b">
        <v>0</v>
      </c>
      <c r="I3786" s="65" t="b">
        <v>0</v>
      </c>
      <c r="J3786" s="65" t="b">
        <v>0</v>
      </c>
      <c r="K3786" s="63" t="s">
        <v>921</v>
      </c>
      <c r="L3786" s="63" t="s">
        <v>8265</v>
      </c>
      <c r="M3786" s="63" t="s">
        <v>8413</v>
      </c>
      <c r="N3786" s="63" t="s">
        <v>2087</v>
      </c>
    </row>
    <row r="3787" spans="1:14" x14ac:dyDescent="0.2">
      <c r="A3787" s="51">
        <v>3786</v>
      </c>
      <c r="B3787" s="54" t="s">
        <v>921</v>
      </c>
      <c r="C3787" s="47" t="s">
        <v>8317</v>
      </c>
      <c r="D3787" s="47" t="s">
        <v>13144</v>
      </c>
      <c r="E3787" s="48" t="s">
        <v>2087</v>
      </c>
      <c r="F3787" s="66" t="b">
        <v>0</v>
      </c>
      <c r="G3787" s="54" t="b">
        <v>1</v>
      </c>
      <c r="H3787" s="54" t="b">
        <v>1</v>
      </c>
      <c r="I3787" s="65" t="b">
        <v>0</v>
      </c>
      <c r="J3787" s="54" t="b">
        <v>1</v>
      </c>
      <c r="K3787" s="63" t="s">
        <v>921</v>
      </c>
      <c r="L3787" s="63" t="s">
        <v>8317</v>
      </c>
      <c r="M3787" s="63" t="s">
        <v>8318</v>
      </c>
      <c r="N3787" s="63" t="s">
        <v>2087</v>
      </c>
    </row>
    <row r="3788" spans="1:14" x14ac:dyDescent="0.2">
      <c r="A3788" s="51">
        <v>3787</v>
      </c>
      <c r="E3788" s="48"/>
      <c r="G3788" s="65" t="b">
        <v>0</v>
      </c>
      <c r="H3788" s="65" t="b">
        <v>0</v>
      </c>
      <c r="I3788" s="65" t="b">
        <v>0</v>
      </c>
      <c r="J3788" s="65" t="b">
        <v>0</v>
      </c>
      <c r="K3788" s="63" t="s">
        <v>921</v>
      </c>
      <c r="L3788" s="63" t="s">
        <v>8317</v>
      </c>
      <c r="M3788" s="63" t="s">
        <v>8438</v>
      </c>
      <c r="N3788" s="63" t="s">
        <v>2087</v>
      </c>
    </row>
    <row r="3789" spans="1:14" x14ac:dyDescent="0.2">
      <c r="A3789" s="51">
        <v>3788</v>
      </c>
      <c r="B3789" s="54" t="s">
        <v>921</v>
      </c>
      <c r="C3789" s="47" t="s">
        <v>8289</v>
      </c>
      <c r="D3789" s="47" t="s">
        <v>13137</v>
      </c>
      <c r="E3789" s="48" t="s">
        <v>2087</v>
      </c>
      <c r="F3789" s="66" t="b">
        <v>0</v>
      </c>
      <c r="G3789" s="54" t="b">
        <v>1</v>
      </c>
      <c r="H3789" s="54" t="b">
        <v>1</v>
      </c>
      <c r="I3789" s="65" t="b">
        <v>0</v>
      </c>
      <c r="J3789" s="54" t="b">
        <v>1</v>
      </c>
      <c r="K3789" s="63" t="s">
        <v>921</v>
      </c>
      <c r="L3789" s="63" t="s">
        <v>8289</v>
      </c>
      <c r="M3789" s="63" t="s">
        <v>8290</v>
      </c>
      <c r="N3789" s="63" t="s">
        <v>2087</v>
      </c>
    </row>
    <row r="3790" spans="1:14" x14ac:dyDescent="0.2">
      <c r="A3790" s="51">
        <v>3789</v>
      </c>
      <c r="E3790" s="48"/>
      <c r="G3790" s="65" t="b">
        <v>0</v>
      </c>
      <c r="H3790" s="65" t="b">
        <v>0</v>
      </c>
      <c r="I3790" s="65" t="b">
        <v>0</v>
      </c>
      <c r="J3790" s="65" t="b">
        <v>0</v>
      </c>
      <c r="K3790" s="63" t="s">
        <v>921</v>
      </c>
      <c r="L3790" s="63" t="s">
        <v>8289</v>
      </c>
      <c r="M3790" s="63" t="s">
        <v>8440</v>
      </c>
      <c r="N3790" s="63" t="s">
        <v>2087</v>
      </c>
    </row>
    <row r="3791" spans="1:14" x14ac:dyDescent="0.2">
      <c r="A3791" s="51">
        <v>3790</v>
      </c>
      <c r="B3791" s="54" t="s">
        <v>921</v>
      </c>
      <c r="C3791" s="47" t="s">
        <v>8396</v>
      </c>
      <c r="D3791" s="47" t="s">
        <v>13175</v>
      </c>
      <c r="E3791" s="48" t="s">
        <v>2087</v>
      </c>
      <c r="F3791" s="66" t="b">
        <v>0</v>
      </c>
      <c r="G3791" s="54" t="b">
        <v>1</v>
      </c>
      <c r="H3791" s="54" t="b">
        <v>1</v>
      </c>
      <c r="I3791" s="65" t="b">
        <v>0</v>
      </c>
      <c r="J3791" s="54" t="b">
        <v>1</v>
      </c>
      <c r="K3791" s="63" t="s">
        <v>921</v>
      </c>
      <c r="L3791" s="63" t="s">
        <v>8396</v>
      </c>
      <c r="M3791" s="63" t="s">
        <v>8397</v>
      </c>
      <c r="N3791" s="63" t="s">
        <v>2087</v>
      </c>
    </row>
    <row r="3792" spans="1:14" x14ac:dyDescent="0.2">
      <c r="A3792" s="51">
        <v>3791</v>
      </c>
      <c r="E3792" s="48"/>
      <c r="G3792" s="65" t="b">
        <v>0</v>
      </c>
      <c r="H3792" s="65" t="b">
        <v>0</v>
      </c>
      <c r="I3792" s="65" t="b">
        <v>0</v>
      </c>
      <c r="J3792" s="65" t="b">
        <v>0</v>
      </c>
      <c r="K3792" s="63" t="s">
        <v>921</v>
      </c>
      <c r="L3792" s="63" t="s">
        <v>8396</v>
      </c>
      <c r="M3792" s="63" t="s">
        <v>8450</v>
      </c>
      <c r="N3792" s="63" t="s">
        <v>2087</v>
      </c>
    </row>
    <row r="3793" spans="1:14" x14ac:dyDescent="0.2">
      <c r="A3793" s="51">
        <v>3792</v>
      </c>
      <c r="B3793" s="54" t="s">
        <v>921</v>
      </c>
      <c r="C3793" s="47" t="s">
        <v>8247</v>
      </c>
      <c r="D3793" s="47" t="s">
        <v>8248</v>
      </c>
      <c r="E3793" s="47" t="s">
        <v>1719</v>
      </c>
      <c r="F3793" s="55" t="b">
        <v>1</v>
      </c>
      <c r="G3793" s="54" t="b">
        <v>1</v>
      </c>
      <c r="H3793" s="54" t="b">
        <v>1</v>
      </c>
      <c r="I3793" s="54" t="b">
        <v>1</v>
      </c>
      <c r="J3793" s="54" t="b">
        <v>1</v>
      </c>
      <c r="K3793" s="63" t="s">
        <v>921</v>
      </c>
      <c r="L3793" s="63" t="s">
        <v>8247</v>
      </c>
      <c r="M3793" s="63" t="s">
        <v>8248</v>
      </c>
      <c r="N3793" s="63" t="s">
        <v>1719</v>
      </c>
    </row>
    <row r="3794" spans="1:14" x14ac:dyDescent="0.2">
      <c r="A3794" s="51">
        <v>3793</v>
      </c>
      <c r="B3794" s="54" t="s">
        <v>921</v>
      </c>
      <c r="C3794" s="47" t="s">
        <v>8249</v>
      </c>
      <c r="D3794" s="47" t="s">
        <v>8250</v>
      </c>
      <c r="E3794" s="47" t="s">
        <v>1719</v>
      </c>
      <c r="F3794" s="55" t="b">
        <v>1</v>
      </c>
      <c r="G3794" s="54" t="b">
        <v>1</v>
      </c>
      <c r="H3794" s="54" t="b">
        <v>1</v>
      </c>
      <c r="I3794" s="54" t="b">
        <v>1</v>
      </c>
      <c r="J3794" s="54" t="b">
        <v>1</v>
      </c>
      <c r="K3794" s="63" t="s">
        <v>921</v>
      </c>
      <c r="L3794" s="63" t="s">
        <v>8249</v>
      </c>
      <c r="M3794" s="63" t="s">
        <v>8250</v>
      </c>
      <c r="N3794" s="63" t="s">
        <v>1719</v>
      </c>
    </row>
    <row r="3795" spans="1:14" x14ac:dyDescent="0.2">
      <c r="A3795" s="51">
        <v>3794</v>
      </c>
      <c r="G3795" s="65" t="b">
        <v>0</v>
      </c>
      <c r="H3795" s="65" t="b">
        <v>0</v>
      </c>
      <c r="I3795" s="65" t="b">
        <v>0</v>
      </c>
      <c r="J3795" s="65" t="b">
        <v>0</v>
      </c>
      <c r="K3795" s="63" t="s">
        <v>921</v>
      </c>
      <c r="L3795" s="63" t="s">
        <v>8249</v>
      </c>
      <c r="M3795" s="63" t="s">
        <v>8338</v>
      </c>
      <c r="N3795" s="63" t="s">
        <v>1719</v>
      </c>
    </row>
    <row r="3796" spans="1:14" x14ac:dyDescent="0.2">
      <c r="A3796" s="51">
        <v>3795</v>
      </c>
      <c r="B3796" s="54" t="s">
        <v>921</v>
      </c>
      <c r="C3796" s="47" t="s">
        <v>8251</v>
      </c>
      <c r="D3796" s="47" t="s">
        <v>8252</v>
      </c>
      <c r="E3796" s="47" t="s">
        <v>1719</v>
      </c>
      <c r="F3796" s="55" t="b">
        <v>1</v>
      </c>
      <c r="G3796" s="54" t="b">
        <v>1</v>
      </c>
      <c r="H3796" s="54" t="b">
        <v>1</v>
      </c>
      <c r="I3796" s="54" t="b">
        <v>1</v>
      </c>
      <c r="J3796" s="54" t="b">
        <v>1</v>
      </c>
      <c r="K3796" s="63" t="s">
        <v>921</v>
      </c>
      <c r="L3796" s="63" t="s">
        <v>8251</v>
      </c>
      <c r="M3796" s="63" t="s">
        <v>8252</v>
      </c>
      <c r="N3796" s="63" t="s">
        <v>1719</v>
      </c>
    </row>
    <row r="3797" spans="1:14" x14ac:dyDescent="0.2">
      <c r="A3797" s="51">
        <v>3796</v>
      </c>
      <c r="G3797" s="65" t="b">
        <v>0</v>
      </c>
      <c r="H3797" s="65" t="b">
        <v>0</v>
      </c>
      <c r="I3797" s="65" t="b">
        <v>0</v>
      </c>
      <c r="J3797" s="65" t="b">
        <v>0</v>
      </c>
      <c r="K3797" s="63" t="s">
        <v>921</v>
      </c>
      <c r="L3797" s="63" t="s">
        <v>8251</v>
      </c>
      <c r="M3797" s="63" t="s">
        <v>8497</v>
      </c>
      <c r="N3797" s="63" t="s">
        <v>1719</v>
      </c>
    </row>
    <row r="3798" spans="1:14" x14ac:dyDescent="0.2">
      <c r="A3798" s="51">
        <v>3797</v>
      </c>
      <c r="B3798" s="54" t="s">
        <v>921</v>
      </c>
      <c r="C3798" s="47" t="s">
        <v>8253</v>
      </c>
      <c r="D3798" s="47" t="s">
        <v>8254</v>
      </c>
      <c r="E3798" s="47" t="s">
        <v>1719</v>
      </c>
      <c r="F3798" s="55" t="b">
        <v>1</v>
      </c>
      <c r="G3798" s="54" t="b">
        <v>1</v>
      </c>
      <c r="H3798" s="54" t="b">
        <v>1</v>
      </c>
      <c r="I3798" s="54" t="b">
        <v>1</v>
      </c>
      <c r="J3798" s="54" t="b">
        <v>1</v>
      </c>
      <c r="K3798" s="63" t="s">
        <v>921</v>
      </c>
      <c r="L3798" s="63" t="s">
        <v>8253</v>
      </c>
      <c r="M3798" s="63" t="s">
        <v>8254</v>
      </c>
      <c r="N3798" s="63" t="s">
        <v>1719</v>
      </c>
    </row>
    <row r="3799" spans="1:14" x14ac:dyDescent="0.2">
      <c r="A3799" s="51">
        <v>3798</v>
      </c>
      <c r="B3799" s="54" t="s">
        <v>921</v>
      </c>
      <c r="C3799" s="47" t="s">
        <v>8255</v>
      </c>
      <c r="D3799" s="47" t="s">
        <v>8256</v>
      </c>
      <c r="E3799" s="47" t="s">
        <v>1719</v>
      </c>
      <c r="F3799" s="55" t="b">
        <v>1</v>
      </c>
      <c r="G3799" s="54" t="b">
        <v>1</v>
      </c>
      <c r="H3799" s="54" t="b">
        <v>1</v>
      </c>
      <c r="I3799" s="54" t="b">
        <v>1</v>
      </c>
      <c r="J3799" s="54" t="b">
        <v>1</v>
      </c>
      <c r="K3799" s="63" t="s">
        <v>921</v>
      </c>
      <c r="L3799" s="63" t="s">
        <v>8255</v>
      </c>
      <c r="M3799" s="63" t="s">
        <v>8256</v>
      </c>
      <c r="N3799" s="63" t="s">
        <v>1719</v>
      </c>
    </row>
    <row r="3800" spans="1:14" x14ac:dyDescent="0.2">
      <c r="A3800" s="51">
        <v>3799</v>
      </c>
      <c r="B3800" s="54" t="s">
        <v>921</v>
      </c>
      <c r="C3800" s="47" t="s">
        <v>13121</v>
      </c>
      <c r="D3800" s="47" t="s">
        <v>13122</v>
      </c>
      <c r="E3800" s="47" t="s">
        <v>13123</v>
      </c>
      <c r="F3800" s="55" t="b">
        <v>1</v>
      </c>
      <c r="G3800" s="65" t="b">
        <v>0</v>
      </c>
      <c r="H3800" s="65" t="b">
        <v>0</v>
      </c>
      <c r="I3800" s="65" t="b">
        <v>0</v>
      </c>
      <c r="J3800" s="65" t="b">
        <v>0</v>
      </c>
    </row>
    <row r="3801" spans="1:14" x14ac:dyDescent="0.2">
      <c r="A3801" s="51">
        <v>3800</v>
      </c>
      <c r="B3801" s="54" t="s">
        <v>921</v>
      </c>
      <c r="C3801" s="47" t="s">
        <v>8257</v>
      </c>
      <c r="D3801" s="47" t="s">
        <v>8259</v>
      </c>
      <c r="E3801" s="47" t="s">
        <v>1719</v>
      </c>
      <c r="F3801" s="55" t="b">
        <v>1</v>
      </c>
      <c r="G3801" s="54" t="b">
        <v>1</v>
      </c>
      <c r="H3801" s="54" t="b">
        <v>1</v>
      </c>
      <c r="I3801" s="65" t="b">
        <v>0</v>
      </c>
      <c r="J3801" s="54" t="b">
        <v>1</v>
      </c>
      <c r="K3801" s="63" t="s">
        <v>921</v>
      </c>
      <c r="L3801" s="63" t="s">
        <v>8257</v>
      </c>
      <c r="M3801" s="63" t="s">
        <v>8258</v>
      </c>
      <c r="N3801" s="63" t="s">
        <v>1719</v>
      </c>
    </row>
    <row r="3802" spans="1:14" x14ac:dyDescent="0.2">
      <c r="A3802" s="51">
        <v>3801</v>
      </c>
      <c r="G3802" s="65" t="b">
        <v>0</v>
      </c>
      <c r="H3802" s="65" t="b">
        <v>0</v>
      </c>
      <c r="I3802" s="65" t="b">
        <v>0</v>
      </c>
      <c r="J3802" s="65" t="b">
        <v>0</v>
      </c>
      <c r="K3802" s="63" t="s">
        <v>921</v>
      </c>
      <c r="L3802" s="63" t="s">
        <v>8257</v>
      </c>
      <c r="M3802" s="63" t="s">
        <v>8259</v>
      </c>
      <c r="N3802" s="63" t="s">
        <v>1719</v>
      </c>
    </row>
    <row r="3803" spans="1:14" x14ac:dyDescent="0.2">
      <c r="A3803" s="51">
        <v>3802</v>
      </c>
      <c r="B3803" s="54" t="s">
        <v>921</v>
      </c>
      <c r="C3803" s="47" t="s">
        <v>8260</v>
      </c>
      <c r="D3803" s="47" t="s">
        <v>8261</v>
      </c>
      <c r="E3803" s="47" t="s">
        <v>1719</v>
      </c>
      <c r="F3803" s="55" t="b">
        <v>1</v>
      </c>
      <c r="G3803" s="54" t="b">
        <v>1</v>
      </c>
      <c r="H3803" s="54" t="b">
        <v>1</v>
      </c>
      <c r="I3803" s="54" t="b">
        <v>1</v>
      </c>
      <c r="J3803" s="54" t="b">
        <v>1</v>
      </c>
      <c r="K3803" s="63" t="s">
        <v>921</v>
      </c>
      <c r="L3803" s="63" t="s">
        <v>8260</v>
      </c>
      <c r="M3803" s="63" t="s">
        <v>8261</v>
      </c>
      <c r="N3803" s="63" t="s">
        <v>1719</v>
      </c>
    </row>
    <row r="3804" spans="1:14" x14ac:dyDescent="0.2">
      <c r="A3804" s="51">
        <v>3803</v>
      </c>
      <c r="G3804" s="65" t="b">
        <v>0</v>
      </c>
      <c r="H3804" s="65" t="b">
        <v>0</v>
      </c>
      <c r="I3804" s="65" t="b">
        <v>0</v>
      </c>
      <c r="J3804" s="65" t="b">
        <v>0</v>
      </c>
      <c r="K3804" s="63" t="s">
        <v>921</v>
      </c>
      <c r="L3804" s="63" t="s">
        <v>8260</v>
      </c>
      <c r="M3804" s="63" t="s">
        <v>8262</v>
      </c>
      <c r="N3804" s="63" t="s">
        <v>1719</v>
      </c>
    </row>
    <row r="3805" spans="1:14" x14ac:dyDescent="0.2">
      <c r="A3805" s="51">
        <v>3804</v>
      </c>
      <c r="B3805" s="54" t="s">
        <v>921</v>
      </c>
      <c r="C3805" s="47" t="s">
        <v>13124</v>
      </c>
      <c r="D3805" s="47" t="s">
        <v>13125</v>
      </c>
      <c r="E3805" s="47" t="s">
        <v>13126</v>
      </c>
      <c r="F3805" s="55" t="b">
        <v>1</v>
      </c>
      <c r="G3805" s="65" t="b">
        <v>0</v>
      </c>
      <c r="H3805" s="65" t="b">
        <v>0</v>
      </c>
      <c r="I3805" s="65" t="b">
        <v>0</v>
      </c>
      <c r="J3805" s="65" t="b">
        <v>0</v>
      </c>
    </row>
    <row r="3806" spans="1:14" x14ac:dyDescent="0.2">
      <c r="A3806" s="51">
        <v>3805</v>
      </c>
      <c r="B3806" s="54" t="s">
        <v>921</v>
      </c>
      <c r="C3806" s="47" t="s">
        <v>8263</v>
      </c>
      <c r="D3806" s="47" t="s">
        <v>8264</v>
      </c>
      <c r="E3806" s="47" t="s">
        <v>1719</v>
      </c>
      <c r="F3806" s="55" t="b">
        <v>1</v>
      </c>
      <c r="G3806" s="54" t="b">
        <v>1</v>
      </c>
      <c r="H3806" s="54" t="b">
        <v>1</v>
      </c>
      <c r="I3806" s="54" t="b">
        <v>1</v>
      </c>
      <c r="J3806" s="54" t="b">
        <v>1</v>
      </c>
      <c r="K3806" s="63" t="s">
        <v>921</v>
      </c>
      <c r="L3806" s="63" t="s">
        <v>8263</v>
      </c>
      <c r="M3806" s="63" t="s">
        <v>8264</v>
      </c>
      <c r="N3806" s="63" t="s">
        <v>1719</v>
      </c>
    </row>
    <row r="3807" spans="1:14" x14ac:dyDescent="0.2">
      <c r="A3807" s="51">
        <v>3806</v>
      </c>
      <c r="B3807" s="54" t="s">
        <v>921</v>
      </c>
      <c r="C3807" s="47" t="s">
        <v>13127</v>
      </c>
      <c r="D3807" s="47" t="s">
        <v>13128</v>
      </c>
      <c r="E3807" s="47" t="s">
        <v>13123</v>
      </c>
      <c r="F3807" s="55" t="b">
        <v>1</v>
      </c>
      <c r="G3807" s="65" t="b">
        <v>0</v>
      </c>
      <c r="H3807" s="65" t="b">
        <v>0</v>
      </c>
      <c r="I3807" s="65" t="b">
        <v>0</v>
      </c>
      <c r="J3807" s="65" t="b">
        <v>0</v>
      </c>
    </row>
    <row r="3808" spans="1:14" x14ac:dyDescent="0.2">
      <c r="A3808" s="51">
        <v>3807</v>
      </c>
      <c r="B3808" s="54" t="s">
        <v>921</v>
      </c>
      <c r="C3808" s="47" t="s">
        <v>13129</v>
      </c>
      <c r="D3808" s="47" t="s">
        <v>13130</v>
      </c>
      <c r="E3808" s="47" t="s">
        <v>13123</v>
      </c>
      <c r="F3808" s="55" t="b">
        <v>1</v>
      </c>
      <c r="G3808" s="65" t="b">
        <v>0</v>
      </c>
      <c r="H3808" s="65" t="b">
        <v>0</v>
      </c>
      <c r="I3808" s="65" t="b">
        <v>0</v>
      </c>
      <c r="J3808" s="65" t="b">
        <v>0</v>
      </c>
    </row>
    <row r="3809" spans="1:14" x14ac:dyDescent="0.2">
      <c r="A3809" s="51">
        <v>3808</v>
      </c>
      <c r="B3809" s="54" t="s">
        <v>921</v>
      </c>
      <c r="C3809" s="47" t="s">
        <v>8269</v>
      </c>
      <c r="D3809" s="47" t="s">
        <v>8270</v>
      </c>
      <c r="E3809" s="47" t="s">
        <v>1719</v>
      </c>
      <c r="F3809" s="55" t="b">
        <v>1</v>
      </c>
      <c r="G3809" s="54" t="b">
        <v>1</v>
      </c>
      <c r="H3809" s="54" t="b">
        <v>1</v>
      </c>
      <c r="I3809" s="54" t="b">
        <v>1</v>
      </c>
      <c r="J3809" s="54" t="b">
        <v>1</v>
      </c>
      <c r="K3809" s="63" t="s">
        <v>921</v>
      </c>
      <c r="L3809" s="63" t="s">
        <v>8269</v>
      </c>
      <c r="M3809" s="63" t="s">
        <v>8270</v>
      </c>
      <c r="N3809" s="63" t="s">
        <v>1719</v>
      </c>
    </row>
    <row r="3810" spans="1:14" x14ac:dyDescent="0.2">
      <c r="A3810" s="51">
        <v>3809</v>
      </c>
      <c r="B3810" s="54" t="s">
        <v>921</v>
      </c>
      <c r="C3810" s="47" t="s">
        <v>8267</v>
      </c>
      <c r="D3810" s="47" t="s">
        <v>8268</v>
      </c>
      <c r="E3810" s="47" t="s">
        <v>1719</v>
      </c>
      <c r="F3810" s="55" t="b">
        <v>1</v>
      </c>
      <c r="G3810" s="54" t="b">
        <v>1</v>
      </c>
      <c r="H3810" s="54" t="b">
        <v>1</v>
      </c>
      <c r="I3810" s="54" t="b">
        <v>1</v>
      </c>
      <c r="J3810" s="54" t="b">
        <v>1</v>
      </c>
      <c r="K3810" s="63" t="s">
        <v>921</v>
      </c>
      <c r="L3810" s="63" t="s">
        <v>8267</v>
      </c>
      <c r="M3810" s="63" t="s">
        <v>8268</v>
      </c>
      <c r="N3810" s="63" t="s">
        <v>1719</v>
      </c>
    </row>
    <row r="3811" spans="1:14" x14ac:dyDescent="0.2">
      <c r="A3811" s="51">
        <v>3810</v>
      </c>
      <c r="B3811" s="54" t="s">
        <v>921</v>
      </c>
      <c r="C3811" s="47" t="s">
        <v>8275</v>
      </c>
      <c r="D3811" s="47" t="s">
        <v>8277</v>
      </c>
      <c r="E3811" s="47" t="s">
        <v>1719</v>
      </c>
      <c r="F3811" s="55" t="b">
        <v>1</v>
      </c>
      <c r="G3811" s="54" t="b">
        <v>1</v>
      </c>
      <c r="H3811" s="54" t="b">
        <v>1</v>
      </c>
      <c r="I3811" s="65" t="b">
        <v>0</v>
      </c>
      <c r="J3811" s="54" t="b">
        <v>1</v>
      </c>
      <c r="K3811" s="63" t="s">
        <v>921</v>
      </c>
      <c r="L3811" s="63" t="s">
        <v>8275</v>
      </c>
      <c r="M3811" s="63" t="s">
        <v>8276</v>
      </c>
      <c r="N3811" s="63" t="s">
        <v>1719</v>
      </c>
    </row>
    <row r="3812" spans="1:14" x14ac:dyDescent="0.2">
      <c r="A3812" s="51">
        <v>3811</v>
      </c>
      <c r="G3812" s="65" t="b">
        <v>0</v>
      </c>
      <c r="H3812" s="65" t="b">
        <v>0</v>
      </c>
      <c r="I3812" s="65" t="b">
        <v>0</v>
      </c>
      <c r="J3812" s="65" t="b">
        <v>0</v>
      </c>
      <c r="K3812" s="63" t="s">
        <v>921</v>
      </c>
      <c r="L3812" s="63" t="s">
        <v>8275</v>
      </c>
      <c r="M3812" s="63" t="s">
        <v>8277</v>
      </c>
      <c r="N3812" s="63" t="s">
        <v>1719</v>
      </c>
    </row>
    <row r="3813" spans="1:14" x14ac:dyDescent="0.2">
      <c r="A3813" s="51">
        <v>3812</v>
      </c>
      <c r="B3813" s="54" t="s">
        <v>921</v>
      </c>
      <c r="C3813" s="47" t="s">
        <v>8280</v>
      </c>
      <c r="D3813" s="47" t="s">
        <v>8281</v>
      </c>
      <c r="E3813" s="47" t="s">
        <v>1719</v>
      </c>
      <c r="F3813" s="55" t="b">
        <v>1</v>
      </c>
      <c r="G3813" s="54" t="b">
        <v>1</v>
      </c>
      <c r="H3813" s="54" t="b">
        <v>1</v>
      </c>
      <c r="I3813" s="54" t="b">
        <v>1</v>
      </c>
      <c r="J3813" s="54" t="b">
        <v>1</v>
      </c>
      <c r="K3813" s="63" t="s">
        <v>921</v>
      </c>
      <c r="L3813" s="63" t="s">
        <v>8280</v>
      </c>
      <c r="M3813" s="63" t="s">
        <v>8281</v>
      </c>
      <c r="N3813" s="63" t="s">
        <v>1719</v>
      </c>
    </row>
    <row r="3814" spans="1:14" x14ac:dyDescent="0.2">
      <c r="A3814" s="51">
        <v>3813</v>
      </c>
      <c r="B3814" s="54" t="s">
        <v>921</v>
      </c>
      <c r="C3814" s="47" t="s">
        <v>8282</v>
      </c>
      <c r="D3814" s="47" t="s">
        <v>8283</v>
      </c>
      <c r="E3814" s="47" t="s">
        <v>1719</v>
      </c>
      <c r="F3814" s="55" t="b">
        <v>1</v>
      </c>
      <c r="G3814" s="54" t="b">
        <v>1</v>
      </c>
      <c r="H3814" s="54" t="b">
        <v>1</v>
      </c>
      <c r="I3814" s="54" t="b">
        <v>1</v>
      </c>
      <c r="J3814" s="54" t="b">
        <v>1</v>
      </c>
      <c r="K3814" s="63" t="s">
        <v>921</v>
      </c>
      <c r="L3814" s="63" t="s">
        <v>8282</v>
      </c>
      <c r="M3814" s="63" t="s">
        <v>8283</v>
      </c>
      <c r="N3814" s="63" t="s">
        <v>1719</v>
      </c>
    </row>
    <row r="3815" spans="1:14" x14ac:dyDescent="0.2">
      <c r="A3815" s="51">
        <v>3814</v>
      </c>
      <c r="B3815" s="54" t="s">
        <v>921</v>
      </c>
      <c r="C3815" s="47" t="s">
        <v>8273</v>
      </c>
      <c r="D3815" s="47" t="s">
        <v>8274</v>
      </c>
      <c r="E3815" s="47" t="s">
        <v>1719</v>
      </c>
      <c r="F3815" s="55" t="b">
        <v>1</v>
      </c>
      <c r="G3815" s="54" t="b">
        <v>1</v>
      </c>
      <c r="H3815" s="54" t="b">
        <v>1</v>
      </c>
      <c r="I3815" s="54" t="b">
        <v>1</v>
      </c>
      <c r="J3815" s="54" t="b">
        <v>1</v>
      </c>
      <c r="K3815" s="63" t="s">
        <v>921</v>
      </c>
      <c r="L3815" s="63" t="s">
        <v>8273</v>
      </c>
      <c r="M3815" s="63" t="s">
        <v>8274</v>
      </c>
      <c r="N3815" s="63" t="s">
        <v>1719</v>
      </c>
    </row>
    <row r="3816" spans="1:14" x14ac:dyDescent="0.2">
      <c r="A3816" s="51">
        <v>3815</v>
      </c>
      <c r="B3816" s="54" t="s">
        <v>921</v>
      </c>
      <c r="C3816" s="47" t="s">
        <v>8271</v>
      </c>
      <c r="D3816" s="47" t="s">
        <v>8272</v>
      </c>
      <c r="E3816" s="47" t="s">
        <v>1719</v>
      </c>
      <c r="F3816" s="55" t="b">
        <v>1</v>
      </c>
      <c r="G3816" s="54" t="b">
        <v>1</v>
      </c>
      <c r="H3816" s="54" t="b">
        <v>1</v>
      </c>
      <c r="I3816" s="54" t="b">
        <v>1</v>
      </c>
      <c r="J3816" s="54" t="b">
        <v>1</v>
      </c>
      <c r="K3816" s="63" t="s">
        <v>921</v>
      </c>
      <c r="L3816" s="63" t="s">
        <v>8271</v>
      </c>
      <c r="M3816" s="63" t="s">
        <v>8272</v>
      </c>
      <c r="N3816" s="63" t="s">
        <v>1719</v>
      </c>
    </row>
    <row r="3817" spans="1:14" x14ac:dyDescent="0.2">
      <c r="A3817" s="51">
        <v>3816</v>
      </c>
      <c r="B3817" s="54" t="s">
        <v>921</v>
      </c>
      <c r="C3817" s="47" t="s">
        <v>8284</v>
      </c>
      <c r="D3817" s="47" t="s">
        <v>8285</v>
      </c>
      <c r="E3817" s="47" t="s">
        <v>1719</v>
      </c>
      <c r="F3817" s="55" t="b">
        <v>1</v>
      </c>
      <c r="G3817" s="54" t="b">
        <v>1</v>
      </c>
      <c r="H3817" s="54" t="b">
        <v>1</v>
      </c>
      <c r="I3817" s="54" t="b">
        <v>1</v>
      </c>
      <c r="J3817" s="54" t="b">
        <v>1</v>
      </c>
      <c r="K3817" s="63" t="s">
        <v>921</v>
      </c>
      <c r="L3817" s="63" t="s">
        <v>8284</v>
      </c>
      <c r="M3817" s="63" t="s">
        <v>8285</v>
      </c>
      <c r="N3817" s="63" t="s">
        <v>1719</v>
      </c>
    </row>
    <row r="3818" spans="1:14" x14ac:dyDescent="0.2">
      <c r="A3818" s="51">
        <v>3817</v>
      </c>
      <c r="B3818" s="54" t="s">
        <v>921</v>
      </c>
      <c r="C3818" s="47" t="s">
        <v>8286</v>
      </c>
      <c r="D3818" s="47" t="s">
        <v>8287</v>
      </c>
      <c r="E3818" s="47" t="s">
        <v>1719</v>
      </c>
      <c r="F3818" s="55" t="b">
        <v>1</v>
      </c>
      <c r="G3818" s="54" t="b">
        <v>1</v>
      </c>
      <c r="H3818" s="54" t="b">
        <v>1</v>
      </c>
      <c r="I3818" s="54" t="b">
        <v>1</v>
      </c>
      <c r="J3818" s="54" t="b">
        <v>1</v>
      </c>
      <c r="K3818" s="63" t="s">
        <v>921</v>
      </c>
      <c r="L3818" s="63" t="s">
        <v>8286</v>
      </c>
      <c r="M3818" s="63" t="s">
        <v>8287</v>
      </c>
      <c r="N3818" s="63" t="s">
        <v>1719</v>
      </c>
    </row>
    <row r="3819" spans="1:14" x14ac:dyDescent="0.2">
      <c r="A3819" s="51">
        <v>3818</v>
      </c>
      <c r="G3819" s="65" t="b">
        <v>0</v>
      </c>
      <c r="H3819" s="65" t="b">
        <v>0</v>
      </c>
      <c r="I3819" s="65" t="b">
        <v>0</v>
      </c>
      <c r="J3819" s="65" t="b">
        <v>0</v>
      </c>
      <c r="K3819" s="63" t="s">
        <v>921</v>
      </c>
      <c r="L3819" s="63" t="s">
        <v>8286</v>
      </c>
      <c r="M3819" s="63" t="s">
        <v>8288</v>
      </c>
      <c r="N3819" s="63" t="s">
        <v>1719</v>
      </c>
    </row>
    <row r="3820" spans="1:14" x14ac:dyDescent="0.2">
      <c r="A3820" s="51">
        <v>3819</v>
      </c>
      <c r="B3820" s="54" t="s">
        <v>921</v>
      </c>
      <c r="C3820" s="47" t="s">
        <v>13132</v>
      </c>
      <c r="D3820" s="47" t="s">
        <v>13133</v>
      </c>
      <c r="E3820" s="47" t="s">
        <v>13123</v>
      </c>
      <c r="F3820" s="55" t="b">
        <v>1</v>
      </c>
      <c r="G3820" s="65" t="b">
        <v>0</v>
      </c>
      <c r="H3820" s="65" t="b">
        <v>0</v>
      </c>
      <c r="I3820" s="65" t="b">
        <v>0</v>
      </c>
      <c r="J3820" s="65" t="b">
        <v>0</v>
      </c>
    </row>
    <row r="3821" spans="1:14" x14ac:dyDescent="0.2">
      <c r="A3821" s="51">
        <v>3820</v>
      </c>
      <c r="B3821" s="54" t="s">
        <v>921</v>
      </c>
      <c r="C3821" s="47" t="s">
        <v>8291</v>
      </c>
      <c r="D3821" s="47" t="s">
        <v>8292</v>
      </c>
      <c r="E3821" s="47" t="s">
        <v>1719</v>
      </c>
      <c r="F3821" s="55" t="b">
        <v>1</v>
      </c>
      <c r="G3821" s="54" t="b">
        <v>1</v>
      </c>
      <c r="H3821" s="54" t="b">
        <v>1</v>
      </c>
      <c r="I3821" s="54" t="b">
        <v>1</v>
      </c>
      <c r="J3821" s="54" t="b">
        <v>1</v>
      </c>
      <c r="K3821" s="63" t="s">
        <v>921</v>
      </c>
      <c r="L3821" s="63" t="s">
        <v>8291</v>
      </c>
      <c r="M3821" s="63" t="s">
        <v>8292</v>
      </c>
      <c r="N3821" s="63" t="s">
        <v>1719</v>
      </c>
    </row>
    <row r="3822" spans="1:14" x14ac:dyDescent="0.2">
      <c r="A3822" s="51">
        <v>3821</v>
      </c>
      <c r="G3822" s="65" t="b">
        <v>0</v>
      </c>
      <c r="H3822" s="65" t="b">
        <v>0</v>
      </c>
      <c r="I3822" s="65" t="b">
        <v>0</v>
      </c>
      <c r="J3822" s="65" t="b">
        <v>0</v>
      </c>
      <c r="K3822" s="63" t="s">
        <v>921</v>
      </c>
      <c r="L3822" s="63" t="s">
        <v>8291</v>
      </c>
      <c r="M3822" s="63" t="s">
        <v>8364</v>
      </c>
      <c r="N3822" s="63" t="s">
        <v>1719</v>
      </c>
    </row>
    <row r="3823" spans="1:14" x14ac:dyDescent="0.2">
      <c r="A3823" s="51">
        <v>3822</v>
      </c>
      <c r="B3823" s="54" t="s">
        <v>921</v>
      </c>
      <c r="C3823" s="47" t="s">
        <v>13138</v>
      </c>
      <c r="D3823" s="47" t="s">
        <v>13139</v>
      </c>
      <c r="E3823" s="47" t="s">
        <v>13123</v>
      </c>
      <c r="F3823" s="55" t="b">
        <v>1</v>
      </c>
      <c r="G3823" s="65" t="b">
        <v>0</v>
      </c>
      <c r="H3823" s="65" t="b">
        <v>0</v>
      </c>
      <c r="I3823" s="65" t="b">
        <v>0</v>
      </c>
      <c r="J3823" s="65" t="b">
        <v>0</v>
      </c>
    </row>
    <row r="3824" spans="1:14" x14ac:dyDescent="0.2">
      <c r="A3824" s="51">
        <v>3823</v>
      </c>
      <c r="B3824" s="54" t="s">
        <v>921</v>
      </c>
      <c r="C3824" s="47" t="s">
        <v>8299</v>
      </c>
      <c r="D3824" s="47" t="s">
        <v>8300</v>
      </c>
      <c r="E3824" s="47" t="s">
        <v>1719</v>
      </c>
      <c r="F3824" s="55" t="b">
        <v>1</v>
      </c>
      <c r="G3824" s="54" t="b">
        <v>1</v>
      </c>
      <c r="H3824" s="54" t="b">
        <v>1</v>
      </c>
      <c r="I3824" s="54" t="b">
        <v>1</v>
      </c>
      <c r="J3824" s="54" t="b">
        <v>1</v>
      </c>
      <c r="K3824" s="63" t="s">
        <v>921</v>
      </c>
      <c r="L3824" s="63" t="s">
        <v>8299</v>
      </c>
      <c r="M3824" s="63" t="s">
        <v>8300</v>
      </c>
      <c r="N3824" s="63" t="s">
        <v>1719</v>
      </c>
    </row>
    <row r="3825" spans="1:14" x14ac:dyDescent="0.2">
      <c r="A3825" s="51">
        <v>3824</v>
      </c>
      <c r="G3825" s="65" t="b">
        <v>0</v>
      </c>
      <c r="H3825" s="65" t="b">
        <v>0</v>
      </c>
      <c r="I3825" s="65" t="b">
        <v>0</v>
      </c>
      <c r="J3825" s="65" t="b">
        <v>0</v>
      </c>
      <c r="K3825" s="63" t="s">
        <v>921</v>
      </c>
      <c r="L3825" s="63" t="s">
        <v>8299</v>
      </c>
      <c r="M3825" s="63" t="s">
        <v>8367</v>
      </c>
      <c r="N3825" s="63" t="s">
        <v>1719</v>
      </c>
    </row>
    <row r="3826" spans="1:14" x14ac:dyDescent="0.2">
      <c r="A3826" s="51">
        <v>3825</v>
      </c>
      <c r="B3826" s="54" t="s">
        <v>921</v>
      </c>
      <c r="C3826" s="47" t="s">
        <v>8295</v>
      </c>
      <c r="D3826" s="47" t="s">
        <v>8296</v>
      </c>
      <c r="E3826" s="47" t="s">
        <v>1719</v>
      </c>
      <c r="F3826" s="55" t="b">
        <v>1</v>
      </c>
      <c r="G3826" s="54" t="b">
        <v>1</v>
      </c>
      <c r="H3826" s="54" t="b">
        <v>1</v>
      </c>
      <c r="I3826" s="54" t="b">
        <v>1</v>
      </c>
      <c r="J3826" s="54" t="b">
        <v>1</v>
      </c>
      <c r="K3826" s="63" t="s">
        <v>921</v>
      </c>
      <c r="L3826" s="63" t="s">
        <v>8295</v>
      </c>
      <c r="M3826" s="63" t="s">
        <v>8296</v>
      </c>
      <c r="N3826" s="63" t="s">
        <v>1719</v>
      </c>
    </row>
    <row r="3827" spans="1:14" x14ac:dyDescent="0.2">
      <c r="A3827" s="51">
        <v>3826</v>
      </c>
      <c r="G3827" s="65" t="b">
        <v>0</v>
      </c>
      <c r="H3827" s="65" t="b">
        <v>0</v>
      </c>
      <c r="I3827" s="65" t="b">
        <v>0</v>
      </c>
      <c r="J3827" s="65" t="b">
        <v>0</v>
      </c>
      <c r="K3827" s="63" t="s">
        <v>921</v>
      </c>
      <c r="L3827" s="63" t="s">
        <v>8295</v>
      </c>
      <c r="M3827" s="63" t="s">
        <v>8342</v>
      </c>
      <c r="N3827" s="63" t="s">
        <v>1719</v>
      </c>
    </row>
    <row r="3828" spans="1:14" x14ac:dyDescent="0.2">
      <c r="A3828" s="51">
        <v>3827</v>
      </c>
      <c r="B3828" s="54" t="s">
        <v>921</v>
      </c>
      <c r="C3828" s="47" t="s">
        <v>8301</v>
      </c>
      <c r="D3828" s="47" t="s">
        <v>8302</v>
      </c>
      <c r="E3828" s="47" t="s">
        <v>1719</v>
      </c>
      <c r="F3828" s="55" t="b">
        <v>1</v>
      </c>
      <c r="G3828" s="54" t="b">
        <v>1</v>
      </c>
      <c r="H3828" s="54" t="b">
        <v>1</v>
      </c>
      <c r="I3828" s="54" t="b">
        <v>1</v>
      </c>
      <c r="J3828" s="54" t="b">
        <v>1</v>
      </c>
      <c r="K3828" s="63" t="s">
        <v>921</v>
      </c>
      <c r="L3828" s="63" t="s">
        <v>8301</v>
      </c>
      <c r="M3828" s="63" t="s">
        <v>8302</v>
      </c>
      <c r="N3828" s="63" t="s">
        <v>1719</v>
      </c>
    </row>
    <row r="3829" spans="1:14" x14ac:dyDescent="0.2">
      <c r="A3829" s="51">
        <v>3828</v>
      </c>
      <c r="G3829" s="65" t="b">
        <v>0</v>
      </c>
      <c r="H3829" s="65" t="b">
        <v>0</v>
      </c>
      <c r="I3829" s="65" t="b">
        <v>0</v>
      </c>
      <c r="J3829" s="65" t="b">
        <v>0</v>
      </c>
      <c r="K3829" s="63" t="s">
        <v>921</v>
      </c>
      <c r="L3829" s="63" t="s">
        <v>8301</v>
      </c>
      <c r="M3829" s="63" t="s">
        <v>8374</v>
      </c>
      <c r="N3829" s="63" t="s">
        <v>1719</v>
      </c>
    </row>
    <row r="3830" spans="1:14" x14ac:dyDescent="0.2">
      <c r="A3830" s="51">
        <v>3829</v>
      </c>
      <c r="B3830" s="54" t="s">
        <v>921</v>
      </c>
      <c r="C3830" s="47" t="s">
        <v>8297</v>
      </c>
      <c r="D3830" s="47" t="s">
        <v>8298</v>
      </c>
      <c r="E3830" s="47" t="s">
        <v>1719</v>
      </c>
      <c r="F3830" s="55" t="b">
        <v>1</v>
      </c>
      <c r="G3830" s="54" t="b">
        <v>1</v>
      </c>
      <c r="H3830" s="54" t="b">
        <v>1</v>
      </c>
      <c r="I3830" s="54" t="b">
        <v>1</v>
      </c>
      <c r="J3830" s="54" t="b">
        <v>1</v>
      </c>
      <c r="K3830" s="63" t="s">
        <v>921</v>
      </c>
      <c r="L3830" s="63" t="s">
        <v>8297</v>
      </c>
      <c r="M3830" s="63" t="s">
        <v>8298</v>
      </c>
      <c r="N3830" s="63" t="s">
        <v>1719</v>
      </c>
    </row>
    <row r="3831" spans="1:14" x14ac:dyDescent="0.2">
      <c r="A3831" s="51">
        <v>3830</v>
      </c>
      <c r="G3831" s="65" t="b">
        <v>0</v>
      </c>
      <c r="H3831" s="65" t="b">
        <v>0</v>
      </c>
      <c r="I3831" s="65" t="b">
        <v>0</v>
      </c>
      <c r="J3831" s="65" t="b">
        <v>0</v>
      </c>
      <c r="K3831" s="63" t="s">
        <v>921</v>
      </c>
      <c r="L3831" s="63" t="s">
        <v>8297</v>
      </c>
      <c r="M3831" s="63" t="s">
        <v>8500</v>
      </c>
      <c r="N3831" s="63" t="s">
        <v>1719</v>
      </c>
    </row>
    <row r="3832" spans="1:14" x14ac:dyDescent="0.2">
      <c r="A3832" s="51">
        <v>3831</v>
      </c>
      <c r="B3832" s="54" t="s">
        <v>921</v>
      </c>
      <c r="C3832" s="47" t="s">
        <v>8305</v>
      </c>
      <c r="D3832" s="47" t="s">
        <v>8306</v>
      </c>
      <c r="E3832" s="47" t="s">
        <v>1719</v>
      </c>
      <c r="F3832" s="55" t="b">
        <v>1</v>
      </c>
      <c r="G3832" s="54" t="b">
        <v>1</v>
      </c>
      <c r="H3832" s="54" t="b">
        <v>1</v>
      </c>
      <c r="I3832" s="54" t="b">
        <v>1</v>
      </c>
      <c r="J3832" s="54" t="b">
        <v>1</v>
      </c>
      <c r="K3832" s="63" t="s">
        <v>921</v>
      </c>
      <c r="L3832" s="63" t="s">
        <v>8305</v>
      </c>
      <c r="M3832" s="63" t="s">
        <v>8306</v>
      </c>
      <c r="N3832" s="63" t="s">
        <v>1719</v>
      </c>
    </row>
    <row r="3833" spans="1:14" x14ac:dyDescent="0.2">
      <c r="A3833" s="51">
        <v>3832</v>
      </c>
      <c r="G3833" s="65" t="b">
        <v>0</v>
      </c>
      <c r="H3833" s="65" t="b">
        <v>0</v>
      </c>
      <c r="I3833" s="65" t="b">
        <v>0</v>
      </c>
      <c r="J3833" s="65" t="b">
        <v>0</v>
      </c>
      <c r="K3833" s="63" t="s">
        <v>921</v>
      </c>
      <c r="L3833" s="63" t="s">
        <v>8305</v>
      </c>
      <c r="M3833" s="63" t="s">
        <v>8375</v>
      </c>
      <c r="N3833" s="63" t="s">
        <v>1719</v>
      </c>
    </row>
    <row r="3834" spans="1:14" x14ac:dyDescent="0.2">
      <c r="A3834" s="51">
        <v>3833</v>
      </c>
      <c r="B3834" s="54" t="s">
        <v>921</v>
      </c>
      <c r="C3834" s="47" t="s">
        <v>8307</v>
      </c>
      <c r="D3834" s="47" t="s">
        <v>8308</v>
      </c>
      <c r="E3834" s="47" t="s">
        <v>1719</v>
      </c>
      <c r="F3834" s="55" t="b">
        <v>1</v>
      </c>
      <c r="G3834" s="54" t="b">
        <v>1</v>
      </c>
      <c r="H3834" s="54" t="b">
        <v>1</v>
      </c>
      <c r="I3834" s="54" t="b">
        <v>1</v>
      </c>
      <c r="J3834" s="54" t="b">
        <v>1</v>
      </c>
      <c r="K3834" s="63" t="s">
        <v>921</v>
      </c>
      <c r="L3834" s="63" t="s">
        <v>8307</v>
      </c>
      <c r="M3834" s="63" t="s">
        <v>8308</v>
      </c>
      <c r="N3834" s="63" t="s">
        <v>1719</v>
      </c>
    </row>
    <row r="3835" spans="1:14" x14ac:dyDescent="0.2">
      <c r="A3835" s="51">
        <v>3834</v>
      </c>
      <c r="G3835" s="65" t="b">
        <v>0</v>
      </c>
      <c r="H3835" s="65" t="b">
        <v>0</v>
      </c>
      <c r="I3835" s="65" t="b">
        <v>0</v>
      </c>
      <c r="J3835" s="65" t="b">
        <v>0</v>
      </c>
      <c r="K3835" s="63" t="s">
        <v>921</v>
      </c>
      <c r="L3835" s="63" t="s">
        <v>8307</v>
      </c>
      <c r="M3835" s="63" t="s">
        <v>8363</v>
      </c>
      <c r="N3835" s="63" t="s">
        <v>1719</v>
      </c>
    </row>
    <row r="3836" spans="1:14" x14ac:dyDescent="0.2">
      <c r="A3836" s="51">
        <v>3835</v>
      </c>
      <c r="B3836" s="54" t="s">
        <v>921</v>
      </c>
      <c r="C3836" s="47" t="s">
        <v>13141</v>
      </c>
      <c r="D3836" s="47" t="s">
        <v>8310</v>
      </c>
      <c r="E3836" s="47" t="s">
        <v>13123</v>
      </c>
      <c r="F3836" s="55" t="b">
        <v>1</v>
      </c>
      <c r="G3836" s="65" t="b">
        <v>0</v>
      </c>
      <c r="H3836" s="65" t="b">
        <v>0</v>
      </c>
      <c r="I3836" s="65" t="b">
        <v>0</v>
      </c>
      <c r="J3836" s="65" t="b">
        <v>0</v>
      </c>
    </row>
    <row r="3837" spans="1:14" x14ac:dyDescent="0.2">
      <c r="A3837" s="51">
        <v>3836</v>
      </c>
      <c r="B3837" s="54" t="s">
        <v>921</v>
      </c>
      <c r="C3837" s="47" t="s">
        <v>8309</v>
      </c>
      <c r="D3837" s="47" t="s">
        <v>8310</v>
      </c>
      <c r="E3837" s="47" t="s">
        <v>1719</v>
      </c>
      <c r="F3837" s="55" t="b">
        <v>1</v>
      </c>
      <c r="G3837" s="54" t="b">
        <v>1</v>
      </c>
      <c r="H3837" s="54" t="b">
        <v>1</v>
      </c>
      <c r="I3837" s="54" t="b">
        <v>1</v>
      </c>
      <c r="J3837" s="54" t="b">
        <v>1</v>
      </c>
      <c r="K3837" s="63" t="s">
        <v>921</v>
      </c>
      <c r="L3837" s="63" t="s">
        <v>8309</v>
      </c>
      <c r="M3837" s="63" t="s">
        <v>8310</v>
      </c>
      <c r="N3837" s="63" t="s">
        <v>1719</v>
      </c>
    </row>
    <row r="3838" spans="1:14" x14ac:dyDescent="0.2">
      <c r="A3838" s="51">
        <v>3837</v>
      </c>
      <c r="G3838" s="65" t="b">
        <v>0</v>
      </c>
      <c r="H3838" s="65" t="b">
        <v>0</v>
      </c>
      <c r="I3838" s="65" t="b">
        <v>0</v>
      </c>
      <c r="J3838" s="65" t="b">
        <v>0</v>
      </c>
      <c r="K3838" s="63" t="s">
        <v>921</v>
      </c>
      <c r="L3838" s="63" t="s">
        <v>8309</v>
      </c>
      <c r="M3838" s="63" t="s">
        <v>8470</v>
      </c>
      <c r="N3838" s="63" t="s">
        <v>1719</v>
      </c>
    </row>
    <row r="3839" spans="1:14" x14ac:dyDescent="0.2">
      <c r="A3839" s="51">
        <v>3838</v>
      </c>
      <c r="B3839" s="54" t="s">
        <v>921</v>
      </c>
      <c r="C3839" s="47" t="s">
        <v>13134</v>
      </c>
      <c r="D3839" s="47" t="s">
        <v>13135</v>
      </c>
      <c r="E3839" s="47" t="s">
        <v>13123</v>
      </c>
      <c r="F3839" s="55" t="b">
        <v>1</v>
      </c>
      <c r="G3839" s="65" t="b">
        <v>0</v>
      </c>
      <c r="H3839" s="65" t="b">
        <v>0</v>
      </c>
      <c r="I3839" s="65" t="b">
        <v>0</v>
      </c>
      <c r="J3839" s="65" t="b">
        <v>0</v>
      </c>
    </row>
    <row r="3840" spans="1:14" x14ac:dyDescent="0.2">
      <c r="A3840" s="51">
        <v>3839</v>
      </c>
      <c r="B3840" s="54" t="s">
        <v>921</v>
      </c>
      <c r="C3840" s="47" t="s">
        <v>8315</v>
      </c>
      <c r="D3840" s="47" t="s">
        <v>8316</v>
      </c>
      <c r="E3840" s="47" t="s">
        <v>1719</v>
      </c>
      <c r="F3840" s="55" t="b">
        <v>1</v>
      </c>
      <c r="G3840" s="54" t="b">
        <v>1</v>
      </c>
      <c r="H3840" s="54" t="b">
        <v>1</v>
      </c>
      <c r="I3840" s="54" t="b">
        <v>1</v>
      </c>
      <c r="J3840" s="54" t="b">
        <v>1</v>
      </c>
      <c r="K3840" s="63" t="s">
        <v>921</v>
      </c>
      <c r="L3840" s="63" t="s">
        <v>8315</v>
      </c>
      <c r="M3840" s="63" t="s">
        <v>8316</v>
      </c>
      <c r="N3840" s="63" t="s">
        <v>1719</v>
      </c>
    </row>
    <row r="3841" spans="1:14" x14ac:dyDescent="0.2">
      <c r="A3841" s="51">
        <v>3840</v>
      </c>
      <c r="G3841" s="65" t="b">
        <v>0</v>
      </c>
      <c r="H3841" s="65" t="b">
        <v>0</v>
      </c>
      <c r="I3841" s="65" t="b">
        <v>0</v>
      </c>
      <c r="J3841" s="65" t="b">
        <v>0</v>
      </c>
      <c r="K3841" s="63" t="s">
        <v>921</v>
      </c>
      <c r="L3841" s="63" t="s">
        <v>8315</v>
      </c>
      <c r="M3841" s="63" t="s">
        <v>8390</v>
      </c>
      <c r="N3841" s="63" t="s">
        <v>1719</v>
      </c>
    </row>
    <row r="3842" spans="1:14" x14ac:dyDescent="0.2">
      <c r="A3842" s="51">
        <v>3841</v>
      </c>
      <c r="B3842" s="54" t="s">
        <v>921</v>
      </c>
      <c r="C3842" s="47" t="s">
        <v>13145</v>
      </c>
      <c r="D3842" s="47" t="s">
        <v>8320</v>
      </c>
      <c r="E3842" s="47" t="s">
        <v>13126</v>
      </c>
      <c r="F3842" s="55" t="b">
        <v>1</v>
      </c>
      <c r="G3842" s="65" t="b">
        <v>0</v>
      </c>
      <c r="H3842" s="65" t="b">
        <v>0</v>
      </c>
      <c r="I3842" s="65" t="b">
        <v>0</v>
      </c>
      <c r="J3842" s="65" t="b">
        <v>0</v>
      </c>
    </row>
    <row r="3843" spans="1:14" x14ac:dyDescent="0.2">
      <c r="A3843" s="51">
        <v>3842</v>
      </c>
      <c r="B3843" s="54" t="s">
        <v>921</v>
      </c>
      <c r="C3843" s="47" t="s">
        <v>13146</v>
      </c>
      <c r="D3843" s="47" t="s">
        <v>13147</v>
      </c>
      <c r="E3843" s="47" t="s">
        <v>13126</v>
      </c>
      <c r="F3843" s="55" t="b">
        <v>1</v>
      </c>
      <c r="G3843" s="65" t="b">
        <v>0</v>
      </c>
      <c r="H3843" s="65" t="b">
        <v>0</v>
      </c>
      <c r="I3843" s="65" t="b">
        <v>0</v>
      </c>
      <c r="J3843" s="65" t="b">
        <v>0</v>
      </c>
    </row>
    <row r="3844" spans="1:14" x14ac:dyDescent="0.2">
      <c r="A3844" s="51">
        <v>3843</v>
      </c>
      <c r="B3844" s="54" t="s">
        <v>921</v>
      </c>
      <c r="C3844" s="47" t="s">
        <v>8323</v>
      </c>
      <c r="D3844" s="47" t="s">
        <v>8324</v>
      </c>
      <c r="E3844" s="47" t="s">
        <v>1719</v>
      </c>
      <c r="F3844" s="55" t="b">
        <v>1</v>
      </c>
      <c r="G3844" s="54" t="b">
        <v>1</v>
      </c>
      <c r="H3844" s="54" t="b">
        <v>1</v>
      </c>
      <c r="I3844" s="54" t="b">
        <v>1</v>
      </c>
      <c r="J3844" s="54" t="b">
        <v>1</v>
      </c>
      <c r="K3844" s="63" t="s">
        <v>921</v>
      </c>
      <c r="L3844" s="63" t="s">
        <v>8323</v>
      </c>
      <c r="M3844" s="63" t="s">
        <v>8324</v>
      </c>
      <c r="N3844" s="63" t="s">
        <v>1719</v>
      </c>
    </row>
    <row r="3845" spans="1:14" x14ac:dyDescent="0.2">
      <c r="A3845" s="51">
        <v>3844</v>
      </c>
      <c r="G3845" s="65" t="b">
        <v>0</v>
      </c>
      <c r="H3845" s="65" t="b">
        <v>0</v>
      </c>
      <c r="I3845" s="65" t="b">
        <v>0</v>
      </c>
      <c r="J3845" s="65" t="b">
        <v>0</v>
      </c>
      <c r="K3845" s="63" t="s">
        <v>921</v>
      </c>
      <c r="L3845" s="63" t="s">
        <v>8323</v>
      </c>
      <c r="M3845" s="63" t="s">
        <v>8473</v>
      </c>
      <c r="N3845" s="63" t="s">
        <v>1719</v>
      </c>
    </row>
    <row r="3846" spans="1:14" x14ac:dyDescent="0.2">
      <c r="A3846" s="51">
        <v>3845</v>
      </c>
      <c r="B3846" s="54" t="s">
        <v>921</v>
      </c>
      <c r="C3846" s="47" t="s">
        <v>8327</v>
      </c>
      <c r="D3846" s="47" t="s">
        <v>8328</v>
      </c>
      <c r="E3846" s="47" t="s">
        <v>1719</v>
      </c>
      <c r="F3846" s="55" t="b">
        <v>1</v>
      </c>
      <c r="G3846" s="54" t="b">
        <v>1</v>
      </c>
      <c r="H3846" s="54" t="b">
        <v>1</v>
      </c>
      <c r="I3846" s="54" t="b">
        <v>1</v>
      </c>
      <c r="J3846" s="54" t="b">
        <v>1</v>
      </c>
      <c r="K3846" s="63" t="s">
        <v>921</v>
      </c>
      <c r="L3846" s="63" t="s">
        <v>8327</v>
      </c>
      <c r="M3846" s="63" t="s">
        <v>8328</v>
      </c>
      <c r="N3846" s="63" t="s">
        <v>1719</v>
      </c>
    </row>
    <row r="3847" spans="1:14" x14ac:dyDescent="0.2">
      <c r="A3847" s="51">
        <v>3846</v>
      </c>
      <c r="G3847" s="65" t="b">
        <v>0</v>
      </c>
      <c r="H3847" s="65" t="b">
        <v>0</v>
      </c>
      <c r="I3847" s="65" t="b">
        <v>0</v>
      </c>
      <c r="J3847" s="65" t="b">
        <v>0</v>
      </c>
      <c r="K3847" s="63" t="s">
        <v>921</v>
      </c>
      <c r="L3847" s="63" t="s">
        <v>8327</v>
      </c>
      <c r="M3847" s="63" t="s">
        <v>8498</v>
      </c>
      <c r="N3847" s="63" t="s">
        <v>1719</v>
      </c>
    </row>
    <row r="3848" spans="1:14" x14ac:dyDescent="0.2">
      <c r="A3848" s="51">
        <v>3847</v>
      </c>
      <c r="B3848" s="54" t="s">
        <v>921</v>
      </c>
      <c r="C3848" s="47" t="s">
        <v>8325</v>
      </c>
      <c r="D3848" s="47" t="s">
        <v>8326</v>
      </c>
      <c r="E3848" s="47" t="s">
        <v>1719</v>
      </c>
      <c r="F3848" s="55" t="b">
        <v>1</v>
      </c>
      <c r="G3848" s="54" t="b">
        <v>1</v>
      </c>
      <c r="H3848" s="54" t="b">
        <v>1</v>
      </c>
      <c r="I3848" s="54" t="b">
        <v>1</v>
      </c>
      <c r="J3848" s="54" t="b">
        <v>1</v>
      </c>
      <c r="K3848" s="63" t="s">
        <v>921</v>
      </c>
      <c r="L3848" s="63" t="s">
        <v>8325</v>
      </c>
      <c r="M3848" s="63" t="s">
        <v>8326</v>
      </c>
      <c r="N3848" s="63" t="s">
        <v>1719</v>
      </c>
    </row>
    <row r="3849" spans="1:14" x14ac:dyDescent="0.2">
      <c r="A3849" s="51">
        <v>3848</v>
      </c>
      <c r="G3849" s="65" t="b">
        <v>0</v>
      </c>
      <c r="H3849" s="65" t="b">
        <v>0</v>
      </c>
      <c r="I3849" s="65" t="b">
        <v>0</v>
      </c>
      <c r="J3849" s="65" t="b">
        <v>0</v>
      </c>
      <c r="K3849" s="63" t="s">
        <v>921</v>
      </c>
      <c r="L3849" s="63" t="s">
        <v>8325</v>
      </c>
      <c r="M3849" s="63" t="s">
        <v>8339</v>
      </c>
      <c r="N3849" s="63" t="s">
        <v>1719</v>
      </c>
    </row>
    <row r="3850" spans="1:14" x14ac:dyDescent="0.2">
      <c r="A3850" s="51">
        <v>3849</v>
      </c>
      <c r="B3850" s="54" t="s">
        <v>921</v>
      </c>
      <c r="C3850" s="47" t="s">
        <v>8329</v>
      </c>
      <c r="D3850" s="47" t="s">
        <v>8330</v>
      </c>
      <c r="E3850" s="47" t="s">
        <v>1719</v>
      </c>
      <c r="F3850" s="55" t="b">
        <v>1</v>
      </c>
      <c r="G3850" s="54" t="b">
        <v>1</v>
      </c>
      <c r="H3850" s="54" t="b">
        <v>1</v>
      </c>
      <c r="I3850" s="54" t="b">
        <v>1</v>
      </c>
      <c r="J3850" s="54" t="b">
        <v>1</v>
      </c>
      <c r="K3850" s="63" t="s">
        <v>921</v>
      </c>
      <c r="L3850" s="63" t="s">
        <v>8329</v>
      </c>
      <c r="M3850" s="63" t="s">
        <v>8330</v>
      </c>
      <c r="N3850" s="63" t="s">
        <v>1719</v>
      </c>
    </row>
    <row r="3851" spans="1:14" x14ac:dyDescent="0.2">
      <c r="A3851" s="51">
        <v>3850</v>
      </c>
      <c r="G3851" s="65" t="b">
        <v>0</v>
      </c>
      <c r="H3851" s="65" t="b">
        <v>0</v>
      </c>
      <c r="I3851" s="65" t="b">
        <v>0</v>
      </c>
      <c r="J3851" s="65" t="b">
        <v>0</v>
      </c>
      <c r="K3851" s="63" t="s">
        <v>921</v>
      </c>
      <c r="L3851" s="63" t="s">
        <v>8329</v>
      </c>
      <c r="M3851" s="63" t="s">
        <v>8435</v>
      </c>
      <c r="N3851" s="63" t="s">
        <v>1719</v>
      </c>
    </row>
    <row r="3852" spans="1:14" x14ac:dyDescent="0.2">
      <c r="A3852" s="51">
        <v>3851</v>
      </c>
      <c r="B3852" s="54" t="s">
        <v>921</v>
      </c>
      <c r="C3852" s="47" t="s">
        <v>13148</v>
      </c>
      <c r="D3852" s="47" t="s">
        <v>13149</v>
      </c>
      <c r="E3852" s="47" t="s">
        <v>13123</v>
      </c>
      <c r="F3852" s="55" t="b">
        <v>1</v>
      </c>
      <c r="G3852" s="65" t="b">
        <v>0</v>
      </c>
      <c r="H3852" s="65" t="b">
        <v>0</v>
      </c>
      <c r="I3852" s="65" t="b">
        <v>0</v>
      </c>
      <c r="J3852" s="65" t="b">
        <v>0</v>
      </c>
    </row>
    <row r="3853" spans="1:14" x14ac:dyDescent="0.2">
      <c r="A3853" s="51">
        <v>3852</v>
      </c>
      <c r="B3853" s="54" t="s">
        <v>921</v>
      </c>
      <c r="C3853" s="47" t="s">
        <v>8331</v>
      </c>
      <c r="D3853" s="47" t="s">
        <v>8332</v>
      </c>
      <c r="E3853" s="47" t="s">
        <v>1719</v>
      </c>
      <c r="F3853" s="55" t="b">
        <v>1</v>
      </c>
      <c r="G3853" s="54" t="b">
        <v>1</v>
      </c>
      <c r="H3853" s="54" t="b">
        <v>1</v>
      </c>
      <c r="I3853" s="54" t="b">
        <v>1</v>
      </c>
      <c r="J3853" s="54" t="b">
        <v>1</v>
      </c>
      <c r="K3853" s="63" t="s">
        <v>921</v>
      </c>
      <c r="L3853" s="63" t="s">
        <v>8331</v>
      </c>
      <c r="M3853" s="63" t="s">
        <v>8332</v>
      </c>
      <c r="N3853" s="63" t="s">
        <v>1719</v>
      </c>
    </row>
    <row r="3854" spans="1:14" x14ac:dyDescent="0.2">
      <c r="A3854" s="51">
        <v>3853</v>
      </c>
      <c r="G3854" s="65" t="b">
        <v>0</v>
      </c>
      <c r="H3854" s="65" t="b">
        <v>0</v>
      </c>
      <c r="I3854" s="65" t="b">
        <v>0</v>
      </c>
      <c r="J3854" s="65" t="b">
        <v>0</v>
      </c>
      <c r="K3854" s="63" t="s">
        <v>921</v>
      </c>
      <c r="L3854" s="63" t="s">
        <v>8331</v>
      </c>
      <c r="M3854" s="63" t="s">
        <v>8477</v>
      </c>
      <c r="N3854" s="63" t="s">
        <v>1719</v>
      </c>
    </row>
    <row r="3855" spans="1:14" x14ac:dyDescent="0.2">
      <c r="A3855" s="51">
        <v>3854</v>
      </c>
      <c r="B3855" s="54" t="s">
        <v>921</v>
      </c>
      <c r="C3855" s="47" t="s">
        <v>13151</v>
      </c>
      <c r="D3855" s="47" t="s">
        <v>13152</v>
      </c>
      <c r="E3855" s="47" t="s">
        <v>13123</v>
      </c>
      <c r="F3855" s="55" t="b">
        <v>1</v>
      </c>
      <c r="G3855" s="65" t="b">
        <v>0</v>
      </c>
      <c r="H3855" s="65" t="b">
        <v>0</v>
      </c>
      <c r="I3855" s="65" t="b">
        <v>0</v>
      </c>
      <c r="J3855" s="65" t="b">
        <v>0</v>
      </c>
    </row>
    <row r="3856" spans="1:14" x14ac:dyDescent="0.2">
      <c r="A3856" s="51">
        <v>3855</v>
      </c>
      <c r="B3856" s="54" t="s">
        <v>921</v>
      </c>
      <c r="C3856" s="47" t="s">
        <v>8335</v>
      </c>
      <c r="D3856" s="47" t="s">
        <v>8337</v>
      </c>
      <c r="E3856" s="47" t="s">
        <v>1719</v>
      </c>
      <c r="F3856" s="55" t="b">
        <v>1</v>
      </c>
      <c r="G3856" s="54" t="b">
        <v>1</v>
      </c>
      <c r="H3856" s="54" t="b">
        <v>1</v>
      </c>
      <c r="I3856" s="54" t="b">
        <v>1</v>
      </c>
      <c r="J3856" s="54" t="b">
        <v>1</v>
      </c>
      <c r="K3856" s="63" t="s">
        <v>921</v>
      </c>
      <c r="L3856" s="63" t="s">
        <v>8335</v>
      </c>
      <c r="M3856" s="63" t="s">
        <v>8337</v>
      </c>
      <c r="N3856" s="63" t="s">
        <v>1719</v>
      </c>
    </row>
    <row r="3857" spans="1:14" x14ac:dyDescent="0.2">
      <c r="A3857" s="51">
        <v>3856</v>
      </c>
      <c r="G3857" s="65" t="b">
        <v>0</v>
      </c>
      <c r="H3857" s="65" t="b">
        <v>0</v>
      </c>
      <c r="I3857" s="65" t="b">
        <v>0</v>
      </c>
      <c r="J3857" s="65" t="b">
        <v>0</v>
      </c>
      <c r="K3857" s="63" t="s">
        <v>921</v>
      </c>
      <c r="L3857" s="63" t="s">
        <v>8335</v>
      </c>
      <c r="M3857" s="63" t="s">
        <v>8336</v>
      </c>
      <c r="N3857" s="63" t="s">
        <v>1719</v>
      </c>
    </row>
    <row r="3858" spans="1:14" x14ac:dyDescent="0.2">
      <c r="A3858" s="51">
        <v>3857</v>
      </c>
      <c r="B3858" s="54" t="s">
        <v>921</v>
      </c>
      <c r="C3858" s="47" t="s">
        <v>8351</v>
      </c>
      <c r="D3858" s="47" t="s">
        <v>8352</v>
      </c>
      <c r="E3858" s="47" t="s">
        <v>1719</v>
      </c>
      <c r="F3858" s="55" t="b">
        <v>1</v>
      </c>
      <c r="G3858" s="54" t="b">
        <v>1</v>
      </c>
      <c r="H3858" s="54" t="b">
        <v>1</v>
      </c>
      <c r="I3858" s="54" t="b">
        <v>1</v>
      </c>
      <c r="J3858" s="54" t="b">
        <v>1</v>
      </c>
      <c r="K3858" s="63" t="s">
        <v>921</v>
      </c>
      <c r="L3858" s="63" t="s">
        <v>8351</v>
      </c>
      <c r="M3858" s="63" t="s">
        <v>8352</v>
      </c>
      <c r="N3858" s="63" t="s">
        <v>1719</v>
      </c>
    </row>
    <row r="3859" spans="1:14" x14ac:dyDescent="0.2">
      <c r="A3859" s="51">
        <v>3858</v>
      </c>
      <c r="G3859" s="65" t="b">
        <v>0</v>
      </c>
      <c r="H3859" s="65" t="b">
        <v>0</v>
      </c>
      <c r="I3859" s="65" t="b">
        <v>0</v>
      </c>
      <c r="J3859" s="65" t="b">
        <v>0</v>
      </c>
      <c r="K3859" s="63" t="s">
        <v>921</v>
      </c>
      <c r="L3859" s="63" t="s">
        <v>8351</v>
      </c>
      <c r="M3859" s="63" t="s">
        <v>8360</v>
      </c>
      <c r="N3859" s="63" t="s">
        <v>1719</v>
      </c>
    </row>
    <row r="3860" spans="1:14" x14ac:dyDescent="0.2">
      <c r="A3860" s="51">
        <v>3859</v>
      </c>
      <c r="B3860" s="54" t="s">
        <v>921</v>
      </c>
      <c r="C3860" s="47" t="s">
        <v>13153</v>
      </c>
      <c r="D3860" s="47" t="s">
        <v>13154</v>
      </c>
      <c r="E3860" s="47" t="s">
        <v>13123</v>
      </c>
      <c r="F3860" s="55" t="b">
        <v>1</v>
      </c>
      <c r="G3860" s="65" t="b">
        <v>0</v>
      </c>
      <c r="H3860" s="65" t="b">
        <v>0</v>
      </c>
      <c r="I3860" s="65" t="b">
        <v>0</v>
      </c>
      <c r="J3860" s="65" t="b">
        <v>0</v>
      </c>
    </row>
    <row r="3861" spans="1:14" x14ac:dyDescent="0.2">
      <c r="A3861" s="51">
        <v>3860</v>
      </c>
      <c r="B3861" s="54" t="s">
        <v>921</v>
      </c>
      <c r="C3861" s="47" t="s">
        <v>8358</v>
      </c>
      <c r="D3861" s="47" t="s">
        <v>8359</v>
      </c>
      <c r="E3861" s="47" t="s">
        <v>1719</v>
      </c>
      <c r="F3861" s="55" t="b">
        <v>1</v>
      </c>
      <c r="G3861" s="54" t="b">
        <v>1</v>
      </c>
      <c r="H3861" s="54" t="b">
        <v>1</v>
      </c>
      <c r="I3861" s="54" t="b">
        <v>1</v>
      </c>
      <c r="J3861" s="54" t="b">
        <v>1</v>
      </c>
      <c r="K3861" s="63" t="s">
        <v>921</v>
      </c>
      <c r="L3861" s="63" t="s">
        <v>8358</v>
      </c>
      <c r="M3861" s="63" t="s">
        <v>8359</v>
      </c>
      <c r="N3861" s="63" t="s">
        <v>1719</v>
      </c>
    </row>
    <row r="3862" spans="1:14" x14ac:dyDescent="0.2">
      <c r="A3862" s="51">
        <v>3861</v>
      </c>
      <c r="B3862" s="54" t="s">
        <v>921</v>
      </c>
      <c r="C3862" s="47" t="s">
        <v>8340</v>
      </c>
      <c r="D3862" s="47" t="s">
        <v>8355</v>
      </c>
      <c r="E3862" s="47" t="s">
        <v>1719</v>
      </c>
      <c r="F3862" s="55" t="b">
        <v>1</v>
      </c>
      <c r="G3862" s="54" t="b">
        <v>1</v>
      </c>
      <c r="H3862" s="54" t="b">
        <v>1</v>
      </c>
      <c r="I3862" s="54" t="b">
        <v>1</v>
      </c>
      <c r="J3862" s="54" t="b">
        <v>1</v>
      </c>
      <c r="K3862" s="63" t="s">
        <v>921</v>
      </c>
      <c r="L3862" s="63" t="s">
        <v>8340</v>
      </c>
      <c r="M3862" s="63" t="s">
        <v>8355</v>
      </c>
      <c r="N3862" s="63" t="s">
        <v>1719</v>
      </c>
    </row>
    <row r="3863" spans="1:14" x14ac:dyDescent="0.2">
      <c r="A3863" s="51">
        <v>3862</v>
      </c>
      <c r="G3863" s="65" t="b">
        <v>0</v>
      </c>
      <c r="H3863" s="65" t="b">
        <v>0</v>
      </c>
      <c r="I3863" s="65" t="b">
        <v>0</v>
      </c>
      <c r="J3863" s="65" t="b">
        <v>0</v>
      </c>
      <c r="K3863" s="63" t="s">
        <v>921</v>
      </c>
      <c r="L3863" s="63" t="s">
        <v>8340</v>
      </c>
      <c r="M3863" s="63" t="s">
        <v>8341</v>
      </c>
      <c r="N3863" s="63" t="s">
        <v>1719</v>
      </c>
    </row>
    <row r="3864" spans="1:14" x14ac:dyDescent="0.2">
      <c r="A3864" s="51">
        <v>3863</v>
      </c>
      <c r="B3864" s="54" t="s">
        <v>921</v>
      </c>
      <c r="C3864" s="47" t="s">
        <v>13156</v>
      </c>
      <c r="D3864" s="47" t="s">
        <v>8359</v>
      </c>
      <c r="E3864" s="47" t="s">
        <v>13123</v>
      </c>
      <c r="F3864" s="55" t="b">
        <v>1</v>
      </c>
      <c r="G3864" s="65" t="b">
        <v>0</v>
      </c>
      <c r="H3864" s="65" t="b">
        <v>0</v>
      </c>
      <c r="I3864" s="65" t="b">
        <v>0</v>
      </c>
      <c r="J3864" s="65" t="b">
        <v>0</v>
      </c>
    </row>
    <row r="3865" spans="1:14" x14ac:dyDescent="0.2">
      <c r="A3865" s="51">
        <v>3864</v>
      </c>
      <c r="B3865" s="54" t="s">
        <v>921</v>
      </c>
      <c r="C3865" s="47" t="s">
        <v>13159</v>
      </c>
      <c r="D3865" s="47" t="s">
        <v>13160</v>
      </c>
      <c r="E3865" s="47" t="s">
        <v>13123</v>
      </c>
      <c r="F3865" s="55" t="b">
        <v>1</v>
      </c>
      <c r="G3865" s="65" t="b">
        <v>0</v>
      </c>
      <c r="H3865" s="65" t="b">
        <v>0</v>
      </c>
      <c r="I3865" s="65" t="b">
        <v>0</v>
      </c>
      <c r="J3865" s="65" t="b">
        <v>0</v>
      </c>
    </row>
    <row r="3866" spans="1:14" x14ac:dyDescent="0.2">
      <c r="A3866" s="51">
        <v>3865</v>
      </c>
      <c r="B3866" s="54" t="s">
        <v>921</v>
      </c>
      <c r="C3866" s="47" t="s">
        <v>8356</v>
      </c>
      <c r="D3866" s="47" t="s">
        <v>8357</v>
      </c>
      <c r="E3866" s="47" t="s">
        <v>1719</v>
      </c>
      <c r="F3866" s="55" t="b">
        <v>1</v>
      </c>
      <c r="G3866" s="54" t="b">
        <v>1</v>
      </c>
      <c r="H3866" s="54" t="b">
        <v>1</v>
      </c>
      <c r="I3866" s="54" t="b">
        <v>1</v>
      </c>
      <c r="J3866" s="54" t="b">
        <v>1</v>
      </c>
      <c r="K3866" s="63" t="s">
        <v>921</v>
      </c>
      <c r="L3866" s="63" t="s">
        <v>8356</v>
      </c>
      <c r="M3866" s="63" t="s">
        <v>8357</v>
      </c>
      <c r="N3866" s="63" t="s">
        <v>1719</v>
      </c>
    </row>
    <row r="3867" spans="1:14" x14ac:dyDescent="0.2">
      <c r="A3867" s="51">
        <v>3866</v>
      </c>
      <c r="G3867" s="65" t="b">
        <v>0</v>
      </c>
      <c r="H3867" s="65" t="b">
        <v>0</v>
      </c>
      <c r="I3867" s="65" t="b">
        <v>0</v>
      </c>
      <c r="J3867" s="65" t="b">
        <v>0</v>
      </c>
      <c r="K3867" s="63" t="s">
        <v>921</v>
      </c>
      <c r="L3867" s="63" t="s">
        <v>8356</v>
      </c>
      <c r="M3867" s="63" t="s">
        <v>8499</v>
      </c>
      <c r="N3867" s="63" t="s">
        <v>1719</v>
      </c>
    </row>
    <row r="3868" spans="1:14" x14ac:dyDescent="0.2">
      <c r="A3868" s="51">
        <v>3867</v>
      </c>
      <c r="B3868" s="54" t="s">
        <v>921</v>
      </c>
      <c r="C3868" s="47" t="s">
        <v>8361</v>
      </c>
      <c r="D3868" s="47" t="s">
        <v>8362</v>
      </c>
      <c r="E3868" s="47" t="s">
        <v>1719</v>
      </c>
      <c r="F3868" s="55" t="b">
        <v>1</v>
      </c>
      <c r="G3868" s="54" t="b">
        <v>1</v>
      </c>
      <c r="H3868" s="54" t="b">
        <v>1</v>
      </c>
      <c r="I3868" s="54" t="b">
        <v>1</v>
      </c>
      <c r="J3868" s="54" t="b">
        <v>1</v>
      </c>
      <c r="K3868" s="63" t="s">
        <v>921</v>
      </c>
      <c r="L3868" s="63" t="s">
        <v>8361</v>
      </c>
      <c r="M3868" s="63" t="s">
        <v>8362</v>
      </c>
      <c r="N3868" s="63" t="s">
        <v>1719</v>
      </c>
    </row>
    <row r="3869" spans="1:14" x14ac:dyDescent="0.2">
      <c r="A3869" s="51">
        <v>3868</v>
      </c>
      <c r="B3869" s="54" t="s">
        <v>921</v>
      </c>
      <c r="C3869" s="47" t="s">
        <v>8365</v>
      </c>
      <c r="D3869" s="47" t="s">
        <v>8366</v>
      </c>
      <c r="E3869" s="47" t="s">
        <v>1719</v>
      </c>
      <c r="F3869" s="55" t="b">
        <v>1</v>
      </c>
      <c r="G3869" s="54" t="b">
        <v>1</v>
      </c>
      <c r="H3869" s="54" t="b">
        <v>1</v>
      </c>
      <c r="I3869" s="54" t="b">
        <v>1</v>
      </c>
      <c r="J3869" s="54" t="b">
        <v>1</v>
      </c>
      <c r="K3869" s="63" t="s">
        <v>921</v>
      </c>
      <c r="L3869" s="63" t="s">
        <v>8365</v>
      </c>
      <c r="M3869" s="63" t="s">
        <v>8366</v>
      </c>
      <c r="N3869" s="63" t="s">
        <v>1719</v>
      </c>
    </row>
    <row r="3870" spans="1:14" x14ac:dyDescent="0.2">
      <c r="A3870" s="51">
        <v>3869</v>
      </c>
      <c r="B3870" s="54" t="s">
        <v>921</v>
      </c>
      <c r="C3870" s="47" t="s">
        <v>8386</v>
      </c>
      <c r="D3870" s="47" t="s">
        <v>8387</v>
      </c>
      <c r="E3870" s="47" t="s">
        <v>1719</v>
      </c>
      <c r="F3870" s="55" t="b">
        <v>1</v>
      </c>
      <c r="G3870" s="54" t="b">
        <v>1</v>
      </c>
      <c r="H3870" s="54" t="b">
        <v>1</v>
      </c>
      <c r="I3870" s="54" t="b">
        <v>1</v>
      </c>
      <c r="J3870" s="54" t="b">
        <v>1</v>
      </c>
      <c r="K3870" s="63" t="s">
        <v>921</v>
      </c>
      <c r="L3870" s="63" t="s">
        <v>8386</v>
      </c>
      <c r="M3870" s="63" t="s">
        <v>8387</v>
      </c>
      <c r="N3870" s="63" t="s">
        <v>1719</v>
      </c>
    </row>
    <row r="3871" spans="1:14" x14ac:dyDescent="0.2">
      <c r="A3871" s="51">
        <v>3870</v>
      </c>
      <c r="B3871" s="54" t="s">
        <v>921</v>
      </c>
      <c r="C3871" s="47" t="s">
        <v>8343</v>
      </c>
      <c r="D3871" s="47" t="s">
        <v>8391</v>
      </c>
      <c r="E3871" s="47" t="s">
        <v>1719</v>
      </c>
      <c r="F3871" s="55" t="b">
        <v>1</v>
      </c>
      <c r="G3871" s="54" t="b">
        <v>1</v>
      </c>
      <c r="H3871" s="54" t="b">
        <v>1</v>
      </c>
      <c r="I3871" s="54" t="b">
        <v>1</v>
      </c>
      <c r="J3871" s="54" t="b">
        <v>1</v>
      </c>
      <c r="K3871" s="63" t="s">
        <v>921</v>
      </c>
      <c r="L3871" s="63" t="s">
        <v>8343</v>
      </c>
      <c r="M3871" s="63" t="s">
        <v>8391</v>
      </c>
      <c r="N3871" s="63" t="s">
        <v>1719</v>
      </c>
    </row>
    <row r="3872" spans="1:14" x14ac:dyDescent="0.2">
      <c r="A3872" s="51">
        <v>3871</v>
      </c>
      <c r="G3872" s="65" t="b">
        <v>0</v>
      </c>
      <c r="H3872" s="65" t="b">
        <v>0</v>
      </c>
      <c r="I3872" s="65" t="b">
        <v>0</v>
      </c>
      <c r="J3872" s="65" t="b">
        <v>0</v>
      </c>
      <c r="K3872" s="63" t="s">
        <v>921</v>
      </c>
      <c r="L3872" s="63" t="s">
        <v>8343</v>
      </c>
      <c r="M3872" s="63" t="s">
        <v>8344</v>
      </c>
      <c r="N3872" s="63" t="s">
        <v>1719</v>
      </c>
    </row>
    <row r="3873" spans="1:14" x14ac:dyDescent="0.2">
      <c r="A3873" s="51">
        <v>3872</v>
      </c>
      <c r="B3873" s="54" t="s">
        <v>921</v>
      </c>
      <c r="C3873" s="47" t="s">
        <v>13157</v>
      </c>
      <c r="D3873" s="47" t="s">
        <v>13158</v>
      </c>
      <c r="E3873" s="47" t="s">
        <v>13123</v>
      </c>
      <c r="F3873" s="55" t="b">
        <v>1</v>
      </c>
      <c r="G3873" s="65" t="b">
        <v>0</v>
      </c>
      <c r="H3873" s="65" t="b">
        <v>0</v>
      </c>
      <c r="I3873" s="65" t="b">
        <v>0</v>
      </c>
      <c r="J3873" s="65" t="b">
        <v>0</v>
      </c>
    </row>
    <row r="3874" spans="1:14" x14ac:dyDescent="0.2">
      <c r="A3874" s="51">
        <v>3873</v>
      </c>
      <c r="B3874" s="54" t="s">
        <v>921</v>
      </c>
      <c r="C3874" s="47" t="s">
        <v>8392</v>
      </c>
      <c r="D3874" s="47" t="s">
        <v>8393</v>
      </c>
      <c r="E3874" s="47" t="s">
        <v>1719</v>
      </c>
      <c r="F3874" s="55" t="b">
        <v>1</v>
      </c>
      <c r="G3874" s="54" t="b">
        <v>1</v>
      </c>
      <c r="H3874" s="54" t="b">
        <v>1</v>
      </c>
      <c r="I3874" s="65" t="b">
        <v>0</v>
      </c>
      <c r="J3874" s="54" t="b">
        <v>1</v>
      </c>
      <c r="K3874" s="63" t="s">
        <v>921</v>
      </c>
      <c r="L3874" s="63" t="s">
        <v>8392</v>
      </c>
      <c r="M3874" s="63" t="s">
        <v>8502</v>
      </c>
      <c r="N3874" s="63" t="s">
        <v>1719</v>
      </c>
    </row>
    <row r="3875" spans="1:14" x14ac:dyDescent="0.2">
      <c r="A3875" s="51">
        <v>3874</v>
      </c>
      <c r="G3875" s="65" t="b">
        <v>0</v>
      </c>
      <c r="H3875" s="65" t="b">
        <v>0</v>
      </c>
      <c r="I3875" s="65" t="b">
        <v>0</v>
      </c>
      <c r="J3875" s="65" t="b">
        <v>0</v>
      </c>
      <c r="K3875" s="63" t="s">
        <v>921</v>
      </c>
      <c r="L3875" s="63" t="s">
        <v>8392</v>
      </c>
      <c r="M3875" s="63" t="s">
        <v>8393</v>
      </c>
      <c r="N3875" s="63" t="s">
        <v>1719</v>
      </c>
    </row>
    <row r="3876" spans="1:14" x14ac:dyDescent="0.2">
      <c r="A3876" s="51">
        <v>3875</v>
      </c>
      <c r="B3876" s="54" t="s">
        <v>921</v>
      </c>
      <c r="C3876" s="47" t="s">
        <v>8394</v>
      </c>
      <c r="D3876" s="47" t="s">
        <v>8395</v>
      </c>
      <c r="E3876" s="47" t="s">
        <v>1719</v>
      </c>
      <c r="F3876" s="55" t="b">
        <v>1</v>
      </c>
      <c r="G3876" s="54" t="b">
        <v>1</v>
      </c>
      <c r="H3876" s="54" t="b">
        <v>1</v>
      </c>
      <c r="I3876" s="54" t="b">
        <v>1</v>
      </c>
      <c r="J3876" s="54" t="b">
        <v>1</v>
      </c>
      <c r="K3876" s="63" t="s">
        <v>921</v>
      </c>
      <c r="L3876" s="63" t="s">
        <v>8394</v>
      </c>
      <c r="M3876" s="63" t="s">
        <v>8395</v>
      </c>
      <c r="N3876" s="63" t="s">
        <v>1719</v>
      </c>
    </row>
    <row r="3877" spans="1:14" x14ac:dyDescent="0.2">
      <c r="A3877" s="51">
        <v>3876</v>
      </c>
      <c r="B3877" s="54" t="s">
        <v>921</v>
      </c>
      <c r="C3877" s="47" t="s">
        <v>13161</v>
      </c>
      <c r="D3877" s="47" t="s">
        <v>13162</v>
      </c>
      <c r="E3877" s="47" t="s">
        <v>13123</v>
      </c>
      <c r="F3877" s="55" t="b">
        <v>1</v>
      </c>
      <c r="G3877" s="65" t="b">
        <v>0</v>
      </c>
      <c r="H3877" s="65" t="b">
        <v>0</v>
      </c>
      <c r="I3877" s="65" t="b">
        <v>0</v>
      </c>
      <c r="J3877" s="65" t="b">
        <v>0</v>
      </c>
    </row>
    <row r="3878" spans="1:14" x14ac:dyDescent="0.2">
      <c r="A3878" s="51">
        <v>3877</v>
      </c>
      <c r="B3878" s="54" t="s">
        <v>921</v>
      </c>
      <c r="C3878" s="47" t="s">
        <v>8383</v>
      </c>
      <c r="D3878" s="47" t="s">
        <v>8384</v>
      </c>
      <c r="E3878" s="47" t="s">
        <v>1719</v>
      </c>
      <c r="F3878" s="55" t="b">
        <v>1</v>
      </c>
      <c r="G3878" s="54" t="b">
        <v>1</v>
      </c>
      <c r="H3878" s="54" t="b">
        <v>1</v>
      </c>
      <c r="I3878" s="54" t="b">
        <v>1</v>
      </c>
      <c r="J3878" s="54" t="b">
        <v>1</v>
      </c>
      <c r="K3878" s="63" t="s">
        <v>921</v>
      </c>
      <c r="L3878" s="63" t="s">
        <v>8383</v>
      </c>
      <c r="M3878" s="63" t="s">
        <v>8384</v>
      </c>
      <c r="N3878" s="63" t="s">
        <v>1719</v>
      </c>
    </row>
    <row r="3879" spans="1:14" x14ac:dyDescent="0.2">
      <c r="A3879" s="51">
        <v>3878</v>
      </c>
      <c r="G3879" s="65" t="b">
        <v>0</v>
      </c>
      <c r="H3879" s="65" t="b">
        <v>0</v>
      </c>
      <c r="I3879" s="65" t="b">
        <v>0</v>
      </c>
      <c r="J3879" s="65" t="b">
        <v>0</v>
      </c>
      <c r="K3879" s="63" t="s">
        <v>921</v>
      </c>
      <c r="L3879" s="63" t="s">
        <v>8383</v>
      </c>
      <c r="M3879" s="63" t="s">
        <v>8385</v>
      </c>
      <c r="N3879" s="63" t="s">
        <v>1719</v>
      </c>
    </row>
    <row r="3880" spans="1:14" x14ac:dyDescent="0.2">
      <c r="A3880" s="51">
        <v>3879</v>
      </c>
      <c r="B3880" s="54" t="s">
        <v>921</v>
      </c>
      <c r="C3880" s="47" t="s">
        <v>8401</v>
      </c>
      <c r="D3880" s="47" t="s">
        <v>8403</v>
      </c>
      <c r="E3880" s="47" t="s">
        <v>1719</v>
      </c>
      <c r="F3880" s="55" t="b">
        <v>1</v>
      </c>
      <c r="G3880" s="54" t="b">
        <v>1</v>
      </c>
      <c r="H3880" s="54" t="b">
        <v>1</v>
      </c>
      <c r="I3880" s="54" t="b">
        <v>1</v>
      </c>
      <c r="J3880" s="54" t="b">
        <v>1</v>
      </c>
      <c r="K3880" s="63" t="s">
        <v>921</v>
      </c>
      <c r="L3880" s="63" t="s">
        <v>8401</v>
      </c>
      <c r="M3880" s="63" t="s">
        <v>8403</v>
      </c>
      <c r="N3880" s="63" t="s">
        <v>1719</v>
      </c>
    </row>
    <row r="3881" spans="1:14" x14ac:dyDescent="0.2">
      <c r="A3881" s="51">
        <v>3880</v>
      </c>
      <c r="G3881" s="65" t="b">
        <v>0</v>
      </c>
      <c r="H3881" s="65" t="b">
        <v>0</v>
      </c>
      <c r="I3881" s="65" t="b">
        <v>0</v>
      </c>
      <c r="J3881" s="65" t="b">
        <v>0</v>
      </c>
      <c r="K3881" s="63" t="s">
        <v>921</v>
      </c>
      <c r="L3881" s="63" t="s">
        <v>8401</v>
      </c>
      <c r="M3881" s="63" t="s">
        <v>8402</v>
      </c>
      <c r="N3881" s="63" t="s">
        <v>1719</v>
      </c>
    </row>
    <row r="3882" spans="1:14" x14ac:dyDescent="0.2">
      <c r="A3882" s="51">
        <v>3881</v>
      </c>
      <c r="B3882" s="54" t="s">
        <v>921</v>
      </c>
      <c r="C3882" s="47" t="s">
        <v>8398</v>
      </c>
      <c r="D3882" s="47" t="s">
        <v>8400</v>
      </c>
      <c r="E3882" s="47" t="s">
        <v>1719</v>
      </c>
      <c r="F3882" s="55" t="b">
        <v>1</v>
      </c>
      <c r="G3882" s="54" t="b">
        <v>1</v>
      </c>
      <c r="H3882" s="54" t="b">
        <v>1</v>
      </c>
      <c r="I3882" s="54" t="b">
        <v>1</v>
      </c>
      <c r="J3882" s="54" t="b">
        <v>1</v>
      </c>
      <c r="K3882" s="63" t="s">
        <v>921</v>
      </c>
      <c r="L3882" s="63" t="s">
        <v>8398</v>
      </c>
      <c r="M3882" s="63" t="s">
        <v>8400</v>
      </c>
      <c r="N3882" s="63" t="s">
        <v>1719</v>
      </c>
    </row>
    <row r="3883" spans="1:14" x14ac:dyDescent="0.2">
      <c r="A3883" s="51">
        <v>3882</v>
      </c>
      <c r="G3883" s="65" t="b">
        <v>0</v>
      </c>
      <c r="H3883" s="65" t="b">
        <v>0</v>
      </c>
      <c r="I3883" s="65" t="b">
        <v>0</v>
      </c>
      <c r="J3883" s="65" t="b">
        <v>0</v>
      </c>
      <c r="K3883" s="63" t="s">
        <v>921</v>
      </c>
      <c r="L3883" s="63" t="s">
        <v>8398</v>
      </c>
      <c r="M3883" s="63" t="s">
        <v>8399</v>
      </c>
      <c r="N3883" s="63" t="s">
        <v>1719</v>
      </c>
    </row>
    <row r="3884" spans="1:14" x14ac:dyDescent="0.2">
      <c r="A3884" s="51">
        <v>3883</v>
      </c>
      <c r="B3884" s="54" t="s">
        <v>921</v>
      </c>
      <c r="C3884" s="47" t="s">
        <v>13163</v>
      </c>
      <c r="D3884" s="47" t="s">
        <v>13164</v>
      </c>
      <c r="E3884" s="47" t="s">
        <v>13123</v>
      </c>
      <c r="F3884" s="55" t="b">
        <v>1</v>
      </c>
      <c r="G3884" s="65" t="b">
        <v>0</v>
      </c>
      <c r="H3884" s="65" t="b">
        <v>0</v>
      </c>
      <c r="I3884" s="65" t="b">
        <v>0</v>
      </c>
      <c r="J3884" s="65" t="b">
        <v>0</v>
      </c>
    </row>
    <row r="3885" spans="1:14" x14ac:dyDescent="0.2">
      <c r="A3885" s="51">
        <v>3884</v>
      </c>
      <c r="G3885" s="65" t="b">
        <v>0</v>
      </c>
      <c r="H3885" s="65" t="b">
        <v>0</v>
      </c>
      <c r="I3885" s="65" t="b">
        <v>0</v>
      </c>
      <c r="J3885" s="65" t="b">
        <v>0</v>
      </c>
      <c r="K3885" s="63" t="s">
        <v>921</v>
      </c>
      <c r="L3885" s="63" t="s">
        <v>8404</v>
      </c>
      <c r="M3885" s="63" t="s">
        <v>8405</v>
      </c>
      <c r="N3885" s="63" t="s">
        <v>1719</v>
      </c>
    </row>
    <row r="3886" spans="1:14" x14ac:dyDescent="0.2">
      <c r="A3886" s="51">
        <v>3885</v>
      </c>
      <c r="B3886" s="54" t="s">
        <v>921</v>
      </c>
      <c r="C3886" s="47" t="s">
        <v>13165</v>
      </c>
      <c r="D3886" s="47" t="s">
        <v>13166</v>
      </c>
      <c r="E3886" s="47" t="s">
        <v>13123</v>
      </c>
      <c r="F3886" s="55" t="b">
        <v>1</v>
      </c>
      <c r="G3886" s="65" t="b">
        <v>0</v>
      </c>
      <c r="H3886" s="65" t="b">
        <v>0</v>
      </c>
      <c r="I3886" s="65" t="b">
        <v>0</v>
      </c>
      <c r="J3886" s="65" t="b">
        <v>0</v>
      </c>
    </row>
    <row r="3887" spans="1:14" x14ac:dyDescent="0.2">
      <c r="A3887" s="51">
        <v>3886</v>
      </c>
      <c r="B3887" s="54" t="s">
        <v>921</v>
      </c>
      <c r="C3887" s="47" t="s">
        <v>13171</v>
      </c>
      <c r="D3887" s="47" t="s">
        <v>13172</v>
      </c>
      <c r="E3887" s="47" t="s">
        <v>13123</v>
      </c>
      <c r="F3887" s="55" t="b">
        <v>1</v>
      </c>
      <c r="G3887" s="65" t="b">
        <v>0</v>
      </c>
      <c r="H3887" s="65" t="b">
        <v>0</v>
      </c>
      <c r="I3887" s="65" t="b">
        <v>0</v>
      </c>
      <c r="J3887" s="65" t="b">
        <v>0</v>
      </c>
    </row>
    <row r="3888" spans="1:14" x14ac:dyDescent="0.2">
      <c r="A3888" s="51">
        <v>3887</v>
      </c>
      <c r="B3888" s="54" t="s">
        <v>921</v>
      </c>
      <c r="C3888" s="47" t="s">
        <v>13173</v>
      </c>
      <c r="D3888" s="47" t="s">
        <v>13174</v>
      </c>
      <c r="E3888" s="47" t="s">
        <v>13123</v>
      </c>
      <c r="F3888" s="55" t="b">
        <v>1</v>
      </c>
      <c r="G3888" s="65" t="b">
        <v>0</v>
      </c>
      <c r="H3888" s="65" t="b">
        <v>0</v>
      </c>
      <c r="I3888" s="65" t="b">
        <v>0</v>
      </c>
      <c r="J3888" s="65" t="b">
        <v>0</v>
      </c>
    </row>
    <row r="3889" spans="1:14" x14ac:dyDescent="0.2">
      <c r="A3889" s="51">
        <v>3888</v>
      </c>
      <c r="B3889" s="54" t="s">
        <v>921</v>
      </c>
      <c r="C3889" s="47" t="s">
        <v>8404</v>
      </c>
      <c r="D3889" s="47" t="s">
        <v>8405</v>
      </c>
      <c r="E3889" s="47" t="s">
        <v>1719</v>
      </c>
      <c r="F3889" s="55" t="b">
        <v>1</v>
      </c>
      <c r="G3889" s="65" t="b">
        <v>0</v>
      </c>
      <c r="H3889" s="65" t="b">
        <v>0</v>
      </c>
      <c r="I3889" s="65" t="b">
        <v>0</v>
      </c>
      <c r="J3889" s="65" t="b">
        <v>0</v>
      </c>
    </row>
    <row r="3890" spans="1:14" x14ac:dyDescent="0.2">
      <c r="A3890" s="51">
        <v>3889</v>
      </c>
      <c r="B3890" s="54" t="s">
        <v>921</v>
      </c>
      <c r="C3890" s="47" t="s">
        <v>8368</v>
      </c>
      <c r="D3890" s="47" t="s">
        <v>13184</v>
      </c>
      <c r="E3890" s="47" t="s">
        <v>1719</v>
      </c>
      <c r="F3890" s="55" t="b">
        <v>1</v>
      </c>
      <c r="G3890" s="54" t="b">
        <v>1</v>
      </c>
      <c r="H3890" s="54" t="b">
        <v>1</v>
      </c>
      <c r="I3890" s="65" t="b">
        <v>0</v>
      </c>
      <c r="J3890" s="54" t="b">
        <v>1</v>
      </c>
      <c r="K3890" s="63" t="s">
        <v>921</v>
      </c>
      <c r="L3890" s="63" t="s">
        <v>8368</v>
      </c>
      <c r="M3890" s="63" t="s">
        <v>8406</v>
      </c>
      <c r="N3890" s="63" t="s">
        <v>1719</v>
      </c>
    </row>
    <row r="3891" spans="1:14" x14ac:dyDescent="0.2">
      <c r="A3891" s="51">
        <v>3890</v>
      </c>
      <c r="G3891" s="65" t="b">
        <v>0</v>
      </c>
      <c r="H3891" s="65" t="b">
        <v>0</v>
      </c>
      <c r="I3891" s="65" t="b">
        <v>0</v>
      </c>
      <c r="J3891" s="65" t="b">
        <v>0</v>
      </c>
      <c r="K3891" s="63" t="s">
        <v>921</v>
      </c>
      <c r="L3891" s="63" t="s">
        <v>8368</v>
      </c>
      <c r="M3891" s="63" t="s">
        <v>8369</v>
      </c>
      <c r="N3891" s="63" t="s">
        <v>1719</v>
      </c>
    </row>
    <row r="3892" spans="1:14" x14ac:dyDescent="0.2">
      <c r="A3892" s="51">
        <v>3891</v>
      </c>
      <c r="B3892" s="54" t="s">
        <v>921</v>
      </c>
      <c r="C3892" s="47" t="s">
        <v>8407</v>
      </c>
      <c r="D3892" s="47" t="s">
        <v>13187</v>
      </c>
      <c r="E3892" s="47" t="s">
        <v>1719</v>
      </c>
      <c r="F3892" s="55" t="b">
        <v>1</v>
      </c>
      <c r="G3892" s="54" t="b">
        <v>1</v>
      </c>
      <c r="H3892" s="54" t="b">
        <v>1</v>
      </c>
      <c r="I3892" s="65" t="b">
        <v>0</v>
      </c>
      <c r="J3892" s="54" t="b">
        <v>1</v>
      </c>
      <c r="K3892" s="63" t="s">
        <v>921</v>
      </c>
      <c r="L3892" s="63" t="s">
        <v>8407</v>
      </c>
      <c r="M3892" s="63" t="s">
        <v>8408</v>
      </c>
      <c r="N3892" s="63" t="s">
        <v>1719</v>
      </c>
    </row>
    <row r="3893" spans="1:14" x14ac:dyDescent="0.2">
      <c r="A3893" s="51">
        <v>3892</v>
      </c>
      <c r="G3893" s="65" t="b">
        <v>0</v>
      </c>
      <c r="H3893" s="65" t="b">
        <v>0</v>
      </c>
      <c r="I3893" s="65" t="b">
        <v>0</v>
      </c>
      <c r="J3893" s="65" t="b">
        <v>0</v>
      </c>
      <c r="K3893" s="63" t="s">
        <v>921</v>
      </c>
      <c r="L3893" s="63" t="s">
        <v>8407</v>
      </c>
      <c r="M3893" s="63" t="s">
        <v>8474</v>
      </c>
      <c r="N3893" s="63" t="s">
        <v>1719</v>
      </c>
    </row>
    <row r="3894" spans="1:14" x14ac:dyDescent="0.2">
      <c r="A3894" s="51">
        <v>3893</v>
      </c>
      <c r="B3894" s="54" t="s">
        <v>921</v>
      </c>
      <c r="C3894" s="47" t="s">
        <v>13169</v>
      </c>
      <c r="D3894" s="47" t="s">
        <v>13170</v>
      </c>
      <c r="E3894" s="47" t="s">
        <v>13123</v>
      </c>
      <c r="F3894" s="55" t="b">
        <v>1</v>
      </c>
      <c r="G3894" s="65" t="b">
        <v>0</v>
      </c>
      <c r="H3894" s="65" t="b">
        <v>0</v>
      </c>
      <c r="I3894" s="65" t="b">
        <v>0</v>
      </c>
      <c r="J3894" s="65" t="b">
        <v>0</v>
      </c>
    </row>
    <row r="3895" spans="1:14" x14ac:dyDescent="0.2">
      <c r="A3895" s="51">
        <v>3894</v>
      </c>
      <c r="B3895" s="54" t="s">
        <v>921</v>
      </c>
      <c r="C3895" s="47" t="s">
        <v>13167</v>
      </c>
      <c r="D3895" s="47" t="s">
        <v>13168</v>
      </c>
      <c r="E3895" s="47" t="s">
        <v>13123</v>
      </c>
      <c r="F3895" s="55" t="b">
        <v>1</v>
      </c>
      <c r="G3895" s="65" t="b">
        <v>0</v>
      </c>
      <c r="H3895" s="65" t="b">
        <v>0</v>
      </c>
      <c r="I3895" s="65" t="b">
        <v>0</v>
      </c>
      <c r="J3895" s="65" t="b">
        <v>0</v>
      </c>
    </row>
    <row r="3896" spans="1:14" x14ac:dyDescent="0.2">
      <c r="A3896" s="51">
        <v>3895</v>
      </c>
      <c r="B3896" s="54" t="s">
        <v>921</v>
      </c>
      <c r="C3896" s="47" t="s">
        <v>8388</v>
      </c>
      <c r="D3896" s="47" t="s">
        <v>13176</v>
      </c>
      <c r="E3896" s="47" t="s">
        <v>1719</v>
      </c>
      <c r="F3896" s="55" t="b">
        <v>1</v>
      </c>
      <c r="G3896" s="54" t="b">
        <v>1</v>
      </c>
      <c r="H3896" s="54" t="b">
        <v>1</v>
      </c>
      <c r="I3896" s="65" t="b">
        <v>0</v>
      </c>
      <c r="J3896" s="54" t="b">
        <v>1</v>
      </c>
      <c r="K3896" s="63" t="s">
        <v>921</v>
      </c>
      <c r="L3896" s="63" t="s">
        <v>8388</v>
      </c>
      <c r="M3896" s="63" t="s">
        <v>8412</v>
      </c>
      <c r="N3896" s="63" t="s">
        <v>1719</v>
      </c>
    </row>
    <row r="3897" spans="1:14" x14ac:dyDescent="0.2">
      <c r="A3897" s="51">
        <v>3896</v>
      </c>
      <c r="G3897" s="65" t="b">
        <v>0</v>
      </c>
      <c r="H3897" s="65" t="b">
        <v>0</v>
      </c>
      <c r="I3897" s="65" t="b">
        <v>0</v>
      </c>
      <c r="J3897" s="65" t="b">
        <v>0</v>
      </c>
      <c r="K3897" s="63" t="s">
        <v>921</v>
      </c>
      <c r="L3897" s="63" t="s">
        <v>8388</v>
      </c>
      <c r="M3897" s="63" t="s">
        <v>8389</v>
      </c>
      <c r="N3897" s="63" t="s">
        <v>1719</v>
      </c>
    </row>
    <row r="3898" spans="1:14" x14ac:dyDescent="0.2">
      <c r="A3898" s="51">
        <v>3897</v>
      </c>
      <c r="B3898" s="54" t="s">
        <v>921</v>
      </c>
      <c r="C3898" s="47" t="s">
        <v>8370</v>
      </c>
      <c r="D3898" s="47" t="s">
        <v>8409</v>
      </c>
      <c r="E3898" s="47" t="s">
        <v>1719</v>
      </c>
      <c r="F3898" s="55" t="b">
        <v>1</v>
      </c>
      <c r="G3898" s="54" t="b">
        <v>1</v>
      </c>
      <c r="H3898" s="54" t="b">
        <v>1</v>
      </c>
      <c r="I3898" s="54" t="b">
        <v>1</v>
      </c>
      <c r="J3898" s="54" t="b">
        <v>1</v>
      </c>
      <c r="K3898" s="63" t="s">
        <v>921</v>
      </c>
      <c r="L3898" s="63" t="s">
        <v>8370</v>
      </c>
      <c r="M3898" s="63" t="s">
        <v>8409</v>
      </c>
      <c r="N3898" s="63" t="s">
        <v>1719</v>
      </c>
    </row>
    <row r="3899" spans="1:14" x14ac:dyDescent="0.2">
      <c r="A3899" s="51">
        <v>3898</v>
      </c>
      <c r="G3899" s="65" t="b">
        <v>0</v>
      </c>
      <c r="H3899" s="65" t="b">
        <v>0</v>
      </c>
      <c r="I3899" s="65" t="b">
        <v>0</v>
      </c>
      <c r="J3899" s="65" t="b">
        <v>0</v>
      </c>
      <c r="K3899" s="63" t="s">
        <v>921</v>
      </c>
      <c r="L3899" s="63" t="s">
        <v>8370</v>
      </c>
      <c r="M3899" s="63" t="s">
        <v>8371</v>
      </c>
      <c r="N3899" s="63" t="s">
        <v>1719</v>
      </c>
    </row>
    <row r="3900" spans="1:14" x14ac:dyDescent="0.2">
      <c r="A3900" s="51">
        <v>3899</v>
      </c>
      <c r="B3900" s="54" t="s">
        <v>921</v>
      </c>
      <c r="C3900" s="47" t="s">
        <v>8410</v>
      </c>
      <c r="D3900" s="47" t="s">
        <v>8411</v>
      </c>
      <c r="E3900" s="47" t="s">
        <v>1719</v>
      </c>
      <c r="F3900" s="55" t="b">
        <v>1</v>
      </c>
      <c r="G3900" s="54" t="b">
        <v>1</v>
      </c>
      <c r="H3900" s="54" t="b">
        <v>1</v>
      </c>
      <c r="I3900" s="54" t="b">
        <v>1</v>
      </c>
      <c r="J3900" s="54" t="b">
        <v>1</v>
      </c>
      <c r="K3900" s="63" t="s">
        <v>921</v>
      </c>
      <c r="L3900" s="63" t="s">
        <v>8410</v>
      </c>
      <c r="M3900" s="63" t="s">
        <v>8411</v>
      </c>
      <c r="N3900" s="63" t="s">
        <v>1719</v>
      </c>
    </row>
    <row r="3901" spans="1:14" x14ac:dyDescent="0.2">
      <c r="A3901" s="51">
        <v>3900</v>
      </c>
      <c r="G3901" s="65" t="b">
        <v>0</v>
      </c>
      <c r="H3901" s="65" t="b">
        <v>0</v>
      </c>
      <c r="I3901" s="65" t="b">
        <v>0</v>
      </c>
      <c r="J3901" s="65" t="b">
        <v>0</v>
      </c>
      <c r="K3901" s="63" t="s">
        <v>921</v>
      </c>
      <c r="L3901" s="63" t="s">
        <v>8410</v>
      </c>
      <c r="M3901" s="63" t="s">
        <v>8475</v>
      </c>
      <c r="N3901" s="63" t="s">
        <v>1719</v>
      </c>
    </row>
    <row r="3902" spans="1:14" x14ac:dyDescent="0.2">
      <c r="A3902" s="51">
        <v>3901</v>
      </c>
      <c r="B3902" s="54" t="s">
        <v>921</v>
      </c>
      <c r="C3902" s="47" t="s">
        <v>13177</v>
      </c>
      <c r="D3902" s="47" t="s">
        <v>13178</v>
      </c>
      <c r="E3902" s="47" t="s">
        <v>13123</v>
      </c>
      <c r="F3902" s="55" t="b">
        <v>1</v>
      </c>
      <c r="G3902" s="65" t="b">
        <v>0</v>
      </c>
      <c r="H3902" s="65" t="b">
        <v>0</v>
      </c>
      <c r="I3902" s="65" t="b">
        <v>0</v>
      </c>
      <c r="J3902" s="65" t="b">
        <v>0</v>
      </c>
    </row>
    <row r="3903" spans="1:14" x14ac:dyDescent="0.2">
      <c r="A3903" s="51">
        <v>3902</v>
      </c>
      <c r="B3903" s="54" t="s">
        <v>921</v>
      </c>
      <c r="C3903" s="47" t="s">
        <v>13179</v>
      </c>
      <c r="D3903" s="47" t="s">
        <v>13180</v>
      </c>
      <c r="E3903" s="47" t="s">
        <v>13126</v>
      </c>
      <c r="F3903" s="55" t="b">
        <v>1</v>
      </c>
      <c r="G3903" s="65" t="b">
        <v>0</v>
      </c>
      <c r="H3903" s="65" t="b">
        <v>0</v>
      </c>
      <c r="I3903" s="65" t="b">
        <v>0</v>
      </c>
      <c r="J3903" s="65" t="b">
        <v>0</v>
      </c>
    </row>
    <row r="3904" spans="1:14" x14ac:dyDescent="0.2">
      <c r="A3904" s="51">
        <v>3903</v>
      </c>
      <c r="B3904" s="54" t="s">
        <v>921</v>
      </c>
      <c r="C3904" s="47" t="s">
        <v>13181</v>
      </c>
      <c r="D3904" s="47" t="s">
        <v>13182</v>
      </c>
      <c r="E3904" s="47" t="s">
        <v>13123</v>
      </c>
      <c r="F3904" s="55" t="b">
        <v>1</v>
      </c>
      <c r="G3904" s="65" t="b">
        <v>0</v>
      </c>
      <c r="H3904" s="65" t="b">
        <v>0</v>
      </c>
      <c r="I3904" s="65" t="b">
        <v>0</v>
      </c>
      <c r="J3904" s="65" t="b">
        <v>0</v>
      </c>
    </row>
    <row r="3905" spans="1:14" x14ac:dyDescent="0.2">
      <c r="A3905" s="51">
        <v>3904</v>
      </c>
      <c r="B3905" s="54" t="s">
        <v>921</v>
      </c>
      <c r="C3905" s="47" t="s">
        <v>8319</v>
      </c>
      <c r="D3905" s="47" t="s">
        <v>8320</v>
      </c>
      <c r="E3905" s="47" t="s">
        <v>1719</v>
      </c>
      <c r="F3905" s="55" t="b">
        <v>1</v>
      </c>
      <c r="G3905" s="54" t="b">
        <v>1</v>
      </c>
      <c r="H3905" s="54" t="b">
        <v>1</v>
      </c>
      <c r="I3905" s="54" t="b">
        <v>1</v>
      </c>
      <c r="J3905" s="54" t="b">
        <v>1</v>
      </c>
      <c r="K3905" s="63" t="s">
        <v>921</v>
      </c>
      <c r="L3905" s="63" t="s">
        <v>8319</v>
      </c>
      <c r="M3905" s="63" t="s">
        <v>8320</v>
      </c>
      <c r="N3905" s="63" t="s">
        <v>1719</v>
      </c>
    </row>
    <row r="3906" spans="1:14" x14ac:dyDescent="0.2">
      <c r="A3906" s="51">
        <v>3905</v>
      </c>
      <c r="G3906" s="65" t="b">
        <v>0</v>
      </c>
      <c r="H3906" s="65" t="b">
        <v>0</v>
      </c>
      <c r="I3906" s="65" t="b">
        <v>0</v>
      </c>
      <c r="J3906" s="65" t="b">
        <v>0</v>
      </c>
      <c r="K3906" s="63" t="s">
        <v>921</v>
      </c>
      <c r="L3906" s="63" t="s">
        <v>8319</v>
      </c>
      <c r="M3906" s="63" t="s">
        <v>8382</v>
      </c>
      <c r="N3906" s="63" t="s">
        <v>1719</v>
      </c>
    </row>
    <row r="3907" spans="1:14" x14ac:dyDescent="0.2">
      <c r="A3907" s="51">
        <v>3906</v>
      </c>
      <c r="B3907" s="54" t="s">
        <v>921</v>
      </c>
      <c r="C3907" s="47" t="s">
        <v>8372</v>
      </c>
      <c r="D3907" s="47" t="s">
        <v>8416</v>
      </c>
      <c r="E3907" s="47" t="s">
        <v>1719</v>
      </c>
      <c r="F3907" s="55" t="b">
        <v>1</v>
      </c>
      <c r="G3907" s="54" t="b">
        <v>1</v>
      </c>
      <c r="H3907" s="54" t="b">
        <v>1</v>
      </c>
      <c r="I3907" s="65" t="b">
        <v>0</v>
      </c>
      <c r="J3907" s="54" t="b">
        <v>1</v>
      </c>
      <c r="K3907" s="63" t="s">
        <v>921</v>
      </c>
      <c r="L3907" s="63" t="s">
        <v>8372</v>
      </c>
      <c r="M3907" s="63" t="s">
        <v>8373</v>
      </c>
      <c r="N3907" s="63" t="s">
        <v>1719</v>
      </c>
    </row>
    <row r="3908" spans="1:14" x14ac:dyDescent="0.2">
      <c r="A3908" s="51">
        <v>3907</v>
      </c>
      <c r="G3908" s="65" t="b">
        <v>0</v>
      </c>
      <c r="H3908" s="65" t="b">
        <v>0</v>
      </c>
      <c r="I3908" s="65" t="b">
        <v>0</v>
      </c>
      <c r="J3908" s="65" t="b">
        <v>0</v>
      </c>
      <c r="K3908" s="63" t="s">
        <v>921</v>
      </c>
      <c r="L3908" s="63" t="s">
        <v>8372</v>
      </c>
      <c r="M3908" s="63" t="s">
        <v>8416</v>
      </c>
      <c r="N3908" s="63" t="s">
        <v>1719</v>
      </c>
    </row>
    <row r="3909" spans="1:14" x14ac:dyDescent="0.2">
      <c r="A3909" s="51">
        <v>3908</v>
      </c>
      <c r="B3909" s="54" t="s">
        <v>921</v>
      </c>
      <c r="C3909" s="47" t="s">
        <v>8417</v>
      </c>
      <c r="D3909" s="47" t="s">
        <v>8418</v>
      </c>
      <c r="E3909" s="47" t="s">
        <v>1719</v>
      </c>
      <c r="F3909" s="55" t="b">
        <v>1</v>
      </c>
      <c r="G3909" s="54" t="b">
        <v>1</v>
      </c>
      <c r="H3909" s="54" t="b">
        <v>1</v>
      </c>
      <c r="I3909" s="54" t="b">
        <v>1</v>
      </c>
      <c r="J3909" s="54" t="b">
        <v>1</v>
      </c>
      <c r="K3909" s="63" t="s">
        <v>921</v>
      </c>
      <c r="L3909" s="63" t="s">
        <v>8417</v>
      </c>
      <c r="M3909" s="63" t="s">
        <v>8418</v>
      </c>
      <c r="N3909" s="63" t="s">
        <v>1719</v>
      </c>
    </row>
    <row r="3910" spans="1:14" x14ac:dyDescent="0.2">
      <c r="A3910" s="51">
        <v>3909</v>
      </c>
      <c r="G3910" s="65" t="b">
        <v>0</v>
      </c>
      <c r="H3910" s="65" t="b">
        <v>0</v>
      </c>
      <c r="I3910" s="65" t="b">
        <v>0</v>
      </c>
      <c r="J3910" s="65" t="b">
        <v>0</v>
      </c>
      <c r="K3910" s="63" t="s">
        <v>921</v>
      </c>
      <c r="L3910" s="63" t="s">
        <v>8417</v>
      </c>
      <c r="M3910" s="63" t="s">
        <v>8476</v>
      </c>
      <c r="N3910" s="63" t="s">
        <v>1719</v>
      </c>
    </row>
    <row r="3911" spans="1:14" x14ac:dyDescent="0.2">
      <c r="A3911" s="51">
        <v>3910</v>
      </c>
      <c r="B3911" s="54" t="s">
        <v>921</v>
      </c>
      <c r="C3911" s="47" t="s">
        <v>8345</v>
      </c>
      <c r="D3911" s="47" t="s">
        <v>8421</v>
      </c>
      <c r="E3911" s="47" t="s">
        <v>1719</v>
      </c>
      <c r="F3911" s="55" t="b">
        <v>1</v>
      </c>
      <c r="G3911" s="54" t="b">
        <v>1</v>
      </c>
      <c r="H3911" s="54" t="b">
        <v>1</v>
      </c>
      <c r="I3911" s="54" t="b">
        <v>1</v>
      </c>
      <c r="J3911" s="54" t="b">
        <v>1</v>
      </c>
      <c r="K3911" s="63" t="s">
        <v>921</v>
      </c>
      <c r="L3911" s="63" t="s">
        <v>8345</v>
      </c>
      <c r="M3911" s="63" t="s">
        <v>8421</v>
      </c>
      <c r="N3911" s="63" t="s">
        <v>1719</v>
      </c>
    </row>
    <row r="3912" spans="1:14" x14ac:dyDescent="0.2">
      <c r="A3912" s="51">
        <v>3911</v>
      </c>
      <c r="G3912" s="65" t="b">
        <v>0</v>
      </c>
      <c r="H3912" s="65" t="b">
        <v>0</v>
      </c>
      <c r="I3912" s="65" t="b">
        <v>0</v>
      </c>
      <c r="J3912" s="65" t="b">
        <v>0</v>
      </c>
      <c r="K3912" s="63" t="s">
        <v>921</v>
      </c>
      <c r="L3912" s="63" t="s">
        <v>8345</v>
      </c>
      <c r="M3912" s="63" t="s">
        <v>8346</v>
      </c>
      <c r="N3912" s="63" t="s">
        <v>1719</v>
      </c>
    </row>
    <row r="3913" spans="1:14" x14ac:dyDescent="0.2">
      <c r="A3913" s="51">
        <v>3912</v>
      </c>
      <c r="B3913" s="54" t="s">
        <v>921</v>
      </c>
      <c r="C3913" s="47" t="s">
        <v>8422</v>
      </c>
      <c r="D3913" s="47" t="s">
        <v>8423</v>
      </c>
      <c r="E3913" s="47" t="s">
        <v>1719</v>
      </c>
      <c r="F3913" s="55" t="b">
        <v>1</v>
      </c>
      <c r="G3913" s="54" t="b">
        <v>1</v>
      </c>
      <c r="H3913" s="54" t="b">
        <v>1</v>
      </c>
      <c r="I3913" s="54" t="b">
        <v>1</v>
      </c>
      <c r="J3913" s="54" t="b">
        <v>1</v>
      </c>
      <c r="K3913" s="63" t="s">
        <v>921</v>
      </c>
      <c r="L3913" s="63" t="s">
        <v>8422</v>
      </c>
      <c r="M3913" s="63" t="s">
        <v>8423</v>
      </c>
      <c r="N3913" s="63" t="s">
        <v>1719</v>
      </c>
    </row>
    <row r="3914" spans="1:14" x14ac:dyDescent="0.2">
      <c r="A3914" s="51">
        <v>3913</v>
      </c>
      <c r="G3914" s="65" t="b">
        <v>0</v>
      </c>
      <c r="H3914" s="65" t="b">
        <v>0</v>
      </c>
      <c r="I3914" s="65" t="b">
        <v>0</v>
      </c>
      <c r="J3914" s="65" t="b">
        <v>0</v>
      </c>
      <c r="K3914" s="63" t="s">
        <v>921</v>
      </c>
      <c r="L3914" s="63" t="s">
        <v>8422</v>
      </c>
      <c r="M3914" s="63" t="s">
        <v>8427</v>
      </c>
      <c r="N3914" s="63" t="s">
        <v>1719</v>
      </c>
    </row>
    <row r="3915" spans="1:14" x14ac:dyDescent="0.2">
      <c r="A3915" s="51">
        <v>3914</v>
      </c>
      <c r="B3915" s="54" t="s">
        <v>921</v>
      </c>
      <c r="C3915" s="47" t="s">
        <v>8424</v>
      </c>
      <c r="D3915" s="47" t="s">
        <v>8425</v>
      </c>
      <c r="E3915" s="47" t="s">
        <v>1719</v>
      </c>
      <c r="F3915" s="55" t="b">
        <v>1</v>
      </c>
      <c r="G3915" s="54" t="b">
        <v>1</v>
      </c>
      <c r="H3915" s="54" t="b">
        <v>1</v>
      </c>
      <c r="I3915" s="54" t="b">
        <v>1</v>
      </c>
      <c r="J3915" s="54" t="b">
        <v>1</v>
      </c>
      <c r="K3915" s="63" t="s">
        <v>921</v>
      </c>
      <c r="L3915" s="63" t="s">
        <v>8424</v>
      </c>
      <c r="M3915" s="63" t="s">
        <v>8425</v>
      </c>
      <c r="N3915" s="63" t="s">
        <v>1719</v>
      </c>
    </row>
    <row r="3916" spans="1:14" x14ac:dyDescent="0.2">
      <c r="A3916" s="51">
        <v>3915</v>
      </c>
      <c r="G3916" s="65" t="b">
        <v>0</v>
      </c>
      <c r="H3916" s="65" t="b">
        <v>0</v>
      </c>
      <c r="I3916" s="65" t="b">
        <v>0</v>
      </c>
      <c r="J3916" s="65" t="b">
        <v>0</v>
      </c>
      <c r="K3916" s="63" t="s">
        <v>921</v>
      </c>
      <c r="L3916" s="63" t="s">
        <v>8424</v>
      </c>
      <c r="M3916" s="63" t="s">
        <v>8426</v>
      </c>
      <c r="N3916" s="63" t="s">
        <v>1719</v>
      </c>
    </row>
    <row r="3917" spans="1:14" x14ac:dyDescent="0.2">
      <c r="A3917" s="51">
        <v>3916</v>
      </c>
      <c r="B3917" s="54" t="s">
        <v>921</v>
      </c>
      <c r="C3917" s="47" t="s">
        <v>13185</v>
      </c>
      <c r="D3917" s="47" t="s">
        <v>13186</v>
      </c>
      <c r="E3917" s="47" t="s">
        <v>13123</v>
      </c>
      <c r="F3917" s="55" t="b">
        <v>1</v>
      </c>
      <c r="G3917" s="65" t="b">
        <v>0</v>
      </c>
      <c r="H3917" s="65" t="b">
        <v>0</v>
      </c>
      <c r="I3917" s="65" t="b">
        <v>0</v>
      </c>
      <c r="J3917" s="65" t="b">
        <v>0</v>
      </c>
    </row>
    <row r="3918" spans="1:14" x14ac:dyDescent="0.2">
      <c r="A3918" s="51">
        <v>3917</v>
      </c>
      <c r="B3918" s="54" t="s">
        <v>921</v>
      </c>
      <c r="C3918" s="47" t="s">
        <v>13188</v>
      </c>
      <c r="D3918" s="47" t="s">
        <v>13189</v>
      </c>
      <c r="E3918" s="47" t="s">
        <v>13126</v>
      </c>
      <c r="F3918" s="55" t="b">
        <v>1</v>
      </c>
      <c r="G3918" s="65" t="b">
        <v>0</v>
      </c>
      <c r="H3918" s="65" t="b">
        <v>0</v>
      </c>
      <c r="I3918" s="65" t="b">
        <v>0</v>
      </c>
      <c r="J3918" s="65" t="b">
        <v>0</v>
      </c>
    </row>
    <row r="3919" spans="1:14" x14ac:dyDescent="0.2">
      <c r="A3919" s="51">
        <v>3918</v>
      </c>
      <c r="B3919" s="54" t="s">
        <v>921</v>
      </c>
      <c r="C3919" s="47" t="s">
        <v>8431</v>
      </c>
      <c r="D3919" s="47" t="s">
        <v>8432</v>
      </c>
      <c r="E3919" s="47" t="s">
        <v>1719</v>
      </c>
      <c r="F3919" s="55" t="b">
        <v>1</v>
      </c>
      <c r="G3919" s="54" t="b">
        <v>1</v>
      </c>
      <c r="H3919" s="54" t="b">
        <v>1</v>
      </c>
      <c r="I3919" s="54" t="b">
        <v>1</v>
      </c>
      <c r="J3919" s="54" t="b">
        <v>1</v>
      </c>
      <c r="K3919" s="63" t="s">
        <v>921</v>
      </c>
      <c r="L3919" s="63" t="s">
        <v>8431</v>
      </c>
      <c r="M3919" s="63" t="s">
        <v>8432</v>
      </c>
      <c r="N3919" s="63" t="s">
        <v>1719</v>
      </c>
    </row>
    <row r="3920" spans="1:14" x14ac:dyDescent="0.2">
      <c r="A3920" s="51">
        <v>3919</v>
      </c>
      <c r="B3920" s="54" t="s">
        <v>921</v>
      </c>
      <c r="C3920" s="47" t="s">
        <v>8433</v>
      </c>
      <c r="D3920" s="47" t="s">
        <v>8434</v>
      </c>
      <c r="E3920" s="47" t="s">
        <v>1719</v>
      </c>
      <c r="F3920" s="55" t="b">
        <v>1</v>
      </c>
      <c r="G3920" s="54" t="b">
        <v>1</v>
      </c>
      <c r="H3920" s="54" t="b">
        <v>1</v>
      </c>
      <c r="I3920" s="54" t="b">
        <v>1</v>
      </c>
      <c r="J3920" s="54" t="b">
        <v>1</v>
      </c>
      <c r="K3920" s="63" t="s">
        <v>921</v>
      </c>
      <c r="L3920" s="63" t="s">
        <v>8433</v>
      </c>
      <c r="M3920" s="63" t="s">
        <v>8434</v>
      </c>
      <c r="N3920" s="63" t="s">
        <v>1719</v>
      </c>
    </row>
    <row r="3921" spans="1:14" x14ac:dyDescent="0.2">
      <c r="A3921" s="51">
        <v>3920</v>
      </c>
      <c r="G3921" s="65" t="b">
        <v>0</v>
      </c>
      <c r="H3921" s="65" t="b">
        <v>0</v>
      </c>
      <c r="I3921" s="65" t="b">
        <v>0</v>
      </c>
      <c r="J3921" s="65" t="b">
        <v>0</v>
      </c>
      <c r="K3921" s="63" t="s">
        <v>921</v>
      </c>
      <c r="L3921" s="63" t="s">
        <v>8428</v>
      </c>
      <c r="M3921" s="63" t="s">
        <v>8429</v>
      </c>
      <c r="N3921" s="63" t="s">
        <v>1719</v>
      </c>
    </row>
    <row r="3922" spans="1:14" x14ac:dyDescent="0.2">
      <c r="A3922" s="51">
        <v>3921</v>
      </c>
      <c r="B3922" s="54" t="s">
        <v>921</v>
      </c>
      <c r="C3922" s="47" t="s">
        <v>13190</v>
      </c>
      <c r="D3922" s="47" t="s">
        <v>13191</v>
      </c>
      <c r="E3922" s="47" t="s">
        <v>13123</v>
      </c>
      <c r="F3922" s="55" t="b">
        <v>1</v>
      </c>
      <c r="G3922" s="65" t="b">
        <v>0</v>
      </c>
      <c r="H3922" s="65" t="b">
        <v>0</v>
      </c>
      <c r="I3922" s="65" t="b">
        <v>0</v>
      </c>
      <c r="J3922" s="65" t="b">
        <v>0</v>
      </c>
    </row>
    <row r="3923" spans="1:14" x14ac:dyDescent="0.2">
      <c r="A3923" s="51">
        <v>3922</v>
      </c>
      <c r="B3923" s="54" t="s">
        <v>921</v>
      </c>
      <c r="C3923" s="47" t="s">
        <v>13192</v>
      </c>
      <c r="D3923" s="47" t="s">
        <v>13193</v>
      </c>
      <c r="E3923" s="47" t="s">
        <v>13123</v>
      </c>
      <c r="F3923" s="55" t="b">
        <v>1</v>
      </c>
      <c r="G3923" s="65" t="b">
        <v>0</v>
      </c>
      <c r="H3923" s="65" t="b">
        <v>0</v>
      </c>
      <c r="I3923" s="65" t="b">
        <v>0</v>
      </c>
      <c r="J3923" s="65" t="b">
        <v>0</v>
      </c>
    </row>
    <row r="3924" spans="1:14" x14ac:dyDescent="0.2">
      <c r="A3924" s="51">
        <v>3923</v>
      </c>
      <c r="B3924" s="54" t="s">
        <v>921</v>
      </c>
      <c r="C3924" s="47" t="s">
        <v>8428</v>
      </c>
      <c r="D3924" s="47" t="s">
        <v>8429</v>
      </c>
      <c r="E3924" s="47" t="s">
        <v>1719</v>
      </c>
      <c r="F3924" s="55" t="b">
        <v>1</v>
      </c>
      <c r="G3924" s="65" t="b">
        <v>0</v>
      </c>
      <c r="H3924" s="65" t="b">
        <v>0</v>
      </c>
      <c r="I3924" s="65" t="b">
        <v>0</v>
      </c>
      <c r="J3924" s="65" t="b">
        <v>0</v>
      </c>
    </row>
    <row r="3925" spans="1:14" x14ac:dyDescent="0.2">
      <c r="A3925" s="51">
        <v>3924</v>
      </c>
      <c r="B3925" s="54" t="s">
        <v>921</v>
      </c>
      <c r="C3925" s="47" t="s">
        <v>13196</v>
      </c>
      <c r="D3925" s="47" t="s">
        <v>13197</v>
      </c>
      <c r="E3925" s="47" t="s">
        <v>13123</v>
      </c>
      <c r="F3925" s="55" t="b">
        <v>1</v>
      </c>
      <c r="G3925" s="65" t="b">
        <v>0</v>
      </c>
      <c r="H3925" s="65" t="b">
        <v>0</v>
      </c>
      <c r="I3925" s="65" t="b">
        <v>0</v>
      </c>
      <c r="J3925" s="65" t="b">
        <v>0</v>
      </c>
    </row>
    <row r="3926" spans="1:14" x14ac:dyDescent="0.2">
      <c r="A3926" s="51">
        <v>3925</v>
      </c>
      <c r="B3926" s="54" t="s">
        <v>921</v>
      </c>
      <c r="C3926" s="47" t="s">
        <v>13194</v>
      </c>
      <c r="D3926" s="47" t="s">
        <v>13195</v>
      </c>
      <c r="E3926" s="47" t="s">
        <v>13123</v>
      </c>
      <c r="F3926" s="55" t="b">
        <v>1</v>
      </c>
      <c r="G3926" s="65" t="b">
        <v>0</v>
      </c>
      <c r="H3926" s="65" t="b">
        <v>0</v>
      </c>
      <c r="I3926" s="65" t="b">
        <v>0</v>
      </c>
      <c r="J3926" s="65" t="b">
        <v>0</v>
      </c>
    </row>
    <row r="3927" spans="1:14" x14ac:dyDescent="0.2">
      <c r="A3927" s="51">
        <v>3926</v>
      </c>
      <c r="B3927" s="54" t="s">
        <v>921</v>
      </c>
      <c r="C3927" s="47" t="s">
        <v>8378</v>
      </c>
      <c r="D3927" s="47" t="s">
        <v>8436</v>
      </c>
      <c r="E3927" s="47" t="s">
        <v>1719</v>
      </c>
      <c r="F3927" s="55" t="b">
        <v>1</v>
      </c>
      <c r="G3927" s="54" t="b">
        <v>1</v>
      </c>
      <c r="H3927" s="54" t="b">
        <v>1</v>
      </c>
      <c r="I3927" s="54" t="b">
        <v>1</v>
      </c>
      <c r="J3927" s="54" t="b">
        <v>1</v>
      </c>
      <c r="K3927" s="63" t="s">
        <v>921</v>
      </c>
      <c r="L3927" s="63" t="s">
        <v>8378</v>
      </c>
      <c r="M3927" s="63" t="s">
        <v>8436</v>
      </c>
      <c r="N3927" s="63" t="s">
        <v>1719</v>
      </c>
    </row>
    <row r="3928" spans="1:14" x14ac:dyDescent="0.2">
      <c r="A3928" s="51">
        <v>3927</v>
      </c>
      <c r="G3928" s="65" t="b">
        <v>0</v>
      </c>
      <c r="H3928" s="65" t="b">
        <v>0</v>
      </c>
      <c r="I3928" s="65" t="b">
        <v>0</v>
      </c>
      <c r="J3928" s="65" t="b">
        <v>0</v>
      </c>
      <c r="K3928" s="63" t="s">
        <v>921</v>
      </c>
      <c r="L3928" s="63" t="s">
        <v>8378</v>
      </c>
      <c r="M3928" s="63" t="s">
        <v>8379</v>
      </c>
      <c r="N3928" s="63" t="s">
        <v>1719</v>
      </c>
    </row>
    <row r="3929" spans="1:14" x14ac:dyDescent="0.2">
      <c r="A3929" s="51">
        <v>3928</v>
      </c>
      <c r="B3929" s="54" t="s">
        <v>921</v>
      </c>
      <c r="C3929" s="47" t="s">
        <v>8380</v>
      </c>
      <c r="D3929" s="47" t="s">
        <v>8437</v>
      </c>
      <c r="E3929" s="47" t="s">
        <v>1719</v>
      </c>
      <c r="F3929" s="55" t="b">
        <v>1</v>
      </c>
      <c r="G3929" s="54" t="b">
        <v>1</v>
      </c>
      <c r="H3929" s="54" t="b">
        <v>1</v>
      </c>
      <c r="I3929" s="54" t="b">
        <v>1</v>
      </c>
      <c r="J3929" s="54" t="b">
        <v>1</v>
      </c>
      <c r="K3929" s="63" t="s">
        <v>921</v>
      </c>
      <c r="L3929" s="63" t="s">
        <v>8380</v>
      </c>
      <c r="M3929" s="63" t="s">
        <v>8437</v>
      </c>
      <c r="N3929" s="63" t="s">
        <v>1719</v>
      </c>
    </row>
    <row r="3930" spans="1:14" x14ac:dyDescent="0.2">
      <c r="A3930" s="51">
        <v>3929</v>
      </c>
      <c r="G3930" s="65" t="b">
        <v>0</v>
      </c>
      <c r="H3930" s="65" t="b">
        <v>0</v>
      </c>
      <c r="I3930" s="65" t="b">
        <v>0</v>
      </c>
      <c r="J3930" s="65" t="b">
        <v>0</v>
      </c>
      <c r="K3930" s="63" t="s">
        <v>921</v>
      </c>
      <c r="L3930" s="63" t="s">
        <v>8380</v>
      </c>
      <c r="M3930" s="63" t="s">
        <v>8381</v>
      </c>
      <c r="N3930" s="63" t="s">
        <v>1719</v>
      </c>
    </row>
    <row r="3931" spans="1:14" x14ac:dyDescent="0.2">
      <c r="A3931" s="51">
        <v>3930</v>
      </c>
      <c r="B3931" s="54" t="s">
        <v>921</v>
      </c>
      <c r="C3931" s="47" t="s">
        <v>13198</v>
      </c>
      <c r="D3931" s="47" t="s">
        <v>8436</v>
      </c>
      <c r="E3931" s="47" t="s">
        <v>13123</v>
      </c>
      <c r="F3931" s="55" t="b">
        <v>1</v>
      </c>
      <c r="G3931" s="65" t="b">
        <v>0</v>
      </c>
      <c r="H3931" s="65" t="b">
        <v>0</v>
      </c>
      <c r="I3931" s="65" t="b">
        <v>0</v>
      </c>
      <c r="J3931" s="65" t="b">
        <v>0</v>
      </c>
    </row>
    <row r="3932" spans="1:14" x14ac:dyDescent="0.2">
      <c r="A3932" s="51">
        <v>3931</v>
      </c>
      <c r="B3932" s="54" t="s">
        <v>921</v>
      </c>
      <c r="C3932" s="47" t="s">
        <v>8456</v>
      </c>
      <c r="D3932" s="47" t="s">
        <v>8458</v>
      </c>
      <c r="E3932" s="47" t="s">
        <v>1719</v>
      </c>
      <c r="F3932" s="55" t="b">
        <v>1</v>
      </c>
      <c r="G3932" s="54" t="b">
        <v>1</v>
      </c>
      <c r="H3932" s="54" t="b">
        <v>1</v>
      </c>
      <c r="I3932" s="65" t="b">
        <v>0</v>
      </c>
      <c r="J3932" s="54" t="b">
        <v>1</v>
      </c>
      <c r="K3932" s="63" t="s">
        <v>921</v>
      </c>
      <c r="L3932" s="63" t="s">
        <v>8456</v>
      </c>
      <c r="M3932" s="63" t="s">
        <v>8457</v>
      </c>
      <c r="N3932" s="63" t="s">
        <v>1719</v>
      </c>
    </row>
    <row r="3933" spans="1:14" x14ac:dyDescent="0.2">
      <c r="A3933" s="51">
        <v>3932</v>
      </c>
      <c r="G3933" s="65" t="b">
        <v>0</v>
      </c>
      <c r="H3933" s="65" t="b">
        <v>0</v>
      </c>
      <c r="I3933" s="65" t="b">
        <v>0</v>
      </c>
      <c r="J3933" s="65" t="b">
        <v>0</v>
      </c>
      <c r="K3933" s="63" t="s">
        <v>921</v>
      </c>
      <c r="L3933" s="63" t="s">
        <v>8456</v>
      </c>
      <c r="M3933" s="63" t="s">
        <v>8458</v>
      </c>
      <c r="N3933" s="63" t="s">
        <v>1719</v>
      </c>
    </row>
    <row r="3934" spans="1:14" x14ac:dyDescent="0.2">
      <c r="A3934" s="51">
        <v>3933</v>
      </c>
      <c r="B3934" s="54" t="s">
        <v>921</v>
      </c>
      <c r="C3934" s="47" t="s">
        <v>8459</v>
      </c>
      <c r="D3934" s="47" t="s">
        <v>8460</v>
      </c>
      <c r="E3934" s="47" t="s">
        <v>1719</v>
      </c>
      <c r="F3934" s="55" t="b">
        <v>1</v>
      </c>
      <c r="G3934" s="54" t="b">
        <v>1</v>
      </c>
      <c r="H3934" s="54" t="b">
        <v>1</v>
      </c>
      <c r="I3934" s="54" t="b">
        <v>1</v>
      </c>
      <c r="J3934" s="54" t="b">
        <v>1</v>
      </c>
      <c r="K3934" s="63" t="s">
        <v>921</v>
      </c>
      <c r="L3934" s="63" t="s">
        <v>8459</v>
      </c>
      <c r="M3934" s="63" t="s">
        <v>8460</v>
      </c>
      <c r="N3934" s="63" t="s">
        <v>1719</v>
      </c>
    </row>
    <row r="3935" spans="1:14" x14ac:dyDescent="0.2">
      <c r="A3935" s="51">
        <v>3934</v>
      </c>
      <c r="B3935" s="54" t="s">
        <v>921</v>
      </c>
      <c r="C3935" s="47" t="s">
        <v>13200</v>
      </c>
      <c r="D3935" s="47" t="s">
        <v>3944</v>
      </c>
      <c r="E3935" s="47" t="s">
        <v>13126</v>
      </c>
      <c r="F3935" s="55" t="b">
        <v>1</v>
      </c>
      <c r="G3935" s="65" t="b">
        <v>0</v>
      </c>
      <c r="H3935" s="65" t="b">
        <v>0</v>
      </c>
      <c r="I3935" s="65" t="b">
        <v>0</v>
      </c>
      <c r="J3935" s="65" t="b">
        <v>0</v>
      </c>
    </row>
    <row r="3936" spans="1:14" x14ac:dyDescent="0.2">
      <c r="A3936" s="51">
        <v>3935</v>
      </c>
      <c r="B3936" s="54" t="s">
        <v>921</v>
      </c>
      <c r="C3936" s="47" t="s">
        <v>8468</v>
      </c>
      <c r="D3936" s="47" t="s">
        <v>8469</v>
      </c>
      <c r="E3936" s="47" t="s">
        <v>1719</v>
      </c>
      <c r="F3936" s="55" t="b">
        <v>1</v>
      </c>
      <c r="G3936" s="54" t="b">
        <v>1</v>
      </c>
      <c r="H3936" s="54" t="b">
        <v>1</v>
      </c>
      <c r="I3936" s="54" t="b">
        <v>1</v>
      </c>
      <c r="J3936" s="54" t="b">
        <v>1</v>
      </c>
      <c r="K3936" s="63" t="s">
        <v>921</v>
      </c>
      <c r="L3936" s="63" t="s">
        <v>8468</v>
      </c>
      <c r="M3936" s="63" t="s">
        <v>8469</v>
      </c>
      <c r="N3936" s="63" t="s">
        <v>1719</v>
      </c>
    </row>
    <row r="3937" spans="1:14" x14ac:dyDescent="0.2">
      <c r="A3937" s="51">
        <v>3936</v>
      </c>
      <c r="B3937" s="54" t="s">
        <v>921</v>
      </c>
      <c r="C3937" s="47" t="s">
        <v>8482</v>
      </c>
      <c r="D3937" s="47" t="s">
        <v>8483</v>
      </c>
      <c r="E3937" s="47" t="s">
        <v>1719</v>
      </c>
      <c r="F3937" s="55" t="b">
        <v>1</v>
      </c>
      <c r="G3937" s="54" t="b">
        <v>1</v>
      </c>
      <c r="H3937" s="54" t="b">
        <v>1</v>
      </c>
      <c r="I3937" s="54" t="b">
        <v>1</v>
      </c>
      <c r="J3937" s="54" t="b">
        <v>1</v>
      </c>
      <c r="K3937" s="63" t="s">
        <v>921</v>
      </c>
      <c r="L3937" s="63" t="s">
        <v>8482</v>
      </c>
      <c r="M3937" s="63" t="s">
        <v>8483</v>
      </c>
      <c r="N3937" s="63" t="s">
        <v>1719</v>
      </c>
    </row>
    <row r="3938" spans="1:14" x14ac:dyDescent="0.2">
      <c r="A3938" s="51">
        <v>3937</v>
      </c>
      <c r="G3938" s="65" t="b">
        <v>0</v>
      </c>
      <c r="H3938" s="65" t="b">
        <v>0</v>
      </c>
      <c r="I3938" s="65" t="b">
        <v>0</v>
      </c>
      <c r="J3938" s="65" t="b">
        <v>0</v>
      </c>
      <c r="K3938" s="63" t="s">
        <v>921</v>
      </c>
      <c r="L3938" s="63" t="s">
        <v>8482</v>
      </c>
      <c r="M3938" s="63" t="s">
        <v>8501</v>
      </c>
      <c r="N3938" s="63" t="s">
        <v>1719</v>
      </c>
    </row>
    <row r="3939" spans="1:14" x14ac:dyDescent="0.2">
      <c r="A3939" s="51">
        <v>3938</v>
      </c>
      <c r="B3939" s="54" t="s">
        <v>921</v>
      </c>
      <c r="C3939" s="47" t="s">
        <v>8471</v>
      </c>
      <c r="D3939" s="47" t="s">
        <v>8478</v>
      </c>
      <c r="E3939" s="47" t="s">
        <v>1719</v>
      </c>
      <c r="F3939" s="55" t="b">
        <v>1</v>
      </c>
      <c r="G3939" s="54" t="b">
        <v>1</v>
      </c>
      <c r="H3939" s="54" t="b">
        <v>1</v>
      </c>
      <c r="I3939" s="54" t="b">
        <v>1</v>
      </c>
      <c r="J3939" s="54" t="b">
        <v>1</v>
      </c>
      <c r="K3939" s="63" t="s">
        <v>921</v>
      </c>
      <c r="L3939" s="63" t="s">
        <v>8471</v>
      </c>
      <c r="M3939" s="63" t="s">
        <v>8478</v>
      </c>
      <c r="N3939" s="63" t="s">
        <v>1719</v>
      </c>
    </row>
    <row r="3940" spans="1:14" x14ac:dyDescent="0.2">
      <c r="A3940" s="51">
        <v>3939</v>
      </c>
      <c r="G3940" s="65" t="b">
        <v>0</v>
      </c>
      <c r="H3940" s="65" t="b">
        <v>0</v>
      </c>
      <c r="I3940" s="65" t="b">
        <v>0</v>
      </c>
      <c r="J3940" s="65" t="b">
        <v>0</v>
      </c>
      <c r="K3940" s="63" t="s">
        <v>921</v>
      </c>
      <c r="L3940" s="63" t="s">
        <v>8471</v>
      </c>
      <c r="M3940" s="63" t="s">
        <v>8472</v>
      </c>
      <c r="N3940" s="63" t="s">
        <v>1719</v>
      </c>
    </row>
    <row r="3941" spans="1:14" x14ac:dyDescent="0.2">
      <c r="A3941" s="51">
        <v>3940</v>
      </c>
      <c r="B3941" s="54" t="s">
        <v>921</v>
      </c>
      <c r="C3941" s="47" t="s">
        <v>8376</v>
      </c>
      <c r="D3941" s="47" t="s">
        <v>8484</v>
      </c>
      <c r="E3941" s="47" t="s">
        <v>1719</v>
      </c>
      <c r="F3941" s="55" t="b">
        <v>1</v>
      </c>
      <c r="G3941" s="54" t="b">
        <v>1</v>
      </c>
      <c r="H3941" s="54" t="b">
        <v>1</v>
      </c>
      <c r="I3941" s="54" t="b">
        <v>1</v>
      </c>
      <c r="J3941" s="54" t="b">
        <v>1</v>
      </c>
      <c r="K3941" s="63" t="s">
        <v>921</v>
      </c>
      <c r="L3941" s="63" t="s">
        <v>8376</v>
      </c>
      <c r="M3941" s="63" t="s">
        <v>8484</v>
      </c>
      <c r="N3941" s="63" t="s">
        <v>1719</v>
      </c>
    </row>
    <row r="3942" spans="1:14" x14ac:dyDescent="0.2">
      <c r="A3942" s="51">
        <v>3941</v>
      </c>
      <c r="G3942" s="65" t="b">
        <v>0</v>
      </c>
      <c r="H3942" s="65" t="b">
        <v>0</v>
      </c>
      <c r="I3942" s="65" t="b">
        <v>0</v>
      </c>
      <c r="J3942" s="65" t="b">
        <v>0</v>
      </c>
      <c r="K3942" s="63" t="s">
        <v>921</v>
      </c>
      <c r="L3942" s="63" t="s">
        <v>8376</v>
      </c>
      <c r="M3942" s="63" t="s">
        <v>8377</v>
      </c>
      <c r="N3942" s="63" t="s">
        <v>1719</v>
      </c>
    </row>
    <row r="3943" spans="1:14" x14ac:dyDescent="0.2">
      <c r="A3943" s="51">
        <v>3942</v>
      </c>
      <c r="B3943" s="54" t="s">
        <v>921</v>
      </c>
      <c r="C3943" s="47" t="s">
        <v>8487</v>
      </c>
      <c r="D3943" s="47" t="s">
        <v>8488</v>
      </c>
      <c r="E3943" s="47" t="s">
        <v>1719</v>
      </c>
      <c r="F3943" s="55" t="b">
        <v>1</v>
      </c>
      <c r="G3943" s="54" t="b">
        <v>1</v>
      </c>
      <c r="H3943" s="54" t="b">
        <v>1</v>
      </c>
      <c r="I3943" s="54" t="b">
        <v>1</v>
      </c>
      <c r="J3943" s="54" t="b">
        <v>1</v>
      </c>
      <c r="K3943" s="63" t="s">
        <v>921</v>
      </c>
      <c r="L3943" s="63" t="s">
        <v>8487</v>
      </c>
      <c r="M3943" s="63" t="s">
        <v>8488</v>
      </c>
      <c r="N3943" s="63" t="s">
        <v>1719</v>
      </c>
    </row>
    <row r="3944" spans="1:14" x14ac:dyDescent="0.2">
      <c r="A3944" s="51">
        <v>3943</v>
      </c>
      <c r="B3944" s="54" t="s">
        <v>921</v>
      </c>
      <c r="C3944" s="47" t="s">
        <v>13199</v>
      </c>
      <c r="D3944" s="47" t="s">
        <v>2072</v>
      </c>
      <c r="E3944" s="47" t="s">
        <v>13123</v>
      </c>
      <c r="F3944" s="55" t="b">
        <v>1</v>
      </c>
      <c r="G3944" s="65" t="b">
        <v>0</v>
      </c>
      <c r="H3944" s="65" t="b">
        <v>0</v>
      </c>
      <c r="I3944" s="65" t="b">
        <v>0</v>
      </c>
      <c r="J3944" s="65" t="b">
        <v>0</v>
      </c>
    </row>
    <row r="3945" spans="1:14" x14ac:dyDescent="0.2">
      <c r="A3945" s="51">
        <v>3944</v>
      </c>
      <c r="B3945" s="54" t="s">
        <v>921</v>
      </c>
      <c r="C3945" s="47" t="s">
        <v>8480</v>
      </c>
      <c r="D3945" s="47" t="s">
        <v>8481</v>
      </c>
      <c r="E3945" s="47" t="s">
        <v>1719</v>
      </c>
      <c r="F3945" s="55" t="b">
        <v>1</v>
      </c>
      <c r="G3945" s="54" t="b">
        <v>1</v>
      </c>
      <c r="H3945" s="54" t="b">
        <v>1</v>
      </c>
      <c r="I3945" s="54" t="b">
        <v>1</v>
      </c>
      <c r="J3945" s="54" t="b">
        <v>1</v>
      </c>
      <c r="K3945" s="63" t="s">
        <v>921</v>
      </c>
      <c r="L3945" s="63" t="s">
        <v>8480</v>
      </c>
      <c r="M3945" s="63" t="s">
        <v>8481</v>
      </c>
      <c r="N3945" s="63" t="s">
        <v>1719</v>
      </c>
    </row>
    <row r="3946" spans="1:14" x14ac:dyDescent="0.2">
      <c r="A3946" s="51">
        <v>3945</v>
      </c>
      <c r="B3946" s="54" t="s">
        <v>921</v>
      </c>
      <c r="C3946" s="47" t="s">
        <v>8485</v>
      </c>
      <c r="D3946" s="47" t="s">
        <v>8486</v>
      </c>
      <c r="E3946" s="47" t="s">
        <v>1719</v>
      </c>
      <c r="F3946" s="55" t="b">
        <v>1</v>
      </c>
      <c r="G3946" s="54" t="b">
        <v>1</v>
      </c>
      <c r="H3946" s="54" t="b">
        <v>1</v>
      </c>
      <c r="I3946" s="54" t="b">
        <v>1</v>
      </c>
      <c r="J3946" s="54" t="b">
        <v>1</v>
      </c>
      <c r="K3946" s="63" t="s">
        <v>921</v>
      </c>
      <c r="L3946" s="63" t="s">
        <v>8485</v>
      </c>
      <c r="M3946" s="63" t="s">
        <v>8486</v>
      </c>
      <c r="N3946" s="63" t="s">
        <v>1719</v>
      </c>
    </row>
    <row r="3947" spans="1:14" x14ac:dyDescent="0.2">
      <c r="A3947" s="51">
        <v>3946</v>
      </c>
      <c r="B3947" s="54" t="s">
        <v>921</v>
      </c>
      <c r="C3947" s="47" t="s">
        <v>8349</v>
      </c>
      <c r="D3947" s="47" t="s">
        <v>8489</v>
      </c>
      <c r="E3947" s="47" t="s">
        <v>1719</v>
      </c>
      <c r="F3947" s="55" t="b">
        <v>1</v>
      </c>
      <c r="G3947" s="54" t="b">
        <v>1</v>
      </c>
      <c r="H3947" s="54" t="b">
        <v>1</v>
      </c>
      <c r="I3947" s="54" t="b">
        <v>1</v>
      </c>
      <c r="J3947" s="54" t="b">
        <v>1</v>
      </c>
      <c r="K3947" s="63" t="s">
        <v>921</v>
      </c>
      <c r="L3947" s="63" t="s">
        <v>8349</v>
      </c>
      <c r="M3947" s="63" t="s">
        <v>8489</v>
      </c>
      <c r="N3947" s="63" t="s">
        <v>1719</v>
      </c>
    </row>
    <row r="3948" spans="1:14" x14ac:dyDescent="0.2">
      <c r="A3948" s="51">
        <v>3947</v>
      </c>
      <c r="G3948" s="65" t="b">
        <v>0</v>
      </c>
      <c r="H3948" s="65" t="b">
        <v>0</v>
      </c>
      <c r="I3948" s="65" t="b">
        <v>0</v>
      </c>
      <c r="J3948" s="65" t="b">
        <v>0</v>
      </c>
      <c r="K3948" s="63" t="s">
        <v>921</v>
      </c>
      <c r="L3948" s="63" t="s">
        <v>8349</v>
      </c>
      <c r="M3948" s="63" t="s">
        <v>8350</v>
      </c>
      <c r="N3948" s="63" t="s">
        <v>1719</v>
      </c>
    </row>
    <row r="3949" spans="1:14" x14ac:dyDescent="0.2">
      <c r="A3949" s="51">
        <v>3948</v>
      </c>
      <c r="B3949" s="54" t="s">
        <v>921</v>
      </c>
      <c r="C3949" s="47" t="s">
        <v>8490</v>
      </c>
      <c r="D3949" s="47" t="s">
        <v>8491</v>
      </c>
      <c r="E3949" s="47" t="s">
        <v>1719</v>
      </c>
      <c r="F3949" s="55" t="b">
        <v>1</v>
      </c>
      <c r="G3949" s="54" t="b">
        <v>1</v>
      </c>
      <c r="H3949" s="54" t="b">
        <v>1</v>
      </c>
      <c r="I3949" s="54" t="b">
        <v>1</v>
      </c>
      <c r="J3949" s="54" t="b">
        <v>1</v>
      </c>
      <c r="K3949" s="63" t="s">
        <v>921</v>
      </c>
      <c r="L3949" s="63" t="s">
        <v>8490</v>
      </c>
      <c r="M3949" s="63" t="s">
        <v>8491</v>
      </c>
      <c r="N3949" s="63" t="s">
        <v>1719</v>
      </c>
    </row>
    <row r="3950" spans="1:14" x14ac:dyDescent="0.2">
      <c r="A3950" s="51">
        <v>3949</v>
      </c>
      <c r="G3950" s="65" t="b">
        <v>0</v>
      </c>
      <c r="H3950" s="65" t="b">
        <v>0</v>
      </c>
      <c r="I3950" s="65" t="b">
        <v>0</v>
      </c>
      <c r="J3950" s="65" t="b">
        <v>0</v>
      </c>
      <c r="K3950" s="63" t="s">
        <v>921</v>
      </c>
      <c r="L3950" s="63" t="s">
        <v>8490</v>
      </c>
      <c r="M3950" s="63" t="s">
        <v>8505</v>
      </c>
      <c r="N3950" s="63" t="s">
        <v>1719</v>
      </c>
    </row>
    <row r="3951" spans="1:14" x14ac:dyDescent="0.2">
      <c r="A3951" s="51">
        <v>3950</v>
      </c>
      <c r="B3951" s="54" t="s">
        <v>921</v>
      </c>
      <c r="C3951" s="47" t="s">
        <v>13202</v>
      </c>
      <c r="D3951" s="47" t="s">
        <v>13203</v>
      </c>
      <c r="E3951" s="47" t="s">
        <v>13123</v>
      </c>
      <c r="F3951" s="55" t="b">
        <v>1</v>
      </c>
      <c r="G3951" s="65" t="b">
        <v>0</v>
      </c>
      <c r="H3951" s="65" t="b">
        <v>0</v>
      </c>
      <c r="I3951" s="65" t="b">
        <v>0</v>
      </c>
      <c r="J3951" s="65" t="b">
        <v>0</v>
      </c>
    </row>
    <row r="3952" spans="1:14" x14ac:dyDescent="0.2">
      <c r="A3952" s="51">
        <v>3951</v>
      </c>
      <c r="B3952" s="54" t="s">
        <v>921</v>
      </c>
      <c r="C3952" s="47" t="s">
        <v>13204</v>
      </c>
      <c r="D3952" s="47" t="s">
        <v>13205</v>
      </c>
      <c r="E3952" s="47" t="s">
        <v>13123</v>
      </c>
      <c r="F3952" s="55" t="b">
        <v>1</v>
      </c>
      <c r="G3952" s="65" t="b">
        <v>0</v>
      </c>
      <c r="H3952" s="65" t="b">
        <v>0</v>
      </c>
      <c r="I3952" s="65" t="b">
        <v>0</v>
      </c>
      <c r="J3952" s="65" t="b">
        <v>0</v>
      </c>
    </row>
    <row r="3953" spans="1:14" x14ac:dyDescent="0.2">
      <c r="A3953" s="51">
        <v>3952</v>
      </c>
      <c r="B3953" s="54" t="s">
        <v>921</v>
      </c>
      <c r="C3953" s="47" t="s">
        <v>8492</v>
      </c>
      <c r="D3953" s="47" t="s">
        <v>8493</v>
      </c>
      <c r="E3953" s="47" t="s">
        <v>1719</v>
      </c>
      <c r="F3953" s="55" t="b">
        <v>1</v>
      </c>
      <c r="G3953" s="54" t="b">
        <v>1</v>
      </c>
      <c r="H3953" s="54" t="b">
        <v>1</v>
      </c>
      <c r="I3953" s="54" t="b">
        <v>1</v>
      </c>
      <c r="J3953" s="54" t="b">
        <v>1</v>
      </c>
      <c r="K3953" s="63" t="s">
        <v>921</v>
      </c>
      <c r="L3953" s="63" t="s">
        <v>8492</v>
      </c>
      <c r="M3953" s="63" t="s">
        <v>8493</v>
      </c>
      <c r="N3953" s="63" t="s">
        <v>1719</v>
      </c>
    </row>
    <row r="3954" spans="1:14" x14ac:dyDescent="0.2">
      <c r="A3954" s="51">
        <v>3953</v>
      </c>
      <c r="G3954" s="65" t="b">
        <v>0</v>
      </c>
      <c r="H3954" s="65" t="b">
        <v>0</v>
      </c>
      <c r="I3954" s="65" t="b">
        <v>0</v>
      </c>
      <c r="J3954" s="65" t="b">
        <v>0</v>
      </c>
      <c r="K3954" s="63" t="s">
        <v>921</v>
      </c>
      <c r="L3954" s="63" t="s">
        <v>8492</v>
      </c>
      <c r="M3954" s="63" t="s">
        <v>8494</v>
      </c>
      <c r="N3954" s="63" t="s">
        <v>1719</v>
      </c>
    </row>
    <row r="3955" spans="1:14" x14ac:dyDescent="0.2">
      <c r="A3955" s="51">
        <v>3954</v>
      </c>
      <c r="B3955" s="54" t="s">
        <v>921</v>
      </c>
      <c r="C3955" s="47" t="s">
        <v>8495</v>
      </c>
      <c r="D3955" s="47" t="s">
        <v>8496</v>
      </c>
      <c r="E3955" s="47" t="s">
        <v>1719</v>
      </c>
      <c r="F3955" s="55" t="b">
        <v>1</v>
      </c>
      <c r="G3955" s="54" t="b">
        <v>1</v>
      </c>
      <c r="H3955" s="54" t="b">
        <v>1</v>
      </c>
      <c r="I3955" s="54" t="b">
        <v>1</v>
      </c>
      <c r="J3955" s="54" t="b">
        <v>1</v>
      </c>
      <c r="K3955" s="63" t="s">
        <v>921</v>
      </c>
      <c r="L3955" s="63" t="s">
        <v>8495</v>
      </c>
      <c r="M3955" s="63" t="s">
        <v>8496</v>
      </c>
      <c r="N3955" s="63" t="s">
        <v>1719</v>
      </c>
    </row>
    <row r="3956" spans="1:14" x14ac:dyDescent="0.2">
      <c r="A3956" s="51">
        <v>3955</v>
      </c>
      <c r="B3956" s="54" t="s">
        <v>921</v>
      </c>
      <c r="C3956" s="47" t="s">
        <v>13206</v>
      </c>
      <c r="D3956" s="47" t="s">
        <v>13207</v>
      </c>
      <c r="E3956" s="47" t="s">
        <v>13123</v>
      </c>
      <c r="F3956" s="55" t="b">
        <v>1</v>
      </c>
      <c r="G3956" s="65" t="b">
        <v>0</v>
      </c>
      <c r="H3956" s="65" t="b">
        <v>0</v>
      </c>
      <c r="I3956" s="65" t="b">
        <v>0</v>
      </c>
      <c r="J3956" s="65" t="b">
        <v>0</v>
      </c>
    </row>
    <row r="3957" spans="1:14" x14ac:dyDescent="0.2">
      <c r="A3957" s="51">
        <v>3956</v>
      </c>
      <c r="B3957" s="54" t="s">
        <v>921</v>
      </c>
      <c r="C3957" s="47" t="s">
        <v>8461</v>
      </c>
      <c r="D3957" s="47" t="s">
        <v>8462</v>
      </c>
      <c r="E3957" s="47" t="s">
        <v>1719</v>
      </c>
      <c r="F3957" s="55" t="b">
        <v>1</v>
      </c>
      <c r="G3957" s="54" t="b">
        <v>1</v>
      </c>
      <c r="H3957" s="54" t="b">
        <v>1</v>
      </c>
      <c r="I3957" s="54" t="b">
        <v>1</v>
      </c>
      <c r="J3957" s="54" t="b">
        <v>1</v>
      </c>
      <c r="K3957" s="63" t="s">
        <v>921</v>
      </c>
      <c r="L3957" s="63" t="s">
        <v>8461</v>
      </c>
      <c r="M3957" s="63" t="s">
        <v>8462</v>
      </c>
      <c r="N3957" s="63" t="s">
        <v>1719</v>
      </c>
    </row>
    <row r="3958" spans="1:14" x14ac:dyDescent="0.2">
      <c r="A3958" s="51">
        <v>3957</v>
      </c>
      <c r="G3958" s="65" t="b">
        <v>0</v>
      </c>
      <c r="H3958" s="65" t="b">
        <v>0</v>
      </c>
      <c r="I3958" s="65" t="b">
        <v>0</v>
      </c>
      <c r="J3958" s="65" t="b">
        <v>0</v>
      </c>
      <c r="K3958" s="63" t="s">
        <v>921</v>
      </c>
      <c r="L3958" s="63" t="s">
        <v>8461</v>
      </c>
      <c r="M3958" s="63" t="s">
        <v>8463</v>
      </c>
      <c r="N3958" s="63" t="s">
        <v>1719</v>
      </c>
    </row>
    <row r="3959" spans="1:14" x14ac:dyDescent="0.2">
      <c r="A3959" s="51">
        <v>3958</v>
      </c>
      <c r="B3959" s="54" t="s">
        <v>921</v>
      </c>
      <c r="C3959" s="47" t="s">
        <v>13209</v>
      </c>
      <c r="D3959" s="47" t="s">
        <v>13210</v>
      </c>
      <c r="E3959" s="47" t="s">
        <v>13123</v>
      </c>
      <c r="F3959" s="55" t="b">
        <v>1</v>
      </c>
      <c r="G3959" s="65" t="b">
        <v>0</v>
      </c>
      <c r="H3959" s="65" t="b">
        <v>0</v>
      </c>
      <c r="I3959" s="65" t="b">
        <v>0</v>
      </c>
      <c r="J3959" s="65" t="b">
        <v>0</v>
      </c>
    </row>
    <row r="3960" spans="1:14" x14ac:dyDescent="0.2">
      <c r="A3960" s="51">
        <v>3959</v>
      </c>
      <c r="B3960" s="54" t="s">
        <v>921</v>
      </c>
      <c r="C3960" s="47" t="s">
        <v>8347</v>
      </c>
      <c r="D3960" s="47" t="s">
        <v>8510</v>
      </c>
      <c r="E3960" s="47" t="s">
        <v>1719</v>
      </c>
      <c r="F3960" s="55" t="b">
        <v>1</v>
      </c>
      <c r="G3960" s="54" t="b">
        <v>1</v>
      </c>
      <c r="H3960" s="54" t="b">
        <v>1</v>
      </c>
      <c r="I3960" s="54" t="b">
        <v>1</v>
      </c>
      <c r="J3960" s="54" t="b">
        <v>1</v>
      </c>
      <c r="K3960" s="63" t="s">
        <v>921</v>
      </c>
      <c r="L3960" s="63" t="s">
        <v>8347</v>
      </c>
      <c r="M3960" s="63" t="s">
        <v>8510</v>
      </c>
      <c r="N3960" s="63" t="s">
        <v>1719</v>
      </c>
    </row>
    <row r="3961" spans="1:14" x14ac:dyDescent="0.2">
      <c r="A3961" s="51">
        <v>3960</v>
      </c>
      <c r="G3961" s="65" t="b">
        <v>0</v>
      </c>
      <c r="H3961" s="65" t="b">
        <v>0</v>
      </c>
      <c r="I3961" s="65" t="b">
        <v>0</v>
      </c>
      <c r="J3961" s="65" t="b">
        <v>0</v>
      </c>
      <c r="K3961" s="63" t="s">
        <v>921</v>
      </c>
      <c r="L3961" s="63" t="s">
        <v>8347</v>
      </c>
      <c r="M3961" s="63" t="s">
        <v>8348</v>
      </c>
      <c r="N3961" s="63" t="s">
        <v>1719</v>
      </c>
    </row>
    <row r="3962" spans="1:14" x14ac:dyDescent="0.2">
      <c r="A3962" s="51">
        <v>3961</v>
      </c>
      <c r="B3962" s="54" t="s">
        <v>921</v>
      </c>
      <c r="C3962" s="47" t="s">
        <v>8503</v>
      </c>
      <c r="D3962" s="47" t="s">
        <v>8511</v>
      </c>
      <c r="E3962" s="47" t="s">
        <v>1719</v>
      </c>
      <c r="F3962" s="55" t="b">
        <v>1</v>
      </c>
      <c r="G3962" s="54" t="b">
        <v>1</v>
      </c>
      <c r="H3962" s="54" t="b">
        <v>1</v>
      </c>
      <c r="I3962" s="65" t="b">
        <v>0</v>
      </c>
      <c r="J3962" s="54" t="b">
        <v>1</v>
      </c>
      <c r="K3962" s="63" t="s">
        <v>921</v>
      </c>
      <c r="L3962" s="63" t="s">
        <v>8503</v>
      </c>
      <c r="M3962" s="63" t="s">
        <v>8504</v>
      </c>
      <c r="N3962" s="63" t="s">
        <v>1719</v>
      </c>
    </row>
    <row r="3963" spans="1:14" x14ac:dyDescent="0.2">
      <c r="A3963" s="51">
        <v>3962</v>
      </c>
      <c r="G3963" s="65" t="b">
        <v>0</v>
      </c>
      <c r="H3963" s="65" t="b">
        <v>0</v>
      </c>
      <c r="I3963" s="65" t="b">
        <v>0</v>
      </c>
      <c r="J3963" s="65" t="b">
        <v>0</v>
      </c>
      <c r="K3963" s="63" t="s">
        <v>921</v>
      </c>
      <c r="L3963" s="63" t="s">
        <v>8503</v>
      </c>
      <c r="M3963" s="63" t="s">
        <v>8511</v>
      </c>
      <c r="N3963" s="63" t="s">
        <v>1719</v>
      </c>
    </row>
    <row r="3964" spans="1:14" x14ac:dyDescent="0.2">
      <c r="A3964" s="51">
        <v>3963</v>
      </c>
      <c r="B3964" s="54" t="s">
        <v>921</v>
      </c>
      <c r="C3964" s="47" t="s">
        <v>8464</v>
      </c>
      <c r="D3964" s="47" t="s">
        <v>8507</v>
      </c>
      <c r="E3964" s="47" t="s">
        <v>1719</v>
      </c>
      <c r="F3964" s="55" t="b">
        <v>1</v>
      </c>
      <c r="G3964" s="54" t="b">
        <v>1</v>
      </c>
      <c r="H3964" s="54" t="b">
        <v>1</v>
      </c>
      <c r="I3964" s="54" t="b">
        <v>1</v>
      </c>
      <c r="J3964" s="54" t="b">
        <v>1</v>
      </c>
      <c r="K3964" s="63" t="s">
        <v>921</v>
      </c>
      <c r="L3964" s="63" t="s">
        <v>8464</v>
      </c>
      <c r="M3964" s="63" t="s">
        <v>8507</v>
      </c>
      <c r="N3964" s="63" t="s">
        <v>1719</v>
      </c>
    </row>
    <row r="3965" spans="1:14" x14ac:dyDescent="0.2">
      <c r="A3965" s="51">
        <v>3964</v>
      </c>
      <c r="G3965" s="65" t="b">
        <v>0</v>
      </c>
      <c r="H3965" s="65" t="b">
        <v>0</v>
      </c>
      <c r="I3965" s="65" t="b">
        <v>0</v>
      </c>
      <c r="J3965" s="65" t="b">
        <v>0</v>
      </c>
      <c r="K3965" s="63" t="s">
        <v>921</v>
      </c>
      <c r="L3965" s="63" t="s">
        <v>8464</v>
      </c>
      <c r="M3965" s="63" t="s">
        <v>8465</v>
      </c>
      <c r="N3965" s="63" t="s">
        <v>1719</v>
      </c>
    </row>
    <row r="3966" spans="1:14" x14ac:dyDescent="0.2">
      <c r="A3966" s="51">
        <v>3965</v>
      </c>
      <c r="B3966" s="54" t="s">
        <v>921</v>
      </c>
      <c r="C3966" s="47" t="s">
        <v>8466</v>
      </c>
      <c r="D3966" s="47" t="s">
        <v>8509</v>
      </c>
      <c r="E3966" s="47" t="s">
        <v>1719</v>
      </c>
      <c r="F3966" s="55" t="b">
        <v>1</v>
      </c>
      <c r="G3966" s="54" t="b">
        <v>1</v>
      </c>
      <c r="H3966" s="54" t="b">
        <v>1</v>
      </c>
      <c r="I3966" s="54" t="b">
        <v>1</v>
      </c>
      <c r="J3966" s="54" t="b">
        <v>1</v>
      </c>
      <c r="K3966" s="63" t="s">
        <v>921</v>
      </c>
      <c r="L3966" s="63" t="s">
        <v>8466</v>
      </c>
      <c r="M3966" s="63" t="s">
        <v>8509</v>
      </c>
      <c r="N3966" s="63" t="s">
        <v>1719</v>
      </c>
    </row>
    <row r="3967" spans="1:14" x14ac:dyDescent="0.2">
      <c r="A3967" s="51">
        <v>3966</v>
      </c>
      <c r="G3967" s="65" t="b">
        <v>0</v>
      </c>
      <c r="H3967" s="65" t="b">
        <v>0</v>
      </c>
      <c r="I3967" s="65" t="b">
        <v>0</v>
      </c>
      <c r="J3967" s="65" t="b">
        <v>0</v>
      </c>
      <c r="K3967" s="63" t="s">
        <v>921</v>
      </c>
      <c r="L3967" s="63" t="s">
        <v>8466</v>
      </c>
      <c r="M3967" s="63" t="s">
        <v>8467</v>
      </c>
      <c r="N3967" s="63" t="s">
        <v>1719</v>
      </c>
    </row>
    <row r="3968" spans="1:14" x14ac:dyDescent="0.2">
      <c r="A3968" s="51">
        <v>3967</v>
      </c>
      <c r="B3968" s="54" t="s">
        <v>925</v>
      </c>
      <c r="C3968" s="47" t="s">
        <v>8512</v>
      </c>
      <c r="D3968" s="47" t="s">
        <v>8513</v>
      </c>
      <c r="E3968" s="47" t="s">
        <v>1719</v>
      </c>
      <c r="F3968" s="55" t="b">
        <v>1</v>
      </c>
      <c r="G3968" s="54" t="b">
        <v>1</v>
      </c>
      <c r="H3968" s="54" t="b">
        <v>1</v>
      </c>
      <c r="I3968" s="54" t="b">
        <v>1</v>
      </c>
      <c r="J3968" s="54" t="b">
        <v>1</v>
      </c>
      <c r="K3968" s="63" t="s">
        <v>925</v>
      </c>
      <c r="L3968" s="63" t="s">
        <v>8512</v>
      </c>
      <c r="M3968" s="63" t="s">
        <v>8513</v>
      </c>
      <c r="N3968" s="63" t="s">
        <v>1719</v>
      </c>
    </row>
    <row r="3969" spans="1:14" x14ac:dyDescent="0.2">
      <c r="A3969" s="51">
        <v>3968</v>
      </c>
      <c r="B3969" s="54" t="s">
        <v>925</v>
      </c>
      <c r="C3969" s="47" t="s">
        <v>8514</v>
      </c>
      <c r="D3969" s="47" t="s">
        <v>13212</v>
      </c>
      <c r="E3969" s="47" t="s">
        <v>1719</v>
      </c>
      <c r="F3969" s="55" t="b">
        <v>1</v>
      </c>
      <c r="G3969" s="54" t="b">
        <v>1</v>
      </c>
      <c r="H3969" s="54" t="b">
        <v>1</v>
      </c>
      <c r="I3969" s="65" t="b">
        <v>0</v>
      </c>
      <c r="J3969" s="54" t="b">
        <v>1</v>
      </c>
      <c r="K3969" s="63" t="s">
        <v>925</v>
      </c>
      <c r="L3969" s="63" t="s">
        <v>8514</v>
      </c>
      <c r="M3969" s="63" t="s">
        <v>8515</v>
      </c>
      <c r="N3969" s="63" t="s">
        <v>1719</v>
      </c>
    </row>
    <row r="3970" spans="1:14" x14ac:dyDescent="0.2">
      <c r="A3970" s="51">
        <v>3969</v>
      </c>
      <c r="B3970" s="54" t="s">
        <v>925</v>
      </c>
      <c r="C3970" s="47" t="s">
        <v>8518</v>
      </c>
      <c r="D3970" s="47" t="s">
        <v>8519</v>
      </c>
      <c r="E3970" s="47" t="s">
        <v>1719</v>
      </c>
      <c r="F3970" s="55" t="b">
        <v>1</v>
      </c>
      <c r="G3970" s="54" t="b">
        <v>1</v>
      </c>
      <c r="H3970" s="54" t="b">
        <v>1</v>
      </c>
      <c r="I3970" s="54" t="b">
        <v>1</v>
      </c>
      <c r="J3970" s="54" t="b">
        <v>1</v>
      </c>
      <c r="K3970" s="63" t="s">
        <v>925</v>
      </c>
      <c r="L3970" s="63" t="s">
        <v>8518</v>
      </c>
      <c r="M3970" s="63" t="s">
        <v>8519</v>
      </c>
      <c r="N3970" s="63" t="s">
        <v>1719</v>
      </c>
    </row>
    <row r="3971" spans="1:14" x14ac:dyDescent="0.2">
      <c r="A3971" s="51">
        <v>3970</v>
      </c>
      <c r="B3971" s="54" t="s">
        <v>925</v>
      </c>
      <c r="C3971" s="47" t="s">
        <v>8538</v>
      </c>
      <c r="D3971" s="47" t="s">
        <v>8539</v>
      </c>
      <c r="E3971" s="47" t="s">
        <v>1719</v>
      </c>
      <c r="F3971" s="55" t="b">
        <v>1</v>
      </c>
      <c r="G3971" s="54" t="b">
        <v>1</v>
      </c>
      <c r="H3971" s="54" t="b">
        <v>1</v>
      </c>
      <c r="I3971" s="54" t="b">
        <v>1</v>
      </c>
      <c r="J3971" s="54" t="b">
        <v>1</v>
      </c>
      <c r="K3971" s="63" t="s">
        <v>925</v>
      </c>
      <c r="L3971" s="63" t="s">
        <v>8538</v>
      </c>
      <c r="M3971" s="63" t="s">
        <v>8539</v>
      </c>
      <c r="N3971" s="63" t="s">
        <v>1719</v>
      </c>
    </row>
    <row r="3972" spans="1:14" x14ac:dyDescent="0.2">
      <c r="A3972" s="51">
        <v>3971</v>
      </c>
      <c r="B3972" s="54" t="s">
        <v>925</v>
      </c>
      <c r="C3972" s="47" t="s">
        <v>8516</v>
      </c>
      <c r="D3972" s="47" t="s">
        <v>8517</v>
      </c>
      <c r="E3972" s="47" t="s">
        <v>1719</v>
      </c>
      <c r="F3972" s="55" t="b">
        <v>1</v>
      </c>
      <c r="G3972" s="54" t="b">
        <v>1</v>
      </c>
      <c r="H3972" s="54" t="b">
        <v>1</v>
      </c>
      <c r="I3972" s="54" t="b">
        <v>1</v>
      </c>
      <c r="J3972" s="54" t="b">
        <v>1</v>
      </c>
      <c r="K3972" s="63" t="s">
        <v>925</v>
      </c>
      <c r="L3972" s="63" t="s">
        <v>8516</v>
      </c>
      <c r="M3972" s="63" t="s">
        <v>8517</v>
      </c>
      <c r="N3972" s="63" t="s">
        <v>1719</v>
      </c>
    </row>
    <row r="3973" spans="1:14" x14ac:dyDescent="0.2">
      <c r="A3973" s="51">
        <v>3972</v>
      </c>
      <c r="B3973" s="54" t="s">
        <v>925</v>
      </c>
      <c r="C3973" s="47" t="s">
        <v>8522</v>
      </c>
      <c r="D3973" s="47" t="s">
        <v>8523</v>
      </c>
      <c r="E3973" s="47" t="s">
        <v>1719</v>
      </c>
      <c r="F3973" s="55" t="b">
        <v>1</v>
      </c>
      <c r="G3973" s="54" t="b">
        <v>1</v>
      </c>
      <c r="H3973" s="54" t="b">
        <v>1</v>
      </c>
      <c r="I3973" s="54" t="b">
        <v>1</v>
      </c>
      <c r="J3973" s="54" t="b">
        <v>1</v>
      </c>
      <c r="K3973" s="63" t="s">
        <v>925</v>
      </c>
      <c r="L3973" s="63" t="s">
        <v>8522</v>
      </c>
      <c r="M3973" s="63" t="s">
        <v>8523</v>
      </c>
      <c r="N3973" s="63" t="s">
        <v>1719</v>
      </c>
    </row>
    <row r="3974" spans="1:14" x14ac:dyDescent="0.2">
      <c r="A3974" s="51">
        <v>3973</v>
      </c>
      <c r="B3974" s="54" t="s">
        <v>925</v>
      </c>
      <c r="C3974" s="47" t="s">
        <v>8520</v>
      </c>
      <c r="D3974" s="47" t="s">
        <v>8521</v>
      </c>
      <c r="E3974" s="47" t="s">
        <v>1719</v>
      </c>
      <c r="F3974" s="55" t="b">
        <v>1</v>
      </c>
      <c r="G3974" s="54" t="b">
        <v>1</v>
      </c>
      <c r="H3974" s="54" t="b">
        <v>1</v>
      </c>
      <c r="I3974" s="54" t="b">
        <v>1</v>
      </c>
      <c r="J3974" s="54" t="b">
        <v>1</v>
      </c>
      <c r="K3974" s="63" t="s">
        <v>925</v>
      </c>
      <c r="L3974" s="63" t="s">
        <v>8520</v>
      </c>
      <c r="M3974" s="63" t="s">
        <v>8521</v>
      </c>
      <c r="N3974" s="63" t="s">
        <v>1719</v>
      </c>
    </row>
    <row r="3975" spans="1:14" x14ac:dyDescent="0.2">
      <c r="A3975" s="51">
        <v>3974</v>
      </c>
      <c r="B3975" s="54" t="s">
        <v>925</v>
      </c>
      <c r="C3975" s="47" t="s">
        <v>8524</v>
      </c>
      <c r="D3975" s="47" t="s">
        <v>8525</v>
      </c>
      <c r="E3975" s="47" t="s">
        <v>1719</v>
      </c>
      <c r="F3975" s="55" t="b">
        <v>1</v>
      </c>
      <c r="G3975" s="54" t="b">
        <v>1</v>
      </c>
      <c r="H3975" s="54" t="b">
        <v>1</v>
      </c>
      <c r="I3975" s="54" t="b">
        <v>1</v>
      </c>
      <c r="J3975" s="54" t="b">
        <v>1</v>
      </c>
      <c r="K3975" s="63" t="s">
        <v>925</v>
      </c>
      <c r="L3975" s="63" t="s">
        <v>8524</v>
      </c>
      <c r="M3975" s="63" t="s">
        <v>8525</v>
      </c>
      <c r="N3975" s="63" t="s">
        <v>1719</v>
      </c>
    </row>
    <row r="3976" spans="1:14" x14ac:dyDescent="0.2">
      <c r="A3976" s="51">
        <v>3975</v>
      </c>
      <c r="B3976" s="54" t="s">
        <v>925</v>
      </c>
      <c r="C3976" s="47" t="s">
        <v>8528</v>
      </c>
      <c r="D3976" s="47" t="s">
        <v>8529</v>
      </c>
      <c r="E3976" s="47" t="s">
        <v>1719</v>
      </c>
      <c r="F3976" s="55" t="b">
        <v>1</v>
      </c>
      <c r="G3976" s="54" t="b">
        <v>1</v>
      </c>
      <c r="H3976" s="54" t="b">
        <v>1</v>
      </c>
      <c r="I3976" s="54" t="b">
        <v>1</v>
      </c>
      <c r="J3976" s="54" t="b">
        <v>1</v>
      </c>
      <c r="K3976" s="63" t="s">
        <v>925</v>
      </c>
      <c r="L3976" s="63" t="s">
        <v>8528</v>
      </c>
      <c r="M3976" s="63" t="s">
        <v>8529</v>
      </c>
      <c r="N3976" s="63" t="s">
        <v>1719</v>
      </c>
    </row>
    <row r="3977" spans="1:14" x14ac:dyDescent="0.2">
      <c r="A3977" s="51">
        <v>3976</v>
      </c>
      <c r="B3977" s="54" t="s">
        <v>925</v>
      </c>
      <c r="C3977" s="47" t="s">
        <v>8526</v>
      </c>
      <c r="D3977" s="47" t="s">
        <v>8527</v>
      </c>
      <c r="E3977" s="47" t="s">
        <v>1719</v>
      </c>
      <c r="F3977" s="55" t="b">
        <v>1</v>
      </c>
      <c r="G3977" s="54" t="b">
        <v>1</v>
      </c>
      <c r="H3977" s="54" t="b">
        <v>1</v>
      </c>
      <c r="I3977" s="54" t="b">
        <v>1</v>
      </c>
      <c r="J3977" s="54" t="b">
        <v>1</v>
      </c>
      <c r="K3977" s="63" t="s">
        <v>925</v>
      </c>
      <c r="L3977" s="63" t="s">
        <v>8526</v>
      </c>
      <c r="M3977" s="63" t="s">
        <v>8527</v>
      </c>
      <c r="N3977" s="63" t="s">
        <v>1719</v>
      </c>
    </row>
    <row r="3978" spans="1:14" x14ac:dyDescent="0.2">
      <c r="A3978" s="51">
        <v>3977</v>
      </c>
      <c r="B3978" s="54" t="s">
        <v>925</v>
      </c>
      <c r="C3978" s="47" t="s">
        <v>8530</v>
      </c>
      <c r="D3978" s="47" t="s">
        <v>8531</v>
      </c>
      <c r="E3978" s="47" t="s">
        <v>1719</v>
      </c>
      <c r="F3978" s="55" t="b">
        <v>1</v>
      </c>
      <c r="G3978" s="54" t="b">
        <v>1</v>
      </c>
      <c r="H3978" s="54" t="b">
        <v>1</v>
      </c>
      <c r="I3978" s="54" t="b">
        <v>1</v>
      </c>
      <c r="J3978" s="54" t="b">
        <v>1</v>
      </c>
      <c r="K3978" s="63" t="s">
        <v>925</v>
      </c>
      <c r="L3978" s="63" t="s">
        <v>8530</v>
      </c>
      <c r="M3978" s="63" t="s">
        <v>8531</v>
      </c>
      <c r="N3978" s="63" t="s">
        <v>1719</v>
      </c>
    </row>
    <row r="3979" spans="1:14" x14ac:dyDescent="0.2">
      <c r="A3979" s="51">
        <v>3978</v>
      </c>
      <c r="B3979" s="54" t="s">
        <v>925</v>
      </c>
      <c r="C3979" s="47" t="s">
        <v>8542</v>
      </c>
      <c r="D3979" s="47" t="s">
        <v>8543</v>
      </c>
      <c r="E3979" s="47" t="s">
        <v>1719</v>
      </c>
      <c r="F3979" s="55" t="b">
        <v>1</v>
      </c>
      <c r="G3979" s="54" t="b">
        <v>1</v>
      </c>
      <c r="H3979" s="54" t="b">
        <v>1</v>
      </c>
      <c r="I3979" s="54" t="b">
        <v>1</v>
      </c>
      <c r="J3979" s="54" t="b">
        <v>1</v>
      </c>
      <c r="K3979" s="63" t="s">
        <v>925</v>
      </c>
      <c r="L3979" s="63" t="s">
        <v>8542</v>
      </c>
      <c r="M3979" s="63" t="s">
        <v>8543</v>
      </c>
      <c r="N3979" s="63" t="s">
        <v>1719</v>
      </c>
    </row>
    <row r="3980" spans="1:14" x14ac:dyDescent="0.2">
      <c r="A3980" s="51">
        <v>3979</v>
      </c>
      <c r="B3980" s="54" t="s">
        <v>925</v>
      </c>
      <c r="C3980" s="47" t="s">
        <v>8540</v>
      </c>
      <c r="D3980" s="47" t="s">
        <v>8541</v>
      </c>
      <c r="E3980" s="47" t="s">
        <v>1719</v>
      </c>
      <c r="F3980" s="55" t="b">
        <v>1</v>
      </c>
      <c r="G3980" s="54" t="b">
        <v>1</v>
      </c>
      <c r="H3980" s="54" t="b">
        <v>1</v>
      </c>
      <c r="I3980" s="54" t="b">
        <v>1</v>
      </c>
      <c r="J3980" s="54" t="b">
        <v>1</v>
      </c>
      <c r="K3980" s="63" t="s">
        <v>925</v>
      </c>
      <c r="L3980" s="63" t="s">
        <v>8540</v>
      </c>
      <c r="M3980" s="63" t="s">
        <v>8541</v>
      </c>
      <c r="N3980" s="63" t="s">
        <v>1719</v>
      </c>
    </row>
    <row r="3981" spans="1:14" x14ac:dyDescent="0.2">
      <c r="A3981" s="51">
        <v>3980</v>
      </c>
      <c r="B3981" s="54" t="s">
        <v>925</v>
      </c>
      <c r="C3981" s="47" t="s">
        <v>8532</v>
      </c>
      <c r="D3981" s="47" t="s">
        <v>13213</v>
      </c>
      <c r="E3981" s="47" t="s">
        <v>1719</v>
      </c>
      <c r="F3981" s="55" t="b">
        <v>1</v>
      </c>
      <c r="G3981" s="54" t="b">
        <v>1</v>
      </c>
      <c r="H3981" s="54" t="b">
        <v>1</v>
      </c>
      <c r="I3981" s="65" t="b">
        <v>0</v>
      </c>
      <c r="J3981" s="54" t="b">
        <v>1</v>
      </c>
      <c r="K3981" s="63" t="s">
        <v>925</v>
      </c>
      <c r="L3981" s="63" t="s">
        <v>8532</v>
      </c>
      <c r="M3981" s="63" t="s">
        <v>8533</v>
      </c>
      <c r="N3981" s="63" t="s">
        <v>1719</v>
      </c>
    </row>
    <row r="3982" spans="1:14" x14ac:dyDescent="0.2">
      <c r="A3982" s="51">
        <v>3981</v>
      </c>
      <c r="B3982" s="54" t="s">
        <v>925</v>
      </c>
      <c r="C3982" s="47" t="s">
        <v>8534</v>
      </c>
      <c r="D3982" s="47" t="s">
        <v>8535</v>
      </c>
      <c r="E3982" s="47" t="s">
        <v>1719</v>
      </c>
      <c r="F3982" s="55" t="b">
        <v>1</v>
      </c>
      <c r="G3982" s="54" t="b">
        <v>1</v>
      </c>
      <c r="H3982" s="54" t="b">
        <v>1</v>
      </c>
      <c r="I3982" s="54" t="b">
        <v>1</v>
      </c>
      <c r="J3982" s="54" t="b">
        <v>1</v>
      </c>
      <c r="K3982" s="63" t="s">
        <v>925</v>
      </c>
      <c r="L3982" s="63" t="s">
        <v>8534</v>
      </c>
      <c r="M3982" s="63" t="s">
        <v>8535</v>
      </c>
      <c r="N3982" s="63" t="s">
        <v>1719</v>
      </c>
    </row>
    <row r="3983" spans="1:14" x14ac:dyDescent="0.2">
      <c r="A3983" s="51">
        <v>3982</v>
      </c>
      <c r="B3983" s="54" t="s">
        <v>925</v>
      </c>
      <c r="C3983" s="47" t="s">
        <v>8536</v>
      </c>
      <c r="D3983" s="47" t="s">
        <v>8537</v>
      </c>
      <c r="E3983" s="47" t="s">
        <v>1719</v>
      </c>
      <c r="F3983" s="55" t="b">
        <v>1</v>
      </c>
      <c r="G3983" s="54" t="b">
        <v>1</v>
      </c>
      <c r="H3983" s="54" t="b">
        <v>1</v>
      </c>
      <c r="I3983" s="54" t="b">
        <v>1</v>
      </c>
      <c r="J3983" s="54" t="b">
        <v>1</v>
      </c>
      <c r="K3983" s="63" t="s">
        <v>925</v>
      </c>
      <c r="L3983" s="63" t="s">
        <v>8536</v>
      </c>
      <c r="M3983" s="63" t="s">
        <v>8537</v>
      </c>
      <c r="N3983" s="63" t="s">
        <v>1719</v>
      </c>
    </row>
    <row r="3984" spans="1:14" x14ac:dyDescent="0.2">
      <c r="A3984" s="51">
        <v>3983</v>
      </c>
      <c r="B3984" s="54" t="s">
        <v>927</v>
      </c>
      <c r="C3984" s="47" t="s">
        <v>8544</v>
      </c>
      <c r="D3984" s="47" t="s">
        <v>8545</v>
      </c>
      <c r="E3984" s="47" t="s">
        <v>1790</v>
      </c>
      <c r="F3984" s="55" t="b">
        <v>1</v>
      </c>
      <c r="G3984" s="54" t="b">
        <v>1</v>
      </c>
      <c r="H3984" s="54" t="b">
        <v>1</v>
      </c>
      <c r="I3984" s="54" t="b">
        <v>1</v>
      </c>
      <c r="J3984" s="54" t="b">
        <v>1</v>
      </c>
      <c r="K3984" s="63" t="s">
        <v>927</v>
      </c>
      <c r="L3984" s="63" t="s">
        <v>8544</v>
      </c>
      <c r="M3984" s="63" t="s">
        <v>8545</v>
      </c>
      <c r="N3984" s="63" t="s">
        <v>1790</v>
      </c>
    </row>
    <row r="3985" spans="1:14" x14ac:dyDescent="0.2">
      <c r="A3985" s="51">
        <v>3984</v>
      </c>
      <c r="B3985" s="54" t="s">
        <v>927</v>
      </c>
      <c r="C3985" s="47" t="s">
        <v>8546</v>
      </c>
      <c r="D3985" s="47" t="s">
        <v>8547</v>
      </c>
      <c r="E3985" s="47" t="s">
        <v>1790</v>
      </c>
      <c r="F3985" s="55" t="b">
        <v>1</v>
      </c>
      <c r="G3985" s="54" t="b">
        <v>1</v>
      </c>
      <c r="H3985" s="54" t="b">
        <v>1</v>
      </c>
      <c r="I3985" s="54" t="b">
        <v>1</v>
      </c>
      <c r="J3985" s="54" t="b">
        <v>1</v>
      </c>
      <c r="K3985" s="63" t="s">
        <v>927</v>
      </c>
      <c r="L3985" s="63" t="s">
        <v>8546</v>
      </c>
      <c r="M3985" s="63" t="s">
        <v>8547</v>
      </c>
      <c r="N3985" s="63" t="s">
        <v>1790</v>
      </c>
    </row>
    <row r="3986" spans="1:14" x14ac:dyDescent="0.2">
      <c r="A3986" s="51">
        <v>3985</v>
      </c>
      <c r="B3986" s="54" t="s">
        <v>927</v>
      </c>
      <c r="C3986" s="47" t="s">
        <v>8548</v>
      </c>
      <c r="D3986" s="47" t="s">
        <v>8549</v>
      </c>
      <c r="E3986" s="47" t="s">
        <v>1790</v>
      </c>
      <c r="F3986" s="55" t="b">
        <v>1</v>
      </c>
      <c r="G3986" s="54" t="b">
        <v>1</v>
      </c>
      <c r="H3986" s="54" t="b">
        <v>1</v>
      </c>
      <c r="I3986" s="54" t="b">
        <v>1</v>
      </c>
      <c r="J3986" s="54" t="b">
        <v>1</v>
      </c>
      <c r="K3986" s="63" t="s">
        <v>927</v>
      </c>
      <c r="L3986" s="63" t="s">
        <v>8548</v>
      </c>
      <c r="M3986" s="63" t="s">
        <v>8549</v>
      </c>
      <c r="N3986" s="63" t="s">
        <v>1790</v>
      </c>
    </row>
    <row r="3987" spans="1:14" x14ac:dyDescent="0.2">
      <c r="A3987" s="51">
        <v>3986</v>
      </c>
      <c r="B3987" s="54" t="s">
        <v>927</v>
      </c>
      <c r="C3987" s="47" t="s">
        <v>8550</v>
      </c>
      <c r="D3987" s="47" t="s">
        <v>8551</v>
      </c>
      <c r="E3987" s="47" t="s">
        <v>1790</v>
      </c>
      <c r="F3987" s="55" t="b">
        <v>1</v>
      </c>
      <c r="G3987" s="54" t="b">
        <v>1</v>
      </c>
      <c r="H3987" s="54" t="b">
        <v>1</v>
      </c>
      <c r="I3987" s="54" t="b">
        <v>1</v>
      </c>
      <c r="J3987" s="54" t="b">
        <v>1</v>
      </c>
      <c r="K3987" s="63" t="s">
        <v>927</v>
      </c>
      <c r="L3987" s="63" t="s">
        <v>8550</v>
      </c>
      <c r="M3987" s="63" t="s">
        <v>8551</v>
      </c>
      <c r="N3987" s="63" t="s">
        <v>1790</v>
      </c>
    </row>
    <row r="3988" spans="1:14" x14ac:dyDescent="0.2">
      <c r="A3988" s="51">
        <v>3987</v>
      </c>
      <c r="B3988" s="54" t="s">
        <v>927</v>
      </c>
      <c r="C3988" s="47" t="s">
        <v>8552</v>
      </c>
      <c r="D3988" s="47" t="s">
        <v>8553</v>
      </c>
      <c r="E3988" s="47" t="s">
        <v>1790</v>
      </c>
      <c r="F3988" s="55" t="b">
        <v>1</v>
      </c>
      <c r="G3988" s="54" t="b">
        <v>1</v>
      </c>
      <c r="H3988" s="54" t="b">
        <v>1</v>
      </c>
      <c r="I3988" s="54" t="b">
        <v>1</v>
      </c>
      <c r="J3988" s="54" t="b">
        <v>1</v>
      </c>
      <c r="K3988" s="63" t="s">
        <v>927</v>
      </c>
      <c r="L3988" s="63" t="s">
        <v>8552</v>
      </c>
      <c r="M3988" s="63" t="s">
        <v>8553</v>
      </c>
      <c r="N3988" s="63" t="s">
        <v>1790</v>
      </c>
    </row>
    <row r="3989" spans="1:14" x14ac:dyDescent="0.2">
      <c r="A3989" s="51">
        <v>3988</v>
      </c>
      <c r="B3989" s="54" t="s">
        <v>927</v>
      </c>
      <c r="C3989" s="47" t="s">
        <v>8554</v>
      </c>
      <c r="D3989" s="47" t="s">
        <v>8555</v>
      </c>
      <c r="E3989" s="47" t="s">
        <v>1790</v>
      </c>
      <c r="F3989" s="55" t="b">
        <v>1</v>
      </c>
      <c r="G3989" s="54" t="b">
        <v>1</v>
      </c>
      <c r="H3989" s="54" t="b">
        <v>1</v>
      </c>
      <c r="I3989" s="54" t="b">
        <v>1</v>
      </c>
      <c r="J3989" s="54" t="b">
        <v>1</v>
      </c>
      <c r="K3989" s="63" t="s">
        <v>927</v>
      </c>
      <c r="L3989" s="63" t="s">
        <v>8554</v>
      </c>
      <c r="M3989" s="63" t="s">
        <v>8555</v>
      </c>
      <c r="N3989" s="63" t="s">
        <v>1790</v>
      </c>
    </row>
    <row r="3990" spans="1:14" x14ac:dyDescent="0.2">
      <c r="A3990" s="51">
        <v>3989</v>
      </c>
      <c r="B3990" s="54" t="s">
        <v>927</v>
      </c>
      <c r="C3990" s="47" t="s">
        <v>8582</v>
      </c>
      <c r="D3990" s="47" t="s">
        <v>8583</v>
      </c>
      <c r="E3990" s="47" t="s">
        <v>1790</v>
      </c>
      <c r="F3990" s="55" t="b">
        <v>1</v>
      </c>
      <c r="G3990" s="54" t="b">
        <v>1</v>
      </c>
      <c r="H3990" s="54" t="b">
        <v>1</v>
      </c>
      <c r="I3990" s="54" t="b">
        <v>1</v>
      </c>
      <c r="J3990" s="54" t="b">
        <v>1</v>
      </c>
      <c r="K3990" s="63" t="s">
        <v>927</v>
      </c>
      <c r="L3990" s="63" t="s">
        <v>8582</v>
      </c>
      <c r="M3990" s="63" t="s">
        <v>8583</v>
      </c>
      <c r="N3990" s="63" t="s">
        <v>1790</v>
      </c>
    </row>
    <row r="3991" spans="1:14" x14ac:dyDescent="0.2">
      <c r="A3991" s="51">
        <v>3990</v>
      </c>
      <c r="B3991" s="54" t="s">
        <v>927</v>
      </c>
      <c r="C3991" s="47" t="s">
        <v>8556</v>
      </c>
      <c r="D3991" s="47" t="s">
        <v>8557</v>
      </c>
      <c r="E3991" s="47" t="s">
        <v>1790</v>
      </c>
      <c r="F3991" s="55" t="b">
        <v>1</v>
      </c>
      <c r="G3991" s="54" t="b">
        <v>1</v>
      </c>
      <c r="H3991" s="54" t="b">
        <v>1</v>
      </c>
      <c r="I3991" s="54" t="b">
        <v>1</v>
      </c>
      <c r="J3991" s="54" t="b">
        <v>1</v>
      </c>
      <c r="K3991" s="63" t="s">
        <v>927</v>
      </c>
      <c r="L3991" s="63" t="s">
        <v>8556</v>
      </c>
      <c r="M3991" s="63" t="s">
        <v>8557</v>
      </c>
      <c r="N3991" s="63" t="s">
        <v>1790</v>
      </c>
    </row>
    <row r="3992" spans="1:14" x14ac:dyDescent="0.2">
      <c r="A3992" s="51">
        <v>3991</v>
      </c>
      <c r="B3992" s="54" t="s">
        <v>927</v>
      </c>
      <c r="C3992" s="47" t="s">
        <v>8558</v>
      </c>
      <c r="D3992" s="47" t="s">
        <v>8559</v>
      </c>
      <c r="E3992" s="47" t="s">
        <v>1790</v>
      </c>
      <c r="F3992" s="55" t="b">
        <v>1</v>
      </c>
      <c r="G3992" s="54" t="b">
        <v>1</v>
      </c>
      <c r="H3992" s="54" t="b">
        <v>1</v>
      </c>
      <c r="I3992" s="54" t="b">
        <v>1</v>
      </c>
      <c r="J3992" s="54" t="b">
        <v>1</v>
      </c>
      <c r="K3992" s="63" t="s">
        <v>927</v>
      </c>
      <c r="L3992" s="63" t="s">
        <v>8558</v>
      </c>
      <c r="M3992" s="63" t="s">
        <v>8559</v>
      </c>
      <c r="N3992" s="63" t="s">
        <v>1790</v>
      </c>
    </row>
    <row r="3993" spans="1:14" x14ac:dyDescent="0.2">
      <c r="A3993" s="51">
        <v>3992</v>
      </c>
      <c r="B3993" s="54" t="s">
        <v>927</v>
      </c>
      <c r="C3993" s="47" t="s">
        <v>8560</v>
      </c>
      <c r="D3993" s="47" t="s">
        <v>8561</v>
      </c>
      <c r="E3993" s="47" t="s">
        <v>1790</v>
      </c>
      <c r="F3993" s="55" t="b">
        <v>1</v>
      </c>
      <c r="G3993" s="54" t="b">
        <v>1</v>
      </c>
      <c r="H3993" s="54" t="b">
        <v>1</v>
      </c>
      <c r="I3993" s="54" t="b">
        <v>1</v>
      </c>
      <c r="J3993" s="54" t="b">
        <v>1</v>
      </c>
      <c r="K3993" s="63" t="s">
        <v>927</v>
      </c>
      <c r="L3993" s="63" t="s">
        <v>8560</v>
      </c>
      <c r="M3993" s="63" t="s">
        <v>8561</v>
      </c>
      <c r="N3993" s="63" t="s">
        <v>1790</v>
      </c>
    </row>
    <row r="3994" spans="1:14" x14ac:dyDescent="0.2">
      <c r="A3994" s="51">
        <v>3993</v>
      </c>
      <c r="B3994" s="54" t="s">
        <v>927</v>
      </c>
      <c r="C3994" s="47" t="s">
        <v>8562</v>
      </c>
      <c r="D3994" s="47" t="s">
        <v>8563</v>
      </c>
      <c r="E3994" s="47" t="s">
        <v>1790</v>
      </c>
      <c r="F3994" s="55" t="b">
        <v>1</v>
      </c>
      <c r="G3994" s="54" t="b">
        <v>1</v>
      </c>
      <c r="H3994" s="54" t="b">
        <v>1</v>
      </c>
      <c r="I3994" s="54" t="b">
        <v>1</v>
      </c>
      <c r="J3994" s="54" t="b">
        <v>1</v>
      </c>
      <c r="K3994" s="63" t="s">
        <v>927</v>
      </c>
      <c r="L3994" s="63" t="s">
        <v>8562</v>
      </c>
      <c r="M3994" s="63" t="s">
        <v>8563</v>
      </c>
      <c r="N3994" s="63" t="s">
        <v>1790</v>
      </c>
    </row>
    <row r="3995" spans="1:14" x14ac:dyDescent="0.2">
      <c r="A3995" s="51">
        <v>3994</v>
      </c>
      <c r="B3995" s="54" t="s">
        <v>927</v>
      </c>
      <c r="C3995" s="47" t="s">
        <v>8564</v>
      </c>
      <c r="D3995" s="47" t="s">
        <v>8565</v>
      </c>
      <c r="E3995" s="47" t="s">
        <v>1790</v>
      </c>
      <c r="F3995" s="55" t="b">
        <v>1</v>
      </c>
      <c r="G3995" s="54" t="b">
        <v>1</v>
      </c>
      <c r="H3995" s="54" t="b">
        <v>1</v>
      </c>
      <c r="I3995" s="54" t="b">
        <v>1</v>
      </c>
      <c r="J3995" s="54" t="b">
        <v>1</v>
      </c>
      <c r="K3995" s="63" t="s">
        <v>927</v>
      </c>
      <c r="L3995" s="63" t="s">
        <v>8564</v>
      </c>
      <c r="M3995" s="63" t="s">
        <v>8565</v>
      </c>
      <c r="N3995" s="63" t="s">
        <v>1790</v>
      </c>
    </row>
    <row r="3996" spans="1:14" x14ac:dyDescent="0.2">
      <c r="A3996" s="51">
        <v>3995</v>
      </c>
      <c r="B3996" s="54" t="s">
        <v>927</v>
      </c>
      <c r="C3996" s="47" t="s">
        <v>8566</v>
      </c>
      <c r="D3996" s="47" t="s">
        <v>8567</v>
      </c>
      <c r="E3996" s="47" t="s">
        <v>1790</v>
      </c>
      <c r="F3996" s="55" t="b">
        <v>1</v>
      </c>
      <c r="G3996" s="54" t="b">
        <v>1</v>
      </c>
      <c r="H3996" s="54" t="b">
        <v>1</v>
      </c>
      <c r="I3996" s="54" t="b">
        <v>1</v>
      </c>
      <c r="J3996" s="54" t="b">
        <v>1</v>
      </c>
      <c r="K3996" s="63" t="s">
        <v>927</v>
      </c>
      <c r="L3996" s="63" t="s">
        <v>8566</v>
      </c>
      <c r="M3996" s="63" t="s">
        <v>8567</v>
      </c>
      <c r="N3996" s="63" t="s">
        <v>1790</v>
      </c>
    </row>
    <row r="3997" spans="1:14" x14ac:dyDescent="0.2">
      <c r="A3997" s="51">
        <v>3996</v>
      </c>
      <c r="B3997" s="54" t="s">
        <v>927</v>
      </c>
      <c r="C3997" s="47" t="s">
        <v>8572</v>
      </c>
      <c r="D3997" s="47" t="s">
        <v>8573</v>
      </c>
      <c r="E3997" s="47" t="s">
        <v>1790</v>
      </c>
      <c r="F3997" s="55" t="b">
        <v>1</v>
      </c>
      <c r="G3997" s="54" t="b">
        <v>1</v>
      </c>
      <c r="H3997" s="54" t="b">
        <v>1</v>
      </c>
      <c r="I3997" s="54" t="b">
        <v>1</v>
      </c>
      <c r="J3997" s="54" t="b">
        <v>1</v>
      </c>
      <c r="K3997" s="63" t="s">
        <v>927</v>
      </c>
      <c r="L3997" s="63" t="s">
        <v>8572</v>
      </c>
      <c r="M3997" s="63" t="s">
        <v>8573</v>
      </c>
      <c r="N3997" s="63" t="s">
        <v>1790</v>
      </c>
    </row>
    <row r="3998" spans="1:14" x14ac:dyDescent="0.2">
      <c r="A3998" s="51">
        <v>3997</v>
      </c>
      <c r="B3998" s="54" t="s">
        <v>927</v>
      </c>
      <c r="C3998" s="47" t="s">
        <v>8574</v>
      </c>
      <c r="D3998" s="47" t="s">
        <v>8575</v>
      </c>
      <c r="E3998" s="47" t="s">
        <v>1790</v>
      </c>
      <c r="F3998" s="55" t="b">
        <v>1</v>
      </c>
      <c r="G3998" s="54" t="b">
        <v>1</v>
      </c>
      <c r="H3998" s="54" t="b">
        <v>1</v>
      </c>
      <c r="I3998" s="54" t="b">
        <v>1</v>
      </c>
      <c r="J3998" s="54" t="b">
        <v>1</v>
      </c>
      <c r="K3998" s="63" t="s">
        <v>927</v>
      </c>
      <c r="L3998" s="63" t="s">
        <v>8574</v>
      </c>
      <c r="M3998" s="63" t="s">
        <v>8575</v>
      </c>
      <c r="N3998" s="63" t="s">
        <v>1790</v>
      </c>
    </row>
    <row r="3999" spans="1:14" x14ac:dyDescent="0.2">
      <c r="A3999" s="51">
        <v>3998</v>
      </c>
      <c r="B3999" s="54" t="s">
        <v>927</v>
      </c>
      <c r="C3999" s="47" t="s">
        <v>8576</v>
      </c>
      <c r="D3999" s="47" t="s">
        <v>8577</v>
      </c>
      <c r="E3999" s="47" t="s">
        <v>1790</v>
      </c>
      <c r="F3999" s="55" t="b">
        <v>1</v>
      </c>
      <c r="G3999" s="54" t="b">
        <v>1</v>
      </c>
      <c r="H3999" s="54" t="b">
        <v>1</v>
      </c>
      <c r="I3999" s="54" t="b">
        <v>1</v>
      </c>
      <c r="J3999" s="54" t="b">
        <v>1</v>
      </c>
      <c r="K3999" s="63" t="s">
        <v>927</v>
      </c>
      <c r="L3999" s="63" t="s">
        <v>8576</v>
      </c>
      <c r="M3999" s="63" t="s">
        <v>8577</v>
      </c>
      <c r="N3999" s="63" t="s">
        <v>1790</v>
      </c>
    </row>
    <row r="4000" spans="1:14" x14ac:dyDescent="0.2">
      <c r="A4000" s="51">
        <v>3999</v>
      </c>
      <c r="B4000" s="54" t="s">
        <v>927</v>
      </c>
      <c r="C4000" s="47" t="s">
        <v>8578</v>
      </c>
      <c r="D4000" s="47" t="s">
        <v>8579</v>
      </c>
      <c r="E4000" s="47" t="s">
        <v>1790</v>
      </c>
      <c r="F4000" s="55" t="b">
        <v>1</v>
      </c>
      <c r="G4000" s="54" t="b">
        <v>1</v>
      </c>
      <c r="H4000" s="54" t="b">
        <v>1</v>
      </c>
      <c r="I4000" s="54" t="b">
        <v>1</v>
      </c>
      <c r="J4000" s="54" t="b">
        <v>1</v>
      </c>
      <c r="K4000" s="63" t="s">
        <v>927</v>
      </c>
      <c r="L4000" s="63" t="s">
        <v>8578</v>
      </c>
      <c r="M4000" s="63" t="s">
        <v>8579</v>
      </c>
      <c r="N4000" s="63" t="s">
        <v>1790</v>
      </c>
    </row>
    <row r="4001" spans="1:14" x14ac:dyDescent="0.2">
      <c r="A4001" s="51">
        <v>4000</v>
      </c>
      <c r="B4001" s="54" t="s">
        <v>927</v>
      </c>
      <c r="C4001" s="47" t="s">
        <v>8580</v>
      </c>
      <c r="D4001" s="47" t="s">
        <v>8581</v>
      </c>
      <c r="E4001" s="47" t="s">
        <v>1790</v>
      </c>
      <c r="F4001" s="55" t="b">
        <v>1</v>
      </c>
      <c r="G4001" s="54" t="b">
        <v>1</v>
      </c>
      <c r="H4001" s="54" t="b">
        <v>1</v>
      </c>
      <c r="I4001" s="54" t="b">
        <v>1</v>
      </c>
      <c r="J4001" s="54" t="b">
        <v>1</v>
      </c>
      <c r="K4001" s="63" t="s">
        <v>927</v>
      </c>
      <c r="L4001" s="63" t="s">
        <v>8580</v>
      </c>
      <c r="M4001" s="63" t="s">
        <v>8581</v>
      </c>
      <c r="N4001" s="63" t="s">
        <v>1790</v>
      </c>
    </row>
    <row r="4002" spans="1:14" x14ac:dyDescent="0.2">
      <c r="A4002" s="51">
        <v>4001</v>
      </c>
      <c r="B4002" s="54" t="s">
        <v>927</v>
      </c>
      <c r="C4002" s="47" t="s">
        <v>8570</v>
      </c>
      <c r="D4002" s="47" t="s">
        <v>13214</v>
      </c>
      <c r="E4002" s="47" t="s">
        <v>3322</v>
      </c>
      <c r="F4002" s="55" t="b">
        <v>1</v>
      </c>
      <c r="G4002" s="54" t="b">
        <v>1</v>
      </c>
      <c r="H4002" s="54" t="b">
        <v>1</v>
      </c>
      <c r="I4002" s="65" t="b">
        <v>0</v>
      </c>
      <c r="J4002" s="54" t="b">
        <v>1</v>
      </c>
      <c r="K4002" s="63" t="s">
        <v>927</v>
      </c>
      <c r="L4002" s="63" t="s">
        <v>8570</v>
      </c>
      <c r="M4002" s="63" t="s">
        <v>8571</v>
      </c>
      <c r="N4002" s="63" t="s">
        <v>3322</v>
      </c>
    </row>
    <row r="4003" spans="1:14" x14ac:dyDescent="0.2">
      <c r="A4003" s="51">
        <v>4002</v>
      </c>
      <c r="B4003" s="54" t="s">
        <v>927</v>
      </c>
      <c r="C4003" s="47" t="s">
        <v>8568</v>
      </c>
      <c r="D4003" s="47" t="s">
        <v>13215</v>
      </c>
      <c r="E4003" s="47" t="s">
        <v>3322</v>
      </c>
      <c r="F4003" s="55" t="b">
        <v>1</v>
      </c>
      <c r="G4003" s="54" t="b">
        <v>1</v>
      </c>
      <c r="H4003" s="54" t="b">
        <v>1</v>
      </c>
      <c r="I4003" s="65" t="b">
        <v>0</v>
      </c>
      <c r="J4003" s="54" t="b">
        <v>1</v>
      </c>
      <c r="K4003" s="63" t="s">
        <v>927</v>
      </c>
      <c r="L4003" s="63" t="s">
        <v>8568</v>
      </c>
      <c r="M4003" s="63" t="s">
        <v>8569</v>
      </c>
      <c r="N4003" s="63" t="s">
        <v>3322</v>
      </c>
    </row>
    <row r="4004" spans="1:14" x14ac:dyDescent="0.2">
      <c r="A4004" s="51">
        <v>4003</v>
      </c>
      <c r="B4004" s="54" t="s">
        <v>931</v>
      </c>
      <c r="C4004" s="47" t="s">
        <v>8584</v>
      </c>
      <c r="D4004" s="47" t="s">
        <v>8585</v>
      </c>
      <c r="E4004" s="47" t="s">
        <v>2164</v>
      </c>
      <c r="F4004" s="55" t="b">
        <v>1</v>
      </c>
      <c r="G4004" s="54" t="b">
        <v>1</v>
      </c>
      <c r="H4004" s="54" t="b">
        <v>1</v>
      </c>
      <c r="I4004" s="54" t="b">
        <v>1</v>
      </c>
      <c r="J4004" s="54" t="b">
        <v>1</v>
      </c>
      <c r="K4004" s="63" t="s">
        <v>931</v>
      </c>
      <c r="L4004" s="63" t="s">
        <v>8584</v>
      </c>
      <c r="M4004" s="63" t="s">
        <v>8585</v>
      </c>
      <c r="N4004" s="63" t="s">
        <v>2164</v>
      </c>
    </row>
    <row r="4005" spans="1:14" x14ac:dyDescent="0.2">
      <c r="A4005" s="51">
        <v>4004</v>
      </c>
      <c r="B4005" s="54" t="s">
        <v>931</v>
      </c>
      <c r="C4005" s="47" t="s">
        <v>8586</v>
      </c>
      <c r="D4005" s="47" t="s">
        <v>8587</v>
      </c>
      <c r="E4005" s="47" t="s">
        <v>2164</v>
      </c>
      <c r="F4005" s="55" t="b">
        <v>1</v>
      </c>
      <c r="G4005" s="54" t="b">
        <v>1</v>
      </c>
      <c r="H4005" s="54" t="b">
        <v>1</v>
      </c>
      <c r="I4005" s="54" t="b">
        <v>1</v>
      </c>
      <c r="J4005" s="54" t="b">
        <v>1</v>
      </c>
      <c r="K4005" s="63" t="s">
        <v>931</v>
      </c>
      <c r="L4005" s="63" t="s">
        <v>8586</v>
      </c>
      <c r="M4005" s="63" t="s">
        <v>8587</v>
      </c>
      <c r="N4005" s="63" t="s">
        <v>2164</v>
      </c>
    </row>
    <row r="4006" spans="1:14" x14ac:dyDescent="0.2">
      <c r="A4006" s="51">
        <v>4005</v>
      </c>
      <c r="B4006" s="54" t="s">
        <v>931</v>
      </c>
      <c r="C4006" s="47" t="s">
        <v>8592</v>
      </c>
      <c r="D4006" s="47" t="s">
        <v>8593</v>
      </c>
      <c r="E4006" s="47" t="s">
        <v>2164</v>
      </c>
      <c r="F4006" s="55" t="b">
        <v>1</v>
      </c>
      <c r="G4006" s="54" t="b">
        <v>1</v>
      </c>
      <c r="H4006" s="54" t="b">
        <v>1</v>
      </c>
      <c r="I4006" s="54" t="b">
        <v>1</v>
      </c>
      <c r="J4006" s="54" t="b">
        <v>1</v>
      </c>
      <c r="K4006" s="63" t="s">
        <v>931</v>
      </c>
      <c r="L4006" s="63" t="s">
        <v>8592</v>
      </c>
      <c r="M4006" s="63" t="s">
        <v>8593</v>
      </c>
      <c r="N4006" s="63" t="s">
        <v>2164</v>
      </c>
    </row>
    <row r="4007" spans="1:14" x14ac:dyDescent="0.2">
      <c r="A4007" s="51">
        <v>4006</v>
      </c>
      <c r="B4007" s="54" t="s">
        <v>931</v>
      </c>
      <c r="C4007" s="47" t="s">
        <v>8590</v>
      </c>
      <c r="D4007" s="47" t="s">
        <v>8591</v>
      </c>
      <c r="E4007" s="47" t="s">
        <v>2164</v>
      </c>
      <c r="F4007" s="55" t="b">
        <v>1</v>
      </c>
      <c r="G4007" s="54" t="b">
        <v>1</v>
      </c>
      <c r="H4007" s="54" t="b">
        <v>1</v>
      </c>
      <c r="I4007" s="54" t="b">
        <v>1</v>
      </c>
      <c r="J4007" s="54" t="b">
        <v>1</v>
      </c>
      <c r="K4007" s="63" t="s">
        <v>931</v>
      </c>
      <c r="L4007" s="63" t="s">
        <v>8590</v>
      </c>
      <c r="M4007" s="63" t="s">
        <v>8591</v>
      </c>
      <c r="N4007" s="63" t="s">
        <v>2164</v>
      </c>
    </row>
    <row r="4008" spans="1:14" x14ac:dyDescent="0.2">
      <c r="A4008" s="51">
        <v>4007</v>
      </c>
      <c r="B4008" s="54" t="s">
        <v>931</v>
      </c>
      <c r="C4008" s="47" t="s">
        <v>8596</v>
      </c>
      <c r="D4008" s="47" t="s">
        <v>8597</v>
      </c>
      <c r="E4008" s="47" t="s">
        <v>2164</v>
      </c>
      <c r="F4008" s="55" t="b">
        <v>1</v>
      </c>
      <c r="G4008" s="54" t="b">
        <v>1</v>
      </c>
      <c r="H4008" s="54" t="b">
        <v>1</v>
      </c>
      <c r="I4008" s="54" t="b">
        <v>1</v>
      </c>
      <c r="J4008" s="54" t="b">
        <v>1</v>
      </c>
      <c r="K4008" s="63" t="s">
        <v>931</v>
      </c>
      <c r="L4008" s="63" t="s">
        <v>8596</v>
      </c>
      <c r="M4008" s="63" t="s">
        <v>8597</v>
      </c>
      <c r="N4008" s="63" t="s">
        <v>2164</v>
      </c>
    </row>
    <row r="4009" spans="1:14" x14ac:dyDescent="0.2">
      <c r="A4009" s="51">
        <v>4008</v>
      </c>
      <c r="B4009" s="54" t="s">
        <v>931</v>
      </c>
      <c r="C4009" s="47" t="s">
        <v>8588</v>
      </c>
      <c r="D4009" s="47" t="s">
        <v>8589</v>
      </c>
      <c r="E4009" s="47" t="s">
        <v>2164</v>
      </c>
      <c r="F4009" s="55" t="b">
        <v>1</v>
      </c>
      <c r="G4009" s="54" t="b">
        <v>1</v>
      </c>
      <c r="H4009" s="54" t="b">
        <v>1</v>
      </c>
      <c r="I4009" s="54" t="b">
        <v>1</v>
      </c>
      <c r="J4009" s="54" t="b">
        <v>1</v>
      </c>
      <c r="K4009" s="63" t="s">
        <v>931</v>
      </c>
      <c r="L4009" s="63" t="s">
        <v>8588</v>
      </c>
      <c r="M4009" s="63" t="s">
        <v>8589</v>
      </c>
      <c r="N4009" s="63" t="s">
        <v>2164</v>
      </c>
    </row>
    <row r="4010" spans="1:14" x14ac:dyDescent="0.2">
      <c r="A4010" s="51">
        <v>4009</v>
      </c>
      <c r="B4010" s="54" t="s">
        <v>931</v>
      </c>
      <c r="C4010" s="47" t="s">
        <v>8594</v>
      </c>
      <c r="D4010" s="47" t="s">
        <v>13216</v>
      </c>
      <c r="E4010" s="47" t="s">
        <v>2164</v>
      </c>
      <c r="F4010" s="55" t="b">
        <v>1</v>
      </c>
      <c r="G4010" s="54" t="b">
        <v>1</v>
      </c>
      <c r="H4010" s="54" t="b">
        <v>1</v>
      </c>
      <c r="I4010" s="65" t="b">
        <v>0</v>
      </c>
      <c r="J4010" s="54" t="b">
        <v>1</v>
      </c>
      <c r="K4010" s="63" t="s">
        <v>931</v>
      </c>
      <c r="L4010" s="63" t="s">
        <v>8594</v>
      </c>
      <c r="M4010" s="63" t="s">
        <v>8595</v>
      </c>
      <c r="N4010" s="63" t="s">
        <v>2164</v>
      </c>
    </row>
    <row r="4011" spans="1:14" x14ac:dyDescent="0.2">
      <c r="A4011" s="51">
        <v>4010</v>
      </c>
      <c r="B4011" s="54" t="s">
        <v>935</v>
      </c>
      <c r="C4011" s="47" t="s">
        <v>8598</v>
      </c>
      <c r="D4011" s="47" t="s">
        <v>8599</v>
      </c>
      <c r="E4011" s="47" t="s">
        <v>1788</v>
      </c>
      <c r="F4011" s="55" t="b">
        <v>1</v>
      </c>
      <c r="G4011" s="54" t="b">
        <v>1</v>
      </c>
      <c r="H4011" s="54" t="b">
        <v>1</v>
      </c>
      <c r="I4011" s="54" t="b">
        <v>1</v>
      </c>
      <c r="J4011" s="65" t="b">
        <v>0</v>
      </c>
      <c r="K4011" s="63" t="s">
        <v>935</v>
      </c>
      <c r="L4011" s="63" t="s">
        <v>8598</v>
      </c>
      <c r="M4011" s="63" t="s">
        <v>8599</v>
      </c>
      <c r="N4011" s="63" t="s">
        <v>2590</v>
      </c>
    </row>
    <row r="4012" spans="1:14" x14ac:dyDescent="0.2">
      <c r="A4012" s="51">
        <v>4011</v>
      </c>
      <c r="B4012" s="54" t="s">
        <v>935</v>
      </c>
      <c r="C4012" s="47" t="s">
        <v>8602</v>
      </c>
      <c r="D4012" s="47" t="s">
        <v>8603</v>
      </c>
      <c r="E4012" s="47" t="s">
        <v>1788</v>
      </c>
      <c r="F4012" s="55" t="b">
        <v>1</v>
      </c>
      <c r="G4012" s="54" t="b">
        <v>1</v>
      </c>
      <c r="H4012" s="54" t="b">
        <v>1</v>
      </c>
      <c r="I4012" s="54" t="b">
        <v>1</v>
      </c>
      <c r="J4012" s="65" t="b">
        <v>0</v>
      </c>
      <c r="K4012" s="63" t="s">
        <v>935</v>
      </c>
      <c r="L4012" s="63" t="s">
        <v>8602</v>
      </c>
      <c r="M4012" s="63" t="s">
        <v>8603</v>
      </c>
      <c r="N4012" s="63" t="s">
        <v>2590</v>
      </c>
    </row>
    <row r="4013" spans="1:14" x14ac:dyDescent="0.2">
      <c r="A4013" s="51">
        <v>4012</v>
      </c>
      <c r="B4013" s="54" t="s">
        <v>935</v>
      </c>
      <c r="C4013" s="47" t="s">
        <v>8600</v>
      </c>
      <c r="D4013" s="47" t="s">
        <v>8601</v>
      </c>
      <c r="E4013" s="47" t="s">
        <v>1788</v>
      </c>
      <c r="F4013" s="55" t="b">
        <v>1</v>
      </c>
      <c r="G4013" s="54" t="b">
        <v>1</v>
      </c>
      <c r="H4013" s="54" t="b">
        <v>1</v>
      </c>
      <c r="I4013" s="54" t="b">
        <v>1</v>
      </c>
      <c r="J4013" s="65" t="b">
        <v>0</v>
      </c>
      <c r="K4013" s="63" t="s">
        <v>935</v>
      </c>
      <c r="L4013" s="63" t="s">
        <v>8600</v>
      </c>
      <c r="M4013" s="63" t="s">
        <v>8601</v>
      </c>
      <c r="N4013" s="63" t="s">
        <v>2590</v>
      </c>
    </row>
    <row r="4014" spans="1:14" x14ac:dyDescent="0.2">
      <c r="A4014" s="51">
        <v>4013</v>
      </c>
      <c r="B4014" s="54" t="s">
        <v>935</v>
      </c>
      <c r="C4014" s="47" t="s">
        <v>8616</v>
      </c>
      <c r="D4014" s="47" t="s">
        <v>8617</v>
      </c>
      <c r="E4014" s="47" t="s">
        <v>2164</v>
      </c>
      <c r="F4014" s="55" t="b">
        <v>1</v>
      </c>
      <c r="G4014" s="54" t="b">
        <v>1</v>
      </c>
      <c r="H4014" s="54" t="b">
        <v>1</v>
      </c>
      <c r="I4014" s="54" t="b">
        <v>1</v>
      </c>
      <c r="J4014" s="54" t="b">
        <v>1</v>
      </c>
      <c r="K4014" s="63" t="s">
        <v>935</v>
      </c>
      <c r="L4014" s="63" t="s">
        <v>8616</v>
      </c>
      <c r="M4014" s="63" t="s">
        <v>8617</v>
      </c>
      <c r="N4014" s="63" t="s">
        <v>2164</v>
      </c>
    </row>
    <row r="4015" spans="1:14" x14ac:dyDescent="0.2">
      <c r="A4015" s="51">
        <v>4014</v>
      </c>
      <c r="B4015" s="54" t="s">
        <v>935</v>
      </c>
      <c r="C4015" s="47" t="s">
        <v>8604</v>
      </c>
      <c r="D4015" s="47" t="s">
        <v>8605</v>
      </c>
      <c r="E4015" s="47" t="s">
        <v>1788</v>
      </c>
      <c r="F4015" s="55" t="b">
        <v>1</v>
      </c>
      <c r="G4015" s="54" t="b">
        <v>1</v>
      </c>
      <c r="H4015" s="54" t="b">
        <v>1</v>
      </c>
      <c r="I4015" s="54" t="b">
        <v>1</v>
      </c>
      <c r="J4015" s="65" t="b">
        <v>0</v>
      </c>
      <c r="K4015" s="63" t="s">
        <v>935</v>
      </c>
      <c r="L4015" s="63" t="s">
        <v>8604</v>
      </c>
      <c r="M4015" s="63" t="s">
        <v>8605</v>
      </c>
      <c r="N4015" s="63" t="s">
        <v>2590</v>
      </c>
    </row>
    <row r="4016" spans="1:14" x14ac:dyDescent="0.2">
      <c r="A4016" s="51">
        <v>4015</v>
      </c>
      <c r="B4016" s="54" t="s">
        <v>935</v>
      </c>
      <c r="C4016" s="47" t="s">
        <v>8606</v>
      </c>
      <c r="D4016" s="47" t="s">
        <v>8607</v>
      </c>
      <c r="E4016" s="47" t="s">
        <v>1788</v>
      </c>
      <c r="F4016" s="55" t="b">
        <v>1</v>
      </c>
      <c r="G4016" s="54" t="b">
        <v>1</v>
      </c>
      <c r="H4016" s="54" t="b">
        <v>1</v>
      </c>
      <c r="I4016" s="54" t="b">
        <v>1</v>
      </c>
      <c r="J4016" s="65" t="b">
        <v>0</v>
      </c>
      <c r="K4016" s="63" t="s">
        <v>935</v>
      </c>
      <c r="L4016" s="63" t="s">
        <v>8606</v>
      </c>
      <c r="M4016" s="63" t="s">
        <v>8607</v>
      </c>
      <c r="N4016" s="63" t="s">
        <v>2590</v>
      </c>
    </row>
    <row r="4017" spans="1:14" x14ac:dyDescent="0.2">
      <c r="A4017" s="51">
        <v>4016</v>
      </c>
      <c r="B4017" s="54" t="s">
        <v>935</v>
      </c>
      <c r="C4017" s="47" t="s">
        <v>8608</v>
      </c>
      <c r="D4017" s="47" t="s">
        <v>8609</v>
      </c>
      <c r="E4017" s="47" t="s">
        <v>1788</v>
      </c>
      <c r="F4017" s="55" t="b">
        <v>1</v>
      </c>
      <c r="G4017" s="54" t="b">
        <v>1</v>
      </c>
      <c r="H4017" s="54" t="b">
        <v>1</v>
      </c>
      <c r="I4017" s="54" t="b">
        <v>1</v>
      </c>
      <c r="J4017" s="65" t="b">
        <v>0</v>
      </c>
      <c r="K4017" s="63" t="s">
        <v>935</v>
      </c>
      <c r="L4017" s="63" t="s">
        <v>8608</v>
      </c>
      <c r="M4017" s="63" t="s">
        <v>8609</v>
      </c>
      <c r="N4017" s="63" t="s">
        <v>2590</v>
      </c>
    </row>
    <row r="4018" spans="1:14" x14ac:dyDescent="0.2">
      <c r="A4018" s="51">
        <v>4017</v>
      </c>
      <c r="B4018" s="54" t="s">
        <v>935</v>
      </c>
      <c r="C4018" s="47" t="s">
        <v>8614</v>
      </c>
      <c r="D4018" s="47" t="s">
        <v>8615</v>
      </c>
      <c r="E4018" s="47" t="s">
        <v>1788</v>
      </c>
      <c r="F4018" s="55" t="b">
        <v>1</v>
      </c>
      <c r="G4018" s="54" t="b">
        <v>1</v>
      </c>
      <c r="H4018" s="54" t="b">
        <v>1</v>
      </c>
      <c r="I4018" s="54" t="b">
        <v>1</v>
      </c>
      <c r="J4018" s="65" t="b">
        <v>0</v>
      </c>
      <c r="K4018" s="63" t="s">
        <v>935</v>
      </c>
      <c r="L4018" s="63" t="s">
        <v>8614</v>
      </c>
      <c r="M4018" s="63" t="s">
        <v>8615</v>
      </c>
      <c r="N4018" s="63" t="s">
        <v>2590</v>
      </c>
    </row>
    <row r="4019" spans="1:14" x14ac:dyDescent="0.2">
      <c r="A4019" s="51">
        <v>4018</v>
      </c>
      <c r="B4019" s="54" t="s">
        <v>935</v>
      </c>
      <c r="C4019" s="47" t="s">
        <v>8610</v>
      </c>
      <c r="D4019" s="47" t="s">
        <v>8611</v>
      </c>
      <c r="E4019" s="47" t="s">
        <v>1788</v>
      </c>
      <c r="F4019" s="55" t="b">
        <v>1</v>
      </c>
      <c r="G4019" s="54" t="b">
        <v>1</v>
      </c>
      <c r="H4019" s="54" t="b">
        <v>1</v>
      </c>
      <c r="I4019" s="54" t="b">
        <v>1</v>
      </c>
      <c r="J4019" s="65" t="b">
        <v>0</v>
      </c>
      <c r="K4019" s="63" t="s">
        <v>935</v>
      </c>
      <c r="L4019" s="63" t="s">
        <v>8610</v>
      </c>
      <c r="M4019" s="63" t="s">
        <v>8611</v>
      </c>
      <c r="N4019" s="63" t="s">
        <v>2590</v>
      </c>
    </row>
    <row r="4020" spans="1:14" x14ac:dyDescent="0.2">
      <c r="A4020" s="51">
        <v>4019</v>
      </c>
      <c r="B4020" s="54" t="s">
        <v>935</v>
      </c>
      <c r="C4020" s="47" t="s">
        <v>8612</v>
      </c>
      <c r="D4020" s="47" t="s">
        <v>8613</v>
      </c>
      <c r="E4020" s="47" t="s">
        <v>1788</v>
      </c>
      <c r="F4020" s="55" t="b">
        <v>1</v>
      </c>
      <c r="G4020" s="54" t="b">
        <v>1</v>
      </c>
      <c r="H4020" s="54" t="b">
        <v>1</v>
      </c>
      <c r="I4020" s="54" t="b">
        <v>1</v>
      </c>
      <c r="J4020" s="65" t="b">
        <v>0</v>
      </c>
      <c r="K4020" s="63" t="s">
        <v>935</v>
      </c>
      <c r="L4020" s="63" t="s">
        <v>8612</v>
      </c>
      <c r="M4020" s="63" t="s">
        <v>8613</v>
      </c>
      <c r="N4020" s="63" t="s">
        <v>2590</v>
      </c>
    </row>
    <row r="4021" spans="1:14" x14ac:dyDescent="0.2">
      <c r="A4021" s="51">
        <v>4020</v>
      </c>
      <c r="B4021" s="54" t="s">
        <v>935</v>
      </c>
      <c r="C4021" s="47" t="s">
        <v>8618</v>
      </c>
      <c r="D4021" s="47" t="s">
        <v>8619</v>
      </c>
      <c r="E4021" s="47" t="s">
        <v>1788</v>
      </c>
      <c r="F4021" s="55" t="b">
        <v>1</v>
      </c>
      <c r="G4021" s="54" t="b">
        <v>1</v>
      </c>
      <c r="H4021" s="54" t="b">
        <v>1</v>
      </c>
      <c r="I4021" s="54" t="b">
        <v>1</v>
      </c>
      <c r="J4021" s="65" t="b">
        <v>0</v>
      </c>
      <c r="K4021" s="63" t="s">
        <v>935</v>
      </c>
      <c r="L4021" s="63" t="s">
        <v>8618</v>
      </c>
      <c r="M4021" s="63" t="s">
        <v>8619</v>
      </c>
      <c r="N4021" s="63" t="s">
        <v>2590</v>
      </c>
    </row>
    <row r="4022" spans="1:14" x14ac:dyDescent="0.2">
      <c r="A4022" s="51">
        <v>4021</v>
      </c>
      <c r="B4022" s="54" t="s">
        <v>935</v>
      </c>
      <c r="C4022" s="47" t="s">
        <v>8622</v>
      </c>
      <c r="D4022" s="47" t="s">
        <v>8623</v>
      </c>
      <c r="E4022" s="47" t="s">
        <v>1788</v>
      </c>
      <c r="F4022" s="55" t="b">
        <v>1</v>
      </c>
      <c r="G4022" s="54" t="b">
        <v>1</v>
      </c>
      <c r="H4022" s="54" t="b">
        <v>1</v>
      </c>
      <c r="I4022" s="54" t="b">
        <v>1</v>
      </c>
      <c r="J4022" s="65" t="b">
        <v>0</v>
      </c>
      <c r="K4022" s="63" t="s">
        <v>935</v>
      </c>
      <c r="L4022" s="63" t="s">
        <v>8622</v>
      </c>
      <c r="M4022" s="63" t="s">
        <v>8623</v>
      </c>
      <c r="N4022" s="63" t="s">
        <v>2590</v>
      </c>
    </row>
    <row r="4023" spans="1:14" x14ac:dyDescent="0.2">
      <c r="A4023" s="51">
        <v>4022</v>
      </c>
      <c r="B4023" s="54" t="s">
        <v>935</v>
      </c>
      <c r="C4023" s="47" t="s">
        <v>8628</v>
      </c>
      <c r="D4023" s="47" t="s">
        <v>7205</v>
      </c>
      <c r="E4023" s="47" t="s">
        <v>1788</v>
      </c>
      <c r="F4023" s="55" t="b">
        <v>1</v>
      </c>
      <c r="G4023" s="54" t="b">
        <v>1</v>
      </c>
      <c r="H4023" s="54" t="b">
        <v>1</v>
      </c>
      <c r="I4023" s="54" t="b">
        <v>1</v>
      </c>
      <c r="J4023" s="65" t="b">
        <v>0</v>
      </c>
      <c r="K4023" s="63" t="s">
        <v>935</v>
      </c>
      <c r="L4023" s="63" t="s">
        <v>8628</v>
      </c>
      <c r="M4023" s="63" t="s">
        <v>7205</v>
      </c>
      <c r="N4023" s="63" t="s">
        <v>2590</v>
      </c>
    </row>
    <row r="4024" spans="1:14" x14ac:dyDescent="0.2">
      <c r="A4024" s="51">
        <v>4023</v>
      </c>
      <c r="B4024" s="54" t="s">
        <v>935</v>
      </c>
      <c r="C4024" s="47" t="s">
        <v>8620</v>
      </c>
      <c r="D4024" s="47" t="s">
        <v>8621</v>
      </c>
      <c r="E4024" s="47" t="s">
        <v>1788</v>
      </c>
      <c r="F4024" s="55" t="b">
        <v>1</v>
      </c>
      <c r="G4024" s="54" t="b">
        <v>1</v>
      </c>
      <c r="H4024" s="54" t="b">
        <v>1</v>
      </c>
      <c r="I4024" s="54" t="b">
        <v>1</v>
      </c>
      <c r="J4024" s="65" t="b">
        <v>0</v>
      </c>
      <c r="K4024" s="63" t="s">
        <v>935</v>
      </c>
      <c r="L4024" s="63" t="s">
        <v>8620</v>
      </c>
      <c r="M4024" s="63" t="s">
        <v>8621</v>
      </c>
      <c r="N4024" s="63" t="s">
        <v>2590</v>
      </c>
    </row>
    <row r="4025" spans="1:14" x14ac:dyDescent="0.2">
      <c r="A4025" s="51">
        <v>4024</v>
      </c>
      <c r="B4025" s="54" t="s">
        <v>935</v>
      </c>
      <c r="C4025" s="47" t="s">
        <v>8624</v>
      </c>
      <c r="D4025" s="47" t="s">
        <v>8625</v>
      </c>
      <c r="E4025" s="47" t="s">
        <v>1788</v>
      </c>
      <c r="F4025" s="55" t="b">
        <v>1</v>
      </c>
      <c r="G4025" s="54" t="b">
        <v>1</v>
      </c>
      <c r="H4025" s="54" t="b">
        <v>1</v>
      </c>
      <c r="I4025" s="54" t="b">
        <v>1</v>
      </c>
      <c r="J4025" s="65" t="b">
        <v>0</v>
      </c>
      <c r="K4025" s="63" t="s">
        <v>935</v>
      </c>
      <c r="L4025" s="63" t="s">
        <v>8624</v>
      </c>
      <c r="M4025" s="63" t="s">
        <v>8625</v>
      </c>
      <c r="N4025" s="63" t="s">
        <v>2590</v>
      </c>
    </row>
    <row r="4026" spans="1:14" x14ac:dyDescent="0.2">
      <c r="A4026" s="51">
        <v>4025</v>
      </c>
      <c r="B4026" s="54" t="s">
        <v>935</v>
      </c>
      <c r="C4026" s="47" t="s">
        <v>8626</v>
      </c>
      <c r="D4026" s="47" t="s">
        <v>8627</v>
      </c>
      <c r="E4026" s="47" t="s">
        <v>1788</v>
      </c>
      <c r="F4026" s="55" t="b">
        <v>1</v>
      </c>
      <c r="G4026" s="54" t="b">
        <v>1</v>
      </c>
      <c r="H4026" s="54" t="b">
        <v>1</v>
      </c>
      <c r="I4026" s="54" t="b">
        <v>1</v>
      </c>
      <c r="J4026" s="65" t="b">
        <v>0</v>
      </c>
      <c r="K4026" s="63" t="s">
        <v>935</v>
      </c>
      <c r="L4026" s="63" t="s">
        <v>8626</v>
      </c>
      <c r="M4026" s="63" t="s">
        <v>8627</v>
      </c>
      <c r="N4026" s="63" t="s">
        <v>2590</v>
      </c>
    </row>
    <row r="4027" spans="1:14" x14ac:dyDescent="0.2">
      <c r="A4027" s="51">
        <v>4026</v>
      </c>
      <c r="B4027" s="54" t="s">
        <v>935</v>
      </c>
      <c r="C4027" s="47" t="s">
        <v>8631</v>
      </c>
      <c r="D4027" s="47" t="s">
        <v>8632</v>
      </c>
      <c r="E4027" s="47" t="s">
        <v>1788</v>
      </c>
      <c r="F4027" s="55" t="b">
        <v>1</v>
      </c>
      <c r="G4027" s="54" t="b">
        <v>1</v>
      </c>
      <c r="H4027" s="54" t="b">
        <v>1</v>
      </c>
      <c r="I4027" s="54" t="b">
        <v>1</v>
      </c>
      <c r="J4027" s="65" t="b">
        <v>0</v>
      </c>
      <c r="K4027" s="63" t="s">
        <v>935</v>
      </c>
      <c r="L4027" s="63" t="s">
        <v>8631</v>
      </c>
      <c r="M4027" s="63" t="s">
        <v>8632</v>
      </c>
      <c r="N4027" s="63" t="s">
        <v>2590</v>
      </c>
    </row>
    <row r="4028" spans="1:14" x14ac:dyDescent="0.2">
      <c r="A4028" s="51">
        <v>4027</v>
      </c>
      <c r="B4028" s="54" t="s">
        <v>935</v>
      </c>
      <c r="C4028" s="47" t="s">
        <v>8629</v>
      </c>
      <c r="D4028" s="47" t="s">
        <v>8630</v>
      </c>
      <c r="E4028" s="47" t="s">
        <v>1788</v>
      </c>
      <c r="F4028" s="55" t="b">
        <v>1</v>
      </c>
      <c r="G4028" s="54" t="b">
        <v>1</v>
      </c>
      <c r="H4028" s="54" t="b">
        <v>1</v>
      </c>
      <c r="I4028" s="54" t="b">
        <v>1</v>
      </c>
      <c r="J4028" s="65" t="b">
        <v>0</v>
      </c>
      <c r="K4028" s="63" t="s">
        <v>935</v>
      </c>
      <c r="L4028" s="63" t="s">
        <v>8629</v>
      </c>
      <c r="M4028" s="63" t="s">
        <v>8630</v>
      </c>
      <c r="N4028" s="63" t="s">
        <v>2590</v>
      </c>
    </row>
    <row r="4029" spans="1:14" x14ac:dyDescent="0.2">
      <c r="A4029" s="51">
        <v>4028</v>
      </c>
      <c r="B4029" s="54" t="s">
        <v>935</v>
      </c>
      <c r="C4029" s="47" t="s">
        <v>8637</v>
      </c>
      <c r="D4029" s="47" t="s">
        <v>8638</v>
      </c>
      <c r="E4029" s="47" t="s">
        <v>1788</v>
      </c>
      <c r="F4029" s="55" t="b">
        <v>1</v>
      </c>
      <c r="G4029" s="54" t="b">
        <v>1</v>
      </c>
      <c r="H4029" s="54" t="b">
        <v>1</v>
      </c>
      <c r="I4029" s="54" t="b">
        <v>1</v>
      </c>
      <c r="J4029" s="65" t="b">
        <v>0</v>
      </c>
      <c r="K4029" s="63" t="s">
        <v>935</v>
      </c>
      <c r="L4029" s="63" t="s">
        <v>8637</v>
      </c>
      <c r="M4029" s="63" t="s">
        <v>8638</v>
      </c>
      <c r="N4029" s="63" t="s">
        <v>2590</v>
      </c>
    </row>
    <row r="4030" spans="1:14" x14ac:dyDescent="0.2">
      <c r="A4030" s="51">
        <v>4029</v>
      </c>
      <c r="B4030" s="54" t="s">
        <v>935</v>
      </c>
      <c r="C4030" s="47" t="s">
        <v>8633</v>
      </c>
      <c r="D4030" s="47" t="s">
        <v>8634</v>
      </c>
      <c r="E4030" s="47" t="s">
        <v>1788</v>
      </c>
      <c r="F4030" s="55" t="b">
        <v>1</v>
      </c>
      <c r="G4030" s="54" t="b">
        <v>1</v>
      </c>
      <c r="H4030" s="54" t="b">
        <v>1</v>
      </c>
      <c r="I4030" s="54" t="b">
        <v>1</v>
      </c>
      <c r="J4030" s="65" t="b">
        <v>0</v>
      </c>
      <c r="K4030" s="63" t="s">
        <v>935</v>
      </c>
      <c r="L4030" s="63" t="s">
        <v>8633</v>
      </c>
      <c r="M4030" s="63" t="s">
        <v>8634</v>
      </c>
      <c r="N4030" s="63" t="s">
        <v>2590</v>
      </c>
    </row>
    <row r="4031" spans="1:14" x14ac:dyDescent="0.2">
      <c r="A4031" s="51">
        <v>4030</v>
      </c>
      <c r="B4031" s="54" t="s">
        <v>935</v>
      </c>
      <c r="C4031" s="47" t="s">
        <v>8635</v>
      </c>
      <c r="D4031" s="47" t="s">
        <v>8636</v>
      </c>
      <c r="E4031" s="47" t="s">
        <v>1788</v>
      </c>
      <c r="F4031" s="55" t="b">
        <v>1</v>
      </c>
      <c r="G4031" s="54" t="b">
        <v>1</v>
      </c>
      <c r="H4031" s="54" t="b">
        <v>1</v>
      </c>
      <c r="I4031" s="54" t="b">
        <v>1</v>
      </c>
      <c r="J4031" s="65" t="b">
        <v>0</v>
      </c>
      <c r="K4031" s="63" t="s">
        <v>935</v>
      </c>
      <c r="L4031" s="63" t="s">
        <v>8635</v>
      </c>
      <c r="M4031" s="63" t="s">
        <v>8636</v>
      </c>
      <c r="N4031" s="63" t="s">
        <v>2590</v>
      </c>
    </row>
    <row r="4032" spans="1:14" x14ac:dyDescent="0.2">
      <c r="A4032" s="51">
        <v>4031</v>
      </c>
      <c r="B4032" s="54" t="s">
        <v>935</v>
      </c>
      <c r="C4032" s="47" t="s">
        <v>8641</v>
      </c>
      <c r="D4032" s="47" t="s">
        <v>8642</v>
      </c>
      <c r="E4032" s="47" t="s">
        <v>1788</v>
      </c>
      <c r="F4032" s="55" t="b">
        <v>1</v>
      </c>
      <c r="G4032" s="54" t="b">
        <v>1</v>
      </c>
      <c r="H4032" s="54" t="b">
        <v>1</v>
      </c>
      <c r="I4032" s="54" t="b">
        <v>1</v>
      </c>
      <c r="J4032" s="65" t="b">
        <v>0</v>
      </c>
      <c r="K4032" s="63" t="s">
        <v>935</v>
      </c>
      <c r="L4032" s="63" t="s">
        <v>8641</v>
      </c>
      <c r="M4032" s="63" t="s">
        <v>8642</v>
      </c>
      <c r="N4032" s="63" t="s">
        <v>2590</v>
      </c>
    </row>
    <row r="4033" spans="1:14" x14ac:dyDescent="0.2">
      <c r="A4033" s="51">
        <v>4032</v>
      </c>
      <c r="B4033" s="54" t="s">
        <v>935</v>
      </c>
      <c r="C4033" s="47" t="s">
        <v>8639</v>
      </c>
      <c r="D4033" s="47" t="s">
        <v>8640</v>
      </c>
      <c r="E4033" s="47" t="s">
        <v>1788</v>
      </c>
      <c r="F4033" s="55" t="b">
        <v>1</v>
      </c>
      <c r="G4033" s="54" t="b">
        <v>1</v>
      </c>
      <c r="H4033" s="54" t="b">
        <v>1</v>
      </c>
      <c r="I4033" s="54" t="b">
        <v>1</v>
      </c>
      <c r="J4033" s="65" t="b">
        <v>0</v>
      </c>
      <c r="K4033" s="63" t="s">
        <v>935</v>
      </c>
      <c r="L4033" s="63" t="s">
        <v>8639</v>
      </c>
      <c r="M4033" s="63" t="s">
        <v>8640</v>
      </c>
      <c r="N4033" s="63" t="s">
        <v>2590</v>
      </c>
    </row>
    <row r="4034" spans="1:14" x14ac:dyDescent="0.2">
      <c r="A4034" s="51">
        <v>4033</v>
      </c>
      <c r="B4034" s="54" t="s">
        <v>935</v>
      </c>
      <c r="C4034" s="47" t="s">
        <v>8647</v>
      </c>
      <c r="D4034" s="47" t="s">
        <v>8648</v>
      </c>
      <c r="E4034" s="47" t="s">
        <v>1788</v>
      </c>
      <c r="F4034" s="55" t="b">
        <v>1</v>
      </c>
      <c r="G4034" s="54" t="b">
        <v>1</v>
      </c>
      <c r="H4034" s="54" t="b">
        <v>1</v>
      </c>
      <c r="I4034" s="54" t="b">
        <v>1</v>
      </c>
      <c r="J4034" s="65" t="b">
        <v>0</v>
      </c>
      <c r="K4034" s="63" t="s">
        <v>935</v>
      </c>
      <c r="L4034" s="63" t="s">
        <v>8647</v>
      </c>
      <c r="M4034" s="63" t="s">
        <v>8648</v>
      </c>
      <c r="N4034" s="63" t="s">
        <v>2590</v>
      </c>
    </row>
    <row r="4035" spans="1:14" x14ac:dyDescent="0.2">
      <c r="A4035" s="51">
        <v>4034</v>
      </c>
      <c r="B4035" s="54" t="s">
        <v>935</v>
      </c>
      <c r="C4035" s="47" t="s">
        <v>8643</v>
      </c>
      <c r="D4035" s="47" t="s">
        <v>8644</v>
      </c>
      <c r="E4035" s="47" t="s">
        <v>1788</v>
      </c>
      <c r="F4035" s="55" t="b">
        <v>1</v>
      </c>
      <c r="G4035" s="54" t="b">
        <v>1</v>
      </c>
      <c r="H4035" s="54" t="b">
        <v>1</v>
      </c>
      <c r="I4035" s="54" t="b">
        <v>1</v>
      </c>
      <c r="J4035" s="65" t="b">
        <v>0</v>
      </c>
      <c r="K4035" s="63" t="s">
        <v>935</v>
      </c>
      <c r="L4035" s="63" t="s">
        <v>8643</v>
      </c>
      <c r="M4035" s="63" t="s">
        <v>8644</v>
      </c>
      <c r="N4035" s="63" t="s">
        <v>2590</v>
      </c>
    </row>
    <row r="4036" spans="1:14" x14ac:dyDescent="0.2">
      <c r="A4036" s="51">
        <v>4035</v>
      </c>
      <c r="B4036" s="54" t="s">
        <v>935</v>
      </c>
      <c r="C4036" s="47" t="s">
        <v>8645</v>
      </c>
      <c r="D4036" s="47" t="s">
        <v>8646</v>
      </c>
      <c r="E4036" s="47" t="s">
        <v>1788</v>
      </c>
      <c r="F4036" s="55" t="b">
        <v>1</v>
      </c>
      <c r="G4036" s="54" t="b">
        <v>1</v>
      </c>
      <c r="H4036" s="54" t="b">
        <v>1</v>
      </c>
      <c r="I4036" s="54" t="b">
        <v>1</v>
      </c>
      <c r="J4036" s="65" t="b">
        <v>0</v>
      </c>
      <c r="K4036" s="63" t="s">
        <v>935</v>
      </c>
      <c r="L4036" s="63" t="s">
        <v>8645</v>
      </c>
      <c r="M4036" s="63" t="s">
        <v>8646</v>
      </c>
      <c r="N4036" s="63" t="s">
        <v>2590</v>
      </c>
    </row>
    <row r="4037" spans="1:14" x14ac:dyDescent="0.2">
      <c r="A4037" s="51">
        <v>4036</v>
      </c>
      <c r="B4037" s="54" t="s">
        <v>935</v>
      </c>
      <c r="C4037" s="47" t="s">
        <v>8651</v>
      </c>
      <c r="D4037" s="47" t="s">
        <v>8652</v>
      </c>
      <c r="E4037" s="47" t="s">
        <v>1788</v>
      </c>
      <c r="F4037" s="55" t="b">
        <v>1</v>
      </c>
      <c r="G4037" s="54" t="b">
        <v>1</v>
      </c>
      <c r="H4037" s="54" t="b">
        <v>1</v>
      </c>
      <c r="I4037" s="54" t="b">
        <v>1</v>
      </c>
      <c r="J4037" s="65" t="b">
        <v>0</v>
      </c>
      <c r="K4037" s="63" t="s">
        <v>935</v>
      </c>
      <c r="L4037" s="63" t="s">
        <v>8651</v>
      </c>
      <c r="M4037" s="63" t="s">
        <v>8652</v>
      </c>
      <c r="N4037" s="63" t="s">
        <v>2590</v>
      </c>
    </row>
    <row r="4038" spans="1:14" x14ac:dyDescent="0.2">
      <c r="A4038" s="51">
        <v>4037</v>
      </c>
      <c r="B4038" s="54" t="s">
        <v>935</v>
      </c>
      <c r="C4038" s="47" t="s">
        <v>8649</v>
      </c>
      <c r="D4038" s="47" t="s">
        <v>8650</v>
      </c>
      <c r="E4038" s="47" t="s">
        <v>1788</v>
      </c>
      <c r="F4038" s="55" t="b">
        <v>1</v>
      </c>
      <c r="G4038" s="54" t="b">
        <v>1</v>
      </c>
      <c r="H4038" s="54" t="b">
        <v>1</v>
      </c>
      <c r="I4038" s="54" t="b">
        <v>1</v>
      </c>
      <c r="J4038" s="65" t="b">
        <v>0</v>
      </c>
      <c r="K4038" s="63" t="s">
        <v>935</v>
      </c>
      <c r="L4038" s="63" t="s">
        <v>8649</v>
      </c>
      <c r="M4038" s="63" t="s">
        <v>8650</v>
      </c>
      <c r="N4038" s="63" t="s">
        <v>2590</v>
      </c>
    </row>
    <row r="4039" spans="1:14" x14ac:dyDescent="0.2">
      <c r="A4039" s="51">
        <v>4038</v>
      </c>
      <c r="B4039" s="54" t="s">
        <v>935</v>
      </c>
      <c r="C4039" s="47" t="s">
        <v>8653</v>
      </c>
      <c r="D4039" s="47" t="s">
        <v>8654</v>
      </c>
      <c r="E4039" s="47" t="s">
        <v>1788</v>
      </c>
      <c r="F4039" s="55" t="b">
        <v>1</v>
      </c>
      <c r="G4039" s="54" t="b">
        <v>1</v>
      </c>
      <c r="H4039" s="54" t="b">
        <v>1</v>
      </c>
      <c r="I4039" s="54" t="b">
        <v>1</v>
      </c>
      <c r="J4039" s="65" t="b">
        <v>0</v>
      </c>
      <c r="K4039" s="63" t="s">
        <v>935</v>
      </c>
      <c r="L4039" s="63" t="s">
        <v>8653</v>
      </c>
      <c r="M4039" s="63" t="s">
        <v>8654</v>
      </c>
      <c r="N4039" s="63" t="s">
        <v>2590</v>
      </c>
    </row>
    <row r="4040" spans="1:14" x14ac:dyDescent="0.2">
      <c r="A4040" s="51">
        <v>4039</v>
      </c>
      <c r="B4040" s="54" t="s">
        <v>935</v>
      </c>
      <c r="C4040" s="47" t="s">
        <v>8655</v>
      </c>
      <c r="D4040" s="47" t="s">
        <v>8656</v>
      </c>
      <c r="E4040" s="47" t="s">
        <v>1788</v>
      </c>
      <c r="F4040" s="55" t="b">
        <v>1</v>
      </c>
      <c r="G4040" s="54" t="b">
        <v>1</v>
      </c>
      <c r="H4040" s="54" t="b">
        <v>1</v>
      </c>
      <c r="I4040" s="54" t="b">
        <v>1</v>
      </c>
      <c r="J4040" s="65" t="b">
        <v>0</v>
      </c>
      <c r="K4040" s="63" t="s">
        <v>935</v>
      </c>
      <c r="L4040" s="63" t="s">
        <v>8655</v>
      </c>
      <c r="M4040" s="63" t="s">
        <v>8656</v>
      </c>
      <c r="N4040" s="63" t="s">
        <v>2590</v>
      </c>
    </row>
    <row r="4041" spans="1:14" x14ac:dyDescent="0.2">
      <c r="A4041" s="51">
        <v>4040</v>
      </c>
      <c r="B4041" s="54" t="s">
        <v>935</v>
      </c>
      <c r="C4041" s="47" t="s">
        <v>8657</v>
      </c>
      <c r="D4041" s="47" t="s">
        <v>8658</v>
      </c>
      <c r="E4041" s="47" t="s">
        <v>1788</v>
      </c>
      <c r="F4041" s="55" t="b">
        <v>1</v>
      </c>
      <c r="G4041" s="54" t="b">
        <v>1</v>
      </c>
      <c r="H4041" s="54" t="b">
        <v>1</v>
      </c>
      <c r="I4041" s="54" t="b">
        <v>1</v>
      </c>
      <c r="J4041" s="65" t="b">
        <v>0</v>
      </c>
      <c r="K4041" s="63" t="s">
        <v>935</v>
      </c>
      <c r="L4041" s="63" t="s">
        <v>8657</v>
      </c>
      <c r="M4041" s="63" t="s">
        <v>8658</v>
      </c>
      <c r="N4041" s="63" t="s">
        <v>2590</v>
      </c>
    </row>
    <row r="4042" spans="1:14" x14ac:dyDescent="0.2">
      <c r="A4042" s="51">
        <v>4041</v>
      </c>
      <c r="B4042" s="54" t="s">
        <v>935</v>
      </c>
      <c r="C4042" s="47" t="s">
        <v>8659</v>
      </c>
      <c r="D4042" s="47" t="s">
        <v>8660</v>
      </c>
      <c r="E4042" s="47" t="s">
        <v>1788</v>
      </c>
      <c r="F4042" s="55" t="b">
        <v>1</v>
      </c>
      <c r="G4042" s="54" t="b">
        <v>1</v>
      </c>
      <c r="H4042" s="54" t="b">
        <v>1</v>
      </c>
      <c r="I4042" s="54" t="b">
        <v>1</v>
      </c>
      <c r="J4042" s="65" t="b">
        <v>0</v>
      </c>
      <c r="K4042" s="63" t="s">
        <v>935</v>
      </c>
      <c r="L4042" s="63" t="s">
        <v>8659</v>
      </c>
      <c r="M4042" s="63" t="s">
        <v>8660</v>
      </c>
      <c r="N4042" s="63" t="s">
        <v>2590</v>
      </c>
    </row>
    <row r="4043" spans="1:14" x14ac:dyDescent="0.2">
      <c r="A4043" s="51">
        <v>4042</v>
      </c>
      <c r="B4043" s="54" t="s">
        <v>935</v>
      </c>
      <c r="C4043" s="47" t="s">
        <v>8663</v>
      </c>
      <c r="D4043" s="47" t="s">
        <v>8664</v>
      </c>
      <c r="E4043" s="47" t="s">
        <v>1788</v>
      </c>
      <c r="F4043" s="55" t="b">
        <v>1</v>
      </c>
      <c r="G4043" s="54" t="b">
        <v>1</v>
      </c>
      <c r="H4043" s="54" t="b">
        <v>1</v>
      </c>
      <c r="I4043" s="54" t="b">
        <v>1</v>
      </c>
      <c r="J4043" s="65" t="b">
        <v>0</v>
      </c>
      <c r="K4043" s="63" t="s">
        <v>935</v>
      </c>
      <c r="L4043" s="63" t="s">
        <v>8663</v>
      </c>
      <c r="M4043" s="63" t="s">
        <v>8664</v>
      </c>
      <c r="N4043" s="63" t="s">
        <v>2590</v>
      </c>
    </row>
    <row r="4044" spans="1:14" x14ac:dyDescent="0.2">
      <c r="A4044" s="51">
        <v>4043</v>
      </c>
      <c r="B4044" s="54" t="s">
        <v>935</v>
      </c>
      <c r="C4044" s="47" t="s">
        <v>8667</v>
      </c>
      <c r="D4044" s="47" t="s">
        <v>8668</v>
      </c>
      <c r="E4044" s="47" t="s">
        <v>1788</v>
      </c>
      <c r="F4044" s="55" t="b">
        <v>1</v>
      </c>
      <c r="G4044" s="54" t="b">
        <v>1</v>
      </c>
      <c r="H4044" s="54" t="b">
        <v>1</v>
      </c>
      <c r="I4044" s="54" t="b">
        <v>1</v>
      </c>
      <c r="J4044" s="65" t="b">
        <v>0</v>
      </c>
      <c r="K4044" s="63" t="s">
        <v>935</v>
      </c>
      <c r="L4044" s="63" t="s">
        <v>8667</v>
      </c>
      <c r="M4044" s="63" t="s">
        <v>8668</v>
      </c>
      <c r="N4044" s="63" t="s">
        <v>2590</v>
      </c>
    </row>
    <row r="4045" spans="1:14" x14ac:dyDescent="0.2">
      <c r="A4045" s="51">
        <v>4044</v>
      </c>
      <c r="B4045" s="54" t="s">
        <v>935</v>
      </c>
      <c r="C4045" s="47" t="s">
        <v>8661</v>
      </c>
      <c r="D4045" s="47" t="s">
        <v>8662</v>
      </c>
      <c r="E4045" s="47" t="s">
        <v>1788</v>
      </c>
      <c r="F4045" s="55" t="b">
        <v>1</v>
      </c>
      <c r="G4045" s="54" t="b">
        <v>1</v>
      </c>
      <c r="H4045" s="54" t="b">
        <v>1</v>
      </c>
      <c r="I4045" s="54" t="b">
        <v>1</v>
      </c>
      <c r="J4045" s="65" t="b">
        <v>0</v>
      </c>
      <c r="K4045" s="63" t="s">
        <v>935</v>
      </c>
      <c r="L4045" s="63" t="s">
        <v>8661</v>
      </c>
      <c r="M4045" s="63" t="s">
        <v>8662</v>
      </c>
      <c r="N4045" s="63" t="s">
        <v>2590</v>
      </c>
    </row>
    <row r="4046" spans="1:14" x14ac:dyDescent="0.2">
      <c r="A4046" s="51">
        <v>4045</v>
      </c>
      <c r="B4046" s="54" t="s">
        <v>935</v>
      </c>
      <c r="C4046" s="47" t="s">
        <v>8665</v>
      </c>
      <c r="D4046" s="47" t="s">
        <v>8666</v>
      </c>
      <c r="E4046" s="47" t="s">
        <v>1788</v>
      </c>
      <c r="F4046" s="55" t="b">
        <v>1</v>
      </c>
      <c r="G4046" s="54" t="b">
        <v>1</v>
      </c>
      <c r="H4046" s="54" t="b">
        <v>1</v>
      </c>
      <c r="I4046" s="54" t="b">
        <v>1</v>
      </c>
      <c r="J4046" s="65" t="b">
        <v>0</v>
      </c>
      <c r="K4046" s="63" t="s">
        <v>935</v>
      </c>
      <c r="L4046" s="63" t="s">
        <v>8665</v>
      </c>
      <c r="M4046" s="63" t="s">
        <v>8666</v>
      </c>
      <c r="N4046" s="63" t="s">
        <v>2590</v>
      </c>
    </row>
    <row r="4047" spans="1:14" x14ac:dyDescent="0.2">
      <c r="A4047" s="51">
        <v>4046</v>
      </c>
      <c r="B4047" s="54" t="s">
        <v>935</v>
      </c>
      <c r="C4047" s="47" t="s">
        <v>8673</v>
      </c>
      <c r="D4047" s="47" t="s">
        <v>8674</v>
      </c>
      <c r="E4047" s="47" t="s">
        <v>1788</v>
      </c>
      <c r="F4047" s="55" t="b">
        <v>1</v>
      </c>
      <c r="G4047" s="54" t="b">
        <v>1</v>
      </c>
      <c r="H4047" s="54" t="b">
        <v>1</v>
      </c>
      <c r="I4047" s="54" t="b">
        <v>1</v>
      </c>
      <c r="J4047" s="65" t="b">
        <v>0</v>
      </c>
      <c r="K4047" s="63" t="s">
        <v>935</v>
      </c>
      <c r="L4047" s="63" t="s">
        <v>8673</v>
      </c>
      <c r="M4047" s="63" t="s">
        <v>8674</v>
      </c>
      <c r="N4047" s="63" t="s">
        <v>2590</v>
      </c>
    </row>
    <row r="4048" spans="1:14" x14ac:dyDescent="0.2">
      <c r="A4048" s="51">
        <v>4047</v>
      </c>
      <c r="B4048" s="54" t="s">
        <v>935</v>
      </c>
      <c r="C4048" s="47" t="s">
        <v>8671</v>
      </c>
      <c r="D4048" s="47" t="s">
        <v>8672</v>
      </c>
      <c r="E4048" s="47" t="s">
        <v>1788</v>
      </c>
      <c r="F4048" s="55" t="b">
        <v>1</v>
      </c>
      <c r="G4048" s="54" t="b">
        <v>1</v>
      </c>
      <c r="H4048" s="54" t="b">
        <v>1</v>
      </c>
      <c r="I4048" s="54" t="b">
        <v>1</v>
      </c>
      <c r="J4048" s="65" t="b">
        <v>0</v>
      </c>
      <c r="K4048" s="63" t="s">
        <v>935</v>
      </c>
      <c r="L4048" s="63" t="s">
        <v>8671</v>
      </c>
      <c r="M4048" s="63" t="s">
        <v>8672</v>
      </c>
      <c r="N4048" s="63" t="s">
        <v>2590</v>
      </c>
    </row>
    <row r="4049" spans="1:14" x14ac:dyDescent="0.2">
      <c r="A4049" s="51">
        <v>4048</v>
      </c>
      <c r="B4049" s="54" t="s">
        <v>935</v>
      </c>
      <c r="C4049" s="47" t="s">
        <v>8669</v>
      </c>
      <c r="D4049" s="47" t="s">
        <v>8670</v>
      </c>
      <c r="E4049" s="47" t="s">
        <v>1788</v>
      </c>
      <c r="F4049" s="55" t="b">
        <v>1</v>
      </c>
      <c r="G4049" s="54" t="b">
        <v>1</v>
      </c>
      <c r="H4049" s="54" t="b">
        <v>1</v>
      </c>
      <c r="I4049" s="54" t="b">
        <v>1</v>
      </c>
      <c r="J4049" s="65" t="b">
        <v>0</v>
      </c>
      <c r="K4049" s="63" t="s">
        <v>935</v>
      </c>
      <c r="L4049" s="63" t="s">
        <v>8669</v>
      </c>
      <c r="M4049" s="63" t="s">
        <v>8670</v>
      </c>
      <c r="N4049" s="63" t="s">
        <v>2590</v>
      </c>
    </row>
    <row r="4050" spans="1:14" x14ac:dyDescent="0.2">
      <c r="A4050" s="51">
        <v>4049</v>
      </c>
      <c r="B4050" s="54" t="s">
        <v>935</v>
      </c>
      <c r="C4050" s="47" t="s">
        <v>8679</v>
      </c>
      <c r="D4050" s="47" t="s">
        <v>8680</v>
      </c>
      <c r="E4050" s="47" t="s">
        <v>1788</v>
      </c>
      <c r="F4050" s="55" t="b">
        <v>1</v>
      </c>
      <c r="G4050" s="54" t="b">
        <v>1</v>
      </c>
      <c r="H4050" s="54" t="b">
        <v>1</v>
      </c>
      <c r="I4050" s="54" t="b">
        <v>1</v>
      </c>
      <c r="J4050" s="65" t="b">
        <v>0</v>
      </c>
      <c r="K4050" s="63" t="s">
        <v>935</v>
      </c>
      <c r="L4050" s="63" t="s">
        <v>8679</v>
      </c>
      <c r="M4050" s="63" t="s">
        <v>8680</v>
      </c>
      <c r="N4050" s="63" t="s">
        <v>2590</v>
      </c>
    </row>
    <row r="4051" spans="1:14" x14ac:dyDescent="0.2">
      <c r="A4051" s="51">
        <v>4050</v>
      </c>
      <c r="B4051" s="54" t="s">
        <v>935</v>
      </c>
      <c r="C4051" s="47" t="s">
        <v>8677</v>
      </c>
      <c r="D4051" s="47" t="s">
        <v>8678</v>
      </c>
      <c r="E4051" s="47" t="s">
        <v>1788</v>
      </c>
      <c r="F4051" s="55" t="b">
        <v>1</v>
      </c>
      <c r="G4051" s="54" t="b">
        <v>1</v>
      </c>
      <c r="H4051" s="54" t="b">
        <v>1</v>
      </c>
      <c r="I4051" s="54" t="b">
        <v>1</v>
      </c>
      <c r="J4051" s="65" t="b">
        <v>0</v>
      </c>
      <c r="K4051" s="63" t="s">
        <v>935</v>
      </c>
      <c r="L4051" s="63" t="s">
        <v>8677</v>
      </c>
      <c r="M4051" s="63" t="s">
        <v>8678</v>
      </c>
      <c r="N4051" s="63" t="s">
        <v>2590</v>
      </c>
    </row>
    <row r="4052" spans="1:14" x14ac:dyDescent="0.2">
      <c r="A4052" s="51">
        <v>4051</v>
      </c>
      <c r="B4052" s="54" t="s">
        <v>935</v>
      </c>
      <c r="C4052" s="47" t="s">
        <v>8675</v>
      </c>
      <c r="D4052" s="47" t="s">
        <v>8676</v>
      </c>
      <c r="E4052" s="47" t="s">
        <v>1788</v>
      </c>
      <c r="F4052" s="55" t="b">
        <v>1</v>
      </c>
      <c r="G4052" s="54" t="b">
        <v>1</v>
      </c>
      <c r="H4052" s="54" t="b">
        <v>1</v>
      </c>
      <c r="I4052" s="54" t="b">
        <v>1</v>
      </c>
      <c r="J4052" s="65" t="b">
        <v>0</v>
      </c>
      <c r="K4052" s="63" t="s">
        <v>935</v>
      </c>
      <c r="L4052" s="63" t="s">
        <v>8675</v>
      </c>
      <c r="M4052" s="63" t="s">
        <v>8676</v>
      </c>
      <c r="N4052" s="63" t="s">
        <v>2590</v>
      </c>
    </row>
    <row r="4053" spans="1:14" x14ac:dyDescent="0.2">
      <c r="A4053" s="51">
        <v>4052</v>
      </c>
      <c r="B4053" s="56" t="s">
        <v>937</v>
      </c>
      <c r="C4053" s="47" t="s">
        <v>8681</v>
      </c>
      <c r="D4053" s="47" t="s">
        <v>13217</v>
      </c>
      <c r="E4053" s="47" t="s">
        <v>8683</v>
      </c>
      <c r="F4053" s="55" t="b">
        <v>1</v>
      </c>
      <c r="G4053" s="65" t="b">
        <v>0</v>
      </c>
      <c r="H4053" s="54" t="b">
        <v>1</v>
      </c>
      <c r="I4053" s="65" t="b">
        <v>0</v>
      </c>
      <c r="J4053" s="54" t="b">
        <v>1</v>
      </c>
      <c r="K4053" s="63" t="s">
        <v>1119</v>
      </c>
      <c r="L4053" s="63" t="s">
        <v>8681</v>
      </c>
      <c r="M4053" s="63" t="s">
        <v>8682</v>
      </c>
      <c r="N4053" s="63" t="s">
        <v>8683</v>
      </c>
    </row>
    <row r="4054" spans="1:14" x14ac:dyDescent="0.2">
      <c r="A4054" s="51">
        <v>4053</v>
      </c>
      <c r="B4054" s="56" t="s">
        <v>937</v>
      </c>
      <c r="C4054" s="47" t="s">
        <v>8684</v>
      </c>
      <c r="D4054" s="47" t="s">
        <v>13218</v>
      </c>
      <c r="E4054" s="47" t="s">
        <v>8683</v>
      </c>
      <c r="F4054" s="55" t="b">
        <v>1</v>
      </c>
      <c r="G4054" s="65" t="b">
        <v>0</v>
      </c>
      <c r="H4054" s="54" t="b">
        <v>1</v>
      </c>
      <c r="I4054" s="65" t="b">
        <v>0</v>
      </c>
      <c r="J4054" s="54" t="b">
        <v>1</v>
      </c>
      <c r="K4054" s="63" t="s">
        <v>1119</v>
      </c>
      <c r="L4054" s="63" t="s">
        <v>8684</v>
      </c>
      <c r="M4054" s="63" t="s">
        <v>8685</v>
      </c>
      <c r="N4054" s="63" t="s">
        <v>8683</v>
      </c>
    </row>
    <row r="4055" spans="1:14" x14ac:dyDescent="0.2">
      <c r="A4055" s="51">
        <v>4054</v>
      </c>
      <c r="B4055" s="56" t="s">
        <v>937</v>
      </c>
      <c r="C4055" s="47" t="s">
        <v>8686</v>
      </c>
      <c r="D4055" s="47" t="s">
        <v>13219</v>
      </c>
      <c r="E4055" s="47" t="s">
        <v>1790</v>
      </c>
      <c r="F4055" s="55" t="b">
        <v>1</v>
      </c>
      <c r="G4055" s="65" t="b">
        <v>0</v>
      </c>
      <c r="H4055" s="54" t="b">
        <v>1</v>
      </c>
      <c r="I4055" s="65" t="b">
        <v>0</v>
      </c>
      <c r="J4055" s="65" t="b">
        <v>0</v>
      </c>
      <c r="K4055" s="63" t="s">
        <v>1119</v>
      </c>
      <c r="L4055" s="63" t="s">
        <v>8686</v>
      </c>
      <c r="M4055" s="63" t="s">
        <v>8687</v>
      </c>
      <c r="N4055" s="63" t="s">
        <v>8688</v>
      </c>
    </row>
    <row r="4056" spans="1:14" x14ac:dyDescent="0.2">
      <c r="A4056" s="51">
        <v>4055</v>
      </c>
      <c r="B4056" s="56" t="s">
        <v>937</v>
      </c>
      <c r="C4056" s="47" t="s">
        <v>8689</v>
      </c>
      <c r="D4056" s="47" t="s">
        <v>13220</v>
      </c>
      <c r="E4056" s="47" t="s">
        <v>1719</v>
      </c>
      <c r="F4056" s="55" t="b">
        <v>1</v>
      </c>
      <c r="G4056" s="65" t="b">
        <v>0</v>
      </c>
      <c r="H4056" s="54" t="b">
        <v>1</v>
      </c>
      <c r="I4056" s="65" t="b">
        <v>0</v>
      </c>
      <c r="J4056" s="65" t="b">
        <v>0</v>
      </c>
      <c r="K4056" s="63" t="s">
        <v>1119</v>
      </c>
      <c r="L4056" s="63" t="s">
        <v>8689</v>
      </c>
      <c r="M4056" s="63" t="s">
        <v>8690</v>
      </c>
      <c r="N4056" s="63" t="s">
        <v>4630</v>
      </c>
    </row>
    <row r="4057" spans="1:14" x14ac:dyDescent="0.2">
      <c r="A4057" s="51">
        <v>4056</v>
      </c>
      <c r="B4057" s="56" t="s">
        <v>937</v>
      </c>
      <c r="C4057" s="47" t="s">
        <v>8691</v>
      </c>
      <c r="D4057" s="47" t="s">
        <v>13221</v>
      </c>
      <c r="E4057" s="47" t="s">
        <v>1719</v>
      </c>
      <c r="F4057" s="55" t="b">
        <v>1</v>
      </c>
      <c r="G4057" s="65" t="b">
        <v>0</v>
      </c>
      <c r="H4057" s="54" t="b">
        <v>1</v>
      </c>
      <c r="I4057" s="65" t="b">
        <v>0</v>
      </c>
      <c r="J4057" s="65" t="b">
        <v>0</v>
      </c>
      <c r="K4057" s="63" t="s">
        <v>1119</v>
      </c>
      <c r="L4057" s="63" t="s">
        <v>8691</v>
      </c>
      <c r="M4057" s="63" t="s">
        <v>8692</v>
      </c>
      <c r="N4057" s="63" t="s">
        <v>4630</v>
      </c>
    </row>
    <row r="4058" spans="1:14" x14ac:dyDescent="0.2">
      <c r="A4058" s="51">
        <v>4057</v>
      </c>
      <c r="B4058" s="56" t="s">
        <v>937</v>
      </c>
      <c r="C4058" s="47" t="s">
        <v>8693</v>
      </c>
      <c r="D4058" s="47" t="s">
        <v>13222</v>
      </c>
      <c r="E4058" s="47" t="s">
        <v>1719</v>
      </c>
      <c r="F4058" s="55" t="b">
        <v>1</v>
      </c>
      <c r="G4058" s="65" t="b">
        <v>0</v>
      </c>
      <c r="H4058" s="54" t="b">
        <v>1</v>
      </c>
      <c r="I4058" s="65" t="b">
        <v>0</v>
      </c>
      <c r="J4058" s="65" t="b">
        <v>0</v>
      </c>
      <c r="K4058" s="63" t="s">
        <v>1119</v>
      </c>
      <c r="L4058" s="63" t="s">
        <v>8693</v>
      </c>
      <c r="M4058" s="63" t="s">
        <v>8694</v>
      </c>
      <c r="N4058" s="63" t="s">
        <v>4630</v>
      </c>
    </row>
    <row r="4059" spans="1:14" x14ac:dyDescent="0.2">
      <c r="A4059" s="51">
        <v>4058</v>
      </c>
      <c r="B4059" s="56" t="s">
        <v>937</v>
      </c>
      <c r="C4059" s="47" t="s">
        <v>8695</v>
      </c>
      <c r="D4059" s="47" t="s">
        <v>13223</v>
      </c>
      <c r="E4059" s="47" t="s">
        <v>8683</v>
      </c>
      <c r="F4059" s="55" t="b">
        <v>1</v>
      </c>
      <c r="G4059" s="65" t="b">
        <v>0</v>
      </c>
      <c r="H4059" s="54" t="b">
        <v>1</v>
      </c>
      <c r="I4059" s="65" t="b">
        <v>0</v>
      </c>
      <c r="J4059" s="54" t="b">
        <v>1</v>
      </c>
      <c r="K4059" s="63" t="s">
        <v>1119</v>
      </c>
      <c r="L4059" s="63" t="s">
        <v>8695</v>
      </c>
      <c r="M4059" s="63" t="s">
        <v>8696</v>
      </c>
      <c r="N4059" s="63" t="s">
        <v>8683</v>
      </c>
    </row>
    <row r="4060" spans="1:14" x14ac:dyDescent="0.2">
      <c r="A4060" s="51">
        <v>4059</v>
      </c>
      <c r="B4060" s="56" t="s">
        <v>937</v>
      </c>
      <c r="C4060" s="47" t="s">
        <v>8697</v>
      </c>
      <c r="D4060" s="47" t="s">
        <v>13224</v>
      </c>
      <c r="E4060" s="47" t="s">
        <v>1719</v>
      </c>
      <c r="F4060" s="55" t="b">
        <v>1</v>
      </c>
      <c r="G4060" s="65" t="b">
        <v>0</v>
      </c>
      <c r="H4060" s="54" t="b">
        <v>1</v>
      </c>
      <c r="I4060" s="65" t="b">
        <v>0</v>
      </c>
      <c r="J4060" s="65" t="b">
        <v>0</v>
      </c>
      <c r="K4060" s="63" t="s">
        <v>1119</v>
      </c>
      <c r="L4060" s="63" t="s">
        <v>8697</v>
      </c>
      <c r="M4060" s="63" t="s">
        <v>8698</v>
      </c>
      <c r="N4060" s="63" t="s">
        <v>4630</v>
      </c>
    </row>
    <row r="4061" spans="1:14" x14ac:dyDescent="0.2">
      <c r="A4061" s="51">
        <v>4060</v>
      </c>
      <c r="B4061" s="56" t="s">
        <v>937</v>
      </c>
      <c r="C4061" s="47" t="s">
        <v>8699</v>
      </c>
      <c r="D4061" s="47" t="s">
        <v>13225</v>
      </c>
      <c r="E4061" s="47" t="s">
        <v>1719</v>
      </c>
      <c r="F4061" s="55" t="b">
        <v>1</v>
      </c>
      <c r="G4061" s="65" t="b">
        <v>0</v>
      </c>
      <c r="H4061" s="54" t="b">
        <v>1</v>
      </c>
      <c r="I4061" s="65" t="b">
        <v>0</v>
      </c>
      <c r="J4061" s="65" t="b">
        <v>0</v>
      </c>
      <c r="K4061" s="63" t="s">
        <v>1119</v>
      </c>
      <c r="L4061" s="63" t="s">
        <v>8699</v>
      </c>
      <c r="M4061" s="63" t="s">
        <v>8700</v>
      </c>
      <c r="N4061" s="63" t="s">
        <v>4630</v>
      </c>
    </row>
    <row r="4062" spans="1:14" x14ac:dyDescent="0.2">
      <c r="A4062" s="51">
        <v>4061</v>
      </c>
      <c r="B4062" s="56" t="s">
        <v>937</v>
      </c>
      <c r="C4062" s="47" t="s">
        <v>8701</v>
      </c>
      <c r="D4062" s="47" t="s">
        <v>13226</v>
      </c>
      <c r="E4062" s="47" t="s">
        <v>8683</v>
      </c>
      <c r="F4062" s="55" t="b">
        <v>1</v>
      </c>
      <c r="G4062" s="65" t="b">
        <v>0</v>
      </c>
      <c r="H4062" s="54" t="b">
        <v>1</v>
      </c>
      <c r="I4062" s="65" t="b">
        <v>0</v>
      </c>
      <c r="J4062" s="54" t="b">
        <v>1</v>
      </c>
      <c r="K4062" s="63" t="s">
        <v>1119</v>
      </c>
      <c r="L4062" s="63" t="s">
        <v>8701</v>
      </c>
      <c r="M4062" s="63" t="s">
        <v>8702</v>
      </c>
      <c r="N4062" s="63" t="s">
        <v>8683</v>
      </c>
    </row>
    <row r="4063" spans="1:14" x14ac:dyDescent="0.2">
      <c r="A4063" s="51">
        <v>4062</v>
      </c>
      <c r="B4063" s="56" t="s">
        <v>937</v>
      </c>
      <c r="C4063" s="47" t="s">
        <v>8703</v>
      </c>
      <c r="D4063" s="47" t="s">
        <v>13227</v>
      </c>
      <c r="E4063" s="47" t="s">
        <v>8683</v>
      </c>
      <c r="F4063" s="55" t="b">
        <v>1</v>
      </c>
      <c r="G4063" s="65" t="b">
        <v>0</v>
      </c>
      <c r="H4063" s="54" t="b">
        <v>1</v>
      </c>
      <c r="I4063" s="65" t="b">
        <v>0</v>
      </c>
      <c r="J4063" s="54" t="b">
        <v>1</v>
      </c>
      <c r="K4063" s="63" t="s">
        <v>1119</v>
      </c>
      <c r="L4063" s="63" t="s">
        <v>8703</v>
      </c>
      <c r="M4063" s="63" t="s">
        <v>8704</v>
      </c>
      <c r="N4063" s="63" t="s">
        <v>8683</v>
      </c>
    </row>
    <row r="4064" spans="1:14" x14ac:dyDescent="0.2">
      <c r="A4064" s="51">
        <v>4063</v>
      </c>
      <c r="B4064" s="56" t="s">
        <v>937</v>
      </c>
      <c r="C4064" s="47" t="s">
        <v>8705</v>
      </c>
      <c r="D4064" s="47" t="s">
        <v>13228</v>
      </c>
      <c r="E4064" s="47" t="s">
        <v>1719</v>
      </c>
      <c r="F4064" s="55" t="b">
        <v>1</v>
      </c>
      <c r="G4064" s="65" t="b">
        <v>0</v>
      </c>
      <c r="H4064" s="54" t="b">
        <v>1</v>
      </c>
      <c r="I4064" s="65" t="b">
        <v>0</v>
      </c>
      <c r="J4064" s="65" t="b">
        <v>0</v>
      </c>
      <c r="K4064" s="63" t="s">
        <v>1119</v>
      </c>
      <c r="L4064" s="63" t="s">
        <v>8705</v>
      </c>
      <c r="M4064" s="63" t="s">
        <v>8706</v>
      </c>
      <c r="N4064" s="63" t="s">
        <v>4630</v>
      </c>
    </row>
    <row r="4065" spans="1:14" x14ac:dyDescent="0.2">
      <c r="A4065" s="51">
        <v>4064</v>
      </c>
      <c r="B4065" s="56" t="s">
        <v>937</v>
      </c>
      <c r="C4065" s="47" t="s">
        <v>8707</v>
      </c>
      <c r="D4065" s="47" t="s">
        <v>13229</v>
      </c>
      <c r="E4065" s="47" t="s">
        <v>3322</v>
      </c>
      <c r="F4065" s="55" t="b">
        <v>1</v>
      </c>
      <c r="G4065" s="65" t="b">
        <v>0</v>
      </c>
      <c r="H4065" s="54" t="b">
        <v>1</v>
      </c>
      <c r="I4065" s="65" t="b">
        <v>0</v>
      </c>
      <c r="J4065" s="65" t="b">
        <v>0</v>
      </c>
      <c r="K4065" s="63" t="s">
        <v>1119</v>
      </c>
      <c r="L4065" s="63" t="s">
        <v>8707</v>
      </c>
      <c r="M4065" s="63" t="s">
        <v>8708</v>
      </c>
      <c r="N4065" s="63" t="s">
        <v>8709</v>
      </c>
    </row>
    <row r="4066" spans="1:14" x14ac:dyDescent="0.2">
      <c r="A4066" s="51">
        <v>4065</v>
      </c>
      <c r="B4066" s="56" t="s">
        <v>937</v>
      </c>
      <c r="C4066" s="47" t="s">
        <v>8710</v>
      </c>
      <c r="D4066" s="47" t="s">
        <v>13230</v>
      </c>
      <c r="E4066" s="47" t="s">
        <v>8683</v>
      </c>
      <c r="F4066" s="55" t="b">
        <v>1</v>
      </c>
      <c r="G4066" s="65" t="b">
        <v>0</v>
      </c>
      <c r="H4066" s="54" t="b">
        <v>1</v>
      </c>
      <c r="I4066" s="65" t="b">
        <v>0</v>
      </c>
      <c r="J4066" s="54" t="b">
        <v>1</v>
      </c>
      <c r="K4066" s="63" t="s">
        <v>1119</v>
      </c>
      <c r="L4066" s="63" t="s">
        <v>8710</v>
      </c>
      <c r="M4066" s="63" t="s">
        <v>8711</v>
      </c>
      <c r="N4066" s="63" t="s">
        <v>8683</v>
      </c>
    </row>
    <row r="4067" spans="1:14" x14ac:dyDescent="0.2">
      <c r="A4067" s="51">
        <v>4066</v>
      </c>
      <c r="B4067" s="56" t="s">
        <v>937</v>
      </c>
      <c r="C4067" s="47" t="s">
        <v>8712</v>
      </c>
      <c r="D4067" s="47" t="s">
        <v>13231</v>
      </c>
      <c r="E4067" s="47" t="s">
        <v>8683</v>
      </c>
      <c r="F4067" s="55" t="b">
        <v>1</v>
      </c>
      <c r="G4067" s="65" t="b">
        <v>0</v>
      </c>
      <c r="H4067" s="54" t="b">
        <v>1</v>
      </c>
      <c r="I4067" s="65" t="b">
        <v>0</v>
      </c>
      <c r="J4067" s="54" t="b">
        <v>1</v>
      </c>
      <c r="K4067" s="63" t="s">
        <v>1119</v>
      </c>
      <c r="L4067" s="63" t="s">
        <v>8712</v>
      </c>
      <c r="M4067" s="63" t="s">
        <v>8713</v>
      </c>
      <c r="N4067" s="63" t="s">
        <v>8683</v>
      </c>
    </row>
    <row r="4068" spans="1:14" x14ac:dyDescent="0.2">
      <c r="A4068" s="51">
        <v>4067</v>
      </c>
      <c r="B4068" s="56" t="s">
        <v>937</v>
      </c>
      <c r="C4068" s="47" t="s">
        <v>8714</v>
      </c>
      <c r="D4068" s="47" t="s">
        <v>13232</v>
      </c>
      <c r="E4068" s="47" t="s">
        <v>8683</v>
      </c>
      <c r="F4068" s="55" t="b">
        <v>1</v>
      </c>
      <c r="G4068" s="65" t="b">
        <v>0</v>
      </c>
      <c r="H4068" s="54" t="b">
        <v>1</v>
      </c>
      <c r="I4068" s="65" t="b">
        <v>0</v>
      </c>
      <c r="J4068" s="54" t="b">
        <v>1</v>
      </c>
      <c r="K4068" s="63" t="s">
        <v>1119</v>
      </c>
      <c r="L4068" s="63" t="s">
        <v>8714</v>
      </c>
      <c r="M4068" s="63" t="s">
        <v>8715</v>
      </c>
      <c r="N4068" s="63" t="s">
        <v>8683</v>
      </c>
    </row>
    <row r="4069" spans="1:14" x14ac:dyDescent="0.2">
      <c r="A4069" s="51">
        <v>4068</v>
      </c>
      <c r="B4069" s="56" t="s">
        <v>937</v>
      </c>
      <c r="C4069" s="47" t="s">
        <v>8716</v>
      </c>
      <c r="D4069" s="47" t="s">
        <v>13233</v>
      </c>
      <c r="E4069" s="47" t="s">
        <v>1719</v>
      </c>
      <c r="F4069" s="55" t="b">
        <v>1</v>
      </c>
      <c r="G4069" s="65" t="b">
        <v>0</v>
      </c>
      <c r="H4069" s="54" t="b">
        <v>1</v>
      </c>
      <c r="I4069" s="65" t="b">
        <v>0</v>
      </c>
      <c r="J4069" s="65" t="b">
        <v>0</v>
      </c>
      <c r="K4069" s="63" t="s">
        <v>1119</v>
      </c>
      <c r="L4069" s="63" t="s">
        <v>8716</v>
      </c>
      <c r="M4069" s="63" t="s">
        <v>8717</v>
      </c>
      <c r="N4069" s="63" t="s">
        <v>4630</v>
      </c>
    </row>
    <row r="4070" spans="1:14" x14ac:dyDescent="0.2">
      <c r="A4070" s="51">
        <v>4069</v>
      </c>
      <c r="B4070" s="56" t="s">
        <v>937</v>
      </c>
      <c r="C4070" s="47" t="s">
        <v>8718</v>
      </c>
      <c r="D4070" s="47" t="s">
        <v>13234</v>
      </c>
      <c r="E4070" s="47" t="s">
        <v>1719</v>
      </c>
      <c r="F4070" s="55" t="b">
        <v>1</v>
      </c>
      <c r="G4070" s="65" t="b">
        <v>0</v>
      </c>
      <c r="H4070" s="54" t="b">
        <v>1</v>
      </c>
      <c r="I4070" s="65" t="b">
        <v>0</v>
      </c>
      <c r="J4070" s="65" t="b">
        <v>0</v>
      </c>
      <c r="K4070" s="63" t="s">
        <v>1119</v>
      </c>
      <c r="L4070" s="63" t="s">
        <v>8718</v>
      </c>
      <c r="M4070" s="63" t="s">
        <v>8719</v>
      </c>
      <c r="N4070" s="63" t="s">
        <v>4630</v>
      </c>
    </row>
    <row r="4071" spans="1:14" x14ac:dyDescent="0.2">
      <c r="A4071" s="51">
        <v>4070</v>
      </c>
      <c r="B4071" s="56" t="s">
        <v>937</v>
      </c>
      <c r="C4071" s="47" t="s">
        <v>8728</v>
      </c>
      <c r="D4071" s="47" t="s">
        <v>13239</v>
      </c>
      <c r="E4071" s="47" t="s">
        <v>1790</v>
      </c>
      <c r="F4071" s="55" t="b">
        <v>1</v>
      </c>
      <c r="G4071" s="65" t="b">
        <v>0</v>
      </c>
      <c r="H4071" s="54" t="b">
        <v>1</v>
      </c>
      <c r="I4071" s="65" t="b">
        <v>0</v>
      </c>
      <c r="J4071" s="65" t="b">
        <v>0</v>
      </c>
      <c r="K4071" s="63" t="s">
        <v>1119</v>
      </c>
      <c r="L4071" s="63" t="s">
        <v>8728</v>
      </c>
      <c r="M4071" s="63" t="s">
        <v>8729</v>
      </c>
      <c r="N4071" s="63" t="s">
        <v>8688</v>
      </c>
    </row>
    <row r="4072" spans="1:14" x14ac:dyDescent="0.2">
      <c r="A4072" s="51">
        <v>4071</v>
      </c>
      <c r="B4072" s="56" t="s">
        <v>937</v>
      </c>
      <c r="C4072" s="47" t="s">
        <v>8720</v>
      </c>
      <c r="D4072" s="47" t="s">
        <v>13235</v>
      </c>
      <c r="E4072" s="47" t="s">
        <v>8683</v>
      </c>
      <c r="F4072" s="55" t="b">
        <v>1</v>
      </c>
      <c r="G4072" s="65" t="b">
        <v>0</v>
      </c>
      <c r="H4072" s="54" t="b">
        <v>1</v>
      </c>
      <c r="I4072" s="65" t="b">
        <v>0</v>
      </c>
      <c r="J4072" s="54" t="b">
        <v>1</v>
      </c>
      <c r="K4072" s="63" t="s">
        <v>1119</v>
      </c>
      <c r="L4072" s="63" t="s">
        <v>8720</v>
      </c>
      <c r="M4072" s="63" t="s">
        <v>8721</v>
      </c>
      <c r="N4072" s="63" t="s">
        <v>8683</v>
      </c>
    </row>
    <row r="4073" spans="1:14" x14ac:dyDescent="0.2">
      <c r="A4073" s="51">
        <v>4072</v>
      </c>
      <c r="B4073" s="56" t="s">
        <v>937</v>
      </c>
      <c r="C4073" s="47" t="s">
        <v>8730</v>
      </c>
      <c r="D4073" s="47" t="s">
        <v>13240</v>
      </c>
      <c r="E4073" s="47" t="s">
        <v>1719</v>
      </c>
      <c r="F4073" s="55" t="b">
        <v>1</v>
      </c>
      <c r="G4073" s="65" t="b">
        <v>0</v>
      </c>
      <c r="H4073" s="54" t="b">
        <v>1</v>
      </c>
      <c r="I4073" s="65" t="b">
        <v>0</v>
      </c>
      <c r="J4073" s="65" t="b">
        <v>0</v>
      </c>
      <c r="K4073" s="63" t="s">
        <v>1119</v>
      </c>
      <c r="L4073" s="63" t="s">
        <v>8730</v>
      </c>
      <c r="M4073" s="63" t="s">
        <v>8731</v>
      </c>
      <c r="N4073" s="63" t="s">
        <v>8683</v>
      </c>
    </row>
    <row r="4074" spans="1:14" x14ac:dyDescent="0.2">
      <c r="A4074" s="51">
        <v>4073</v>
      </c>
      <c r="B4074" s="56" t="s">
        <v>937</v>
      </c>
      <c r="C4074" s="47" t="s">
        <v>8748</v>
      </c>
      <c r="D4074" s="47" t="s">
        <v>13249</v>
      </c>
      <c r="E4074" s="47" t="s">
        <v>1790</v>
      </c>
      <c r="F4074" s="55" t="b">
        <v>1</v>
      </c>
      <c r="G4074" s="65" t="b">
        <v>0</v>
      </c>
      <c r="H4074" s="54" t="b">
        <v>1</v>
      </c>
      <c r="I4074" s="65" t="b">
        <v>0</v>
      </c>
      <c r="J4074" s="65" t="b">
        <v>0</v>
      </c>
      <c r="K4074" s="63" t="s">
        <v>1119</v>
      </c>
      <c r="L4074" s="63" t="s">
        <v>8748</v>
      </c>
      <c r="M4074" s="63" t="s">
        <v>8749</v>
      </c>
      <c r="N4074" s="63" t="s">
        <v>8688</v>
      </c>
    </row>
    <row r="4075" spans="1:14" x14ac:dyDescent="0.2">
      <c r="A4075" s="51">
        <v>4074</v>
      </c>
      <c r="B4075" s="56" t="s">
        <v>937</v>
      </c>
      <c r="C4075" s="47" t="s">
        <v>8734</v>
      </c>
      <c r="D4075" s="47" t="s">
        <v>13242</v>
      </c>
      <c r="E4075" s="47" t="s">
        <v>1719</v>
      </c>
      <c r="F4075" s="55" t="b">
        <v>1</v>
      </c>
      <c r="G4075" s="65" t="b">
        <v>0</v>
      </c>
      <c r="H4075" s="54" t="b">
        <v>1</v>
      </c>
      <c r="I4075" s="65" t="b">
        <v>0</v>
      </c>
      <c r="J4075" s="65" t="b">
        <v>0</v>
      </c>
      <c r="K4075" s="63" t="s">
        <v>1119</v>
      </c>
      <c r="L4075" s="63" t="s">
        <v>8734</v>
      </c>
      <c r="M4075" s="63" t="s">
        <v>8735</v>
      </c>
      <c r="N4075" s="63" t="s">
        <v>4630</v>
      </c>
    </row>
    <row r="4076" spans="1:14" x14ac:dyDescent="0.2">
      <c r="A4076" s="51">
        <v>4075</v>
      </c>
      <c r="B4076" s="56" t="s">
        <v>937</v>
      </c>
      <c r="C4076" s="47" t="s">
        <v>8722</v>
      </c>
      <c r="D4076" s="47" t="s">
        <v>13236</v>
      </c>
      <c r="E4076" s="47" t="s">
        <v>1719</v>
      </c>
      <c r="F4076" s="55" t="b">
        <v>1</v>
      </c>
      <c r="G4076" s="65" t="b">
        <v>0</v>
      </c>
      <c r="H4076" s="54" t="b">
        <v>1</v>
      </c>
      <c r="I4076" s="65" t="b">
        <v>0</v>
      </c>
      <c r="J4076" s="65" t="b">
        <v>0</v>
      </c>
      <c r="K4076" s="63" t="s">
        <v>1119</v>
      </c>
      <c r="L4076" s="63" t="s">
        <v>8722</v>
      </c>
      <c r="M4076" s="63" t="s">
        <v>8723</v>
      </c>
      <c r="N4076" s="63" t="s">
        <v>4630</v>
      </c>
    </row>
    <row r="4077" spans="1:14" x14ac:dyDescent="0.2">
      <c r="A4077" s="51">
        <v>4076</v>
      </c>
      <c r="B4077" s="56" t="s">
        <v>937</v>
      </c>
      <c r="C4077" s="47" t="s">
        <v>8752</v>
      </c>
      <c r="D4077" s="47" t="s">
        <v>13251</v>
      </c>
      <c r="E4077" s="47" t="s">
        <v>1719</v>
      </c>
      <c r="F4077" s="55" t="b">
        <v>1</v>
      </c>
      <c r="G4077" s="65" t="b">
        <v>0</v>
      </c>
      <c r="H4077" s="54" t="b">
        <v>1</v>
      </c>
      <c r="I4077" s="65" t="b">
        <v>0</v>
      </c>
      <c r="J4077" s="65" t="b">
        <v>0</v>
      </c>
      <c r="K4077" s="63" t="s">
        <v>1119</v>
      </c>
      <c r="L4077" s="63" t="s">
        <v>8752</v>
      </c>
      <c r="M4077" s="63" t="s">
        <v>8753</v>
      </c>
      <c r="N4077" s="63" t="s">
        <v>4630</v>
      </c>
    </row>
    <row r="4078" spans="1:14" x14ac:dyDescent="0.2">
      <c r="A4078" s="51">
        <v>4077</v>
      </c>
      <c r="B4078" s="56" t="s">
        <v>937</v>
      </c>
      <c r="C4078" s="47" t="s">
        <v>8736</v>
      </c>
      <c r="D4078" s="47" t="s">
        <v>13243</v>
      </c>
      <c r="E4078" s="47" t="s">
        <v>1790</v>
      </c>
      <c r="F4078" s="55" t="b">
        <v>1</v>
      </c>
      <c r="G4078" s="65" t="b">
        <v>0</v>
      </c>
      <c r="H4078" s="54" t="b">
        <v>1</v>
      </c>
      <c r="I4078" s="65" t="b">
        <v>0</v>
      </c>
      <c r="J4078" s="65" t="b">
        <v>0</v>
      </c>
      <c r="K4078" s="63" t="s">
        <v>1119</v>
      </c>
      <c r="L4078" s="63" t="s">
        <v>8736</v>
      </c>
      <c r="M4078" s="63" t="s">
        <v>8737</v>
      </c>
      <c r="N4078" s="63" t="s">
        <v>8688</v>
      </c>
    </row>
    <row r="4079" spans="1:14" x14ac:dyDescent="0.2">
      <c r="A4079" s="51">
        <v>4078</v>
      </c>
      <c r="B4079" s="56" t="s">
        <v>937</v>
      </c>
      <c r="C4079" s="47" t="s">
        <v>8740</v>
      </c>
      <c r="D4079" s="47" t="s">
        <v>13245</v>
      </c>
      <c r="E4079" s="47" t="s">
        <v>3322</v>
      </c>
      <c r="F4079" s="55" t="b">
        <v>1</v>
      </c>
      <c r="G4079" s="65" t="b">
        <v>0</v>
      </c>
      <c r="H4079" s="54" t="b">
        <v>1</v>
      </c>
      <c r="I4079" s="65" t="b">
        <v>0</v>
      </c>
      <c r="J4079" s="65" t="b">
        <v>0</v>
      </c>
      <c r="K4079" s="63" t="s">
        <v>1119</v>
      </c>
      <c r="L4079" s="63" t="s">
        <v>8740</v>
      </c>
      <c r="M4079" s="63" t="s">
        <v>8741</v>
      </c>
      <c r="N4079" s="63" t="s">
        <v>8709</v>
      </c>
    </row>
    <row r="4080" spans="1:14" x14ac:dyDescent="0.2">
      <c r="A4080" s="51">
        <v>4079</v>
      </c>
      <c r="B4080" s="56" t="s">
        <v>937</v>
      </c>
      <c r="C4080" s="47" t="s">
        <v>8742</v>
      </c>
      <c r="D4080" s="47" t="s">
        <v>13246</v>
      </c>
      <c r="E4080" s="47" t="s">
        <v>1719</v>
      </c>
      <c r="F4080" s="55" t="b">
        <v>1</v>
      </c>
      <c r="G4080" s="65" t="b">
        <v>0</v>
      </c>
      <c r="H4080" s="54" t="b">
        <v>1</v>
      </c>
      <c r="I4080" s="65" t="b">
        <v>0</v>
      </c>
      <c r="J4080" s="65" t="b">
        <v>0</v>
      </c>
      <c r="K4080" s="63" t="s">
        <v>1119</v>
      </c>
      <c r="L4080" s="63" t="s">
        <v>8742</v>
      </c>
      <c r="M4080" s="63" t="s">
        <v>8743</v>
      </c>
      <c r="N4080" s="63" t="s">
        <v>4630</v>
      </c>
    </row>
    <row r="4081" spans="1:14" x14ac:dyDescent="0.2">
      <c r="A4081" s="51">
        <v>4080</v>
      </c>
      <c r="B4081" s="56" t="s">
        <v>937</v>
      </c>
      <c r="C4081" s="47" t="s">
        <v>8738</v>
      </c>
      <c r="D4081" s="47" t="s">
        <v>13244</v>
      </c>
      <c r="E4081" s="47" t="s">
        <v>8683</v>
      </c>
      <c r="F4081" s="55" t="b">
        <v>1</v>
      </c>
      <c r="G4081" s="65" t="b">
        <v>0</v>
      </c>
      <c r="H4081" s="54" t="b">
        <v>1</v>
      </c>
      <c r="I4081" s="65" t="b">
        <v>0</v>
      </c>
      <c r="J4081" s="54" t="b">
        <v>1</v>
      </c>
      <c r="K4081" s="63" t="s">
        <v>1119</v>
      </c>
      <c r="L4081" s="63" t="s">
        <v>8738</v>
      </c>
      <c r="M4081" s="63" t="s">
        <v>8739</v>
      </c>
      <c r="N4081" s="63" t="s">
        <v>8683</v>
      </c>
    </row>
    <row r="4082" spans="1:14" x14ac:dyDescent="0.2">
      <c r="A4082" s="51">
        <v>4081</v>
      </c>
      <c r="B4082" s="56" t="s">
        <v>937</v>
      </c>
      <c r="C4082" s="47" t="s">
        <v>8724</v>
      </c>
      <c r="D4082" s="47" t="s">
        <v>13237</v>
      </c>
      <c r="E4082" s="47" t="s">
        <v>8683</v>
      </c>
      <c r="F4082" s="55" t="b">
        <v>1</v>
      </c>
      <c r="G4082" s="65" t="b">
        <v>0</v>
      </c>
      <c r="H4082" s="54" t="b">
        <v>1</v>
      </c>
      <c r="I4082" s="65" t="b">
        <v>0</v>
      </c>
      <c r="J4082" s="54" t="b">
        <v>1</v>
      </c>
      <c r="K4082" s="63" t="s">
        <v>1119</v>
      </c>
      <c r="L4082" s="63" t="s">
        <v>8724</v>
      </c>
      <c r="M4082" s="63" t="s">
        <v>8725</v>
      </c>
      <c r="N4082" s="63" t="s">
        <v>8683</v>
      </c>
    </row>
    <row r="4083" spans="1:14" x14ac:dyDescent="0.2">
      <c r="A4083" s="51">
        <v>4082</v>
      </c>
      <c r="B4083" s="56" t="s">
        <v>937</v>
      </c>
      <c r="C4083" s="47" t="s">
        <v>8726</v>
      </c>
      <c r="D4083" s="47" t="s">
        <v>13238</v>
      </c>
      <c r="E4083" s="47" t="s">
        <v>1719</v>
      </c>
      <c r="F4083" s="55" t="b">
        <v>1</v>
      </c>
      <c r="G4083" s="65" t="b">
        <v>0</v>
      </c>
      <c r="H4083" s="54" t="b">
        <v>1</v>
      </c>
      <c r="I4083" s="65" t="b">
        <v>0</v>
      </c>
      <c r="J4083" s="65" t="b">
        <v>0</v>
      </c>
      <c r="K4083" s="63" t="s">
        <v>1119</v>
      </c>
      <c r="L4083" s="63" t="s">
        <v>8726</v>
      </c>
      <c r="M4083" s="63" t="s">
        <v>8727</v>
      </c>
      <c r="N4083" s="63" t="s">
        <v>4630</v>
      </c>
    </row>
    <row r="4084" spans="1:14" x14ac:dyDescent="0.2">
      <c r="A4084" s="51">
        <v>4083</v>
      </c>
      <c r="B4084" s="56" t="s">
        <v>937</v>
      </c>
      <c r="C4084" s="47" t="s">
        <v>8744</v>
      </c>
      <c r="D4084" s="47" t="s">
        <v>13247</v>
      </c>
      <c r="E4084" s="47" t="s">
        <v>8683</v>
      </c>
      <c r="F4084" s="55" t="b">
        <v>1</v>
      </c>
      <c r="G4084" s="65" t="b">
        <v>0</v>
      </c>
      <c r="H4084" s="54" t="b">
        <v>1</v>
      </c>
      <c r="I4084" s="65" t="b">
        <v>0</v>
      </c>
      <c r="J4084" s="54" t="b">
        <v>1</v>
      </c>
      <c r="K4084" s="63" t="s">
        <v>1119</v>
      </c>
      <c r="L4084" s="63" t="s">
        <v>8744</v>
      </c>
      <c r="M4084" s="63" t="s">
        <v>8745</v>
      </c>
      <c r="N4084" s="63" t="s">
        <v>8683</v>
      </c>
    </row>
    <row r="4085" spans="1:14" x14ac:dyDescent="0.2">
      <c r="A4085" s="51">
        <v>4084</v>
      </c>
      <c r="B4085" s="56" t="s">
        <v>937</v>
      </c>
      <c r="C4085" s="47" t="s">
        <v>8746</v>
      </c>
      <c r="D4085" s="47" t="s">
        <v>13248</v>
      </c>
      <c r="E4085" s="47" t="s">
        <v>1719</v>
      </c>
      <c r="F4085" s="55" t="b">
        <v>1</v>
      </c>
      <c r="G4085" s="65" t="b">
        <v>0</v>
      </c>
      <c r="H4085" s="54" t="b">
        <v>1</v>
      </c>
      <c r="I4085" s="65" t="b">
        <v>0</v>
      </c>
      <c r="J4085" s="65" t="b">
        <v>0</v>
      </c>
      <c r="K4085" s="63" t="s">
        <v>1119</v>
      </c>
      <c r="L4085" s="63" t="s">
        <v>8746</v>
      </c>
      <c r="M4085" s="63" t="s">
        <v>8747</v>
      </c>
      <c r="N4085" s="63" t="s">
        <v>4630</v>
      </c>
    </row>
    <row r="4086" spans="1:14" x14ac:dyDescent="0.2">
      <c r="A4086" s="51">
        <v>4085</v>
      </c>
      <c r="B4086" s="56" t="s">
        <v>937</v>
      </c>
      <c r="C4086" s="47" t="s">
        <v>8732</v>
      </c>
      <c r="D4086" s="47" t="s">
        <v>13241</v>
      </c>
      <c r="E4086" s="47" t="s">
        <v>8683</v>
      </c>
      <c r="F4086" s="55" t="b">
        <v>1</v>
      </c>
      <c r="G4086" s="65" t="b">
        <v>0</v>
      </c>
      <c r="H4086" s="54" t="b">
        <v>1</v>
      </c>
      <c r="I4086" s="65" t="b">
        <v>0</v>
      </c>
      <c r="J4086" s="54" t="b">
        <v>1</v>
      </c>
      <c r="K4086" s="63" t="s">
        <v>1119</v>
      </c>
      <c r="L4086" s="63" t="s">
        <v>8732</v>
      </c>
      <c r="M4086" s="63" t="s">
        <v>8733</v>
      </c>
      <c r="N4086" s="63" t="s">
        <v>8683</v>
      </c>
    </row>
    <row r="4087" spans="1:14" x14ac:dyDescent="0.2">
      <c r="A4087" s="51">
        <v>4086</v>
      </c>
      <c r="B4087" s="56" t="s">
        <v>937</v>
      </c>
      <c r="C4087" s="47" t="s">
        <v>8754</v>
      </c>
      <c r="D4087" s="47" t="s">
        <v>13252</v>
      </c>
      <c r="E4087" s="47" t="s">
        <v>1719</v>
      </c>
      <c r="F4087" s="55" t="b">
        <v>1</v>
      </c>
      <c r="G4087" s="65" t="b">
        <v>0</v>
      </c>
      <c r="H4087" s="54" t="b">
        <v>1</v>
      </c>
      <c r="I4087" s="65" t="b">
        <v>0</v>
      </c>
      <c r="J4087" s="65" t="b">
        <v>0</v>
      </c>
      <c r="K4087" s="63" t="s">
        <v>1119</v>
      </c>
      <c r="L4087" s="63" t="s">
        <v>8754</v>
      </c>
      <c r="M4087" s="63" t="s">
        <v>8755</v>
      </c>
      <c r="N4087" s="63" t="s">
        <v>4630</v>
      </c>
    </row>
    <row r="4088" spans="1:14" x14ac:dyDescent="0.2">
      <c r="A4088" s="51">
        <v>4087</v>
      </c>
      <c r="B4088" s="56" t="s">
        <v>937</v>
      </c>
      <c r="C4088" s="47" t="s">
        <v>8750</v>
      </c>
      <c r="D4088" s="47" t="s">
        <v>13250</v>
      </c>
      <c r="E4088" s="47" t="s">
        <v>1790</v>
      </c>
      <c r="F4088" s="55" t="b">
        <v>1</v>
      </c>
      <c r="G4088" s="65" t="b">
        <v>0</v>
      </c>
      <c r="H4088" s="54" t="b">
        <v>1</v>
      </c>
      <c r="I4088" s="65" t="b">
        <v>0</v>
      </c>
      <c r="J4088" s="65" t="b">
        <v>0</v>
      </c>
      <c r="K4088" s="63" t="s">
        <v>1119</v>
      </c>
      <c r="L4088" s="63" t="s">
        <v>8750</v>
      </c>
      <c r="M4088" s="63" t="s">
        <v>8751</v>
      </c>
      <c r="N4088" s="63" t="s">
        <v>8688</v>
      </c>
    </row>
    <row r="4089" spans="1:14" x14ac:dyDescent="0.2">
      <c r="A4089" s="51">
        <v>4088</v>
      </c>
      <c r="B4089" s="56" t="s">
        <v>937</v>
      </c>
      <c r="C4089" s="47" t="s">
        <v>8756</v>
      </c>
      <c r="D4089" s="47" t="s">
        <v>13253</v>
      </c>
      <c r="E4089" s="47" t="s">
        <v>1719</v>
      </c>
      <c r="F4089" s="55" t="b">
        <v>1</v>
      </c>
      <c r="G4089" s="65" t="b">
        <v>0</v>
      </c>
      <c r="H4089" s="54" t="b">
        <v>1</v>
      </c>
      <c r="I4089" s="65" t="b">
        <v>0</v>
      </c>
      <c r="J4089" s="65" t="b">
        <v>0</v>
      </c>
      <c r="K4089" s="63" t="s">
        <v>1119</v>
      </c>
      <c r="L4089" s="63" t="s">
        <v>8756</v>
      </c>
      <c r="M4089" s="63" t="s">
        <v>8757</v>
      </c>
      <c r="N4089" s="63" t="s">
        <v>4630</v>
      </c>
    </row>
    <row r="4090" spans="1:14" x14ac:dyDescent="0.2">
      <c r="A4090" s="51">
        <v>4089</v>
      </c>
      <c r="B4090" s="56" t="s">
        <v>937</v>
      </c>
      <c r="C4090" s="47" t="s">
        <v>8758</v>
      </c>
      <c r="D4090" s="47" t="s">
        <v>13254</v>
      </c>
      <c r="E4090" s="47" t="s">
        <v>1719</v>
      </c>
      <c r="F4090" s="55" t="b">
        <v>1</v>
      </c>
      <c r="G4090" s="65" t="b">
        <v>0</v>
      </c>
      <c r="H4090" s="54" t="b">
        <v>1</v>
      </c>
      <c r="I4090" s="65" t="b">
        <v>0</v>
      </c>
      <c r="J4090" s="65" t="b">
        <v>0</v>
      </c>
      <c r="K4090" s="63" t="s">
        <v>1119</v>
      </c>
      <c r="L4090" s="63" t="s">
        <v>8758</v>
      </c>
      <c r="M4090" s="63" t="s">
        <v>8759</v>
      </c>
      <c r="N4090" s="63" t="s">
        <v>4630</v>
      </c>
    </row>
    <row r="4091" spans="1:14" x14ac:dyDescent="0.2">
      <c r="A4091" s="51">
        <v>4090</v>
      </c>
      <c r="B4091" s="56" t="s">
        <v>937</v>
      </c>
      <c r="C4091" s="47" t="s">
        <v>8760</v>
      </c>
      <c r="D4091" s="47" t="s">
        <v>13255</v>
      </c>
      <c r="E4091" s="47" t="s">
        <v>1719</v>
      </c>
      <c r="F4091" s="55" t="b">
        <v>1</v>
      </c>
      <c r="G4091" s="65" t="b">
        <v>0</v>
      </c>
      <c r="H4091" s="54" t="b">
        <v>1</v>
      </c>
      <c r="I4091" s="65" t="b">
        <v>0</v>
      </c>
      <c r="J4091" s="65" t="b">
        <v>0</v>
      </c>
      <c r="K4091" s="63" t="s">
        <v>1119</v>
      </c>
      <c r="L4091" s="63" t="s">
        <v>8760</v>
      </c>
      <c r="M4091" s="63" t="s">
        <v>8761</v>
      </c>
      <c r="N4091" s="63" t="s">
        <v>4630</v>
      </c>
    </row>
    <row r="4092" spans="1:14" x14ac:dyDescent="0.2">
      <c r="A4092" s="51">
        <v>4091</v>
      </c>
      <c r="B4092" s="56" t="s">
        <v>937</v>
      </c>
      <c r="C4092" s="47" t="s">
        <v>8762</v>
      </c>
      <c r="D4092" s="47" t="s">
        <v>13256</v>
      </c>
      <c r="E4092" s="47" t="s">
        <v>8683</v>
      </c>
      <c r="F4092" s="55" t="b">
        <v>1</v>
      </c>
      <c r="G4092" s="65" t="b">
        <v>0</v>
      </c>
      <c r="H4092" s="54" t="b">
        <v>1</v>
      </c>
      <c r="I4092" s="65" t="b">
        <v>0</v>
      </c>
      <c r="J4092" s="54" t="b">
        <v>1</v>
      </c>
      <c r="K4092" s="63" t="s">
        <v>1119</v>
      </c>
      <c r="L4092" s="63" t="s">
        <v>8762</v>
      </c>
      <c r="M4092" s="63" t="s">
        <v>8763</v>
      </c>
      <c r="N4092" s="63" t="s">
        <v>8683</v>
      </c>
    </row>
    <row r="4093" spans="1:14" x14ac:dyDescent="0.2">
      <c r="A4093" s="51">
        <v>4092</v>
      </c>
      <c r="B4093" s="56" t="s">
        <v>937</v>
      </c>
      <c r="C4093" s="47" t="s">
        <v>8764</v>
      </c>
      <c r="D4093" s="47" t="s">
        <v>13257</v>
      </c>
      <c r="E4093" s="47" t="s">
        <v>8683</v>
      </c>
      <c r="F4093" s="55" t="b">
        <v>1</v>
      </c>
      <c r="G4093" s="65" t="b">
        <v>0</v>
      </c>
      <c r="H4093" s="54" t="b">
        <v>1</v>
      </c>
      <c r="I4093" s="65" t="b">
        <v>0</v>
      </c>
      <c r="J4093" s="54" t="b">
        <v>1</v>
      </c>
      <c r="K4093" s="63" t="s">
        <v>1119</v>
      </c>
      <c r="L4093" s="63" t="s">
        <v>8764</v>
      </c>
      <c r="M4093" s="63" t="s">
        <v>8765</v>
      </c>
      <c r="N4093" s="63" t="s">
        <v>8683</v>
      </c>
    </row>
    <row r="4094" spans="1:14" x14ac:dyDescent="0.2">
      <c r="A4094" s="51">
        <v>4093</v>
      </c>
      <c r="B4094" s="56" t="s">
        <v>937</v>
      </c>
      <c r="C4094" s="47" t="s">
        <v>8766</v>
      </c>
      <c r="D4094" s="47" t="s">
        <v>13258</v>
      </c>
      <c r="E4094" s="47" t="s">
        <v>1719</v>
      </c>
      <c r="F4094" s="55" t="b">
        <v>1</v>
      </c>
      <c r="G4094" s="65" t="b">
        <v>0</v>
      </c>
      <c r="H4094" s="54" t="b">
        <v>1</v>
      </c>
      <c r="I4094" s="65" t="b">
        <v>0</v>
      </c>
      <c r="J4094" s="65" t="b">
        <v>0</v>
      </c>
      <c r="K4094" s="63" t="s">
        <v>1119</v>
      </c>
      <c r="L4094" s="63" t="s">
        <v>8766</v>
      </c>
      <c r="M4094" s="63" t="s">
        <v>8767</v>
      </c>
      <c r="N4094" s="63" t="s">
        <v>4630</v>
      </c>
    </row>
    <row r="4095" spans="1:14" x14ac:dyDescent="0.2">
      <c r="A4095" s="51">
        <v>4094</v>
      </c>
      <c r="B4095" s="56" t="s">
        <v>937</v>
      </c>
      <c r="C4095" s="47" t="s">
        <v>8768</v>
      </c>
      <c r="D4095" s="47" t="s">
        <v>8769</v>
      </c>
      <c r="E4095" s="47" t="s">
        <v>2046</v>
      </c>
      <c r="F4095" s="55" t="b">
        <v>1</v>
      </c>
      <c r="G4095" s="65" t="b">
        <v>0</v>
      </c>
      <c r="H4095" s="54" t="b">
        <v>1</v>
      </c>
      <c r="I4095" s="54" t="b">
        <v>1</v>
      </c>
      <c r="J4095" s="65" t="b">
        <v>0</v>
      </c>
      <c r="K4095" s="63" t="s">
        <v>1119</v>
      </c>
      <c r="L4095" s="63" t="s">
        <v>8768</v>
      </c>
      <c r="M4095" s="63" t="s">
        <v>8769</v>
      </c>
      <c r="N4095" s="63" t="s">
        <v>8770</v>
      </c>
    </row>
    <row r="4096" spans="1:14" x14ac:dyDescent="0.2">
      <c r="A4096" s="51">
        <v>4095</v>
      </c>
      <c r="B4096" s="56" t="s">
        <v>937</v>
      </c>
      <c r="C4096" s="47" t="s">
        <v>8771</v>
      </c>
      <c r="D4096" s="47" t="s">
        <v>13259</v>
      </c>
      <c r="E4096" s="47" t="s">
        <v>1719</v>
      </c>
      <c r="F4096" s="55" t="b">
        <v>1</v>
      </c>
      <c r="G4096" s="65" t="b">
        <v>0</v>
      </c>
      <c r="H4096" s="54" t="b">
        <v>1</v>
      </c>
      <c r="I4096" s="65" t="b">
        <v>0</v>
      </c>
      <c r="J4096" s="65" t="b">
        <v>0</v>
      </c>
      <c r="K4096" s="63" t="s">
        <v>1119</v>
      </c>
      <c r="L4096" s="63" t="s">
        <v>8771</v>
      </c>
      <c r="M4096" s="63" t="s">
        <v>8772</v>
      </c>
      <c r="N4096" s="63" t="s">
        <v>4630</v>
      </c>
    </row>
    <row r="4097" spans="1:14" x14ac:dyDescent="0.2">
      <c r="A4097" s="51">
        <v>4096</v>
      </c>
      <c r="B4097" s="56" t="s">
        <v>937</v>
      </c>
      <c r="C4097" s="47" t="s">
        <v>8773</v>
      </c>
      <c r="D4097" s="47" t="s">
        <v>13260</v>
      </c>
      <c r="E4097" s="47" t="s">
        <v>3322</v>
      </c>
      <c r="F4097" s="55" t="b">
        <v>1</v>
      </c>
      <c r="G4097" s="65" t="b">
        <v>0</v>
      </c>
      <c r="H4097" s="54" t="b">
        <v>1</v>
      </c>
      <c r="I4097" s="65" t="b">
        <v>0</v>
      </c>
      <c r="J4097" s="65" t="b">
        <v>0</v>
      </c>
      <c r="K4097" s="63" t="s">
        <v>1119</v>
      </c>
      <c r="L4097" s="63" t="s">
        <v>8773</v>
      </c>
      <c r="M4097" s="63" t="s">
        <v>8774</v>
      </c>
      <c r="N4097" s="63" t="s">
        <v>8709</v>
      </c>
    </row>
    <row r="4098" spans="1:14" x14ac:dyDescent="0.2">
      <c r="A4098" s="51">
        <v>4097</v>
      </c>
      <c r="B4098" s="56" t="s">
        <v>937</v>
      </c>
      <c r="C4098" s="47" t="s">
        <v>8777</v>
      </c>
      <c r="D4098" s="47" t="s">
        <v>13263</v>
      </c>
      <c r="E4098" s="47" t="s">
        <v>1719</v>
      </c>
      <c r="F4098" s="55" t="b">
        <v>1</v>
      </c>
      <c r="G4098" s="65" t="b">
        <v>0</v>
      </c>
      <c r="H4098" s="54" t="b">
        <v>1</v>
      </c>
      <c r="I4098" s="65" t="b">
        <v>0</v>
      </c>
      <c r="J4098" s="65" t="b">
        <v>0</v>
      </c>
      <c r="K4098" s="63" t="s">
        <v>1119</v>
      </c>
      <c r="L4098" s="63" t="s">
        <v>8777</v>
      </c>
      <c r="M4098" s="63" t="s">
        <v>8778</v>
      </c>
      <c r="N4098" s="63" t="s">
        <v>4630</v>
      </c>
    </row>
    <row r="4099" spans="1:14" x14ac:dyDescent="0.2">
      <c r="A4099" s="51">
        <v>4098</v>
      </c>
      <c r="B4099" s="56" t="s">
        <v>937</v>
      </c>
      <c r="C4099" s="47" t="s">
        <v>8775</v>
      </c>
      <c r="D4099" s="47" t="s">
        <v>13261</v>
      </c>
      <c r="E4099" s="47" t="s">
        <v>1719</v>
      </c>
      <c r="F4099" s="55" t="b">
        <v>1</v>
      </c>
      <c r="G4099" s="65" t="b">
        <v>0</v>
      </c>
      <c r="H4099" s="54" t="b">
        <v>1</v>
      </c>
      <c r="I4099" s="65" t="b">
        <v>0</v>
      </c>
      <c r="J4099" s="65" t="b">
        <v>0</v>
      </c>
      <c r="K4099" s="63" t="s">
        <v>1119</v>
      </c>
      <c r="L4099" s="63" t="s">
        <v>8775</v>
      </c>
      <c r="M4099" s="63" t="s">
        <v>8776</v>
      </c>
      <c r="N4099" s="63" t="s">
        <v>4630</v>
      </c>
    </row>
    <row r="4100" spans="1:14" x14ac:dyDescent="0.2">
      <c r="A4100" s="51">
        <v>4099</v>
      </c>
      <c r="B4100" s="56" t="s">
        <v>937</v>
      </c>
      <c r="C4100" s="47" t="s">
        <v>8779</v>
      </c>
      <c r="D4100" s="47" t="s">
        <v>13264</v>
      </c>
      <c r="E4100" s="47" t="s">
        <v>1719</v>
      </c>
      <c r="F4100" s="55" t="b">
        <v>1</v>
      </c>
      <c r="G4100" s="65" t="b">
        <v>0</v>
      </c>
      <c r="H4100" s="54" t="b">
        <v>1</v>
      </c>
      <c r="I4100" s="65" t="b">
        <v>0</v>
      </c>
      <c r="J4100" s="65" t="b">
        <v>0</v>
      </c>
      <c r="K4100" s="63" t="s">
        <v>1119</v>
      </c>
      <c r="L4100" s="63" t="s">
        <v>8779</v>
      </c>
      <c r="M4100" s="63" t="s">
        <v>8780</v>
      </c>
      <c r="N4100" s="63" t="s">
        <v>4630</v>
      </c>
    </row>
    <row r="4101" spans="1:14" x14ac:dyDescent="0.2">
      <c r="A4101" s="51">
        <v>4100</v>
      </c>
      <c r="B4101" s="56" t="s">
        <v>937</v>
      </c>
      <c r="C4101" s="47" t="s">
        <v>8781</v>
      </c>
      <c r="D4101" s="47" t="s">
        <v>13265</v>
      </c>
      <c r="E4101" s="47" t="s">
        <v>1719</v>
      </c>
      <c r="F4101" s="55" t="b">
        <v>1</v>
      </c>
      <c r="G4101" s="65" t="b">
        <v>0</v>
      </c>
      <c r="H4101" s="54" t="b">
        <v>1</v>
      </c>
      <c r="I4101" s="65" t="b">
        <v>0</v>
      </c>
      <c r="J4101" s="65" t="b">
        <v>0</v>
      </c>
      <c r="K4101" s="63" t="s">
        <v>1119</v>
      </c>
      <c r="L4101" s="63" t="s">
        <v>8781</v>
      </c>
      <c r="M4101" s="63" t="s">
        <v>8782</v>
      </c>
      <c r="N4101" s="63" t="s">
        <v>4630</v>
      </c>
    </row>
    <row r="4102" spans="1:14" x14ac:dyDescent="0.2">
      <c r="A4102" s="51">
        <v>4101</v>
      </c>
      <c r="B4102" s="56" t="s">
        <v>937</v>
      </c>
      <c r="C4102" s="47" t="s">
        <v>8783</v>
      </c>
      <c r="D4102" s="47" t="s">
        <v>13266</v>
      </c>
      <c r="E4102" s="47" t="s">
        <v>1719</v>
      </c>
      <c r="F4102" s="55" t="b">
        <v>1</v>
      </c>
      <c r="G4102" s="65" t="b">
        <v>0</v>
      </c>
      <c r="H4102" s="54" t="b">
        <v>1</v>
      </c>
      <c r="I4102" s="65" t="b">
        <v>0</v>
      </c>
      <c r="J4102" s="65" t="b">
        <v>0</v>
      </c>
      <c r="K4102" s="63" t="s">
        <v>1119</v>
      </c>
      <c r="L4102" s="63" t="s">
        <v>8783</v>
      </c>
      <c r="M4102" s="63" t="s">
        <v>8784</v>
      </c>
      <c r="N4102" s="63" t="s">
        <v>4630</v>
      </c>
    </row>
    <row r="4103" spans="1:14" x14ac:dyDescent="0.2">
      <c r="A4103" s="51">
        <v>4102</v>
      </c>
      <c r="B4103" s="56" t="s">
        <v>937</v>
      </c>
      <c r="C4103" s="47" t="s">
        <v>8785</v>
      </c>
      <c r="D4103" s="47" t="s">
        <v>13267</v>
      </c>
      <c r="E4103" s="47" t="s">
        <v>1719</v>
      </c>
      <c r="F4103" s="55" t="b">
        <v>1</v>
      </c>
      <c r="G4103" s="65" t="b">
        <v>0</v>
      </c>
      <c r="H4103" s="54" t="b">
        <v>1</v>
      </c>
      <c r="I4103" s="65" t="b">
        <v>0</v>
      </c>
      <c r="J4103" s="65" t="b">
        <v>0</v>
      </c>
      <c r="K4103" s="63" t="s">
        <v>1119</v>
      </c>
      <c r="L4103" s="63" t="s">
        <v>8785</v>
      </c>
      <c r="M4103" s="63" t="s">
        <v>8786</v>
      </c>
      <c r="N4103" s="63" t="s">
        <v>4630</v>
      </c>
    </row>
    <row r="4104" spans="1:14" x14ac:dyDescent="0.2">
      <c r="A4104" s="51">
        <v>4103</v>
      </c>
      <c r="B4104" s="56" t="s">
        <v>937</v>
      </c>
      <c r="C4104" s="47" t="s">
        <v>8789</v>
      </c>
      <c r="D4104" s="47" t="s">
        <v>13269</v>
      </c>
      <c r="E4104" s="47" t="s">
        <v>1790</v>
      </c>
      <c r="F4104" s="55" t="b">
        <v>1</v>
      </c>
      <c r="G4104" s="65" t="b">
        <v>0</v>
      </c>
      <c r="H4104" s="54" t="b">
        <v>1</v>
      </c>
      <c r="I4104" s="65" t="b">
        <v>0</v>
      </c>
      <c r="J4104" s="65" t="b">
        <v>0</v>
      </c>
      <c r="K4104" s="63" t="s">
        <v>1119</v>
      </c>
      <c r="L4104" s="63" t="s">
        <v>8789</v>
      </c>
      <c r="M4104" s="63" t="s">
        <v>8790</v>
      </c>
      <c r="N4104" s="63" t="s">
        <v>8688</v>
      </c>
    </row>
    <row r="4105" spans="1:14" x14ac:dyDescent="0.2">
      <c r="A4105" s="51">
        <v>4104</v>
      </c>
      <c r="B4105" s="56" t="s">
        <v>937</v>
      </c>
      <c r="C4105" s="47" t="s">
        <v>8787</v>
      </c>
      <c r="D4105" s="47" t="s">
        <v>13268</v>
      </c>
      <c r="E4105" s="47" t="s">
        <v>1719</v>
      </c>
      <c r="F4105" s="55" t="b">
        <v>1</v>
      </c>
      <c r="G4105" s="65" t="b">
        <v>0</v>
      </c>
      <c r="H4105" s="54" t="b">
        <v>1</v>
      </c>
      <c r="I4105" s="65" t="b">
        <v>0</v>
      </c>
      <c r="J4105" s="65" t="b">
        <v>0</v>
      </c>
      <c r="K4105" s="63" t="s">
        <v>1119</v>
      </c>
      <c r="L4105" s="63" t="s">
        <v>8787</v>
      </c>
      <c r="M4105" s="63" t="s">
        <v>8788</v>
      </c>
      <c r="N4105" s="63" t="s">
        <v>4630</v>
      </c>
    </row>
    <row r="4106" spans="1:14" x14ac:dyDescent="0.2">
      <c r="A4106" s="51">
        <v>4105</v>
      </c>
      <c r="B4106" s="56" t="s">
        <v>937</v>
      </c>
      <c r="C4106" s="47" t="s">
        <v>8791</v>
      </c>
      <c r="D4106" s="47" t="s">
        <v>13270</v>
      </c>
      <c r="E4106" s="47" t="s">
        <v>1790</v>
      </c>
      <c r="F4106" s="55" t="b">
        <v>1</v>
      </c>
      <c r="G4106" s="65" t="b">
        <v>0</v>
      </c>
      <c r="H4106" s="54" t="b">
        <v>1</v>
      </c>
      <c r="I4106" s="65" t="b">
        <v>0</v>
      </c>
      <c r="J4106" s="65" t="b">
        <v>0</v>
      </c>
      <c r="K4106" s="63" t="s">
        <v>1119</v>
      </c>
      <c r="L4106" s="63" t="s">
        <v>8791</v>
      </c>
      <c r="M4106" s="63" t="s">
        <v>8792</v>
      </c>
      <c r="N4106" s="63" t="s">
        <v>8688</v>
      </c>
    </row>
    <row r="4107" spans="1:14" x14ac:dyDescent="0.2">
      <c r="A4107" s="51">
        <v>4106</v>
      </c>
      <c r="B4107" s="56"/>
      <c r="G4107" s="65" t="b">
        <v>0</v>
      </c>
      <c r="H4107" s="65" t="b">
        <v>0</v>
      </c>
      <c r="I4107" s="65" t="b">
        <v>0</v>
      </c>
      <c r="J4107" s="65" t="b">
        <v>0</v>
      </c>
      <c r="K4107" s="63" t="s">
        <v>1119</v>
      </c>
      <c r="L4107" s="63" t="s">
        <v>8791</v>
      </c>
      <c r="M4107" s="63" t="s">
        <v>8793</v>
      </c>
      <c r="N4107" s="63" t="s">
        <v>8688</v>
      </c>
    </row>
    <row r="4108" spans="1:14" x14ac:dyDescent="0.2">
      <c r="A4108" s="51">
        <v>4107</v>
      </c>
      <c r="B4108" s="56" t="s">
        <v>937</v>
      </c>
      <c r="C4108" s="47" t="s">
        <v>8794</v>
      </c>
      <c r="D4108" s="47" t="s">
        <v>13271</v>
      </c>
      <c r="E4108" s="47" t="s">
        <v>1719</v>
      </c>
      <c r="F4108" s="55" t="b">
        <v>1</v>
      </c>
      <c r="G4108" s="65" t="b">
        <v>0</v>
      </c>
      <c r="H4108" s="54" t="b">
        <v>1</v>
      </c>
      <c r="I4108" s="65" t="b">
        <v>0</v>
      </c>
      <c r="J4108" s="65" t="b">
        <v>0</v>
      </c>
      <c r="K4108" s="63" t="s">
        <v>1119</v>
      </c>
      <c r="L4108" s="63" t="s">
        <v>8794</v>
      </c>
      <c r="M4108" s="63" t="s">
        <v>8795</v>
      </c>
      <c r="N4108" s="63" t="s">
        <v>4630</v>
      </c>
    </row>
    <row r="4109" spans="1:14" x14ac:dyDescent="0.2">
      <c r="A4109" s="51">
        <v>4108</v>
      </c>
      <c r="B4109" s="56"/>
      <c r="G4109" s="65" t="b">
        <v>0</v>
      </c>
      <c r="H4109" s="65" t="b">
        <v>0</v>
      </c>
      <c r="I4109" s="65" t="b">
        <v>0</v>
      </c>
      <c r="J4109" s="65" t="b">
        <v>0</v>
      </c>
      <c r="K4109" s="63" t="s">
        <v>1119</v>
      </c>
      <c r="L4109" s="63" t="s">
        <v>8794</v>
      </c>
      <c r="M4109" s="63" t="s">
        <v>8796</v>
      </c>
      <c r="N4109" s="63" t="s">
        <v>4630</v>
      </c>
    </row>
    <row r="4110" spans="1:14" x14ac:dyDescent="0.2">
      <c r="A4110" s="51">
        <v>4109</v>
      </c>
      <c r="B4110" s="56" t="s">
        <v>937</v>
      </c>
      <c r="C4110" s="47" t="s">
        <v>8797</v>
      </c>
      <c r="D4110" s="47" t="s">
        <v>13272</v>
      </c>
      <c r="E4110" s="47" t="s">
        <v>1719</v>
      </c>
      <c r="F4110" s="55" t="b">
        <v>1</v>
      </c>
      <c r="G4110" s="65" t="b">
        <v>0</v>
      </c>
      <c r="H4110" s="54" t="b">
        <v>1</v>
      </c>
      <c r="I4110" s="65" t="b">
        <v>0</v>
      </c>
      <c r="J4110" s="65" t="b">
        <v>0</v>
      </c>
      <c r="K4110" s="63" t="s">
        <v>1119</v>
      </c>
      <c r="L4110" s="63" t="s">
        <v>8797</v>
      </c>
      <c r="M4110" s="63" t="s">
        <v>8798</v>
      </c>
      <c r="N4110" s="63" t="s">
        <v>4630</v>
      </c>
    </row>
    <row r="4111" spans="1:14" x14ac:dyDescent="0.2">
      <c r="A4111" s="51">
        <v>4110</v>
      </c>
      <c r="B4111" s="56"/>
      <c r="G4111" s="65" t="b">
        <v>0</v>
      </c>
      <c r="H4111" s="65" t="b">
        <v>0</v>
      </c>
      <c r="I4111" s="65" t="b">
        <v>0</v>
      </c>
      <c r="J4111" s="65" t="b">
        <v>0</v>
      </c>
      <c r="K4111" s="63" t="s">
        <v>1119</v>
      </c>
      <c r="L4111" s="63" t="s">
        <v>8797</v>
      </c>
      <c r="M4111" s="63" t="s">
        <v>8799</v>
      </c>
      <c r="N4111" s="63" t="s">
        <v>4630</v>
      </c>
    </row>
    <row r="4112" spans="1:14" x14ac:dyDescent="0.2">
      <c r="A4112" s="51">
        <v>4111</v>
      </c>
      <c r="B4112" s="56" t="s">
        <v>937</v>
      </c>
      <c r="C4112" s="47" t="s">
        <v>8800</v>
      </c>
      <c r="D4112" s="47" t="s">
        <v>13273</v>
      </c>
      <c r="E4112" s="47" t="s">
        <v>1719</v>
      </c>
      <c r="F4112" s="55" t="b">
        <v>1</v>
      </c>
      <c r="G4112" s="65" t="b">
        <v>0</v>
      </c>
      <c r="H4112" s="54" t="b">
        <v>1</v>
      </c>
      <c r="I4112" s="65" t="b">
        <v>0</v>
      </c>
      <c r="J4112" s="65" t="b">
        <v>0</v>
      </c>
      <c r="K4112" s="63" t="s">
        <v>1119</v>
      </c>
      <c r="L4112" s="63" t="s">
        <v>8800</v>
      </c>
      <c r="M4112" s="63" t="s">
        <v>8801</v>
      </c>
      <c r="N4112" s="63" t="s">
        <v>4630</v>
      </c>
    </row>
    <row r="4113" spans="1:14" x14ac:dyDescent="0.2">
      <c r="A4113" s="51">
        <v>4112</v>
      </c>
      <c r="B4113" s="56" t="s">
        <v>937</v>
      </c>
      <c r="C4113" s="47" t="s">
        <v>8802</v>
      </c>
      <c r="D4113" s="47" t="s">
        <v>13274</v>
      </c>
      <c r="E4113" s="47" t="s">
        <v>8683</v>
      </c>
      <c r="F4113" s="55" t="b">
        <v>1</v>
      </c>
      <c r="G4113" s="65" t="b">
        <v>0</v>
      </c>
      <c r="H4113" s="54" t="b">
        <v>1</v>
      </c>
      <c r="I4113" s="65" t="b">
        <v>0</v>
      </c>
      <c r="J4113" s="54" t="b">
        <v>1</v>
      </c>
      <c r="K4113" s="63" t="s">
        <v>1119</v>
      </c>
      <c r="L4113" s="63" t="s">
        <v>8802</v>
      </c>
      <c r="M4113" s="63" t="s">
        <v>8803</v>
      </c>
      <c r="N4113" s="63" t="s">
        <v>8683</v>
      </c>
    </row>
    <row r="4114" spans="1:14" x14ac:dyDescent="0.2">
      <c r="A4114" s="51">
        <v>4113</v>
      </c>
      <c r="B4114" s="56" t="s">
        <v>937</v>
      </c>
      <c r="C4114" s="47" t="s">
        <v>8804</v>
      </c>
      <c r="D4114" s="47" t="s">
        <v>13275</v>
      </c>
      <c r="E4114" s="47" t="s">
        <v>1719</v>
      </c>
      <c r="F4114" s="55" t="b">
        <v>1</v>
      </c>
      <c r="G4114" s="65" t="b">
        <v>0</v>
      </c>
      <c r="H4114" s="54" t="b">
        <v>1</v>
      </c>
      <c r="I4114" s="65" t="b">
        <v>0</v>
      </c>
      <c r="J4114" s="65" t="b">
        <v>0</v>
      </c>
      <c r="K4114" s="63" t="s">
        <v>1119</v>
      </c>
      <c r="L4114" s="63" t="s">
        <v>8804</v>
      </c>
      <c r="M4114" s="63" t="s">
        <v>8805</v>
      </c>
      <c r="N4114" s="63" t="s">
        <v>4630</v>
      </c>
    </row>
    <row r="4115" spans="1:14" x14ac:dyDescent="0.2">
      <c r="A4115" s="51">
        <v>4114</v>
      </c>
      <c r="B4115" s="56" t="s">
        <v>937</v>
      </c>
      <c r="C4115" s="47" t="s">
        <v>8806</v>
      </c>
      <c r="D4115" s="47" t="s">
        <v>13276</v>
      </c>
      <c r="E4115" s="47" t="s">
        <v>1719</v>
      </c>
      <c r="F4115" s="55" t="b">
        <v>1</v>
      </c>
      <c r="G4115" s="65" t="b">
        <v>0</v>
      </c>
      <c r="H4115" s="54" t="b">
        <v>1</v>
      </c>
      <c r="I4115" s="65" t="b">
        <v>0</v>
      </c>
      <c r="J4115" s="65" t="b">
        <v>0</v>
      </c>
      <c r="K4115" s="63" t="s">
        <v>1119</v>
      </c>
      <c r="L4115" s="63" t="s">
        <v>8806</v>
      </c>
      <c r="M4115" s="63" t="s">
        <v>8807</v>
      </c>
      <c r="N4115" s="63" t="s">
        <v>4630</v>
      </c>
    </row>
    <row r="4116" spans="1:14" x14ac:dyDescent="0.2">
      <c r="A4116" s="51">
        <v>4115</v>
      </c>
      <c r="B4116" s="56" t="s">
        <v>937</v>
      </c>
      <c r="C4116" s="47" t="s">
        <v>8810</v>
      </c>
      <c r="D4116" s="47" t="s">
        <v>13277</v>
      </c>
      <c r="E4116" s="47" t="s">
        <v>1719</v>
      </c>
      <c r="F4116" s="55" t="b">
        <v>1</v>
      </c>
      <c r="G4116" s="65" t="b">
        <v>0</v>
      </c>
      <c r="H4116" s="54" t="b">
        <v>1</v>
      </c>
      <c r="I4116" s="65" t="b">
        <v>0</v>
      </c>
      <c r="J4116" s="65" t="b">
        <v>0</v>
      </c>
      <c r="K4116" s="63" t="s">
        <v>1119</v>
      </c>
      <c r="L4116" s="63" t="s">
        <v>8810</v>
      </c>
      <c r="M4116" s="63" t="s">
        <v>8811</v>
      </c>
      <c r="N4116" s="63" t="s">
        <v>4630</v>
      </c>
    </row>
    <row r="4117" spans="1:14" x14ac:dyDescent="0.2">
      <c r="A4117" s="51">
        <v>4116</v>
      </c>
      <c r="B4117" s="56" t="s">
        <v>937</v>
      </c>
      <c r="C4117" s="47" t="s">
        <v>8812</v>
      </c>
      <c r="D4117" s="47" t="s">
        <v>13262</v>
      </c>
      <c r="E4117" s="47" t="s">
        <v>8683</v>
      </c>
      <c r="F4117" s="55" t="b">
        <v>1</v>
      </c>
      <c r="G4117" s="65" t="b">
        <v>0</v>
      </c>
      <c r="H4117" s="54" t="b">
        <v>1</v>
      </c>
      <c r="I4117" s="65" t="b">
        <v>0</v>
      </c>
      <c r="J4117" s="54" t="b">
        <v>1</v>
      </c>
      <c r="K4117" s="63" t="s">
        <v>1119</v>
      </c>
      <c r="L4117" s="63" t="s">
        <v>8812</v>
      </c>
      <c r="M4117" s="63" t="s">
        <v>8813</v>
      </c>
      <c r="N4117" s="63" t="s">
        <v>8683</v>
      </c>
    </row>
    <row r="4118" spans="1:14" x14ac:dyDescent="0.2">
      <c r="A4118" s="51">
        <v>4117</v>
      </c>
      <c r="B4118" s="56" t="s">
        <v>937</v>
      </c>
      <c r="C4118" s="47" t="s">
        <v>8814</v>
      </c>
      <c r="D4118" s="47" t="s">
        <v>13278</v>
      </c>
      <c r="E4118" s="47" t="s">
        <v>1719</v>
      </c>
      <c r="F4118" s="55" t="b">
        <v>1</v>
      </c>
      <c r="G4118" s="65" t="b">
        <v>0</v>
      </c>
      <c r="H4118" s="54" t="b">
        <v>1</v>
      </c>
      <c r="I4118" s="65" t="b">
        <v>0</v>
      </c>
      <c r="J4118" s="65" t="b">
        <v>0</v>
      </c>
      <c r="K4118" s="63" t="s">
        <v>1119</v>
      </c>
      <c r="L4118" s="63" t="s">
        <v>8814</v>
      </c>
      <c r="M4118" s="63" t="s">
        <v>8815</v>
      </c>
      <c r="N4118" s="63" t="s">
        <v>4630</v>
      </c>
    </row>
    <row r="4119" spans="1:14" x14ac:dyDescent="0.2">
      <c r="A4119" s="51">
        <v>4118</v>
      </c>
      <c r="B4119" s="56" t="s">
        <v>937</v>
      </c>
      <c r="C4119" s="47" t="s">
        <v>8808</v>
      </c>
      <c r="D4119" s="47" t="s">
        <v>8809</v>
      </c>
      <c r="E4119" s="47" t="s">
        <v>2046</v>
      </c>
      <c r="F4119" s="55" t="b">
        <v>1</v>
      </c>
      <c r="G4119" s="65" t="b">
        <v>0</v>
      </c>
      <c r="H4119" s="54" t="b">
        <v>1</v>
      </c>
      <c r="I4119" s="54" t="b">
        <v>1</v>
      </c>
      <c r="J4119" s="65" t="b">
        <v>0</v>
      </c>
      <c r="K4119" s="63" t="s">
        <v>1119</v>
      </c>
      <c r="L4119" s="63" t="s">
        <v>8808</v>
      </c>
      <c r="M4119" s="63" t="s">
        <v>8809</v>
      </c>
      <c r="N4119" s="63" t="s">
        <v>8770</v>
      </c>
    </row>
    <row r="4120" spans="1:14" x14ac:dyDescent="0.2">
      <c r="A4120" s="51">
        <v>4119</v>
      </c>
      <c r="B4120" s="56" t="s">
        <v>937</v>
      </c>
      <c r="C4120" s="47" t="s">
        <v>8816</v>
      </c>
      <c r="D4120" s="47" t="s">
        <v>13279</v>
      </c>
      <c r="E4120" s="47" t="s">
        <v>1790</v>
      </c>
      <c r="F4120" s="55" t="b">
        <v>1</v>
      </c>
      <c r="G4120" s="65" t="b">
        <v>0</v>
      </c>
      <c r="H4120" s="54" t="b">
        <v>1</v>
      </c>
      <c r="I4120" s="65" t="b">
        <v>0</v>
      </c>
      <c r="J4120" s="65" t="b">
        <v>0</v>
      </c>
      <c r="K4120" s="63" t="s">
        <v>1119</v>
      </c>
      <c r="L4120" s="63" t="s">
        <v>8816</v>
      </c>
      <c r="M4120" s="63" t="s">
        <v>8817</v>
      </c>
      <c r="N4120" s="63" t="s">
        <v>8688</v>
      </c>
    </row>
    <row r="4121" spans="1:14" x14ac:dyDescent="0.2">
      <c r="A4121" s="51">
        <v>4120</v>
      </c>
      <c r="B4121" s="56" t="s">
        <v>937</v>
      </c>
      <c r="C4121" s="47" t="s">
        <v>8818</v>
      </c>
      <c r="D4121" s="47" t="s">
        <v>13280</v>
      </c>
      <c r="E4121" s="47" t="s">
        <v>1719</v>
      </c>
      <c r="F4121" s="55" t="b">
        <v>1</v>
      </c>
      <c r="G4121" s="65" t="b">
        <v>0</v>
      </c>
      <c r="H4121" s="54" t="b">
        <v>1</v>
      </c>
      <c r="I4121" s="65" t="b">
        <v>0</v>
      </c>
      <c r="J4121" s="65" t="b">
        <v>0</v>
      </c>
      <c r="K4121" s="63" t="s">
        <v>1119</v>
      </c>
      <c r="L4121" s="63" t="s">
        <v>8818</v>
      </c>
      <c r="M4121" s="63" t="s">
        <v>8819</v>
      </c>
      <c r="N4121" s="63" t="s">
        <v>4630</v>
      </c>
    </row>
    <row r="4122" spans="1:14" x14ac:dyDescent="0.2">
      <c r="A4122" s="51">
        <v>4121</v>
      </c>
      <c r="B4122" s="56" t="s">
        <v>937</v>
      </c>
      <c r="C4122" s="47" t="s">
        <v>8822</v>
      </c>
      <c r="D4122" s="47" t="s">
        <v>13282</v>
      </c>
      <c r="E4122" s="47" t="s">
        <v>8683</v>
      </c>
      <c r="F4122" s="55" t="b">
        <v>1</v>
      </c>
      <c r="G4122" s="65" t="b">
        <v>0</v>
      </c>
      <c r="H4122" s="54" t="b">
        <v>1</v>
      </c>
      <c r="I4122" s="65" t="b">
        <v>0</v>
      </c>
      <c r="J4122" s="54" t="b">
        <v>1</v>
      </c>
      <c r="K4122" s="63" t="s">
        <v>1119</v>
      </c>
      <c r="L4122" s="63" t="s">
        <v>8822</v>
      </c>
      <c r="M4122" s="63" t="s">
        <v>8823</v>
      </c>
      <c r="N4122" s="63" t="s">
        <v>8683</v>
      </c>
    </row>
    <row r="4123" spans="1:14" x14ac:dyDescent="0.2">
      <c r="A4123" s="51">
        <v>4122</v>
      </c>
      <c r="B4123" s="56" t="s">
        <v>937</v>
      </c>
      <c r="C4123" s="47" t="s">
        <v>8820</v>
      </c>
      <c r="D4123" s="47" t="s">
        <v>13281</v>
      </c>
      <c r="E4123" s="47" t="s">
        <v>1719</v>
      </c>
      <c r="F4123" s="55" t="b">
        <v>1</v>
      </c>
      <c r="G4123" s="65" t="b">
        <v>0</v>
      </c>
      <c r="H4123" s="54" t="b">
        <v>1</v>
      </c>
      <c r="I4123" s="65" t="b">
        <v>0</v>
      </c>
      <c r="J4123" s="65" t="b">
        <v>0</v>
      </c>
      <c r="K4123" s="63" t="s">
        <v>1119</v>
      </c>
      <c r="L4123" s="63" t="s">
        <v>8820</v>
      </c>
      <c r="M4123" s="63" t="s">
        <v>8821</v>
      </c>
      <c r="N4123" s="63" t="s">
        <v>4630</v>
      </c>
    </row>
    <row r="4124" spans="1:14" x14ac:dyDescent="0.2">
      <c r="A4124" s="51">
        <v>4123</v>
      </c>
      <c r="B4124" s="56" t="s">
        <v>937</v>
      </c>
      <c r="C4124" s="47" t="s">
        <v>8824</v>
      </c>
      <c r="D4124" s="47" t="s">
        <v>13283</v>
      </c>
      <c r="E4124" s="47" t="s">
        <v>1719</v>
      </c>
      <c r="F4124" s="55" t="b">
        <v>1</v>
      </c>
      <c r="G4124" s="65" t="b">
        <v>0</v>
      </c>
      <c r="H4124" s="54" t="b">
        <v>1</v>
      </c>
      <c r="I4124" s="65" t="b">
        <v>0</v>
      </c>
      <c r="J4124" s="65" t="b">
        <v>0</v>
      </c>
      <c r="K4124" s="63" t="s">
        <v>1119</v>
      </c>
      <c r="L4124" s="63" t="s">
        <v>8824</v>
      </c>
      <c r="M4124" s="63" t="s">
        <v>8825</v>
      </c>
      <c r="N4124" s="63" t="s">
        <v>4630</v>
      </c>
    </row>
    <row r="4125" spans="1:14" x14ac:dyDescent="0.2">
      <c r="A4125" s="51">
        <v>4124</v>
      </c>
      <c r="B4125" s="56" t="s">
        <v>937</v>
      </c>
      <c r="C4125" s="47" t="s">
        <v>8826</v>
      </c>
      <c r="D4125" s="47" t="s">
        <v>13284</v>
      </c>
      <c r="E4125" s="47" t="s">
        <v>1719</v>
      </c>
      <c r="F4125" s="55" t="b">
        <v>1</v>
      </c>
      <c r="G4125" s="65" t="b">
        <v>0</v>
      </c>
      <c r="H4125" s="54" t="b">
        <v>1</v>
      </c>
      <c r="I4125" s="65" t="b">
        <v>0</v>
      </c>
      <c r="J4125" s="65" t="b">
        <v>0</v>
      </c>
      <c r="K4125" s="63" t="s">
        <v>1119</v>
      </c>
      <c r="L4125" s="63" t="s">
        <v>8826</v>
      </c>
      <c r="M4125" s="63" t="s">
        <v>8827</v>
      </c>
      <c r="N4125" s="63" t="s">
        <v>4630</v>
      </c>
    </row>
    <row r="4126" spans="1:14" x14ac:dyDescent="0.2">
      <c r="A4126" s="51">
        <v>4125</v>
      </c>
      <c r="B4126" s="56" t="s">
        <v>937</v>
      </c>
      <c r="C4126" s="47" t="s">
        <v>8828</v>
      </c>
      <c r="D4126" s="47" t="s">
        <v>13285</v>
      </c>
      <c r="E4126" s="47" t="s">
        <v>1719</v>
      </c>
      <c r="F4126" s="55" t="b">
        <v>1</v>
      </c>
      <c r="G4126" s="65" t="b">
        <v>0</v>
      </c>
      <c r="H4126" s="54" t="b">
        <v>1</v>
      </c>
      <c r="I4126" s="65" t="b">
        <v>0</v>
      </c>
      <c r="J4126" s="65" t="b">
        <v>0</v>
      </c>
      <c r="K4126" s="63" t="s">
        <v>1119</v>
      </c>
      <c r="L4126" s="63" t="s">
        <v>8828</v>
      </c>
      <c r="M4126" s="63" t="s">
        <v>8829</v>
      </c>
      <c r="N4126" s="63" t="s">
        <v>4630</v>
      </c>
    </row>
    <row r="4127" spans="1:14" x14ac:dyDescent="0.2">
      <c r="A4127" s="51">
        <v>4126</v>
      </c>
      <c r="B4127" s="56" t="s">
        <v>937</v>
      </c>
      <c r="C4127" s="47" t="s">
        <v>8832</v>
      </c>
      <c r="D4127" s="47" t="s">
        <v>13287</v>
      </c>
      <c r="E4127" s="47" t="s">
        <v>8683</v>
      </c>
      <c r="F4127" s="55" t="b">
        <v>1</v>
      </c>
      <c r="G4127" s="65" t="b">
        <v>0</v>
      </c>
      <c r="H4127" s="54" t="b">
        <v>1</v>
      </c>
      <c r="I4127" s="65" t="b">
        <v>0</v>
      </c>
      <c r="J4127" s="54" t="b">
        <v>1</v>
      </c>
      <c r="K4127" s="63" t="s">
        <v>1119</v>
      </c>
      <c r="L4127" s="63" t="s">
        <v>8832</v>
      </c>
      <c r="M4127" s="63" t="s">
        <v>8833</v>
      </c>
      <c r="N4127" s="63" t="s">
        <v>8683</v>
      </c>
    </row>
    <row r="4128" spans="1:14" x14ac:dyDescent="0.2">
      <c r="A4128" s="51">
        <v>4127</v>
      </c>
      <c r="B4128" s="56" t="s">
        <v>937</v>
      </c>
      <c r="C4128" s="47" t="s">
        <v>8830</v>
      </c>
      <c r="D4128" s="47" t="s">
        <v>13286</v>
      </c>
      <c r="E4128" s="47" t="s">
        <v>1719</v>
      </c>
      <c r="F4128" s="55" t="b">
        <v>1</v>
      </c>
      <c r="G4128" s="65" t="b">
        <v>0</v>
      </c>
      <c r="H4128" s="54" t="b">
        <v>1</v>
      </c>
      <c r="I4128" s="65" t="b">
        <v>0</v>
      </c>
      <c r="J4128" s="65" t="b">
        <v>0</v>
      </c>
      <c r="K4128" s="63" t="s">
        <v>1119</v>
      </c>
      <c r="L4128" s="63" t="s">
        <v>8830</v>
      </c>
      <c r="M4128" s="63" t="s">
        <v>8831</v>
      </c>
      <c r="N4128" s="63" t="s">
        <v>4630</v>
      </c>
    </row>
    <row r="4129" spans="1:14" x14ac:dyDescent="0.2">
      <c r="A4129" s="51">
        <v>4128</v>
      </c>
      <c r="B4129" s="56" t="s">
        <v>937</v>
      </c>
      <c r="C4129" s="47" t="s">
        <v>8834</v>
      </c>
      <c r="D4129" s="47" t="s">
        <v>13288</v>
      </c>
      <c r="E4129" s="47" t="s">
        <v>8683</v>
      </c>
      <c r="F4129" s="55" t="b">
        <v>1</v>
      </c>
      <c r="G4129" s="65" t="b">
        <v>0</v>
      </c>
      <c r="H4129" s="54" t="b">
        <v>1</v>
      </c>
      <c r="I4129" s="65" t="b">
        <v>0</v>
      </c>
      <c r="J4129" s="54" t="b">
        <v>1</v>
      </c>
      <c r="K4129" s="63" t="s">
        <v>1119</v>
      </c>
      <c r="L4129" s="63" t="s">
        <v>8834</v>
      </c>
      <c r="M4129" s="63" t="s">
        <v>8835</v>
      </c>
      <c r="N4129" s="63" t="s">
        <v>8683</v>
      </c>
    </row>
    <row r="4130" spans="1:14" x14ac:dyDescent="0.2">
      <c r="A4130" s="51">
        <v>4129</v>
      </c>
      <c r="B4130" s="56" t="s">
        <v>937</v>
      </c>
      <c r="C4130" s="47" t="s">
        <v>8836</v>
      </c>
      <c r="D4130" s="47" t="s">
        <v>13289</v>
      </c>
      <c r="E4130" s="47" t="s">
        <v>1719</v>
      </c>
      <c r="F4130" s="55" t="b">
        <v>1</v>
      </c>
      <c r="G4130" s="65" t="b">
        <v>0</v>
      </c>
      <c r="H4130" s="54" t="b">
        <v>1</v>
      </c>
      <c r="I4130" s="65" t="b">
        <v>0</v>
      </c>
      <c r="J4130" s="65" t="b">
        <v>0</v>
      </c>
      <c r="K4130" s="63" t="s">
        <v>1119</v>
      </c>
      <c r="L4130" s="63" t="s">
        <v>8836</v>
      </c>
      <c r="M4130" s="63" t="s">
        <v>8837</v>
      </c>
      <c r="N4130" s="63" t="s">
        <v>4630</v>
      </c>
    </row>
    <row r="4131" spans="1:14" x14ac:dyDescent="0.2">
      <c r="A4131" s="51">
        <v>4130</v>
      </c>
      <c r="B4131" s="56" t="s">
        <v>937</v>
      </c>
      <c r="C4131" s="47" t="s">
        <v>8840</v>
      </c>
      <c r="D4131" s="47" t="s">
        <v>13291</v>
      </c>
      <c r="E4131" s="47" t="s">
        <v>1719</v>
      </c>
      <c r="F4131" s="55" t="b">
        <v>1</v>
      </c>
      <c r="G4131" s="65" t="b">
        <v>0</v>
      </c>
      <c r="H4131" s="54" t="b">
        <v>1</v>
      </c>
      <c r="I4131" s="65" t="b">
        <v>0</v>
      </c>
      <c r="J4131" s="65" t="b">
        <v>0</v>
      </c>
      <c r="K4131" s="63" t="s">
        <v>1119</v>
      </c>
      <c r="L4131" s="63" t="s">
        <v>8840</v>
      </c>
      <c r="M4131" s="63" t="s">
        <v>8841</v>
      </c>
      <c r="N4131" s="63" t="s">
        <v>4630</v>
      </c>
    </row>
    <row r="4132" spans="1:14" x14ac:dyDescent="0.2">
      <c r="A4132" s="51">
        <v>4131</v>
      </c>
      <c r="B4132" s="56" t="s">
        <v>937</v>
      </c>
      <c r="C4132" s="47" t="s">
        <v>8838</v>
      </c>
      <c r="D4132" s="47" t="s">
        <v>13290</v>
      </c>
      <c r="E4132" s="47" t="s">
        <v>1719</v>
      </c>
      <c r="F4132" s="55" t="b">
        <v>1</v>
      </c>
      <c r="G4132" s="65" t="b">
        <v>0</v>
      </c>
      <c r="H4132" s="54" t="b">
        <v>1</v>
      </c>
      <c r="I4132" s="65" t="b">
        <v>0</v>
      </c>
      <c r="J4132" s="65" t="b">
        <v>0</v>
      </c>
      <c r="K4132" s="63" t="s">
        <v>1119</v>
      </c>
      <c r="L4132" s="63" t="s">
        <v>8838</v>
      </c>
      <c r="M4132" s="63" t="s">
        <v>8839</v>
      </c>
      <c r="N4132" s="63" t="s">
        <v>4630</v>
      </c>
    </row>
    <row r="4133" spans="1:14" x14ac:dyDescent="0.2">
      <c r="A4133" s="51">
        <v>4132</v>
      </c>
      <c r="B4133" s="56" t="s">
        <v>937</v>
      </c>
      <c r="C4133" s="47" t="s">
        <v>8842</v>
      </c>
      <c r="D4133" s="47" t="s">
        <v>13292</v>
      </c>
      <c r="E4133" s="47" t="s">
        <v>1719</v>
      </c>
      <c r="F4133" s="55" t="b">
        <v>1</v>
      </c>
      <c r="G4133" s="65" t="b">
        <v>0</v>
      </c>
      <c r="H4133" s="54" t="b">
        <v>1</v>
      </c>
      <c r="I4133" s="65" t="b">
        <v>0</v>
      </c>
      <c r="J4133" s="65" t="b">
        <v>0</v>
      </c>
      <c r="K4133" s="63" t="s">
        <v>1119</v>
      </c>
      <c r="L4133" s="63" t="s">
        <v>8842</v>
      </c>
      <c r="M4133" s="63" t="s">
        <v>8843</v>
      </c>
      <c r="N4133" s="63" t="s">
        <v>4630</v>
      </c>
    </row>
    <row r="4134" spans="1:14" x14ac:dyDescent="0.2">
      <c r="A4134" s="51">
        <v>4133</v>
      </c>
      <c r="B4134" s="56" t="s">
        <v>937</v>
      </c>
      <c r="C4134" s="47" t="s">
        <v>8844</v>
      </c>
      <c r="D4134" s="47" t="s">
        <v>13293</v>
      </c>
      <c r="E4134" s="47" t="s">
        <v>1719</v>
      </c>
      <c r="F4134" s="55" t="b">
        <v>1</v>
      </c>
      <c r="G4134" s="65" t="b">
        <v>0</v>
      </c>
      <c r="H4134" s="54" t="b">
        <v>1</v>
      </c>
      <c r="I4134" s="65" t="b">
        <v>0</v>
      </c>
      <c r="J4134" s="65" t="b">
        <v>0</v>
      </c>
      <c r="K4134" s="63" t="s">
        <v>1119</v>
      </c>
      <c r="L4134" s="63" t="s">
        <v>8844</v>
      </c>
      <c r="M4134" s="63" t="s">
        <v>8845</v>
      </c>
      <c r="N4134" s="63" t="s">
        <v>4630</v>
      </c>
    </row>
    <row r="4135" spans="1:14" x14ac:dyDescent="0.2">
      <c r="A4135" s="51">
        <v>4134</v>
      </c>
      <c r="B4135" s="56" t="s">
        <v>937</v>
      </c>
      <c r="C4135" s="47" t="s">
        <v>8846</v>
      </c>
      <c r="D4135" s="47" t="s">
        <v>13294</v>
      </c>
      <c r="E4135" s="47" t="s">
        <v>3322</v>
      </c>
      <c r="F4135" s="55" t="b">
        <v>1</v>
      </c>
      <c r="G4135" s="65" t="b">
        <v>0</v>
      </c>
      <c r="H4135" s="54" t="b">
        <v>1</v>
      </c>
      <c r="I4135" s="65" t="b">
        <v>0</v>
      </c>
      <c r="J4135" s="65" t="b">
        <v>0</v>
      </c>
      <c r="K4135" s="63" t="s">
        <v>1119</v>
      </c>
      <c r="L4135" s="63" t="s">
        <v>8846</v>
      </c>
      <c r="M4135" s="63" t="s">
        <v>8847</v>
      </c>
      <c r="N4135" s="63" t="s">
        <v>8709</v>
      </c>
    </row>
    <row r="4136" spans="1:14" x14ac:dyDescent="0.2">
      <c r="A4136" s="51">
        <v>4135</v>
      </c>
      <c r="B4136" s="56" t="s">
        <v>937</v>
      </c>
      <c r="C4136" s="47" t="s">
        <v>8848</v>
      </c>
      <c r="D4136" s="47" t="s">
        <v>13295</v>
      </c>
      <c r="E4136" s="47" t="s">
        <v>1719</v>
      </c>
      <c r="F4136" s="55" t="b">
        <v>1</v>
      </c>
      <c r="G4136" s="65" t="b">
        <v>0</v>
      </c>
      <c r="H4136" s="54" t="b">
        <v>1</v>
      </c>
      <c r="I4136" s="65" t="b">
        <v>0</v>
      </c>
      <c r="J4136" s="65" t="b">
        <v>0</v>
      </c>
      <c r="K4136" s="63" t="s">
        <v>1119</v>
      </c>
      <c r="L4136" s="63" t="s">
        <v>8848</v>
      </c>
      <c r="M4136" s="63" t="s">
        <v>8849</v>
      </c>
      <c r="N4136" s="63" t="s">
        <v>4630</v>
      </c>
    </row>
    <row r="4137" spans="1:14" x14ac:dyDescent="0.2">
      <c r="A4137" s="51">
        <v>4136</v>
      </c>
      <c r="B4137" s="56" t="s">
        <v>937</v>
      </c>
      <c r="C4137" s="47" t="s">
        <v>8850</v>
      </c>
      <c r="D4137" s="47" t="s">
        <v>13296</v>
      </c>
      <c r="E4137" s="47" t="s">
        <v>5165</v>
      </c>
      <c r="F4137" s="55" t="b">
        <v>1</v>
      </c>
      <c r="G4137" s="65" t="b">
        <v>0</v>
      </c>
      <c r="H4137" s="54" t="b">
        <v>1</v>
      </c>
      <c r="I4137" s="65" t="b">
        <v>0</v>
      </c>
      <c r="J4137" s="65" t="b">
        <v>0</v>
      </c>
      <c r="K4137" s="63" t="s">
        <v>1119</v>
      </c>
      <c r="L4137" s="63" t="s">
        <v>8850</v>
      </c>
      <c r="M4137" s="63" t="s">
        <v>8851</v>
      </c>
      <c r="N4137" s="63" t="s">
        <v>3322</v>
      </c>
    </row>
    <row r="4138" spans="1:14" x14ac:dyDescent="0.2">
      <c r="A4138" s="51">
        <v>4137</v>
      </c>
      <c r="B4138" s="56" t="s">
        <v>937</v>
      </c>
      <c r="C4138" s="47" t="s">
        <v>8852</v>
      </c>
      <c r="D4138" s="47" t="s">
        <v>13297</v>
      </c>
      <c r="E4138" s="47" t="s">
        <v>1790</v>
      </c>
      <c r="F4138" s="55" t="b">
        <v>1</v>
      </c>
      <c r="G4138" s="65" t="b">
        <v>0</v>
      </c>
      <c r="H4138" s="54" t="b">
        <v>1</v>
      </c>
      <c r="I4138" s="65" t="b">
        <v>0</v>
      </c>
      <c r="J4138" s="65" t="b">
        <v>0</v>
      </c>
      <c r="K4138" s="63" t="s">
        <v>1119</v>
      </c>
      <c r="L4138" s="63" t="s">
        <v>8852</v>
      </c>
      <c r="M4138" s="63" t="s">
        <v>8853</v>
      </c>
      <c r="N4138" s="63" t="s">
        <v>8688</v>
      </c>
    </row>
    <row r="4139" spans="1:14" x14ac:dyDescent="0.2">
      <c r="A4139" s="51">
        <v>4138</v>
      </c>
      <c r="B4139" s="54" t="s">
        <v>939</v>
      </c>
      <c r="C4139" s="47" t="s">
        <v>8858</v>
      </c>
      <c r="D4139" s="47" t="s">
        <v>13299</v>
      </c>
      <c r="E4139" s="47" t="s">
        <v>2046</v>
      </c>
      <c r="F4139" s="55" t="b">
        <v>1</v>
      </c>
      <c r="G4139" s="54" t="b">
        <v>1</v>
      </c>
      <c r="H4139" s="54" t="b">
        <v>1</v>
      </c>
      <c r="I4139" s="65" t="b">
        <v>0</v>
      </c>
      <c r="J4139" s="65" t="b">
        <v>0</v>
      </c>
      <c r="K4139" s="63" t="s">
        <v>939</v>
      </c>
      <c r="L4139" s="63" t="s">
        <v>8858</v>
      </c>
      <c r="M4139" s="63" t="s">
        <v>8859</v>
      </c>
      <c r="N4139" s="63" t="s">
        <v>8860</v>
      </c>
    </row>
    <row r="4140" spans="1:14" x14ac:dyDescent="0.2">
      <c r="A4140" s="51">
        <v>4139</v>
      </c>
      <c r="G4140" s="65" t="b">
        <v>0</v>
      </c>
      <c r="H4140" s="65" t="b">
        <v>0</v>
      </c>
      <c r="I4140" s="65" t="b">
        <v>0</v>
      </c>
      <c r="J4140" s="65" t="b">
        <v>0</v>
      </c>
      <c r="K4140" s="63" t="s">
        <v>939</v>
      </c>
      <c r="L4140" s="63" t="s">
        <v>8858</v>
      </c>
      <c r="M4140" s="63" t="s">
        <v>8861</v>
      </c>
      <c r="N4140" s="63" t="s">
        <v>8860</v>
      </c>
    </row>
    <row r="4141" spans="1:14" x14ac:dyDescent="0.2">
      <c r="A4141" s="51">
        <v>4140</v>
      </c>
      <c r="B4141" s="54" t="s">
        <v>939</v>
      </c>
      <c r="C4141" s="47" t="s">
        <v>8854</v>
      </c>
      <c r="D4141" s="47" t="s">
        <v>13298</v>
      </c>
      <c r="E4141" s="47" t="s">
        <v>1719</v>
      </c>
      <c r="F4141" s="55" t="b">
        <v>1</v>
      </c>
      <c r="G4141" s="54" t="b">
        <v>1</v>
      </c>
      <c r="H4141" s="54" t="b">
        <v>1</v>
      </c>
      <c r="I4141" s="65" t="b">
        <v>0</v>
      </c>
      <c r="J4141" s="54" t="b">
        <v>1</v>
      </c>
      <c r="K4141" s="63" t="s">
        <v>939</v>
      </c>
      <c r="L4141" s="63" t="s">
        <v>8854</v>
      </c>
      <c r="M4141" s="63" t="s">
        <v>2887</v>
      </c>
      <c r="N4141" s="63" t="s">
        <v>1719</v>
      </c>
    </row>
    <row r="4142" spans="1:14" x14ac:dyDescent="0.2">
      <c r="A4142" s="51">
        <v>4141</v>
      </c>
      <c r="B4142" s="54" t="s">
        <v>939</v>
      </c>
      <c r="C4142" s="47" t="s">
        <v>8855</v>
      </c>
      <c r="D4142" s="47" t="s">
        <v>13300</v>
      </c>
      <c r="E4142" s="47" t="s">
        <v>1719</v>
      </c>
      <c r="F4142" s="55" t="b">
        <v>1</v>
      </c>
      <c r="G4142" s="54" t="b">
        <v>1</v>
      </c>
      <c r="H4142" s="54" t="b">
        <v>1</v>
      </c>
      <c r="I4142" s="65" t="b">
        <v>0</v>
      </c>
      <c r="J4142" s="54" t="b">
        <v>1</v>
      </c>
      <c r="K4142" s="63" t="s">
        <v>939</v>
      </c>
      <c r="L4142" s="63" t="s">
        <v>8855</v>
      </c>
      <c r="M4142" s="63" t="s">
        <v>2929</v>
      </c>
      <c r="N4142" s="63" t="s">
        <v>1719</v>
      </c>
    </row>
    <row r="4143" spans="1:14" x14ac:dyDescent="0.2">
      <c r="A4143" s="51">
        <v>4142</v>
      </c>
      <c r="B4143" s="54" t="s">
        <v>939</v>
      </c>
      <c r="C4143" s="47" t="s">
        <v>8856</v>
      </c>
      <c r="D4143" s="47" t="s">
        <v>13302</v>
      </c>
      <c r="E4143" s="47" t="s">
        <v>1719</v>
      </c>
      <c r="F4143" s="55" t="b">
        <v>1</v>
      </c>
      <c r="G4143" s="54" t="b">
        <v>1</v>
      </c>
      <c r="H4143" s="54" t="b">
        <v>1</v>
      </c>
      <c r="I4143" s="65" t="b">
        <v>0</v>
      </c>
      <c r="J4143" s="54" t="b">
        <v>1</v>
      </c>
      <c r="K4143" s="63" t="s">
        <v>939</v>
      </c>
      <c r="L4143" s="63" t="s">
        <v>8856</v>
      </c>
      <c r="M4143" s="63" t="s">
        <v>3069</v>
      </c>
      <c r="N4143" s="63" t="s">
        <v>1719</v>
      </c>
    </row>
    <row r="4144" spans="1:14" x14ac:dyDescent="0.2">
      <c r="A4144" s="51">
        <v>4143</v>
      </c>
      <c r="B4144" s="54" t="s">
        <v>939</v>
      </c>
      <c r="C4144" s="47" t="s">
        <v>8857</v>
      </c>
      <c r="D4144" s="47" t="s">
        <v>13301</v>
      </c>
      <c r="E4144" s="47" t="s">
        <v>1719</v>
      </c>
      <c r="F4144" s="55" t="b">
        <v>1</v>
      </c>
      <c r="G4144" s="54" t="b">
        <v>1</v>
      </c>
      <c r="H4144" s="54" t="b">
        <v>1</v>
      </c>
      <c r="I4144" s="65" t="b">
        <v>0</v>
      </c>
      <c r="J4144" s="54" t="b">
        <v>1</v>
      </c>
      <c r="K4144" s="63" t="s">
        <v>939</v>
      </c>
      <c r="L4144" s="63" t="s">
        <v>8857</v>
      </c>
      <c r="M4144" s="63" t="s">
        <v>3074</v>
      </c>
      <c r="N4144" s="63" t="s">
        <v>1719</v>
      </c>
    </row>
    <row r="4145" spans="1:14" x14ac:dyDescent="0.2">
      <c r="A4145" s="51">
        <v>4144</v>
      </c>
      <c r="B4145" s="54" t="s">
        <v>1121</v>
      </c>
      <c r="C4145" s="47" t="s">
        <v>8862</v>
      </c>
      <c r="D4145" s="47" t="s">
        <v>8863</v>
      </c>
      <c r="E4145" s="47" t="s">
        <v>13303</v>
      </c>
      <c r="F4145" s="55" t="b">
        <v>1</v>
      </c>
      <c r="G4145" s="54" t="b">
        <v>1</v>
      </c>
      <c r="H4145" s="54" t="b">
        <v>1</v>
      </c>
      <c r="I4145" s="54" t="b">
        <v>1</v>
      </c>
      <c r="J4145" s="65" t="b">
        <v>0</v>
      </c>
      <c r="K4145" s="63" t="s">
        <v>1121</v>
      </c>
      <c r="L4145" s="63" t="s">
        <v>8862</v>
      </c>
      <c r="M4145" s="63" t="s">
        <v>8863</v>
      </c>
      <c r="N4145" s="63" t="s">
        <v>8864</v>
      </c>
    </row>
    <row r="4146" spans="1:14" x14ac:dyDescent="0.2">
      <c r="A4146" s="51">
        <v>4145</v>
      </c>
      <c r="B4146" s="54" t="s">
        <v>1121</v>
      </c>
      <c r="C4146" s="47" t="s">
        <v>8865</v>
      </c>
      <c r="D4146" s="47" t="s">
        <v>8866</v>
      </c>
      <c r="E4146" s="47" t="s">
        <v>2021</v>
      </c>
      <c r="F4146" s="55" t="b">
        <v>1</v>
      </c>
      <c r="G4146" s="54" t="b">
        <v>1</v>
      </c>
      <c r="H4146" s="54" t="b">
        <v>1</v>
      </c>
      <c r="I4146" s="54" t="b">
        <v>1</v>
      </c>
      <c r="J4146" s="65" t="b">
        <v>0</v>
      </c>
      <c r="K4146" s="63" t="s">
        <v>1121</v>
      </c>
      <c r="L4146" s="63" t="s">
        <v>8865</v>
      </c>
      <c r="M4146" s="63" t="s">
        <v>8866</v>
      </c>
      <c r="N4146" s="63" t="s">
        <v>8864</v>
      </c>
    </row>
    <row r="4147" spans="1:14" x14ac:dyDescent="0.2">
      <c r="A4147" s="51">
        <v>4146</v>
      </c>
      <c r="B4147" s="54" t="s">
        <v>1121</v>
      </c>
      <c r="C4147" s="47" t="s">
        <v>8867</v>
      </c>
      <c r="D4147" s="47" t="s">
        <v>8868</v>
      </c>
      <c r="E4147" s="47" t="s">
        <v>2021</v>
      </c>
      <c r="F4147" s="55" t="b">
        <v>1</v>
      </c>
      <c r="G4147" s="54" t="b">
        <v>1</v>
      </c>
      <c r="H4147" s="54" t="b">
        <v>1</v>
      </c>
      <c r="I4147" s="54" t="b">
        <v>1</v>
      </c>
      <c r="J4147" s="65" t="b">
        <v>0</v>
      </c>
      <c r="K4147" s="63" t="s">
        <v>1121</v>
      </c>
      <c r="L4147" s="63" t="s">
        <v>8867</v>
      </c>
      <c r="M4147" s="63" t="s">
        <v>8868</v>
      </c>
      <c r="N4147" s="63" t="s">
        <v>8864</v>
      </c>
    </row>
    <row r="4148" spans="1:14" x14ac:dyDescent="0.2">
      <c r="A4148" s="51">
        <v>4147</v>
      </c>
      <c r="B4148" s="54" t="s">
        <v>945</v>
      </c>
      <c r="C4148" s="47" t="s">
        <v>8869</v>
      </c>
      <c r="D4148" s="47" t="s">
        <v>8870</v>
      </c>
      <c r="E4148" s="47" t="s">
        <v>1970</v>
      </c>
      <c r="F4148" s="55" t="b">
        <v>1</v>
      </c>
      <c r="G4148" s="54" t="b">
        <v>1</v>
      </c>
      <c r="H4148" s="54" t="b">
        <v>1</v>
      </c>
      <c r="I4148" s="54" t="b">
        <v>1</v>
      </c>
      <c r="J4148" s="54" t="b">
        <v>1</v>
      </c>
      <c r="K4148" s="63" t="s">
        <v>945</v>
      </c>
      <c r="L4148" s="63" t="s">
        <v>8869</v>
      </c>
      <c r="M4148" s="63" t="s">
        <v>8870</v>
      </c>
      <c r="N4148" s="63" t="s">
        <v>1970</v>
      </c>
    </row>
    <row r="4149" spans="1:14" x14ac:dyDescent="0.2">
      <c r="A4149" s="51">
        <v>4148</v>
      </c>
      <c r="B4149" s="54" t="s">
        <v>945</v>
      </c>
      <c r="C4149" s="47" t="s">
        <v>8873</v>
      </c>
      <c r="D4149" s="47" t="s">
        <v>8874</v>
      </c>
      <c r="E4149" s="47" t="s">
        <v>1970</v>
      </c>
      <c r="F4149" s="55" t="b">
        <v>1</v>
      </c>
      <c r="G4149" s="54" t="b">
        <v>1</v>
      </c>
      <c r="H4149" s="54" t="b">
        <v>1</v>
      </c>
      <c r="I4149" s="54" t="b">
        <v>1</v>
      </c>
      <c r="J4149" s="54" t="b">
        <v>1</v>
      </c>
      <c r="K4149" s="63" t="s">
        <v>945</v>
      </c>
      <c r="L4149" s="63" t="s">
        <v>8873</v>
      </c>
      <c r="M4149" s="63" t="s">
        <v>8874</v>
      </c>
      <c r="N4149" s="63" t="s">
        <v>1970</v>
      </c>
    </row>
    <row r="4150" spans="1:14" x14ac:dyDescent="0.2">
      <c r="A4150" s="51">
        <v>4149</v>
      </c>
      <c r="B4150" s="54" t="s">
        <v>945</v>
      </c>
      <c r="C4150" s="47" t="s">
        <v>8875</v>
      </c>
      <c r="D4150" s="47" t="s">
        <v>8876</v>
      </c>
      <c r="E4150" s="47" t="s">
        <v>1970</v>
      </c>
      <c r="F4150" s="55" t="b">
        <v>1</v>
      </c>
      <c r="G4150" s="54" t="b">
        <v>1</v>
      </c>
      <c r="H4150" s="54" t="b">
        <v>1</v>
      </c>
      <c r="I4150" s="54" t="b">
        <v>1</v>
      </c>
      <c r="J4150" s="54" t="b">
        <v>1</v>
      </c>
      <c r="K4150" s="63" t="s">
        <v>945</v>
      </c>
      <c r="L4150" s="63" t="s">
        <v>8875</v>
      </c>
      <c r="M4150" s="63" t="s">
        <v>8876</v>
      </c>
      <c r="N4150" s="63" t="s">
        <v>1970</v>
      </c>
    </row>
    <row r="4151" spans="1:14" x14ac:dyDescent="0.2">
      <c r="A4151" s="51">
        <v>4150</v>
      </c>
      <c r="B4151" s="54" t="s">
        <v>945</v>
      </c>
      <c r="C4151" s="47" t="s">
        <v>8877</v>
      </c>
      <c r="D4151" s="47" t="s">
        <v>8878</v>
      </c>
      <c r="E4151" s="47" t="s">
        <v>1970</v>
      </c>
      <c r="F4151" s="55" t="b">
        <v>1</v>
      </c>
      <c r="G4151" s="54" t="b">
        <v>1</v>
      </c>
      <c r="H4151" s="54" t="b">
        <v>1</v>
      </c>
      <c r="I4151" s="54" t="b">
        <v>1</v>
      </c>
      <c r="J4151" s="54" t="b">
        <v>1</v>
      </c>
      <c r="K4151" s="63" t="s">
        <v>945</v>
      </c>
      <c r="L4151" s="63" t="s">
        <v>8877</v>
      </c>
      <c r="M4151" s="63" t="s">
        <v>8878</v>
      </c>
      <c r="N4151" s="63" t="s">
        <v>1970</v>
      </c>
    </row>
    <row r="4152" spans="1:14" x14ac:dyDescent="0.2">
      <c r="A4152" s="51">
        <v>4151</v>
      </c>
      <c r="B4152" s="54" t="s">
        <v>945</v>
      </c>
      <c r="C4152" s="47" t="s">
        <v>8879</v>
      </c>
      <c r="D4152" s="47" t="s">
        <v>8880</v>
      </c>
      <c r="E4152" s="47" t="s">
        <v>1970</v>
      </c>
      <c r="F4152" s="55" t="b">
        <v>1</v>
      </c>
      <c r="G4152" s="54" t="b">
        <v>1</v>
      </c>
      <c r="H4152" s="54" t="b">
        <v>1</v>
      </c>
      <c r="I4152" s="54" t="b">
        <v>1</v>
      </c>
      <c r="J4152" s="54" t="b">
        <v>1</v>
      </c>
      <c r="K4152" s="63" t="s">
        <v>945</v>
      </c>
      <c r="L4152" s="63" t="s">
        <v>8879</v>
      </c>
      <c r="M4152" s="63" t="s">
        <v>8880</v>
      </c>
      <c r="N4152" s="63" t="s">
        <v>1970</v>
      </c>
    </row>
    <row r="4153" spans="1:14" x14ac:dyDescent="0.2">
      <c r="A4153" s="51">
        <v>4152</v>
      </c>
      <c r="B4153" s="54" t="s">
        <v>945</v>
      </c>
      <c r="C4153" s="47" t="s">
        <v>8881</v>
      </c>
      <c r="D4153" s="47" t="s">
        <v>13304</v>
      </c>
      <c r="E4153" s="47" t="s">
        <v>1970</v>
      </c>
      <c r="F4153" s="55" t="b">
        <v>1</v>
      </c>
      <c r="G4153" s="54" t="b">
        <v>1</v>
      </c>
      <c r="H4153" s="54" t="b">
        <v>1</v>
      </c>
      <c r="I4153" s="65" t="b">
        <v>0</v>
      </c>
      <c r="J4153" s="54" t="b">
        <v>1</v>
      </c>
      <c r="K4153" s="63" t="s">
        <v>945</v>
      </c>
      <c r="L4153" s="63" t="s">
        <v>8881</v>
      </c>
      <c r="M4153" s="63" t="s">
        <v>8882</v>
      </c>
      <c r="N4153" s="63" t="s">
        <v>1970</v>
      </c>
    </row>
    <row r="4154" spans="1:14" x14ac:dyDescent="0.2">
      <c r="A4154" s="51">
        <v>4153</v>
      </c>
      <c r="B4154" s="54" t="s">
        <v>945</v>
      </c>
      <c r="C4154" s="47" t="s">
        <v>8883</v>
      </c>
      <c r="D4154" s="47" t="s">
        <v>8884</v>
      </c>
      <c r="E4154" s="47" t="s">
        <v>1970</v>
      </c>
      <c r="F4154" s="55" t="b">
        <v>1</v>
      </c>
      <c r="G4154" s="54" t="b">
        <v>1</v>
      </c>
      <c r="H4154" s="54" t="b">
        <v>1</v>
      </c>
      <c r="I4154" s="54" t="b">
        <v>1</v>
      </c>
      <c r="J4154" s="54" t="b">
        <v>1</v>
      </c>
      <c r="K4154" s="63" t="s">
        <v>945</v>
      </c>
      <c r="L4154" s="63" t="s">
        <v>8883</v>
      </c>
      <c r="M4154" s="63" t="s">
        <v>8884</v>
      </c>
      <c r="N4154" s="63" t="s">
        <v>1970</v>
      </c>
    </row>
    <row r="4155" spans="1:14" x14ac:dyDescent="0.2">
      <c r="A4155" s="51">
        <v>4154</v>
      </c>
      <c r="B4155" s="54" t="s">
        <v>945</v>
      </c>
      <c r="C4155" s="47" t="s">
        <v>8887</v>
      </c>
      <c r="D4155" s="47" t="s">
        <v>8888</v>
      </c>
      <c r="E4155" s="47" t="s">
        <v>1970</v>
      </c>
      <c r="F4155" s="55" t="b">
        <v>1</v>
      </c>
      <c r="G4155" s="54" t="b">
        <v>1</v>
      </c>
      <c r="H4155" s="54" t="b">
        <v>1</v>
      </c>
      <c r="I4155" s="54" t="b">
        <v>1</v>
      </c>
      <c r="J4155" s="54" t="b">
        <v>1</v>
      </c>
      <c r="K4155" s="63" t="s">
        <v>945</v>
      </c>
      <c r="L4155" s="63" t="s">
        <v>8887</v>
      </c>
      <c r="M4155" s="63" t="s">
        <v>8888</v>
      </c>
      <c r="N4155" s="63" t="s">
        <v>1970</v>
      </c>
    </row>
    <row r="4156" spans="1:14" x14ac:dyDescent="0.2">
      <c r="A4156" s="51">
        <v>4155</v>
      </c>
      <c r="B4156" s="54" t="s">
        <v>945</v>
      </c>
      <c r="C4156" s="47" t="s">
        <v>8889</v>
      </c>
      <c r="D4156" s="47" t="s">
        <v>13305</v>
      </c>
      <c r="E4156" s="47" t="s">
        <v>1970</v>
      </c>
      <c r="F4156" s="55" t="b">
        <v>1</v>
      </c>
      <c r="G4156" s="54" t="b">
        <v>1</v>
      </c>
      <c r="H4156" s="54" t="b">
        <v>1</v>
      </c>
      <c r="I4156" s="65" t="b">
        <v>0</v>
      </c>
      <c r="J4156" s="54" t="b">
        <v>1</v>
      </c>
      <c r="K4156" s="63" t="s">
        <v>945</v>
      </c>
      <c r="L4156" s="63" t="s">
        <v>8889</v>
      </c>
      <c r="M4156" s="63" t="s">
        <v>8890</v>
      </c>
      <c r="N4156" s="63" t="s">
        <v>1970</v>
      </c>
    </row>
    <row r="4157" spans="1:14" x14ac:dyDescent="0.2">
      <c r="A4157" s="51">
        <v>4156</v>
      </c>
      <c r="B4157" s="54" t="s">
        <v>945</v>
      </c>
      <c r="C4157" s="47" t="s">
        <v>8891</v>
      </c>
      <c r="D4157" s="47" t="s">
        <v>8892</v>
      </c>
      <c r="E4157" s="47" t="s">
        <v>1970</v>
      </c>
      <c r="F4157" s="55" t="b">
        <v>1</v>
      </c>
      <c r="G4157" s="54" t="b">
        <v>1</v>
      </c>
      <c r="H4157" s="54" t="b">
        <v>1</v>
      </c>
      <c r="I4157" s="54" t="b">
        <v>1</v>
      </c>
      <c r="J4157" s="54" t="b">
        <v>1</v>
      </c>
      <c r="K4157" s="63" t="s">
        <v>945</v>
      </c>
      <c r="L4157" s="63" t="s">
        <v>8891</v>
      </c>
      <c r="M4157" s="63" t="s">
        <v>8892</v>
      </c>
      <c r="N4157" s="63" t="s">
        <v>1970</v>
      </c>
    </row>
    <row r="4158" spans="1:14" x14ac:dyDescent="0.2">
      <c r="A4158" s="51">
        <v>4157</v>
      </c>
      <c r="B4158" s="54" t="s">
        <v>945</v>
      </c>
      <c r="C4158" s="47" t="s">
        <v>8893</v>
      </c>
      <c r="D4158" s="47" t="s">
        <v>8894</v>
      </c>
      <c r="E4158" s="47" t="s">
        <v>1970</v>
      </c>
      <c r="F4158" s="55" t="b">
        <v>1</v>
      </c>
      <c r="G4158" s="54" t="b">
        <v>1</v>
      </c>
      <c r="H4158" s="54" t="b">
        <v>1</v>
      </c>
      <c r="I4158" s="54" t="b">
        <v>1</v>
      </c>
      <c r="J4158" s="54" t="b">
        <v>1</v>
      </c>
      <c r="K4158" s="63" t="s">
        <v>945</v>
      </c>
      <c r="L4158" s="63" t="s">
        <v>8893</v>
      </c>
      <c r="M4158" s="63" t="s">
        <v>8894</v>
      </c>
      <c r="N4158" s="63" t="s">
        <v>1970</v>
      </c>
    </row>
    <row r="4159" spans="1:14" x14ac:dyDescent="0.2">
      <c r="A4159" s="51">
        <v>4158</v>
      </c>
      <c r="B4159" s="54" t="s">
        <v>945</v>
      </c>
      <c r="C4159" s="47" t="s">
        <v>8895</v>
      </c>
      <c r="D4159" s="47" t="s">
        <v>8896</v>
      </c>
      <c r="E4159" s="47" t="s">
        <v>1970</v>
      </c>
      <c r="F4159" s="55" t="b">
        <v>1</v>
      </c>
      <c r="G4159" s="54" t="b">
        <v>1</v>
      </c>
      <c r="H4159" s="54" t="b">
        <v>1</v>
      </c>
      <c r="I4159" s="54" t="b">
        <v>1</v>
      </c>
      <c r="J4159" s="54" t="b">
        <v>1</v>
      </c>
      <c r="K4159" s="63" t="s">
        <v>945</v>
      </c>
      <c r="L4159" s="63" t="s">
        <v>8895</v>
      </c>
      <c r="M4159" s="63" t="s">
        <v>8896</v>
      </c>
      <c r="N4159" s="63" t="s">
        <v>1970</v>
      </c>
    </row>
    <row r="4160" spans="1:14" x14ac:dyDescent="0.2">
      <c r="A4160" s="51">
        <v>4159</v>
      </c>
      <c r="B4160" s="54" t="s">
        <v>945</v>
      </c>
      <c r="C4160" s="47" t="s">
        <v>8897</v>
      </c>
      <c r="D4160" s="47" t="s">
        <v>8898</v>
      </c>
      <c r="E4160" s="47" t="s">
        <v>1970</v>
      </c>
      <c r="F4160" s="55" t="b">
        <v>1</v>
      </c>
      <c r="G4160" s="54" t="b">
        <v>1</v>
      </c>
      <c r="H4160" s="54" t="b">
        <v>1</v>
      </c>
      <c r="I4160" s="54" t="b">
        <v>1</v>
      </c>
      <c r="J4160" s="54" t="b">
        <v>1</v>
      </c>
      <c r="K4160" s="63" t="s">
        <v>945</v>
      </c>
      <c r="L4160" s="63" t="s">
        <v>8897</v>
      </c>
      <c r="M4160" s="63" t="s">
        <v>8898</v>
      </c>
      <c r="N4160" s="63" t="s">
        <v>1970</v>
      </c>
    </row>
    <row r="4161" spans="1:14" x14ac:dyDescent="0.2">
      <c r="A4161" s="51">
        <v>4160</v>
      </c>
      <c r="B4161" s="54" t="s">
        <v>945</v>
      </c>
      <c r="C4161" s="47" t="s">
        <v>8899</v>
      </c>
      <c r="D4161" s="47" t="s">
        <v>8900</v>
      </c>
      <c r="E4161" s="47" t="s">
        <v>1970</v>
      </c>
      <c r="F4161" s="55" t="b">
        <v>1</v>
      </c>
      <c r="G4161" s="54" t="b">
        <v>1</v>
      </c>
      <c r="H4161" s="54" t="b">
        <v>1</v>
      </c>
      <c r="I4161" s="54" t="b">
        <v>1</v>
      </c>
      <c r="J4161" s="54" t="b">
        <v>1</v>
      </c>
      <c r="K4161" s="63" t="s">
        <v>945</v>
      </c>
      <c r="L4161" s="63" t="s">
        <v>8899</v>
      </c>
      <c r="M4161" s="63" t="s">
        <v>8900</v>
      </c>
      <c r="N4161" s="63" t="s">
        <v>1970</v>
      </c>
    </row>
    <row r="4162" spans="1:14" x14ac:dyDescent="0.2">
      <c r="A4162" s="51">
        <v>4161</v>
      </c>
      <c r="B4162" s="54" t="s">
        <v>945</v>
      </c>
      <c r="C4162" s="47" t="s">
        <v>8885</v>
      </c>
      <c r="D4162" s="47" t="s">
        <v>8886</v>
      </c>
      <c r="E4162" s="48" t="s">
        <v>2113</v>
      </c>
      <c r="F4162" s="66" t="b">
        <v>0</v>
      </c>
      <c r="G4162" s="54" t="b">
        <v>1</v>
      </c>
      <c r="H4162" s="54" t="b">
        <v>1</v>
      </c>
      <c r="I4162" s="54" t="b">
        <v>1</v>
      </c>
      <c r="J4162" s="54" t="b">
        <v>1</v>
      </c>
      <c r="K4162" s="63" t="s">
        <v>945</v>
      </c>
      <c r="L4162" s="63" t="s">
        <v>8885</v>
      </c>
      <c r="M4162" s="63" t="s">
        <v>8886</v>
      </c>
      <c r="N4162" s="63" t="s">
        <v>2113</v>
      </c>
    </row>
    <row r="4163" spans="1:14" x14ac:dyDescent="0.2">
      <c r="A4163" s="51">
        <v>4162</v>
      </c>
      <c r="B4163" s="54" t="s">
        <v>945</v>
      </c>
      <c r="C4163" s="47" t="s">
        <v>8871</v>
      </c>
      <c r="D4163" s="47" t="s">
        <v>8872</v>
      </c>
      <c r="E4163" s="48" t="s">
        <v>2113</v>
      </c>
      <c r="F4163" s="66" t="b">
        <v>0</v>
      </c>
      <c r="G4163" s="54" t="b">
        <v>1</v>
      </c>
      <c r="H4163" s="54" t="b">
        <v>1</v>
      </c>
      <c r="I4163" s="54" t="b">
        <v>1</v>
      </c>
      <c r="J4163" s="54" t="b">
        <v>1</v>
      </c>
      <c r="K4163" s="63" t="s">
        <v>945</v>
      </c>
      <c r="L4163" s="63" t="s">
        <v>8871</v>
      </c>
      <c r="M4163" s="63" t="s">
        <v>8872</v>
      </c>
      <c r="N4163" s="63" t="s">
        <v>2113</v>
      </c>
    </row>
    <row r="4164" spans="1:14" x14ac:dyDescent="0.2">
      <c r="A4164" s="51">
        <v>4163</v>
      </c>
      <c r="B4164" s="54" t="s">
        <v>947</v>
      </c>
      <c r="C4164" s="47" t="s">
        <v>8901</v>
      </c>
      <c r="D4164" s="47" t="s">
        <v>13306</v>
      </c>
      <c r="E4164" s="47" t="s">
        <v>1790</v>
      </c>
      <c r="F4164" s="55" t="b">
        <v>1</v>
      </c>
      <c r="G4164" s="54" t="b">
        <v>1</v>
      </c>
      <c r="H4164" s="54" t="b">
        <v>1</v>
      </c>
      <c r="I4164" s="65" t="b">
        <v>0</v>
      </c>
      <c r="J4164" s="65" t="b">
        <v>0</v>
      </c>
      <c r="K4164" s="63" t="s">
        <v>947</v>
      </c>
      <c r="L4164" s="63" t="s">
        <v>8901</v>
      </c>
      <c r="M4164" s="63" t="s">
        <v>8902</v>
      </c>
      <c r="N4164" s="63" t="s">
        <v>8903</v>
      </c>
    </row>
    <row r="4165" spans="1:14" x14ac:dyDescent="0.2">
      <c r="A4165" s="51">
        <v>4164</v>
      </c>
      <c r="B4165" s="54" t="s">
        <v>947</v>
      </c>
      <c r="C4165" s="47" t="s">
        <v>8904</v>
      </c>
      <c r="D4165" s="47" t="s">
        <v>8905</v>
      </c>
      <c r="E4165" s="47" t="s">
        <v>8903</v>
      </c>
      <c r="F4165" s="55" t="b">
        <v>1</v>
      </c>
      <c r="G4165" s="54" t="b">
        <v>1</v>
      </c>
      <c r="H4165" s="54" t="b">
        <v>1</v>
      </c>
      <c r="I4165" s="54" t="b">
        <v>1</v>
      </c>
      <c r="J4165" s="54" t="b">
        <v>1</v>
      </c>
      <c r="K4165" s="63" t="s">
        <v>947</v>
      </c>
      <c r="L4165" s="63" t="s">
        <v>8904</v>
      </c>
      <c r="M4165" s="63" t="s">
        <v>8905</v>
      </c>
      <c r="N4165" s="63" t="s">
        <v>8903</v>
      </c>
    </row>
    <row r="4166" spans="1:14" x14ac:dyDescent="0.2">
      <c r="A4166" s="51">
        <v>4165</v>
      </c>
      <c r="B4166" s="54" t="s">
        <v>947</v>
      </c>
      <c r="C4166" s="47" t="s">
        <v>8906</v>
      </c>
      <c r="D4166" s="47" t="s">
        <v>8907</v>
      </c>
      <c r="E4166" s="47" t="s">
        <v>8903</v>
      </c>
      <c r="F4166" s="55" t="b">
        <v>1</v>
      </c>
      <c r="G4166" s="54" t="b">
        <v>1</v>
      </c>
      <c r="H4166" s="54" t="b">
        <v>1</v>
      </c>
      <c r="I4166" s="54" t="b">
        <v>1</v>
      </c>
      <c r="J4166" s="54" t="b">
        <v>1</v>
      </c>
      <c r="K4166" s="63" t="s">
        <v>947</v>
      </c>
      <c r="L4166" s="63" t="s">
        <v>8906</v>
      </c>
      <c r="M4166" s="63" t="s">
        <v>8907</v>
      </c>
      <c r="N4166" s="63" t="s">
        <v>8903</v>
      </c>
    </row>
    <row r="4167" spans="1:14" x14ac:dyDescent="0.2">
      <c r="A4167" s="51">
        <v>4166</v>
      </c>
      <c r="G4167" s="65" t="b">
        <v>0</v>
      </c>
      <c r="H4167" s="65" t="b">
        <v>0</v>
      </c>
      <c r="I4167" s="65" t="b">
        <v>0</v>
      </c>
      <c r="J4167" s="65" t="b">
        <v>0</v>
      </c>
      <c r="K4167" s="63" t="s">
        <v>947</v>
      </c>
      <c r="L4167" s="63" t="s">
        <v>8908</v>
      </c>
      <c r="M4167" s="63" t="s">
        <v>8909</v>
      </c>
      <c r="N4167" s="63" t="s">
        <v>8903</v>
      </c>
    </row>
    <row r="4168" spans="1:14" x14ac:dyDescent="0.2">
      <c r="A4168" s="51">
        <v>4167</v>
      </c>
      <c r="B4168" s="54" t="s">
        <v>947</v>
      </c>
      <c r="C4168" s="47" t="s">
        <v>8910</v>
      </c>
      <c r="D4168" s="47" t="s">
        <v>8911</v>
      </c>
      <c r="E4168" s="47" t="s">
        <v>8903</v>
      </c>
      <c r="F4168" s="55" t="b">
        <v>1</v>
      </c>
      <c r="G4168" s="54" t="b">
        <v>1</v>
      </c>
      <c r="H4168" s="54" t="b">
        <v>1</v>
      </c>
      <c r="I4168" s="54" t="b">
        <v>1</v>
      </c>
      <c r="J4168" s="54" t="b">
        <v>1</v>
      </c>
      <c r="K4168" s="63" t="s">
        <v>947</v>
      </c>
      <c r="L4168" s="63" t="s">
        <v>8910</v>
      </c>
      <c r="M4168" s="63" t="s">
        <v>8911</v>
      </c>
      <c r="N4168" s="63" t="s">
        <v>8903</v>
      </c>
    </row>
    <row r="4169" spans="1:14" x14ac:dyDescent="0.2">
      <c r="A4169" s="51">
        <v>4168</v>
      </c>
      <c r="B4169" s="54" t="s">
        <v>947</v>
      </c>
      <c r="C4169" s="47" t="s">
        <v>8912</v>
      </c>
      <c r="D4169" s="47" t="s">
        <v>13309</v>
      </c>
      <c r="E4169" s="47" t="s">
        <v>1790</v>
      </c>
      <c r="F4169" s="55" t="b">
        <v>1</v>
      </c>
      <c r="G4169" s="54" t="b">
        <v>1</v>
      </c>
      <c r="H4169" s="54" t="b">
        <v>1</v>
      </c>
      <c r="I4169" s="65" t="b">
        <v>0</v>
      </c>
      <c r="J4169" s="65" t="b">
        <v>0</v>
      </c>
      <c r="K4169" s="63" t="s">
        <v>947</v>
      </c>
      <c r="L4169" s="63" t="s">
        <v>8912</v>
      </c>
      <c r="M4169" s="63" t="s">
        <v>8913</v>
      </c>
      <c r="N4169" s="63" t="s">
        <v>8903</v>
      </c>
    </row>
    <row r="4170" spans="1:14" x14ac:dyDescent="0.2">
      <c r="A4170" s="51">
        <v>4169</v>
      </c>
      <c r="B4170" s="54" t="s">
        <v>947</v>
      </c>
      <c r="C4170" s="47" t="s">
        <v>8914</v>
      </c>
      <c r="D4170" s="47" t="s">
        <v>8915</v>
      </c>
      <c r="E4170" s="47" t="s">
        <v>8903</v>
      </c>
      <c r="F4170" s="55" t="b">
        <v>1</v>
      </c>
      <c r="G4170" s="54" t="b">
        <v>1</v>
      </c>
      <c r="H4170" s="54" t="b">
        <v>1</v>
      </c>
      <c r="I4170" s="54" t="b">
        <v>1</v>
      </c>
      <c r="J4170" s="54" t="b">
        <v>1</v>
      </c>
      <c r="K4170" s="63" t="s">
        <v>947</v>
      </c>
      <c r="L4170" s="63" t="s">
        <v>8914</v>
      </c>
      <c r="M4170" s="63" t="s">
        <v>8915</v>
      </c>
      <c r="N4170" s="63" t="s">
        <v>8903</v>
      </c>
    </row>
    <row r="4171" spans="1:14" x14ac:dyDescent="0.2">
      <c r="A4171" s="51">
        <v>4170</v>
      </c>
      <c r="B4171" s="54" t="s">
        <v>947</v>
      </c>
      <c r="C4171" s="47" t="s">
        <v>8916</v>
      </c>
      <c r="D4171" s="47" t="s">
        <v>8917</v>
      </c>
      <c r="E4171" s="47" t="s">
        <v>8903</v>
      </c>
      <c r="F4171" s="55" t="b">
        <v>1</v>
      </c>
      <c r="G4171" s="54" t="b">
        <v>1</v>
      </c>
      <c r="H4171" s="54" t="b">
        <v>1</v>
      </c>
      <c r="I4171" s="54" t="b">
        <v>1</v>
      </c>
      <c r="J4171" s="54" t="b">
        <v>1</v>
      </c>
      <c r="K4171" s="63" t="s">
        <v>947</v>
      </c>
      <c r="L4171" s="63" t="s">
        <v>8916</v>
      </c>
      <c r="M4171" s="63" t="s">
        <v>8917</v>
      </c>
      <c r="N4171" s="63" t="s">
        <v>8903</v>
      </c>
    </row>
    <row r="4172" spans="1:14" x14ac:dyDescent="0.2">
      <c r="A4172" s="51">
        <v>4171</v>
      </c>
      <c r="G4172" s="65" t="b">
        <v>0</v>
      </c>
      <c r="H4172" s="65" t="b">
        <v>0</v>
      </c>
      <c r="I4172" s="65" t="b">
        <v>0</v>
      </c>
      <c r="J4172" s="65" t="b">
        <v>0</v>
      </c>
      <c r="K4172" s="63" t="s">
        <v>947</v>
      </c>
      <c r="L4172" s="63" t="s">
        <v>8918</v>
      </c>
      <c r="M4172" s="63" t="s">
        <v>8919</v>
      </c>
      <c r="N4172" s="63" t="s">
        <v>8903</v>
      </c>
    </row>
    <row r="4173" spans="1:14" x14ac:dyDescent="0.2">
      <c r="A4173" s="51">
        <v>4172</v>
      </c>
      <c r="B4173" s="54" t="s">
        <v>947</v>
      </c>
      <c r="C4173" s="47" t="s">
        <v>8920</v>
      </c>
      <c r="D4173" s="47" t="s">
        <v>8921</v>
      </c>
      <c r="E4173" s="47" t="s">
        <v>8903</v>
      </c>
      <c r="F4173" s="55" t="b">
        <v>1</v>
      </c>
      <c r="G4173" s="54" t="b">
        <v>1</v>
      </c>
      <c r="H4173" s="54" t="b">
        <v>1</v>
      </c>
      <c r="I4173" s="54" t="b">
        <v>1</v>
      </c>
      <c r="J4173" s="54" t="b">
        <v>1</v>
      </c>
      <c r="K4173" s="63" t="s">
        <v>947</v>
      </c>
      <c r="L4173" s="63" t="s">
        <v>8920</v>
      </c>
      <c r="M4173" s="63" t="s">
        <v>8921</v>
      </c>
      <c r="N4173" s="63" t="s">
        <v>8903</v>
      </c>
    </row>
    <row r="4174" spans="1:14" x14ac:dyDescent="0.2">
      <c r="A4174" s="51">
        <v>4173</v>
      </c>
      <c r="B4174" s="54" t="s">
        <v>947</v>
      </c>
      <c r="C4174" s="47" t="s">
        <v>8922</v>
      </c>
      <c r="D4174" s="47" t="s">
        <v>13310</v>
      </c>
      <c r="E4174" s="47" t="s">
        <v>1790</v>
      </c>
      <c r="F4174" s="55" t="b">
        <v>1</v>
      </c>
      <c r="G4174" s="54" t="b">
        <v>1</v>
      </c>
      <c r="H4174" s="54" t="b">
        <v>1</v>
      </c>
      <c r="I4174" s="65" t="b">
        <v>0</v>
      </c>
      <c r="J4174" s="65" t="b">
        <v>0</v>
      </c>
      <c r="K4174" s="63" t="s">
        <v>947</v>
      </c>
      <c r="L4174" s="63" t="s">
        <v>8922</v>
      </c>
      <c r="M4174" s="63" t="s">
        <v>8923</v>
      </c>
      <c r="N4174" s="63" t="s">
        <v>8903</v>
      </c>
    </row>
    <row r="4175" spans="1:14" x14ac:dyDescent="0.2">
      <c r="A4175" s="51">
        <v>4174</v>
      </c>
      <c r="B4175" s="54" t="s">
        <v>947</v>
      </c>
      <c r="C4175" s="47" t="s">
        <v>13307</v>
      </c>
      <c r="D4175" s="47" t="s">
        <v>13308</v>
      </c>
      <c r="E4175" s="47" t="s">
        <v>1790</v>
      </c>
      <c r="F4175" s="55" t="b">
        <v>1</v>
      </c>
      <c r="G4175" s="65" t="b">
        <v>0</v>
      </c>
      <c r="H4175" s="65" t="b">
        <v>0</v>
      </c>
      <c r="I4175" s="65" t="b">
        <v>0</v>
      </c>
      <c r="J4175" s="65" t="b">
        <v>0</v>
      </c>
    </row>
    <row r="4176" spans="1:14" x14ac:dyDescent="0.2">
      <c r="A4176" s="51">
        <v>4175</v>
      </c>
      <c r="B4176" s="54" t="s">
        <v>953</v>
      </c>
      <c r="C4176" s="47" t="s">
        <v>8924</v>
      </c>
      <c r="D4176" s="47" t="s">
        <v>8925</v>
      </c>
      <c r="E4176" s="47" t="s">
        <v>1970</v>
      </c>
      <c r="F4176" s="55" t="b">
        <v>1</v>
      </c>
      <c r="G4176" s="54" t="b">
        <v>1</v>
      </c>
      <c r="H4176" s="54" t="b">
        <v>1</v>
      </c>
      <c r="I4176" s="54" t="b">
        <v>1</v>
      </c>
      <c r="J4176" s="54" t="b">
        <v>1</v>
      </c>
      <c r="K4176" s="63" t="s">
        <v>953</v>
      </c>
      <c r="L4176" s="63" t="s">
        <v>8924</v>
      </c>
      <c r="M4176" s="63" t="s">
        <v>8925</v>
      </c>
      <c r="N4176" s="63" t="s">
        <v>1970</v>
      </c>
    </row>
    <row r="4177" spans="1:14" x14ac:dyDescent="0.2">
      <c r="A4177" s="51">
        <v>4176</v>
      </c>
      <c r="B4177" s="54" t="s">
        <v>953</v>
      </c>
      <c r="C4177" s="47" t="s">
        <v>8928</v>
      </c>
      <c r="D4177" s="47" t="s">
        <v>2513</v>
      </c>
      <c r="E4177" s="47" t="s">
        <v>1970</v>
      </c>
      <c r="F4177" s="55" t="b">
        <v>1</v>
      </c>
      <c r="G4177" s="54" t="b">
        <v>1</v>
      </c>
      <c r="H4177" s="54" t="b">
        <v>1</v>
      </c>
      <c r="I4177" s="54" t="b">
        <v>1</v>
      </c>
      <c r="J4177" s="54" t="b">
        <v>1</v>
      </c>
      <c r="K4177" s="63" t="s">
        <v>953</v>
      </c>
      <c r="L4177" s="63" t="s">
        <v>8928</v>
      </c>
      <c r="M4177" s="63" t="s">
        <v>2513</v>
      </c>
      <c r="N4177" s="63" t="s">
        <v>1970</v>
      </c>
    </row>
    <row r="4178" spans="1:14" x14ac:dyDescent="0.2">
      <c r="A4178" s="51">
        <v>4177</v>
      </c>
      <c r="B4178" s="54" t="s">
        <v>953</v>
      </c>
      <c r="C4178" s="47" t="s">
        <v>8929</v>
      </c>
      <c r="D4178" s="47" t="s">
        <v>3878</v>
      </c>
      <c r="E4178" s="47" t="s">
        <v>1970</v>
      </c>
      <c r="F4178" s="55" t="b">
        <v>1</v>
      </c>
      <c r="G4178" s="54" t="b">
        <v>1</v>
      </c>
      <c r="H4178" s="54" t="b">
        <v>1</v>
      </c>
      <c r="I4178" s="54" t="b">
        <v>1</v>
      </c>
      <c r="J4178" s="54" t="b">
        <v>1</v>
      </c>
      <c r="K4178" s="63" t="s">
        <v>953</v>
      </c>
      <c r="L4178" s="63" t="s">
        <v>8929</v>
      </c>
      <c r="M4178" s="63" t="s">
        <v>3878</v>
      </c>
      <c r="N4178" s="63" t="s">
        <v>1970</v>
      </c>
    </row>
    <row r="4179" spans="1:14" x14ac:dyDescent="0.2">
      <c r="A4179" s="51">
        <v>4178</v>
      </c>
      <c r="B4179" s="54" t="s">
        <v>953</v>
      </c>
      <c r="C4179" s="47" t="s">
        <v>8930</v>
      </c>
      <c r="D4179" s="47" t="s">
        <v>2025</v>
      </c>
      <c r="E4179" s="47" t="s">
        <v>1970</v>
      </c>
      <c r="F4179" s="55" t="b">
        <v>1</v>
      </c>
      <c r="G4179" s="54" t="b">
        <v>1</v>
      </c>
      <c r="H4179" s="54" t="b">
        <v>1</v>
      </c>
      <c r="I4179" s="54" t="b">
        <v>1</v>
      </c>
      <c r="J4179" s="54" t="b">
        <v>1</v>
      </c>
      <c r="K4179" s="63" t="s">
        <v>953</v>
      </c>
      <c r="L4179" s="63" t="s">
        <v>8930</v>
      </c>
      <c r="M4179" s="63" t="s">
        <v>2025</v>
      </c>
      <c r="N4179" s="63" t="s">
        <v>1970</v>
      </c>
    </row>
    <row r="4180" spans="1:14" x14ac:dyDescent="0.2">
      <c r="A4180" s="51">
        <v>4179</v>
      </c>
      <c r="B4180" s="54" t="s">
        <v>953</v>
      </c>
      <c r="C4180" s="47" t="s">
        <v>8931</v>
      </c>
      <c r="D4180" s="47" t="s">
        <v>3887</v>
      </c>
      <c r="E4180" s="47" t="s">
        <v>1970</v>
      </c>
      <c r="F4180" s="55" t="b">
        <v>1</v>
      </c>
      <c r="G4180" s="54" t="b">
        <v>1</v>
      </c>
      <c r="H4180" s="54" t="b">
        <v>1</v>
      </c>
      <c r="I4180" s="54" t="b">
        <v>1</v>
      </c>
      <c r="J4180" s="54" t="b">
        <v>1</v>
      </c>
      <c r="K4180" s="63" t="s">
        <v>953</v>
      </c>
      <c r="L4180" s="63" t="s">
        <v>8931</v>
      </c>
      <c r="M4180" s="63" t="s">
        <v>3887</v>
      </c>
      <c r="N4180" s="63" t="s">
        <v>1970</v>
      </c>
    </row>
    <row r="4181" spans="1:14" x14ac:dyDescent="0.2">
      <c r="A4181" s="51">
        <v>4180</v>
      </c>
      <c r="B4181" s="54" t="s">
        <v>953</v>
      </c>
      <c r="C4181" s="47" t="s">
        <v>8926</v>
      </c>
      <c r="D4181" s="47" t="s">
        <v>8927</v>
      </c>
      <c r="E4181" s="47" t="s">
        <v>1970</v>
      </c>
      <c r="F4181" s="55" t="b">
        <v>1</v>
      </c>
      <c r="G4181" s="54" t="b">
        <v>1</v>
      </c>
      <c r="H4181" s="54" t="b">
        <v>1</v>
      </c>
      <c r="I4181" s="54" t="b">
        <v>1</v>
      </c>
      <c r="J4181" s="54" t="b">
        <v>1</v>
      </c>
      <c r="K4181" s="63" t="s">
        <v>953</v>
      </c>
      <c r="L4181" s="63" t="s">
        <v>8926</v>
      </c>
      <c r="M4181" s="63" t="s">
        <v>8927</v>
      </c>
      <c r="N4181" s="63" t="s">
        <v>1970</v>
      </c>
    </row>
    <row r="4182" spans="1:14" x14ac:dyDescent="0.2">
      <c r="A4182" s="51">
        <v>4181</v>
      </c>
      <c r="B4182" s="54" t="s">
        <v>955</v>
      </c>
      <c r="C4182" s="47" t="s">
        <v>8932</v>
      </c>
      <c r="D4182" s="47" t="s">
        <v>13311</v>
      </c>
      <c r="E4182" s="47" t="s">
        <v>1790</v>
      </c>
      <c r="F4182" s="55" t="b">
        <v>1</v>
      </c>
      <c r="G4182" s="54" t="b">
        <v>1</v>
      </c>
      <c r="H4182" s="54" t="b">
        <v>1</v>
      </c>
      <c r="I4182" s="65" t="b">
        <v>0</v>
      </c>
      <c r="J4182" s="54" t="b">
        <v>1</v>
      </c>
      <c r="K4182" s="63" t="s">
        <v>955</v>
      </c>
      <c r="L4182" s="63" t="s">
        <v>8932</v>
      </c>
      <c r="M4182" s="63" t="s">
        <v>8933</v>
      </c>
      <c r="N4182" s="63" t="s">
        <v>1790</v>
      </c>
    </row>
    <row r="4183" spans="1:14" x14ac:dyDescent="0.2">
      <c r="A4183" s="51">
        <v>4182</v>
      </c>
      <c r="B4183" s="54" t="s">
        <v>955</v>
      </c>
      <c r="C4183" s="47" t="s">
        <v>8934</v>
      </c>
      <c r="D4183" s="47" t="s">
        <v>8935</v>
      </c>
      <c r="E4183" s="47" t="s">
        <v>1790</v>
      </c>
      <c r="F4183" s="55" t="b">
        <v>1</v>
      </c>
      <c r="G4183" s="54" t="b">
        <v>1</v>
      </c>
      <c r="H4183" s="54" t="b">
        <v>1</v>
      </c>
      <c r="I4183" s="54" t="b">
        <v>1</v>
      </c>
      <c r="J4183" s="54" t="b">
        <v>1</v>
      </c>
      <c r="K4183" s="63" t="s">
        <v>955</v>
      </c>
      <c r="L4183" s="63" t="s">
        <v>8934</v>
      </c>
      <c r="M4183" s="63" t="s">
        <v>8935</v>
      </c>
      <c r="N4183" s="63" t="s">
        <v>1790</v>
      </c>
    </row>
    <row r="4184" spans="1:14" x14ac:dyDescent="0.2">
      <c r="A4184" s="51">
        <v>4183</v>
      </c>
      <c r="B4184" s="54" t="s">
        <v>955</v>
      </c>
      <c r="C4184" s="47" t="s">
        <v>8936</v>
      </c>
      <c r="D4184" s="47" t="s">
        <v>8937</v>
      </c>
      <c r="E4184" s="47" t="s">
        <v>1790</v>
      </c>
      <c r="F4184" s="55" t="b">
        <v>1</v>
      </c>
      <c r="G4184" s="54" t="b">
        <v>1</v>
      </c>
      <c r="H4184" s="54" t="b">
        <v>1</v>
      </c>
      <c r="I4184" s="54" t="b">
        <v>1</v>
      </c>
      <c r="J4184" s="54" t="b">
        <v>1</v>
      </c>
      <c r="K4184" s="63" t="s">
        <v>955</v>
      </c>
      <c r="L4184" s="63" t="s">
        <v>8936</v>
      </c>
      <c r="M4184" s="63" t="s">
        <v>8937</v>
      </c>
      <c r="N4184" s="63" t="s">
        <v>1790</v>
      </c>
    </row>
    <row r="4185" spans="1:14" x14ac:dyDescent="0.2">
      <c r="A4185" s="51">
        <v>4184</v>
      </c>
      <c r="B4185" s="54" t="s">
        <v>955</v>
      </c>
      <c r="C4185" s="47" t="s">
        <v>8938</v>
      </c>
      <c r="D4185" s="47" t="s">
        <v>13312</v>
      </c>
      <c r="E4185" s="47" t="s">
        <v>1790</v>
      </c>
      <c r="F4185" s="55" t="b">
        <v>1</v>
      </c>
      <c r="G4185" s="54" t="b">
        <v>1</v>
      </c>
      <c r="H4185" s="54" t="b">
        <v>1</v>
      </c>
      <c r="I4185" s="65" t="b">
        <v>0</v>
      </c>
      <c r="J4185" s="54" t="b">
        <v>1</v>
      </c>
      <c r="K4185" s="63" t="s">
        <v>955</v>
      </c>
      <c r="L4185" s="63" t="s">
        <v>8938</v>
      </c>
      <c r="M4185" s="63" t="s">
        <v>8939</v>
      </c>
      <c r="N4185" s="63" t="s">
        <v>1790</v>
      </c>
    </row>
    <row r="4186" spans="1:14" x14ac:dyDescent="0.2">
      <c r="A4186" s="51">
        <v>4185</v>
      </c>
      <c r="B4186" s="54" t="s">
        <v>955</v>
      </c>
      <c r="C4186" s="47" t="s">
        <v>8940</v>
      </c>
      <c r="D4186" s="47" t="s">
        <v>13313</v>
      </c>
      <c r="E4186" s="47" t="s">
        <v>1790</v>
      </c>
      <c r="F4186" s="55" t="b">
        <v>1</v>
      </c>
      <c r="G4186" s="54" t="b">
        <v>1</v>
      </c>
      <c r="H4186" s="54" t="b">
        <v>1</v>
      </c>
      <c r="I4186" s="65" t="b">
        <v>0</v>
      </c>
      <c r="J4186" s="54" t="b">
        <v>1</v>
      </c>
      <c r="K4186" s="63" t="s">
        <v>955</v>
      </c>
      <c r="L4186" s="63" t="s">
        <v>8940</v>
      </c>
      <c r="M4186" s="63" t="s">
        <v>8941</v>
      </c>
      <c r="N4186" s="63" t="s">
        <v>1790</v>
      </c>
    </row>
    <row r="4187" spans="1:14" x14ac:dyDescent="0.2">
      <c r="A4187" s="51">
        <v>4186</v>
      </c>
      <c r="B4187" s="54" t="s">
        <v>955</v>
      </c>
      <c r="C4187" s="47" t="s">
        <v>8942</v>
      </c>
      <c r="D4187" s="47" t="s">
        <v>8943</v>
      </c>
      <c r="E4187" s="47" t="s">
        <v>1790</v>
      </c>
      <c r="F4187" s="55" t="b">
        <v>1</v>
      </c>
      <c r="G4187" s="54" t="b">
        <v>1</v>
      </c>
      <c r="H4187" s="54" t="b">
        <v>1</v>
      </c>
      <c r="I4187" s="54" t="b">
        <v>1</v>
      </c>
      <c r="J4187" s="54" t="b">
        <v>1</v>
      </c>
      <c r="K4187" s="63" t="s">
        <v>955</v>
      </c>
      <c r="L4187" s="63" t="s">
        <v>8942</v>
      </c>
      <c r="M4187" s="63" t="s">
        <v>8943</v>
      </c>
      <c r="N4187" s="63" t="s">
        <v>1790</v>
      </c>
    </row>
    <row r="4188" spans="1:14" x14ac:dyDescent="0.2">
      <c r="A4188" s="51">
        <v>4187</v>
      </c>
      <c r="B4188" s="54" t="s">
        <v>955</v>
      </c>
      <c r="C4188" s="47" t="s">
        <v>8944</v>
      </c>
      <c r="D4188" s="47" t="s">
        <v>8945</v>
      </c>
      <c r="E4188" s="47" t="s">
        <v>1790</v>
      </c>
      <c r="F4188" s="55" t="b">
        <v>1</v>
      </c>
      <c r="G4188" s="54" t="b">
        <v>1</v>
      </c>
      <c r="H4188" s="54" t="b">
        <v>1</v>
      </c>
      <c r="I4188" s="54" t="b">
        <v>1</v>
      </c>
      <c r="J4188" s="54" t="b">
        <v>1</v>
      </c>
      <c r="K4188" s="63" t="s">
        <v>955</v>
      </c>
      <c r="L4188" s="63" t="s">
        <v>8944</v>
      </c>
      <c r="M4188" s="63" t="s">
        <v>8945</v>
      </c>
      <c r="N4188" s="63" t="s">
        <v>1790</v>
      </c>
    </row>
    <row r="4189" spans="1:14" x14ac:dyDescent="0.2">
      <c r="A4189" s="51">
        <v>4188</v>
      </c>
      <c r="B4189" s="54" t="s">
        <v>955</v>
      </c>
      <c r="C4189" s="47" t="s">
        <v>8946</v>
      </c>
      <c r="D4189" s="47" t="s">
        <v>13314</v>
      </c>
      <c r="E4189" s="47" t="s">
        <v>1790</v>
      </c>
      <c r="F4189" s="55" t="b">
        <v>1</v>
      </c>
      <c r="G4189" s="54" t="b">
        <v>1</v>
      </c>
      <c r="H4189" s="54" t="b">
        <v>1</v>
      </c>
      <c r="I4189" s="65" t="b">
        <v>0</v>
      </c>
      <c r="J4189" s="54" t="b">
        <v>1</v>
      </c>
      <c r="K4189" s="63" t="s">
        <v>955</v>
      </c>
      <c r="L4189" s="63" t="s">
        <v>8946</v>
      </c>
      <c r="M4189" s="63" t="s">
        <v>8947</v>
      </c>
      <c r="N4189" s="63" t="s">
        <v>1790</v>
      </c>
    </row>
    <row r="4190" spans="1:14" x14ac:dyDescent="0.2">
      <c r="A4190" s="51">
        <v>4189</v>
      </c>
      <c r="B4190" s="54" t="s">
        <v>955</v>
      </c>
      <c r="C4190" s="47" t="s">
        <v>8948</v>
      </c>
      <c r="D4190" s="47" t="s">
        <v>8949</v>
      </c>
      <c r="E4190" s="47" t="s">
        <v>1790</v>
      </c>
      <c r="F4190" s="55" t="b">
        <v>1</v>
      </c>
      <c r="G4190" s="54" t="b">
        <v>1</v>
      </c>
      <c r="H4190" s="54" t="b">
        <v>1</v>
      </c>
      <c r="I4190" s="54" t="b">
        <v>1</v>
      </c>
      <c r="J4190" s="54" t="b">
        <v>1</v>
      </c>
      <c r="K4190" s="63" t="s">
        <v>955</v>
      </c>
      <c r="L4190" s="63" t="s">
        <v>8948</v>
      </c>
      <c r="M4190" s="63" t="s">
        <v>8949</v>
      </c>
      <c r="N4190" s="63" t="s">
        <v>1790</v>
      </c>
    </row>
    <row r="4191" spans="1:14" x14ac:dyDescent="0.2">
      <c r="A4191" s="51">
        <v>4190</v>
      </c>
      <c r="B4191" s="54" t="s">
        <v>955</v>
      </c>
      <c r="C4191" s="47" t="s">
        <v>8950</v>
      </c>
      <c r="D4191" s="47" t="s">
        <v>13315</v>
      </c>
      <c r="E4191" s="47" t="s">
        <v>1790</v>
      </c>
      <c r="F4191" s="55" t="b">
        <v>1</v>
      </c>
      <c r="G4191" s="54" t="b">
        <v>1</v>
      </c>
      <c r="H4191" s="54" t="b">
        <v>1</v>
      </c>
      <c r="I4191" s="65" t="b">
        <v>0</v>
      </c>
      <c r="J4191" s="54" t="b">
        <v>1</v>
      </c>
      <c r="K4191" s="63" t="s">
        <v>955</v>
      </c>
      <c r="L4191" s="63" t="s">
        <v>8950</v>
      </c>
      <c r="M4191" s="63" t="s">
        <v>8951</v>
      </c>
      <c r="N4191" s="63" t="s">
        <v>1790</v>
      </c>
    </row>
    <row r="4192" spans="1:14" x14ac:dyDescent="0.2">
      <c r="A4192" s="51">
        <v>4191</v>
      </c>
      <c r="B4192" s="54" t="s">
        <v>955</v>
      </c>
      <c r="C4192" s="47" t="s">
        <v>8952</v>
      </c>
      <c r="D4192" s="47" t="s">
        <v>8953</v>
      </c>
      <c r="E4192" s="47" t="s">
        <v>1790</v>
      </c>
      <c r="F4192" s="55" t="b">
        <v>1</v>
      </c>
      <c r="G4192" s="54" t="b">
        <v>1</v>
      </c>
      <c r="H4192" s="54" t="b">
        <v>1</v>
      </c>
      <c r="I4192" s="54" t="b">
        <v>1</v>
      </c>
      <c r="J4192" s="54" t="b">
        <v>1</v>
      </c>
      <c r="K4192" s="63" t="s">
        <v>955</v>
      </c>
      <c r="L4192" s="63" t="s">
        <v>8952</v>
      </c>
      <c r="M4192" s="63" t="s">
        <v>8953</v>
      </c>
      <c r="N4192" s="63" t="s">
        <v>1790</v>
      </c>
    </row>
    <row r="4193" spans="1:14" x14ac:dyDescent="0.2">
      <c r="A4193" s="51">
        <v>4192</v>
      </c>
      <c r="B4193" s="54" t="s">
        <v>957</v>
      </c>
      <c r="C4193" s="47" t="s">
        <v>8954</v>
      </c>
      <c r="D4193" s="47" t="s">
        <v>8955</v>
      </c>
      <c r="E4193" s="47" t="s">
        <v>2164</v>
      </c>
      <c r="F4193" s="55" t="b">
        <v>1</v>
      </c>
      <c r="G4193" s="54" t="b">
        <v>1</v>
      </c>
      <c r="H4193" s="54" t="b">
        <v>1</v>
      </c>
      <c r="I4193" s="54" t="b">
        <v>1</v>
      </c>
      <c r="J4193" s="54" t="b">
        <v>1</v>
      </c>
      <c r="K4193" s="63" t="s">
        <v>957</v>
      </c>
      <c r="L4193" s="63" t="s">
        <v>8954</v>
      </c>
      <c r="M4193" s="63" t="s">
        <v>8955</v>
      </c>
      <c r="N4193" s="63" t="s">
        <v>2164</v>
      </c>
    </row>
    <row r="4194" spans="1:14" x14ac:dyDescent="0.2">
      <c r="A4194" s="51">
        <v>4193</v>
      </c>
      <c r="B4194" s="54" t="s">
        <v>957</v>
      </c>
      <c r="C4194" s="47" t="s">
        <v>8958</v>
      </c>
      <c r="D4194" s="47" t="s">
        <v>8959</v>
      </c>
      <c r="E4194" s="47" t="s">
        <v>2164</v>
      </c>
      <c r="F4194" s="55" t="b">
        <v>1</v>
      </c>
      <c r="G4194" s="54" t="b">
        <v>1</v>
      </c>
      <c r="H4194" s="54" t="b">
        <v>1</v>
      </c>
      <c r="I4194" s="54" t="b">
        <v>1</v>
      </c>
      <c r="J4194" s="54" t="b">
        <v>1</v>
      </c>
      <c r="K4194" s="63" t="s">
        <v>957</v>
      </c>
      <c r="L4194" s="63" t="s">
        <v>8958</v>
      </c>
      <c r="M4194" s="63" t="s">
        <v>8959</v>
      </c>
      <c r="N4194" s="63" t="s">
        <v>2164</v>
      </c>
    </row>
    <row r="4195" spans="1:14" x14ac:dyDescent="0.2">
      <c r="A4195" s="51">
        <v>4194</v>
      </c>
      <c r="B4195" s="54" t="s">
        <v>957</v>
      </c>
      <c r="C4195" s="47" t="s">
        <v>8960</v>
      </c>
      <c r="D4195" s="47" t="s">
        <v>8961</v>
      </c>
      <c r="E4195" s="47" t="s">
        <v>2164</v>
      </c>
      <c r="F4195" s="55" t="b">
        <v>1</v>
      </c>
      <c r="G4195" s="54" t="b">
        <v>1</v>
      </c>
      <c r="H4195" s="54" t="b">
        <v>1</v>
      </c>
      <c r="I4195" s="54" t="b">
        <v>1</v>
      </c>
      <c r="J4195" s="54" t="b">
        <v>1</v>
      </c>
      <c r="K4195" s="63" t="s">
        <v>957</v>
      </c>
      <c r="L4195" s="63" t="s">
        <v>8960</v>
      </c>
      <c r="M4195" s="63" t="s">
        <v>8961</v>
      </c>
      <c r="N4195" s="63" t="s">
        <v>2164</v>
      </c>
    </row>
    <row r="4196" spans="1:14" x14ac:dyDescent="0.2">
      <c r="A4196" s="51">
        <v>4195</v>
      </c>
      <c r="B4196" s="54" t="s">
        <v>957</v>
      </c>
      <c r="C4196" s="47" t="s">
        <v>8962</v>
      </c>
      <c r="D4196" s="47" t="s">
        <v>8963</v>
      </c>
      <c r="E4196" s="47" t="s">
        <v>2164</v>
      </c>
      <c r="F4196" s="55" t="b">
        <v>1</v>
      </c>
      <c r="G4196" s="54" t="b">
        <v>1</v>
      </c>
      <c r="H4196" s="54" t="b">
        <v>1</v>
      </c>
      <c r="I4196" s="54" t="b">
        <v>1</v>
      </c>
      <c r="J4196" s="54" t="b">
        <v>1</v>
      </c>
      <c r="K4196" s="63" t="s">
        <v>957</v>
      </c>
      <c r="L4196" s="63" t="s">
        <v>8962</v>
      </c>
      <c r="M4196" s="63" t="s">
        <v>8963</v>
      </c>
      <c r="N4196" s="63" t="s">
        <v>2164</v>
      </c>
    </row>
    <row r="4197" spans="1:14" x14ac:dyDescent="0.2">
      <c r="A4197" s="51">
        <v>4196</v>
      </c>
      <c r="B4197" s="54" t="s">
        <v>957</v>
      </c>
      <c r="C4197" s="47" t="s">
        <v>8964</v>
      </c>
      <c r="D4197" s="47" t="s">
        <v>8965</v>
      </c>
      <c r="E4197" s="47" t="s">
        <v>2164</v>
      </c>
      <c r="F4197" s="55" t="b">
        <v>1</v>
      </c>
      <c r="G4197" s="54" t="b">
        <v>1</v>
      </c>
      <c r="H4197" s="54" t="b">
        <v>1</v>
      </c>
      <c r="I4197" s="54" t="b">
        <v>1</v>
      </c>
      <c r="J4197" s="54" t="b">
        <v>1</v>
      </c>
      <c r="K4197" s="63" t="s">
        <v>957</v>
      </c>
      <c r="L4197" s="63" t="s">
        <v>8964</v>
      </c>
      <c r="M4197" s="63" t="s">
        <v>8965</v>
      </c>
      <c r="N4197" s="63" t="s">
        <v>2164</v>
      </c>
    </row>
    <row r="4198" spans="1:14" x14ac:dyDescent="0.2">
      <c r="A4198" s="51">
        <v>4197</v>
      </c>
      <c r="B4198" s="54" t="s">
        <v>957</v>
      </c>
      <c r="C4198" s="47" t="s">
        <v>8956</v>
      </c>
      <c r="D4198" s="47" t="s">
        <v>8957</v>
      </c>
      <c r="E4198" s="47" t="s">
        <v>2164</v>
      </c>
      <c r="F4198" s="55" t="b">
        <v>1</v>
      </c>
      <c r="G4198" s="54" t="b">
        <v>1</v>
      </c>
      <c r="H4198" s="54" t="b">
        <v>1</v>
      </c>
      <c r="I4198" s="54" t="b">
        <v>1</v>
      </c>
      <c r="J4198" s="54" t="b">
        <v>1</v>
      </c>
      <c r="K4198" s="63" t="s">
        <v>957</v>
      </c>
      <c r="L4198" s="63" t="s">
        <v>8956</v>
      </c>
      <c r="M4198" s="63" t="s">
        <v>8957</v>
      </c>
      <c r="N4198" s="63" t="s">
        <v>2164</v>
      </c>
    </row>
    <row r="4199" spans="1:14" x14ac:dyDescent="0.2">
      <c r="A4199" s="51">
        <v>4198</v>
      </c>
      <c r="B4199" s="54" t="s">
        <v>957</v>
      </c>
      <c r="C4199" s="47" t="s">
        <v>8968</v>
      </c>
      <c r="D4199" s="47" t="s">
        <v>13316</v>
      </c>
      <c r="E4199" s="47" t="s">
        <v>2164</v>
      </c>
      <c r="F4199" s="55" t="b">
        <v>1</v>
      </c>
      <c r="G4199" s="54" t="b">
        <v>1</v>
      </c>
      <c r="H4199" s="54" t="b">
        <v>1</v>
      </c>
      <c r="I4199" s="65" t="b">
        <v>0</v>
      </c>
      <c r="J4199" s="54" t="b">
        <v>1</v>
      </c>
      <c r="K4199" s="63" t="s">
        <v>957</v>
      </c>
      <c r="L4199" s="63" t="s">
        <v>8968</v>
      </c>
      <c r="M4199" s="63" t="s">
        <v>1571</v>
      </c>
      <c r="N4199" s="63" t="s">
        <v>2164</v>
      </c>
    </row>
    <row r="4200" spans="1:14" x14ac:dyDescent="0.2">
      <c r="A4200" s="51">
        <v>4199</v>
      </c>
      <c r="B4200" s="54" t="s">
        <v>957</v>
      </c>
      <c r="C4200" s="47" t="s">
        <v>8966</v>
      </c>
      <c r="D4200" s="47" t="s">
        <v>8967</v>
      </c>
      <c r="E4200" s="47" t="s">
        <v>2164</v>
      </c>
      <c r="F4200" s="55" t="b">
        <v>1</v>
      </c>
      <c r="G4200" s="54" t="b">
        <v>1</v>
      </c>
      <c r="H4200" s="54" t="b">
        <v>1</v>
      </c>
      <c r="I4200" s="54" t="b">
        <v>1</v>
      </c>
      <c r="J4200" s="54" t="b">
        <v>1</v>
      </c>
      <c r="K4200" s="63" t="s">
        <v>957</v>
      </c>
      <c r="L4200" s="63" t="s">
        <v>8966</v>
      </c>
      <c r="M4200" s="63" t="s">
        <v>8967</v>
      </c>
      <c r="N4200" s="63" t="s">
        <v>2164</v>
      </c>
    </row>
    <row r="4201" spans="1:14" x14ac:dyDescent="0.2">
      <c r="A4201" s="51">
        <v>4200</v>
      </c>
      <c r="B4201" s="54" t="s">
        <v>957</v>
      </c>
      <c r="C4201" s="47" t="s">
        <v>8969</v>
      </c>
      <c r="D4201" s="47" t="s">
        <v>8970</v>
      </c>
      <c r="E4201" s="47" t="s">
        <v>2164</v>
      </c>
      <c r="F4201" s="55" t="b">
        <v>1</v>
      </c>
      <c r="G4201" s="54" t="b">
        <v>1</v>
      </c>
      <c r="H4201" s="54" t="b">
        <v>1</v>
      </c>
      <c r="I4201" s="54" t="b">
        <v>1</v>
      </c>
      <c r="J4201" s="54" t="b">
        <v>1</v>
      </c>
      <c r="K4201" s="63" t="s">
        <v>957</v>
      </c>
      <c r="L4201" s="63" t="s">
        <v>8969</v>
      </c>
      <c r="M4201" s="63" t="s">
        <v>8970</v>
      </c>
      <c r="N4201" s="63" t="s">
        <v>2164</v>
      </c>
    </row>
    <row r="4202" spans="1:14" x14ac:dyDescent="0.2">
      <c r="A4202" s="51">
        <v>4201</v>
      </c>
      <c r="B4202" s="54" t="s">
        <v>959</v>
      </c>
      <c r="C4202" s="47" t="s">
        <v>8971</v>
      </c>
      <c r="D4202" s="47" t="s">
        <v>8972</v>
      </c>
      <c r="E4202" s="47" t="s">
        <v>1719</v>
      </c>
      <c r="F4202" s="55" t="b">
        <v>1</v>
      </c>
      <c r="G4202" s="54" t="b">
        <v>1</v>
      </c>
      <c r="H4202" s="54" t="b">
        <v>1</v>
      </c>
      <c r="I4202" s="54" t="b">
        <v>1</v>
      </c>
      <c r="J4202" s="54" t="b">
        <v>1</v>
      </c>
      <c r="K4202" s="63" t="s">
        <v>959</v>
      </c>
      <c r="L4202" s="63" t="s">
        <v>8971</v>
      </c>
      <c r="M4202" s="63" t="s">
        <v>8972</v>
      </c>
      <c r="N4202" s="63" t="s">
        <v>1719</v>
      </c>
    </row>
    <row r="4203" spans="1:14" x14ac:dyDescent="0.2">
      <c r="A4203" s="51">
        <v>4202</v>
      </c>
      <c r="B4203" s="54" t="s">
        <v>959</v>
      </c>
      <c r="C4203" s="47" t="s">
        <v>8973</v>
      </c>
      <c r="D4203" s="47" t="s">
        <v>8974</v>
      </c>
      <c r="E4203" s="47" t="s">
        <v>1719</v>
      </c>
      <c r="F4203" s="55" t="b">
        <v>1</v>
      </c>
      <c r="G4203" s="54" t="b">
        <v>1</v>
      </c>
      <c r="H4203" s="54" t="b">
        <v>1</v>
      </c>
      <c r="I4203" s="54" t="b">
        <v>1</v>
      </c>
      <c r="J4203" s="54" t="b">
        <v>1</v>
      </c>
      <c r="K4203" s="63" t="s">
        <v>959</v>
      </c>
      <c r="L4203" s="63" t="s">
        <v>8973</v>
      </c>
      <c r="M4203" s="63" t="s">
        <v>8974</v>
      </c>
      <c r="N4203" s="63" t="s">
        <v>1719</v>
      </c>
    </row>
    <row r="4204" spans="1:14" x14ac:dyDescent="0.2">
      <c r="A4204" s="51">
        <v>4203</v>
      </c>
      <c r="B4204" s="54" t="s">
        <v>961</v>
      </c>
      <c r="C4204" s="47" t="s">
        <v>8987</v>
      </c>
      <c r="D4204" s="47" t="s">
        <v>8988</v>
      </c>
      <c r="E4204" s="47" t="s">
        <v>2164</v>
      </c>
      <c r="F4204" s="55" t="b">
        <v>1</v>
      </c>
      <c r="G4204" s="54" t="b">
        <v>1</v>
      </c>
      <c r="H4204" s="54" t="b">
        <v>1</v>
      </c>
      <c r="I4204" s="54" t="b">
        <v>1</v>
      </c>
      <c r="J4204" s="65" t="b">
        <v>0</v>
      </c>
      <c r="K4204" s="63" t="s">
        <v>961</v>
      </c>
      <c r="L4204" s="63" t="s">
        <v>8987</v>
      </c>
      <c r="M4204" s="63" t="s">
        <v>8988</v>
      </c>
      <c r="N4204" s="63" t="s">
        <v>1719</v>
      </c>
    </row>
    <row r="4205" spans="1:14" x14ac:dyDescent="0.2">
      <c r="A4205" s="51">
        <v>4204</v>
      </c>
      <c r="B4205" s="54" t="s">
        <v>961</v>
      </c>
      <c r="C4205" s="47" t="s">
        <v>8992</v>
      </c>
      <c r="D4205" s="47" t="s">
        <v>13321</v>
      </c>
      <c r="E4205" s="47" t="s">
        <v>2164</v>
      </c>
      <c r="F4205" s="55" t="b">
        <v>1</v>
      </c>
      <c r="G4205" s="54" t="b">
        <v>1</v>
      </c>
      <c r="H4205" s="54" t="b">
        <v>1</v>
      </c>
      <c r="I4205" s="65" t="b">
        <v>0</v>
      </c>
      <c r="J4205" s="65" t="b">
        <v>0</v>
      </c>
      <c r="K4205" s="63" t="s">
        <v>961</v>
      </c>
      <c r="L4205" s="63" t="s">
        <v>8992</v>
      </c>
      <c r="M4205" s="63" t="s">
        <v>8993</v>
      </c>
      <c r="N4205" s="63" t="s">
        <v>1719</v>
      </c>
    </row>
    <row r="4206" spans="1:14" x14ac:dyDescent="0.2">
      <c r="A4206" s="51">
        <v>4205</v>
      </c>
      <c r="B4206" s="54" t="s">
        <v>961</v>
      </c>
      <c r="C4206" s="47" t="s">
        <v>8981</v>
      </c>
      <c r="D4206" s="47" t="s">
        <v>13317</v>
      </c>
      <c r="E4206" s="47" t="s">
        <v>2164</v>
      </c>
      <c r="F4206" s="55" t="b">
        <v>1</v>
      </c>
      <c r="G4206" s="54" t="b">
        <v>1</v>
      </c>
      <c r="H4206" s="54" t="b">
        <v>1</v>
      </c>
      <c r="I4206" s="65" t="b">
        <v>0</v>
      </c>
      <c r="J4206" s="65" t="b">
        <v>0</v>
      </c>
      <c r="K4206" s="63" t="s">
        <v>961</v>
      </c>
      <c r="L4206" s="63" t="s">
        <v>8981</v>
      </c>
      <c r="M4206" s="63" t="s">
        <v>8982</v>
      </c>
      <c r="N4206" s="63" t="s">
        <v>1719</v>
      </c>
    </row>
    <row r="4207" spans="1:14" x14ac:dyDescent="0.2">
      <c r="A4207" s="51">
        <v>4206</v>
      </c>
      <c r="B4207" s="54" t="s">
        <v>961</v>
      </c>
      <c r="C4207" s="47" t="s">
        <v>8989</v>
      </c>
      <c r="D4207" s="47" t="s">
        <v>4032</v>
      </c>
      <c r="E4207" s="47" t="s">
        <v>2164</v>
      </c>
      <c r="F4207" s="55" t="b">
        <v>1</v>
      </c>
      <c r="G4207" s="54" t="b">
        <v>1</v>
      </c>
      <c r="H4207" s="54" t="b">
        <v>1</v>
      </c>
      <c r="I4207" s="54" t="b">
        <v>1</v>
      </c>
      <c r="J4207" s="65" t="b">
        <v>0</v>
      </c>
      <c r="K4207" s="63" t="s">
        <v>961</v>
      </c>
      <c r="L4207" s="63" t="s">
        <v>8989</v>
      </c>
      <c r="M4207" s="63" t="s">
        <v>4032</v>
      </c>
      <c r="N4207" s="63" t="s">
        <v>1719</v>
      </c>
    </row>
    <row r="4208" spans="1:14" x14ac:dyDescent="0.2">
      <c r="A4208" s="51">
        <v>4207</v>
      </c>
      <c r="B4208" s="54" t="s">
        <v>961</v>
      </c>
      <c r="C4208" s="47" t="s">
        <v>8983</v>
      </c>
      <c r="D4208" s="47" t="s">
        <v>8984</v>
      </c>
      <c r="E4208" s="47" t="s">
        <v>2164</v>
      </c>
      <c r="F4208" s="55" t="b">
        <v>1</v>
      </c>
      <c r="G4208" s="54" t="b">
        <v>1</v>
      </c>
      <c r="H4208" s="54" t="b">
        <v>1</v>
      </c>
      <c r="I4208" s="54" t="b">
        <v>1</v>
      </c>
      <c r="J4208" s="65" t="b">
        <v>0</v>
      </c>
      <c r="K4208" s="63" t="s">
        <v>961</v>
      </c>
      <c r="L4208" s="63" t="s">
        <v>8983</v>
      </c>
      <c r="M4208" s="63" t="s">
        <v>8984</v>
      </c>
      <c r="N4208" s="63" t="s">
        <v>1719</v>
      </c>
    </row>
    <row r="4209" spans="1:14" x14ac:dyDescent="0.2">
      <c r="A4209" s="51">
        <v>4208</v>
      </c>
      <c r="B4209" s="54" t="s">
        <v>961</v>
      </c>
      <c r="C4209" s="47" t="s">
        <v>8998</v>
      </c>
      <c r="D4209" s="47" t="s">
        <v>13319</v>
      </c>
      <c r="E4209" s="47" t="s">
        <v>2164</v>
      </c>
      <c r="F4209" s="55" t="b">
        <v>1</v>
      </c>
      <c r="G4209" s="54" t="b">
        <v>1</v>
      </c>
      <c r="H4209" s="54" t="b">
        <v>1</v>
      </c>
      <c r="I4209" s="65" t="b">
        <v>0</v>
      </c>
      <c r="J4209" s="65" t="b">
        <v>0</v>
      </c>
      <c r="K4209" s="63" t="s">
        <v>961</v>
      </c>
      <c r="L4209" s="63" t="s">
        <v>8998</v>
      </c>
      <c r="M4209" s="63" t="s">
        <v>8999</v>
      </c>
      <c r="N4209" s="63" t="s">
        <v>1719</v>
      </c>
    </row>
    <row r="4210" spans="1:14" x14ac:dyDescent="0.2">
      <c r="A4210" s="51">
        <v>4209</v>
      </c>
      <c r="B4210" s="54" t="s">
        <v>961</v>
      </c>
      <c r="C4210" s="47" t="s">
        <v>8996</v>
      </c>
      <c r="D4210" s="47" t="s">
        <v>8997</v>
      </c>
      <c r="E4210" s="47" t="s">
        <v>2164</v>
      </c>
      <c r="F4210" s="55" t="b">
        <v>1</v>
      </c>
      <c r="G4210" s="54" t="b">
        <v>1</v>
      </c>
      <c r="H4210" s="54" t="b">
        <v>1</v>
      </c>
      <c r="I4210" s="54" t="b">
        <v>1</v>
      </c>
      <c r="J4210" s="65" t="b">
        <v>0</v>
      </c>
      <c r="K4210" s="63" t="s">
        <v>961</v>
      </c>
      <c r="L4210" s="63" t="s">
        <v>8996</v>
      </c>
      <c r="M4210" s="63" t="s">
        <v>8997</v>
      </c>
      <c r="N4210" s="63" t="s">
        <v>1719</v>
      </c>
    </row>
    <row r="4211" spans="1:14" x14ac:dyDescent="0.2">
      <c r="A4211" s="51">
        <v>4210</v>
      </c>
      <c r="B4211" s="54" t="s">
        <v>961</v>
      </c>
      <c r="C4211" s="47" t="s">
        <v>8985</v>
      </c>
      <c r="D4211" s="47" t="s">
        <v>8986</v>
      </c>
      <c r="E4211" s="47" t="s">
        <v>2164</v>
      </c>
      <c r="F4211" s="55" t="b">
        <v>1</v>
      </c>
      <c r="G4211" s="54" t="b">
        <v>1</v>
      </c>
      <c r="H4211" s="54" t="b">
        <v>1</v>
      </c>
      <c r="I4211" s="54" t="b">
        <v>1</v>
      </c>
      <c r="J4211" s="65" t="b">
        <v>0</v>
      </c>
      <c r="K4211" s="63" t="s">
        <v>961</v>
      </c>
      <c r="L4211" s="63" t="s">
        <v>8985</v>
      </c>
      <c r="M4211" s="63" t="s">
        <v>8986</v>
      </c>
      <c r="N4211" s="63" t="s">
        <v>1719</v>
      </c>
    </row>
    <row r="4212" spans="1:14" x14ac:dyDescent="0.2">
      <c r="A4212" s="51">
        <v>4211</v>
      </c>
      <c r="B4212" s="54" t="s">
        <v>961</v>
      </c>
      <c r="C4212" s="47" t="s">
        <v>8990</v>
      </c>
      <c r="D4212" s="47" t="s">
        <v>13320</v>
      </c>
      <c r="E4212" s="47" t="s">
        <v>2164</v>
      </c>
      <c r="F4212" s="55" t="b">
        <v>1</v>
      </c>
      <c r="G4212" s="54" t="b">
        <v>1</v>
      </c>
      <c r="H4212" s="54" t="b">
        <v>1</v>
      </c>
      <c r="I4212" s="65" t="b">
        <v>0</v>
      </c>
      <c r="J4212" s="65" t="b">
        <v>0</v>
      </c>
      <c r="K4212" s="63" t="s">
        <v>961</v>
      </c>
      <c r="L4212" s="63" t="s">
        <v>8990</v>
      </c>
      <c r="M4212" s="63" t="s">
        <v>8991</v>
      </c>
      <c r="N4212" s="63" t="s">
        <v>1719</v>
      </c>
    </row>
    <row r="4213" spans="1:14" x14ac:dyDescent="0.2">
      <c r="A4213" s="51">
        <v>4212</v>
      </c>
      <c r="B4213" s="54" t="s">
        <v>961</v>
      </c>
      <c r="C4213" s="47" t="s">
        <v>8994</v>
      </c>
      <c r="D4213" s="47" t="s">
        <v>8995</v>
      </c>
      <c r="E4213" s="47" t="s">
        <v>2164</v>
      </c>
      <c r="F4213" s="55" t="b">
        <v>1</v>
      </c>
      <c r="G4213" s="54" t="b">
        <v>1</v>
      </c>
      <c r="H4213" s="54" t="b">
        <v>1</v>
      </c>
      <c r="I4213" s="54" t="b">
        <v>1</v>
      </c>
      <c r="J4213" s="65" t="b">
        <v>0</v>
      </c>
      <c r="K4213" s="63" t="s">
        <v>961</v>
      </c>
      <c r="L4213" s="63" t="s">
        <v>8994</v>
      </c>
      <c r="M4213" s="63" t="s">
        <v>8995</v>
      </c>
      <c r="N4213" s="63" t="s">
        <v>1719</v>
      </c>
    </row>
    <row r="4214" spans="1:14" x14ac:dyDescent="0.2">
      <c r="A4214" s="51">
        <v>4213</v>
      </c>
      <c r="B4214" s="54" t="s">
        <v>961</v>
      </c>
      <c r="C4214" s="47" t="s">
        <v>8977</v>
      </c>
      <c r="D4214" s="47" t="s">
        <v>8978</v>
      </c>
      <c r="E4214" s="47" t="s">
        <v>2164</v>
      </c>
      <c r="F4214" s="55" t="b">
        <v>1</v>
      </c>
      <c r="G4214" s="54" t="b">
        <v>1</v>
      </c>
      <c r="H4214" s="54" t="b">
        <v>1</v>
      </c>
      <c r="I4214" s="54" t="b">
        <v>1</v>
      </c>
      <c r="J4214" s="65" t="b">
        <v>0</v>
      </c>
      <c r="K4214" s="63" t="s">
        <v>961</v>
      </c>
      <c r="L4214" s="63" t="s">
        <v>8977</v>
      </c>
      <c r="M4214" s="63" t="s">
        <v>8978</v>
      </c>
      <c r="N4214" s="63" t="s">
        <v>1719</v>
      </c>
    </row>
    <row r="4215" spans="1:14" x14ac:dyDescent="0.2">
      <c r="A4215" s="51">
        <v>4214</v>
      </c>
      <c r="B4215" s="54" t="s">
        <v>961</v>
      </c>
      <c r="C4215" s="47" t="s">
        <v>8979</v>
      </c>
      <c r="D4215" s="47" t="s">
        <v>8980</v>
      </c>
      <c r="E4215" s="47" t="s">
        <v>2164</v>
      </c>
      <c r="F4215" s="55" t="b">
        <v>1</v>
      </c>
      <c r="G4215" s="54" t="b">
        <v>1</v>
      </c>
      <c r="H4215" s="54" t="b">
        <v>1</v>
      </c>
      <c r="I4215" s="54" t="b">
        <v>1</v>
      </c>
      <c r="J4215" s="65" t="b">
        <v>0</v>
      </c>
      <c r="K4215" s="63" t="s">
        <v>961</v>
      </c>
      <c r="L4215" s="63" t="s">
        <v>8979</v>
      </c>
      <c r="M4215" s="63" t="s">
        <v>8980</v>
      </c>
      <c r="N4215" s="63" t="s">
        <v>1719</v>
      </c>
    </row>
    <row r="4216" spans="1:14" x14ac:dyDescent="0.2">
      <c r="A4216" s="51">
        <v>4215</v>
      </c>
      <c r="B4216" s="54" t="s">
        <v>961</v>
      </c>
      <c r="C4216" s="47" t="s">
        <v>8975</v>
      </c>
      <c r="D4216" s="47" t="s">
        <v>13318</v>
      </c>
      <c r="E4216" s="47" t="s">
        <v>2164</v>
      </c>
      <c r="F4216" s="55" t="b">
        <v>1</v>
      </c>
      <c r="G4216" s="54" t="b">
        <v>1</v>
      </c>
      <c r="H4216" s="54" t="b">
        <v>1</v>
      </c>
      <c r="I4216" s="65" t="b">
        <v>0</v>
      </c>
      <c r="J4216" s="65" t="b">
        <v>0</v>
      </c>
      <c r="K4216" s="63" t="s">
        <v>961</v>
      </c>
      <c r="L4216" s="63" t="s">
        <v>8975</v>
      </c>
      <c r="M4216" s="63" t="s">
        <v>8976</v>
      </c>
      <c r="N4216" s="63" t="s">
        <v>1719</v>
      </c>
    </row>
    <row r="4217" spans="1:14" x14ac:dyDescent="0.2">
      <c r="A4217" s="51">
        <v>4216</v>
      </c>
      <c r="B4217" s="54" t="s">
        <v>963</v>
      </c>
      <c r="C4217" s="47" t="s">
        <v>9002</v>
      </c>
      <c r="D4217" s="47" t="s">
        <v>9003</v>
      </c>
      <c r="E4217" s="47" t="s">
        <v>2087</v>
      </c>
      <c r="F4217" s="55" t="b">
        <v>1</v>
      </c>
      <c r="G4217" s="54" t="b">
        <v>1</v>
      </c>
      <c r="H4217" s="54" t="b">
        <v>1</v>
      </c>
      <c r="I4217" s="54" t="b">
        <v>1</v>
      </c>
      <c r="J4217" s="54" t="b">
        <v>1</v>
      </c>
      <c r="K4217" s="63" t="s">
        <v>963</v>
      </c>
      <c r="L4217" s="63" t="s">
        <v>9002</v>
      </c>
      <c r="M4217" s="63" t="s">
        <v>9003</v>
      </c>
      <c r="N4217" s="63" t="s">
        <v>2087</v>
      </c>
    </row>
    <row r="4218" spans="1:14" x14ac:dyDescent="0.2">
      <c r="A4218" s="51">
        <v>4217</v>
      </c>
      <c r="B4218" s="54" t="s">
        <v>963</v>
      </c>
      <c r="C4218" s="47" t="s">
        <v>9000</v>
      </c>
      <c r="D4218" s="47" t="s">
        <v>9001</v>
      </c>
      <c r="E4218" s="47" t="s">
        <v>2087</v>
      </c>
      <c r="F4218" s="55" t="b">
        <v>1</v>
      </c>
      <c r="G4218" s="54" t="b">
        <v>1</v>
      </c>
      <c r="H4218" s="54" t="b">
        <v>1</v>
      </c>
      <c r="I4218" s="54" t="b">
        <v>1</v>
      </c>
      <c r="J4218" s="54" t="b">
        <v>1</v>
      </c>
      <c r="K4218" s="63" t="s">
        <v>963</v>
      </c>
      <c r="L4218" s="63" t="s">
        <v>9000</v>
      </c>
      <c r="M4218" s="63" t="s">
        <v>9001</v>
      </c>
      <c r="N4218" s="63" t="s">
        <v>2087</v>
      </c>
    </row>
    <row r="4219" spans="1:14" x14ac:dyDescent="0.2">
      <c r="A4219" s="51">
        <v>4218</v>
      </c>
      <c r="B4219" s="54" t="s">
        <v>963</v>
      </c>
      <c r="C4219" s="47" t="s">
        <v>9004</v>
      </c>
      <c r="D4219" s="47" t="s">
        <v>9005</v>
      </c>
      <c r="E4219" s="47" t="s">
        <v>2087</v>
      </c>
      <c r="F4219" s="55" t="b">
        <v>1</v>
      </c>
      <c r="G4219" s="54" t="b">
        <v>1</v>
      </c>
      <c r="H4219" s="54" t="b">
        <v>1</v>
      </c>
      <c r="I4219" s="54" t="b">
        <v>1</v>
      </c>
      <c r="J4219" s="54" t="b">
        <v>1</v>
      </c>
      <c r="K4219" s="63" t="s">
        <v>963</v>
      </c>
      <c r="L4219" s="63" t="s">
        <v>9004</v>
      </c>
      <c r="M4219" s="63" t="s">
        <v>9005</v>
      </c>
      <c r="N4219" s="63" t="s">
        <v>2087</v>
      </c>
    </row>
    <row r="4220" spans="1:14" x14ac:dyDescent="0.2">
      <c r="A4220" s="51">
        <v>4219</v>
      </c>
      <c r="B4220" s="54" t="s">
        <v>963</v>
      </c>
      <c r="C4220" s="47" t="s">
        <v>9006</v>
      </c>
      <c r="D4220" s="47" t="s">
        <v>9007</v>
      </c>
      <c r="E4220" s="47" t="s">
        <v>2087</v>
      </c>
      <c r="F4220" s="55" t="b">
        <v>1</v>
      </c>
      <c r="G4220" s="54" t="b">
        <v>1</v>
      </c>
      <c r="H4220" s="54" t="b">
        <v>1</v>
      </c>
      <c r="I4220" s="54" t="b">
        <v>1</v>
      </c>
      <c r="J4220" s="54" t="b">
        <v>1</v>
      </c>
      <c r="K4220" s="63" t="s">
        <v>963</v>
      </c>
      <c r="L4220" s="63" t="s">
        <v>9006</v>
      </c>
      <c r="M4220" s="63" t="s">
        <v>9007</v>
      </c>
      <c r="N4220" s="63" t="s">
        <v>2087</v>
      </c>
    </row>
    <row r="4221" spans="1:14" x14ac:dyDescent="0.2">
      <c r="A4221" s="51">
        <v>4220</v>
      </c>
      <c r="B4221" s="54" t="s">
        <v>963</v>
      </c>
      <c r="C4221" s="47" t="s">
        <v>9010</v>
      </c>
      <c r="D4221" s="47" t="s">
        <v>9011</v>
      </c>
      <c r="E4221" s="47" t="s">
        <v>2087</v>
      </c>
      <c r="F4221" s="55" t="b">
        <v>1</v>
      </c>
      <c r="G4221" s="54" t="b">
        <v>1</v>
      </c>
      <c r="H4221" s="54" t="b">
        <v>1</v>
      </c>
      <c r="I4221" s="54" t="b">
        <v>1</v>
      </c>
      <c r="J4221" s="54" t="b">
        <v>1</v>
      </c>
      <c r="K4221" s="63" t="s">
        <v>963</v>
      </c>
      <c r="L4221" s="63" t="s">
        <v>9010</v>
      </c>
      <c r="M4221" s="63" t="s">
        <v>9011</v>
      </c>
      <c r="N4221" s="63" t="s">
        <v>2087</v>
      </c>
    </row>
    <row r="4222" spans="1:14" x14ac:dyDescent="0.2">
      <c r="A4222" s="51">
        <v>4221</v>
      </c>
      <c r="B4222" s="54" t="s">
        <v>963</v>
      </c>
      <c r="C4222" s="47" t="s">
        <v>9012</v>
      </c>
      <c r="D4222" s="47" t="s">
        <v>9013</v>
      </c>
      <c r="E4222" s="47" t="s">
        <v>2087</v>
      </c>
      <c r="F4222" s="55" t="b">
        <v>1</v>
      </c>
      <c r="G4222" s="54" t="b">
        <v>1</v>
      </c>
      <c r="H4222" s="54" t="b">
        <v>1</v>
      </c>
      <c r="I4222" s="54" t="b">
        <v>1</v>
      </c>
      <c r="J4222" s="54" t="b">
        <v>1</v>
      </c>
      <c r="K4222" s="63" t="s">
        <v>963</v>
      </c>
      <c r="L4222" s="63" t="s">
        <v>9012</v>
      </c>
      <c r="M4222" s="63" t="s">
        <v>9013</v>
      </c>
      <c r="N4222" s="63" t="s">
        <v>2087</v>
      </c>
    </row>
    <row r="4223" spans="1:14" x14ac:dyDescent="0.2">
      <c r="A4223" s="51">
        <v>4222</v>
      </c>
      <c r="B4223" s="54" t="s">
        <v>963</v>
      </c>
      <c r="C4223" s="47" t="s">
        <v>9008</v>
      </c>
      <c r="D4223" s="47" t="s">
        <v>9009</v>
      </c>
      <c r="E4223" s="47" t="s">
        <v>2087</v>
      </c>
      <c r="F4223" s="55" t="b">
        <v>1</v>
      </c>
      <c r="G4223" s="54" t="b">
        <v>1</v>
      </c>
      <c r="H4223" s="54" t="b">
        <v>1</v>
      </c>
      <c r="I4223" s="54" t="b">
        <v>1</v>
      </c>
      <c r="J4223" s="54" t="b">
        <v>1</v>
      </c>
      <c r="K4223" s="63" t="s">
        <v>963</v>
      </c>
      <c r="L4223" s="63" t="s">
        <v>9008</v>
      </c>
      <c r="M4223" s="63" t="s">
        <v>9009</v>
      </c>
      <c r="N4223" s="63" t="s">
        <v>2087</v>
      </c>
    </row>
    <row r="4224" spans="1:14" x14ac:dyDescent="0.2">
      <c r="A4224" s="51">
        <v>4223</v>
      </c>
      <c r="B4224" s="54" t="s">
        <v>963</v>
      </c>
      <c r="C4224" s="47" t="s">
        <v>9014</v>
      </c>
      <c r="D4224" s="47" t="s">
        <v>9015</v>
      </c>
      <c r="E4224" s="47" t="s">
        <v>2087</v>
      </c>
      <c r="F4224" s="55" t="b">
        <v>1</v>
      </c>
      <c r="G4224" s="54" t="b">
        <v>1</v>
      </c>
      <c r="H4224" s="54" t="b">
        <v>1</v>
      </c>
      <c r="I4224" s="54" t="b">
        <v>1</v>
      </c>
      <c r="J4224" s="54" t="b">
        <v>1</v>
      </c>
      <c r="K4224" s="63" t="s">
        <v>963</v>
      </c>
      <c r="L4224" s="63" t="s">
        <v>9014</v>
      </c>
      <c r="M4224" s="63" t="s">
        <v>9015</v>
      </c>
      <c r="N4224" s="63" t="s">
        <v>2087</v>
      </c>
    </row>
    <row r="4225" spans="1:14" x14ac:dyDescent="0.2">
      <c r="A4225" s="51">
        <v>4224</v>
      </c>
      <c r="B4225" s="54" t="s">
        <v>963</v>
      </c>
      <c r="C4225" s="47" t="s">
        <v>9016</v>
      </c>
      <c r="D4225" s="47" t="s">
        <v>9017</v>
      </c>
      <c r="E4225" s="47" t="s">
        <v>2087</v>
      </c>
      <c r="F4225" s="55" t="b">
        <v>1</v>
      </c>
      <c r="G4225" s="54" t="b">
        <v>1</v>
      </c>
      <c r="H4225" s="54" t="b">
        <v>1</v>
      </c>
      <c r="I4225" s="54" t="b">
        <v>1</v>
      </c>
      <c r="J4225" s="54" t="b">
        <v>1</v>
      </c>
      <c r="K4225" s="63" t="s">
        <v>963</v>
      </c>
      <c r="L4225" s="63" t="s">
        <v>9016</v>
      </c>
      <c r="M4225" s="63" t="s">
        <v>9017</v>
      </c>
      <c r="N4225" s="63" t="s">
        <v>2087</v>
      </c>
    </row>
    <row r="4226" spans="1:14" x14ac:dyDescent="0.2">
      <c r="A4226" s="51">
        <v>4225</v>
      </c>
      <c r="B4226" s="54" t="s">
        <v>963</v>
      </c>
      <c r="C4226" s="47" t="s">
        <v>9020</v>
      </c>
      <c r="D4226" s="47" t="s">
        <v>9021</v>
      </c>
      <c r="E4226" s="47" t="s">
        <v>2087</v>
      </c>
      <c r="F4226" s="55" t="b">
        <v>1</v>
      </c>
      <c r="G4226" s="54" t="b">
        <v>1</v>
      </c>
      <c r="H4226" s="54" t="b">
        <v>1</v>
      </c>
      <c r="I4226" s="54" t="b">
        <v>1</v>
      </c>
      <c r="J4226" s="54" t="b">
        <v>1</v>
      </c>
      <c r="K4226" s="63" t="s">
        <v>963</v>
      </c>
      <c r="L4226" s="63" t="s">
        <v>9020</v>
      </c>
      <c r="M4226" s="63" t="s">
        <v>9021</v>
      </c>
      <c r="N4226" s="63" t="s">
        <v>2087</v>
      </c>
    </row>
    <row r="4227" spans="1:14" x14ac:dyDescent="0.2">
      <c r="A4227" s="51">
        <v>4226</v>
      </c>
      <c r="B4227" s="54" t="s">
        <v>963</v>
      </c>
      <c r="C4227" s="47" t="s">
        <v>9018</v>
      </c>
      <c r="D4227" s="47" t="s">
        <v>9019</v>
      </c>
      <c r="E4227" s="47" t="s">
        <v>2087</v>
      </c>
      <c r="F4227" s="55" t="b">
        <v>1</v>
      </c>
      <c r="G4227" s="54" t="b">
        <v>1</v>
      </c>
      <c r="H4227" s="54" t="b">
        <v>1</v>
      </c>
      <c r="I4227" s="54" t="b">
        <v>1</v>
      </c>
      <c r="J4227" s="54" t="b">
        <v>1</v>
      </c>
      <c r="K4227" s="63" t="s">
        <v>963</v>
      </c>
      <c r="L4227" s="63" t="s">
        <v>9018</v>
      </c>
      <c r="M4227" s="63" t="s">
        <v>9019</v>
      </c>
      <c r="N4227" s="63" t="s">
        <v>2087</v>
      </c>
    </row>
    <row r="4228" spans="1:14" x14ac:dyDescent="0.2">
      <c r="A4228" s="51">
        <v>4227</v>
      </c>
      <c r="B4228" s="54" t="s">
        <v>963</v>
      </c>
      <c r="C4228" s="47" t="s">
        <v>9022</v>
      </c>
      <c r="D4228" s="47" t="s">
        <v>9023</v>
      </c>
      <c r="E4228" s="47" t="s">
        <v>2087</v>
      </c>
      <c r="F4228" s="55" t="b">
        <v>1</v>
      </c>
      <c r="G4228" s="54" t="b">
        <v>1</v>
      </c>
      <c r="H4228" s="54" t="b">
        <v>1</v>
      </c>
      <c r="I4228" s="54" t="b">
        <v>1</v>
      </c>
      <c r="J4228" s="54" t="b">
        <v>1</v>
      </c>
      <c r="K4228" s="63" t="s">
        <v>963</v>
      </c>
      <c r="L4228" s="63" t="s">
        <v>9022</v>
      </c>
      <c r="M4228" s="63" t="s">
        <v>9023</v>
      </c>
      <c r="N4228" s="63" t="s">
        <v>2087</v>
      </c>
    </row>
    <row r="4229" spans="1:14" x14ac:dyDescent="0.2">
      <c r="A4229" s="51">
        <v>4228</v>
      </c>
      <c r="B4229" s="54" t="s">
        <v>963</v>
      </c>
      <c r="C4229" s="47" t="s">
        <v>9024</v>
      </c>
      <c r="D4229" s="47" t="s">
        <v>9025</v>
      </c>
      <c r="E4229" s="47" t="s">
        <v>2087</v>
      </c>
      <c r="F4229" s="55" t="b">
        <v>1</v>
      </c>
      <c r="G4229" s="54" t="b">
        <v>1</v>
      </c>
      <c r="H4229" s="54" t="b">
        <v>1</v>
      </c>
      <c r="I4229" s="54" t="b">
        <v>1</v>
      </c>
      <c r="J4229" s="54" t="b">
        <v>1</v>
      </c>
      <c r="K4229" s="63" t="s">
        <v>963</v>
      </c>
      <c r="L4229" s="63" t="s">
        <v>9024</v>
      </c>
      <c r="M4229" s="63" t="s">
        <v>9025</v>
      </c>
      <c r="N4229" s="63" t="s">
        <v>2087</v>
      </c>
    </row>
    <row r="4230" spans="1:14" x14ac:dyDescent="0.2">
      <c r="A4230" s="51">
        <v>4229</v>
      </c>
      <c r="B4230" s="54" t="s">
        <v>963</v>
      </c>
      <c r="C4230" s="47" t="s">
        <v>9026</v>
      </c>
      <c r="D4230" s="47" t="s">
        <v>9027</v>
      </c>
      <c r="E4230" s="47" t="s">
        <v>2087</v>
      </c>
      <c r="F4230" s="55" t="b">
        <v>1</v>
      </c>
      <c r="G4230" s="54" t="b">
        <v>1</v>
      </c>
      <c r="H4230" s="54" t="b">
        <v>1</v>
      </c>
      <c r="I4230" s="54" t="b">
        <v>1</v>
      </c>
      <c r="J4230" s="54" t="b">
        <v>1</v>
      </c>
      <c r="K4230" s="63" t="s">
        <v>963</v>
      </c>
      <c r="L4230" s="63" t="s">
        <v>9026</v>
      </c>
      <c r="M4230" s="63" t="s">
        <v>9027</v>
      </c>
      <c r="N4230" s="63" t="s">
        <v>2087</v>
      </c>
    </row>
    <row r="4231" spans="1:14" x14ac:dyDescent="0.2">
      <c r="A4231" s="51">
        <v>4230</v>
      </c>
      <c r="B4231" s="54" t="s">
        <v>965</v>
      </c>
      <c r="C4231" s="47" t="s">
        <v>9028</v>
      </c>
      <c r="D4231" s="47" t="s">
        <v>9029</v>
      </c>
      <c r="E4231" s="47" t="s">
        <v>2046</v>
      </c>
      <c r="F4231" s="55" t="b">
        <v>1</v>
      </c>
      <c r="G4231" s="54" t="b">
        <v>1</v>
      </c>
      <c r="H4231" s="54" t="b">
        <v>1</v>
      </c>
      <c r="I4231" s="54" t="b">
        <v>1</v>
      </c>
      <c r="J4231" s="54" t="b">
        <v>1</v>
      </c>
      <c r="K4231" s="63" t="s">
        <v>965</v>
      </c>
      <c r="L4231" s="63" t="s">
        <v>9028</v>
      </c>
      <c r="M4231" s="63" t="s">
        <v>9029</v>
      </c>
      <c r="N4231" s="63" t="s">
        <v>2046</v>
      </c>
    </row>
    <row r="4232" spans="1:14" x14ac:dyDescent="0.2">
      <c r="A4232" s="51">
        <v>4231</v>
      </c>
      <c r="B4232" s="54" t="s">
        <v>965</v>
      </c>
      <c r="C4232" s="47" t="s">
        <v>9074</v>
      </c>
      <c r="D4232" s="47" t="s">
        <v>13545</v>
      </c>
      <c r="E4232" s="48" t="s">
        <v>1790</v>
      </c>
      <c r="F4232" s="66" t="b">
        <v>0</v>
      </c>
      <c r="G4232" s="54" t="b">
        <v>1</v>
      </c>
      <c r="H4232" s="54" t="b">
        <v>1</v>
      </c>
      <c r="I4232" s="65" t="b">
        <v>0</v>
      </c>
      <c r="J4232" s="54" t="b">
        <v>1</v>
      </c>
      <c r="K4232" s="63" t="s">
        <v>965</v>
      </c>
      <c r="L4232" s="63" t="s">
        <v>9074</v>
      </c>
      <c r="M4232" s="63" t="s">
        <v>9075</v>
      </c>
      <c r="N4232" s="63" t="s">
        <v>1790</v>
      </c>
    </row>
    <row r="4233" spans="1:14" x14ac:dyDescent="0.2">
      <c r="A4233" s="51">
        <v>4232</v>
      </c>
      <c r="B4233" s="54" t="s">
        <v>965</v>
      </c>
      <c r="C4233" s="47" t="s">
        <v>9076</v>
      </c>
      <c r="D4233" s="47" t="s">
        <v>13561</v>
      </c>
      <c r="E4233" s="48" t="s">
        <v>1790</v>
      </c>
      <c r="F4233" s="66" t="b">
        <v>0</v>
      </c>
      <c r="G4233" s="54" t="b">
        <v>1</v>
      </c>
      <c r="H4233" s="54" t="b">
        <v>1</v>
      </c>
      <c r="I4233" s="65" t="b">
        <v>0</v>
      </c>
      <c r="J4233" s="54" t="b">
        <v>1</v>
      </c>
      <c r="K4233" s="63" t="s">
        <v>965</v>
      </c>
      <c r="L4233" s="63" t="s">
        <v>9076</v>
      </c>
      <c r="M4233" s="63" t="s">
        <v>9077</v>
      </c>
      <c r="N4233" s="63" t="s">
        <v>1790</v>
      </c>
    </row>
    <row r="4234" spans="1:14" x14ac:dyDescent="0.2">
      <c r="A4234" s="51">
        <v>4233</v>
      </c>
      <c r="B4234" s="54" t="s">
        <v>965</v>
      </c>
      <c r="C4234" s="47" t="s">
        <v>9072</v>
      </c>
      <c r="D4234" s="47" t="s">
        <v>13546</v>
      </c>
      <c r="E4234" s="48" t="s">
        <v>1790</v>
      </c>
      <c r="F4234" s="66" t="b">
        <v>0</v>
      </c>
      <c r="G4234" s="54" t="b">
        <v>1</v>
      </c>
      <c r="H4234" s="54" t="b">
        <v>1</v>
      </c>
      <c r="I4234" s="65" t="b">
        <v>0</v>
      </c>
      <c r="J4234" s="54" t="b">
        <v>1</v>
      </c>
      <c r="K4234" s="63" t="s">
        <v>965</v>
      </c>
      <c r="L4234" s="63" t="s">
        <v>9072</v>
      </c>
      <c r="M4234" s="63" t="s">
        <v>9073</v>
      </c>
      <c r="N4234" s="63" t="s">
        <v>1790</v>
      </c>
    </row>
    <row r="4235" spans="1:14" x14ac:dyDescent="0.2">
      <c r="A4235" s="51">
        <v>4234</v>
      </c>
      <c r="B4235" s="54" t="s">
        <v>965</v>
      </c>
      <c r="C4235" s="47" t="s">
        <v>9036</v>
      </c>
      <c r="D4235" s="47" t="s">
        <v>13410</v>
      </c>
      <c r="E4235" s="48" t="s">
        <v>1790</v>
      </c>
      <c r="F4235" s="66" t="b">
        <v>0</v>
      </c>
      <c r="G4235" s="54" t="b">
        <v>1</v>
      </c>
      <c r="H4235" s="54" t="b">
        <v>1</v>
      </c>
      <c r="I4235" s="65" t="b">
        <v>0</v>
      </c>
      <c r="J4235" s="54" t="b">
        <v>1</v>
      </c>
      <c r="K4235" s="63" t="s">
        <v>965</v>
      </c>
      <c r="L4235" s="63" t="s">
        <v>9036</v>
      </c>
      <c r="M4235" s="63" t="s">
        <v>9037</v>
      </c>
      <c r="N4235" s="63" t="s">
        <v>1790</v>
      </c>
    </row>
    <row r="4236" spans="1:14" x14ac:dyDescent="0.2">
      <c r="A4236" s="51">
        <v>4235</v>
      </c>
      <c r="B4236" s="54" t="s">
        <v>965</v>
      </c>
      <c r="C4236" s="47" t="s">
        <v>9086</v>
      </c>
      <c r="D4236" s="47" t="s">
        <v>13626</v>
      </c>
      <c r="E4236" s="48" t="s">
        <v>1790</v>
      </c>
      <c r="F4236" s="66" t="b">
        <v>0</v>
      </c>
      <c r="G4236" s="54" t="b">
        <v>1</v>
      </c>
      <c r="H4236" s="54" t="b">
        <v>1</v>
      </c>
      <c r="I4236" s="65" t="b">
        <v>0</v>
      </c>
      <c r="J4236" s="54" t="b">
        <v>1</v>
      </c>
      <c r="K4236" s="63" t="s">
        <v>965</v>
      </c>
      <c r="L4236" s="63" t="s">
        <v>9086</v>
      </c>
      <c r="M4236" s="63" t="s">
        <v>9087</v>
      </c>
      <c r="N4236" s="63" t="s">
        <v>1790</v>
      </c>
    </row>
    <row r="4237" spans="1:14" x14ac:dyDescent="0.2">
      <c r="A4237" s="51">
        <v>4236</v>
      </c>
      <c r="B4237" s="54" t="s">
        <v>965</v>
      </c>
      <c r="C4237" s="47" t="s">
        <v>9038</v>
      </c>
      <c r="D4237" s="47" t="s">
        <v>13409</v>
      </c>
      <c r="E4237" s="48" t="s">
        <v>1790</v>
      </c>
      <c r="F4237" s="66" t="b">
        <v>0</v>
      </c>
      <c r="G4237" s="54" t="b">
        <v>1</v>
      </c>
      <c r="H4237" s="54" t="b">
        <v>1</v>
      </c>
      <c r="I4237" s="65" t="b">
        <v>0</v>
      </c>
      <c r="J4237" s="54" t="b">
        <v>1</v>
      </c>
      <c r="K4237" s="63" t="s">
        <v>965</v>
      </c>
      <c r="L4237" s="63" t="s">
        <v>9038</v>
      </c>
      <c r="M4237" s="63" t="s">
        <v>9039</v>
      </c>
      <c r="N4237" s="63" t="s">
        <v>1790</v>
      </c>
    </row>
    <row r="4238" spans="1:14" x14ac:dyDescent="0.2">
      <c r="A4238" s="51">
        <v>4237</v>
      </c>
      <c r="B4238" s="54" t="s">
        <v>965</v>
      </c>
      <c r="C4238" s="47" t="s">
        <v>9078</v>
      </c>
      <c r="D4238" s="47" t="s">
        <v>13566</v>
      </c>
      <c r="E4238" s="48" t="s">
        <v>1790</v>
      </c>
      <c r="F4238" s="66" t="b">
        <v>0</v>
      </c>
      <c r="G4238" s="54" t="b">
        <v>1</v>
      </c>
      <c r="H4238" s="54" t="b">
        <v>1</v>
      </c>
      <c r="I4238" s="65" t="b">
        <v>0</v>
      </c>
      <c r="J4238" s="54" t="b">
        <v>1</v>
      </c>
      <c r="K4238" s="63" t="s">
        <v>965</v>
      </c>
      <c r="L4238" s="63" t="s">
        <v>9078</v>
      </c>
      <c r="M4238" s="63" t="s">
        <v>9079</v>
      </c>
      <c r="N4238" s="63" t="s">
        <v>1790</v>
      </c>
    </row>
    <row r="4239" spans="1:14" x14ac:dyDescent="0.2">
      <c r="A4239" s="51">
        <v>4238</v>
      </c>
      <c r="B4239" s="54" t="s">
        <v>965</v>
      </c>
      <c r="C4239" s="47" t="s">
        <v>9050</v>
      </c>
      <c r="D4239" s="47" t="s">
        <v>13460</v>
      </c>
      <c r="E4239" s="48" t="s">
        <v>1790</v>
      </c>
      <c r="F4239" s="66" t="b">
        <v>0</v>
      </c>
      <c r="G4239" s="54" t="b">
        <v>1</v>
      </c>
      <c r="H4239" s="54" t="b">
        <v>1</v>
      </c>
      <c r="I4239" s="65" t="b">
        <v>0</v>
      </c>
      <c r="J4239" s="54" t="b">
        <v>1</v>
      </c>
      <c r="K4239" s="63" t="s">
        <v>965</v>
      </c>
      <c r="L4239" s="63" t="s">
        <v>9050</v>
      </c>
      <c r="M4239" s="63" t="s">
        <v>9051</v>
      </c>
      <c r="N4239" s="63" t="s">
        <v>1790</v>
      </c>
    </row>
    <row r="4240" spans="1:14" x14ac:dyDescent="0.2">
      <c r="A4240" s="51">
        <v>4239</v>
      </c>
      <c r="B4240" s="54" t="s">
        <v>965</v>
      </c>
      <c r="C4240" s="47" t="s">
        <v>9040</v>
      </c>
      <c r="D4240" s="47" t="s">
        <v>13423</v>
      </c>
      <c r="E4240" s="48" t="s">
        <v>1790</v>
      </c>
      <c r="F4240" s="66" t="b">
        <v>0</v>
      </c>
      <c r="G4240" s="54" t="b">
        <v>1</v>
      </c>
      <c r="H4240" s="54" t="b">
        <v>1</v>
      </c>
      <c r="I4240" s="65" t="b">
        <v>0</v>
      </c>
      <c r="J4240" s="54" t="b">
        <v>1</v>
      </c>
      <c r="K4240" s="63" t="s">
        <v>965</v>
      </c>
      <c r="L4240" s="63" t="s">
        <v>9040</v>
      </c>
      <c r="M4240" s="63" t="s">
        <v>9041</v>
      </c>
      <c r="N4240" s="63" t="s">
        <v>1790</v>
      </c>
    </row>
    <row r="4241" spans="1:14" x14ac:dyDescent="0.2">
      <c r="A4241" s="51">
        <v>4240</v>
      </c>
      <c r="B4241" s="54" t="s">
        <v>965</v>
      </c>
      <c r="C4241" s="47" t="s">
        <v>9060</v>
      </c>
      <c r="D4241" s="47" t="s">
        <v>13513</v>
      </c>
      <c r="E4241" s="48" t="s">
        <v>1790</v>
      </c>
      <c r="F4241" s="66" t="b">
        <v>0</v>
      </c>
      <c r="G4241" s="54" t="b">
        <v>1</v>
      </c>
      <c r="H4241" s="54" t="b">
        <v>1</v>
      </c>
      <c r="I4241" s="65" t="b">
        <v>0</v>
      </c>
      <c r="J4241" s="54" t="b">
        <v>1</v>
      </c>
      <c r="K4241" s="63" t="s">
        <v>965</v>
      </c>
      <c r="L4241" s="63" t="s">
        <v>9060</v>
      </c>
      <c r="M4241" s="63" t="s">
        <v>9061</v>
      </c>
      <c r="N4241" s="63" t="s">
        <v>1790</v>
      </c>
    </row>
    <row r="4242" spans="1:14" x14ac:dyDescent="0.2">
      <c r="A4242" s="51">
        <v>4241</v>
      </c>
      <c r="B4242" s="54" t="s">
        <v>965</v>
      </c>
      <c r="C4242" s="47" t="s">
        <v>9032</v>
      </c>
      <c r="D4242" s="47" t="s">
        <v>13371</v>
      </c>
      <c r="E4242" s="48" t="s">
        <v>1790</v>
      </c>
      <c r="F4242" s="66" t="b">
        <v>0</v>
      </c>
      <c r="G4242" s="54" t="b">
        <v>1</v>
      </c>
      <c r="H4242" s="54" t="b">
        <v>1</v>
      </c>
      <c r="I4242" s="65" t="b">
        <v>0</v>
      </c>
      <c r="J4242" s="54" t="b">
        <v>1</v>
      </c>
      <c r="K4242" s="63" t="s">
        <v>965</v>
      </c>
      <c r="L4242" s="63" t="s">
        <v>9032</v>
      </c>
      <c r="M4242" s="63" t="s">
        <v>9033</v>
      </c>
      <c r="N4242" s="63" t="s">
        <v>1790</v>
      </c>
    </row>
    <row r="4243" spans="1:14" x14ac:dyDescent="0.2">
      <c r="A4243" s="51">
        <v>4242</v>
      </c>
      <c r="B4243" s="54" t="s">
        <v>965</v>
      </c>
      <c r="C4243" s="47" t="s">
        <v>9090</v>
      </c>
      <c r="D4243" s="47" t="s">
        <v>13571</v>
      </c>
      <c r="E4243" s="48" t="s">
        <v>1790</v>
      </c>
      <c r="F4243" s="66" t="b">
        <v>0</v>
      </c>
      <c r="G4243" s="54" t="b">
        <v>1</v>
      </c>
      <c r="H4243" s="54" t="b">
        <v>1</v>
      </c>
      <c r="I4243" s="65" t="b">
        <v>0</v>
      </c>
      <c r="J4243" s="54" t="b">
        <v>1</v>
      </c>
      <c r="K4243" s="63" t="s">
        <v>965</v>
      </c>
      <c r="L4243" s="63" t="s">
        <v>9090</v>
      </c>
      <c r="M4243" s="63" t="s">
        <v>9091</v>
      </c>
      <c r="N4243" s="63" t="s">
        <v>1790</v>
      </c>
    </row>
    <row r="4244" spans="1:14" x14ac:dyDescent="0.2">
      <c r="A4244" s="51">
        <v>4243</v>
      </c>
      <c r="B4244" s="54" t="s">
        <v>965</v>
      </c>
      <c r="C4244" s="47" t="s">
        <v>9062</v>
      </c>
      <c r="D4244" s="47" t="s">
        <v>13514</v>
      </c>
      <c r="E4244" s="48" t="s">
        <v>1790</v>
      </c>
      <c r="F4244" s="66" t="b">
        <v>0</v>
      </c>
      <c r="G4244" s="54" t="b">
        <v>1</v>
      </c>
      <c r="H4244" s="54" t="b">
        <v>1</v>
      </c>
      <c r="I4244" s="65" t="b">
        <v>0</v>
      </c>
      <c r="J4244" s="54" t="b">
        <v>1</v>
      </c>
      <c r="K4244" s="63" t="s">
        <v>965</v>
      </c>
      <c r="L4244" s="63" t="s">
        <v>9062</v>
      </c>
      <c r="M4244" s="63" t="s">
        <v>9063</v>
      </c>
      <c r="N4244" s="63" t="s">
        <v>1790</v>
      </c>
    </row>
    <row r="4245" spans="1:14" x14ac:dyDescent="0.2">
      <c r="A4245" s="51">
        <v>4244</v>
      </c>
      <c r="B4245" s="54" t="s">
        <v>965</v>
      </c>
      <c r="C4245" s="47" t="s">
        <v>9030</v>
      </c>
      <c r="D4245" s="47" t="s">
        <v>13368</v>
      </c>
      <c r="E4245" s="48" t="s">
        <v>1790</v>
      </c>
      <c r="F4245" s="66" t="b">
        <v>0</v>
      </c>
      <c r="G4245" s="54" t="b">
        <v>1</v>
      </c>
      <c r="H4245" s="54" t="b">
        <v>1</v>
      </c>
      <c r="I4245" s="65" t="b">
        <v>0</v>
      </c>
      <c r="J4245" s="54" t="b">
        <v>1</v>
      </c>
      <c r="K4245" s="63" t="s">
        <v>965</v>
      </c>
      <c r="L4245" s="63" t="s">
        <v>9030</v>
      </c>
      <c r="M4245" s="63" t="s">
        <v>9031</v>
      </c>
      <c r="N4245" s="63" t="s">
        <v>1790</v>
      </c>
    </row>
    <row r="4246" spans="1:14" x14ac:dyDescent="0.2">
      <c r="A4246" s="51">
        <v>4245</v>
      </c>
      <c r="B4246" s="54" t="s">
        <v>965</v>
      </c>
      <c r="C4246" s="47" t="s">
        <v>9084</v>
      </c>
      <c r="D4246" s="47" t="s">
        <v>13625</v>
      </c>
      <c r="E4246" s="48" t="s">
        <v>1790</v>
      </c>
      <c r="F4246" s="66" t="b">
        <v>0</v>
      </c>
      <c r="G4246" s="54" t="b">
        <v>1</v>
      </c>
      <c r="H4246" s="54" t="b">
        <v>1</v>
      </c>
      <c r="I4246" s="65" t="b">
        <v>0</v>
      </c>
      <c r="J4246" s="54" t="b">
        <v>1</v>
      </c>
      <c r="K4246" s="63" t="s">
        <v>965</v>
      </c>
      <c r="L4246" s="63" t="s">
        <v>9084</v>
      </c>
      <c r="M4246" s="63" t="s">
        <v>9085</v>
      </c>
      <c r="N4246" s="63" t="s">
        <v>1790</v>
      </c>
    </row>
    <row r="4247" spans="1:14" x14ac:dyDescent="0.2">
      <c r="A4247" s="51">
        <v>4246</v>
      </c>
      <c r="B4247" s="54" t="s">
        <v>965</v>
      </c>
      <c r="C4247" s="47" t="s">
        <v>9088</v>
      </c>
      <c r="D4247" s="47" t="s">
        <v>13631</v>
      </c>
      <c r="E4247" s="48" t="s">
        <v>1790</v>
      </c>
      <c r="F4247" s="66" t="b">
        <v>0</v>
      </c>
      <c r="G4247" s="54" t="b">
        <v>1</v>
      </c>
      <c r="H4247" s="54" t="b">
        <v>1</v>
      </c>
      <c r="I4247" s="65" t="b">
        <v>0</v>
      </c>
      <c r="J4247" s="54" t="b">
        <v>1</v>
      </c>
      <c r="K4247" s="63" t="s">
        <v>965</v>
      </c>
      <c r="L4247" s="63" t="s">
        <v>9088</v>
      </c>
      <c r="M4247" s="63" t="s">
        <v>9089</v>
      </c>
      <c r="N4247" s="63" t="s">
        <v>1790</v>
      </c>
    </row>
    <row r="4248" spans="1:14" x14ac:dyDescent="0.2">
      <c r="A4248" s="51">
        <v>4247</v>
      </c>
      <c r="B4248" s="54" t="s">
        <v>965</v>
      </c>
      <c r="C4248" s="47" t="s">
        <v>9052</v>
      </c>
      <c r="D4248" s="47" t="s">
        <v>13475</v>
      </c>
      <c r="E4248" s="48" t="s">
        <v>1790</v>
      </c>
      <c r="F4248" s="66" t="b">
        <v>0</v>
      </c>
      <c r="G4248" s="54" t="b">
        <v>1</v>
      </c>
      <c r="H4248" s="54" t="b">
        <v>1</v>
      </c>
      <c r="I4248" s="65" t="b">
        <v>0</v>
      </c>
      <c r="J4248" s="54" t="b">
        <v>1</v>
      </c>
      <c r="K4248" s="63" t="s">
        <v>965</v>
      </c>
      <c r="L4248" s="63" t="s">
        <v>9052</v>
      </c>
      <c r="M4248" s="63" t="s">
        <v>9053</v>
      </c>
      <c r="N4248" s="63" t="s">
        <v>1790</v>
      </c>
    </row>
    <row r="4249" spans="1:14" x14ac:dyDescent="0.2">
      <c r="A4249" s="51">
        <v>4248</v>
      </c>
      <c r="B4249" s="54" t="s">
        <v>965</v>
      </c>
      <c r="C4249" s="47" t="s">
        <v>9070</v>
      </c>
      <c r="D4249" s="47" t="s">
        <v>13532</v>
      </c>
      <c r="E4249" s="48" t="s">
        <v>1790</v>
      </c>
      <c r="F4249" s="66" t="b">
        <v>0</v>
      </c>
      <c r="G4249" s="54" t="b">
        <v>1</v>
      </c>
      <c r="H4249" s="54" t="b">
        <v>1</v>
      </c>
      <c r="I4249" s="65" t="b">
        <v>0</v>
      </c>
      <c r="J4249" s="54" t="b">
        <v>1</v>
      </c>
      <c r="K4249" s="63" t="s">
        <v>965</v>
      </c>
      <c r="L4249" s="63" t="s">
        <v>9070</v>
      </c>
      <c r="M4249" s="63" t="s">
        <v>9071</v>
      </c>
      <c r="N4249" s="63" t="s">
        <v>1790</v>
      </c>
    </row>
    <row r="4250" spans="1:14" x14ac:dyDescent="0.2">
      <c r="A4250" s="51">
        <v>4249</v>
      </c>
      <c r="B4250" s="54" t="s">
        <v>965</v>
      </c>
      <c r="C4250" s="47" t="s">
        <v>9068</v>
      </c>
      <c r="D4250" s="47" t="s">
        <v>13529</v>
      </c>
      <c r="E4250" s="48" t="s">
        <v>1790</v>
      </c>
      <c r="F4250" s="66" t="b">
        <v>0</v>
      </c>
      <c r="G4250" s="54" t="b">
        <v>1</v>
      </c>
      <c r="H4250" s="54" t="b">
        <v>1</v>
      </c>
      <c r="I4250" s="65" t="b">
        <v>0</v>
      </c>
      <c r="J4250" s="54" t="b">
        <v>1</v>
      </c>
      <c r="K4250" s="63" t="s">
        <v>965</v>
      </c>
      <c r="L4250" s="63" t="s">
        <v>9068</v>
      </c>
      <c r="M4250" s="63" t="s">
        <v>9069</v>
      </c>
      <c r="N4250" s="63" t="s">
        <v>1790</v>
      </c>
    </row>
    <row r="4251" spans="1:14" x14ac:dyDescent="0.2">
      <c r="A4251" s="51">
        <v>4250</v>
      </c>
      <c r="B4251" s="54" t="s">
        <v>965</v>
      </c>
      <c r="C4251" s="47" t="s">
        <v>9054</v>
      </c>
      <c r="D4251" s="47" t="s">
        <v>13480</v>
      </c>
      <c r="E4251" s="48" t="s">
        <v>1790</v>
      </c>
      <c r="F4251" s="66" t="b">
        <v>0</v>
      </c>
      <c r="G4251" s="54" t="b">
        <v>1</v>
      </c>
      <c r="H4251" s="54" t="b">
        <v>1</v>
      </c>
      <c r="I4251" s="65" t="b">
        <v>0</v>
      </c>
      <c r="J4251" s="54" t="b">
        <v>1</v>
      </c>
      <c r="K4251" s="63" t="s">
        <v>965</v>
      </c>
      <c r="L4251" s="63" t="s">
        <v>9054</v>
      </c>
      <c r="M4251" s="63" t="s">
        <v>9055</v>
      </c>
      <c r="N4251" s="63" t="s">
        <v>1790</v>
      </c>
    </row>
    <row r="4252" spans="1:14" x14ac:dyDescent="0.2">
      <c r="A4252" s="51">
        <v>4251</v>
      </c>
      <c r="B4252" s="54" t="s">
        <v>965</v>
      </c>
      <c r="C4252" s="47" t="s">
        <v>9080</v>
      </c>
      <c r="D4252" s="47" t="s">
        <v>13582</v>
      </c>
      <c r="E4252" s="48" t="s">
        <v>1790</v>
      </c>
      <c r="F4252" s="66" t="b">
        <v>0</v>
      </c>
      <c r="G4252" s="54" t="b">
        <v>1</v>
      </c>
      <c r="H4252" s="54" t="b">
        <v>1</v>
      </c>
      <c r="I4252" s="65" t="b">
        <v>0</v>
      </c>
      <c r="J4252" s="54" t="b">
        <v>1</v>
      </c>
      <c r="K4252" s="63" t="s">
        <v>965</v>
      </c>
      <c r="L4252" s="63" t="s">
        <v>9080</v>
      </c>
      <c r="M4252" s="63" t="s">
        <v>9081</v>
      </c>
      <c r="N4252" s="63" t="s">
        <v>1790</v>
      </c>
    </row>
    <row r="4253" spans="1:14" x14ac:dyDescent="0.2">
      <c r="A4253" s="51">
        <v>4252</v>
      </c>
      <c r="B4253" s="54" t="s">
        <v>965</v>
      </c>
      <c r="C4253" s="47" t="s">
        <v>9058</v>
      </c>
      <c r="D4253" s="47" t="s">
        <v>13510</v>
      </c>
      <c r="E4253" s="48" t="s">
        <v>1790</v>
      </c>
      <c r="F4253" s="66" t="b">
        <v>0</v>
      </c>
      <c r="G4253" s="54" t="b">
        <v>1</v>
      </c>
      <c r="H4253" s="54" t="b">
        <v>1</v>
      </c>
      <c r="I4253" s="65" t="b">
        <v>0</v>
      </c>
      <c r="J4253" s="54" t="b">
        <v>1</v>
      </c>
      <c r="K4253" s="63" t="s">
        <v>965</v>
      </c>
      <c r="L4253" s="63" t="s">
        <v>9058</v>
      </c>
      <c r="M4253" s="63" t="s">
        <v>9059</v>
      </c>
      <c r="N4253" s="63" t="s">
        <v>1790</v>
      </c>
    </row>
    <row r="4254" spans="1:14" x14ac:dyDescent="0.2">
      <c r="A4254" s="51">
        <v>4253</v>
      </c>
      <c r="B4254" s="54" t="s">
        <v>965</v>
      </c>
      <c r="C4254" s="47" t="s">
        <v>9034</v>
      </c>
      <c r="D4254" s="47" t="s">
        <v>13406</v>
      </c>
      <c r="E4254" s="48" t="s">
        <v>1790</v>
      </c>
      <c r="F4254" s="66" t="b">
        <v>0</v>
      </c>
      <c r="G4254" s="54" t="b">
        <v>1</v>
      </c>
      <c r="H4254" s="54" t="b">
        <v>1</v>
      </c>
      <c r="I4254" s="65" t="b">
        <v>0</v>
      </c>
      <c r="J4254" s="54" t="b">
        <v>1</v>
      </c>
      <c r="K4254" s="63" t="s">
        <v>965</v>
      </c>
      <c r="L4254" s="63" t="s">
        <v>9034</v>
      </c>
      <c r="M4254" s="63" t="s">
        <v>9035</v>
      </c>
      <c r="N4254" s="63" t="s">
        <v>1790</v>
      </c>
    </row>
    <row r="4255" spans="1:14" x14ac:dyDescent="0.2">
      <c r="A4255" s="51">
        <v>4254</v>
      </c>
      <c r="B4255" s="54" t="s">
        <v>965</v>
      </c>
      <c r="C4255" s="47" t="s">
        <v>9066</v>
      </c>
      <c r="D4255" s="47" t="s">
        <v>13503</v>
      </c>
      <c r="E4255" s="48" t="s">
        <v>1790</v>
      </c>
      <c r="F4255" s="66" t="b">
        <v>0</v>
      </c>
      <c r="G4255" s="54" t="b">
        <v>1</v>
      </c>
      <c r="H4255" s="54" t="b">
        <v>1</v>
      </c>
      <c r="I4255" s="65" t="b">
        <v>0</v>
      </c>
      <c r="J4255" s="54" t="b">
        <v>1</v>
      </c>
      <c r="K4255" s="63" t="s">
        <v>965</v>
      </c>
      <c r="L4255" s="63" t="s">
        <v>9066</v>
      </c>
      <c r="M4255" s="63" t="s">
        <v>9067</v>
      </c>
      <c r="N4255" s="63" t="s">
        <v>1790</v>
      </c>
    </row>
    <row r="4256" spans="1:14" x14ac:dyDescent="0.2">
      <c r="A4256" s="51">
        <v>4255</v>
      </c>
      <c r="E4256" s="48"/>
      <c r="G4256" s="65" t="b">
        <v>0</v>
      </c>
      <c r="H4256" s="65" t="b">
        <v>0</v>
      </c>
      <c r="I4256" s="65" t="b">
        <v>0</v>
      </c>
      <c r="J4256" s="65" t="b">
        <v>0</v>
      </c>
      <c r="K4256" s="63" t="s">
        <v>965</v>
      </c>
      <c r="L4256" s="63" t="s">
        <v>9044</v>
      </c>
      <c r="M4256" s="63" t="s">
        <v>9045</v>
      </c>
      <c r="N4256" s="63" t="s">
        <v>1790</v>
      </c>
    </row>
    <row r="4257" spans="1:14" x14ac:dyDescent="0.2">
      <c r="A4257" s="51">
        <v>4256</v>
      </c>
      <c r="E4257" s="48"/>
      <c r="G4257" s="65" t="b">
        <v>0</v>
      </c>
      <c r="H4257" s="65" t="b">
        <v>0</v>
      </c>
      <c r="I4257" s="65" t="b">
        <v>0</v>
      </c>
      <c r="J4257" s="65" t="b">
        <v>0</v>
      </c>
      <c r="K4257" s="63" t="s">
        <v>965</v>
      </c>
      <c r="L4257" s="63" t="s">
        <v>9056</v>
      </c>
      <c r="M4257" s="63" t="s">
        <v>9057</v>
      </c>
      <c r="N4257" s="63" t="s">
        <v>1790</v>
      </c>
    </row>
    <row r="4258" spans="1:14" x14ac:dyDescent="0.2">
      <c r="A4258" s="51">
        <v>4257</v>
      </c>
      <c r="E4258" s="48"/>
      <c r="G4258" s="65" t="b">
        <v>0</v>
      </c>
      <c r="H4258" s="65" t="b">
        <v>0</v>
      </c>
      <c r="I4258" s="65" t="b">
        <v>0</v>
      </c>
      <c r="J4258" s="65" t="b">
        <v>0</v>
      </c>
      <c r="K4258" s="63" t="s">
        <v>965</v>
      </c>
      <c r="L4258" s="63" t="s">
        <v>9064</v>
      </c>
      <c r="M4258" s="63" t="s">
        <v>9065</v>
      </c>
      <c r="N4258" s="63" t="s">
        <v>1790</v>
      </c>
    </row>
    <row r="4259" spans="1:14" x14ac:dyDescent="0.2">
      <c r="A4259" s="51">
        <v>4258</v>
      </c>
      <c r="E4259" s="48"/>
      <c r="G4259" s="65" t="b">
        <v>0</v>
      </c>
      <c r="H4259" s="65" t="b">
        <v>0</v>
      </c>
      <c r="I4259" s="65" t="b">
        <v>0</v>
      </c>
      <c r="J4259" s="65" t="b">
        <v>0</v>
      </c>
      <c r="K4259" s="63" t="s">
        <v>965</v>
      </c>
      <c r="L4259" s="63" t="s">
        <v>9046</v>
      </c>
      <c r="M4259" s="63" t="s">
        <v>9047</v>
      </c>
      <c r="N4259" s="63" t="s">
        <v>1790</v>
      </c>
    </row>
    <row r="4260" spans="1:14" x14ac:dyDescent="0.2">
      <c r="A4260" s="51">
        <v>4259</v>
      </c>
      <c r="E4260" s="48"/>
      <c r="G4260" s="65" t="b">
        <v>0</v>
      </c>
      <c r="H4260" s="65" t="b">
        <v>0</v>
      </c>
      <c r="I4260" s="65" t="b">
        <v>0</v>
      </c>
      <c r="J4260" s="65" t="b">
        <v>0</v>
      </c>
      <c r="K4260" s="63" t="s">
        <v>965</v>
      </c>
      <c r="L4260" s="63" t="s">
        <v>9048</v>
      </c>
      <c r="M4260" s="63" t="s">
        <v>9049</v>
      </c>
      <c r="N4260" s="63" t="s">
        <v>1790</v>
      </c>
    </row>
    <row r="4261" spans="1:14" x14ac:dyDescent="0.2">
      <c r="A4261" s="51">
        <v>4260</v>
      </c>
      <c r="E4261" s="48"/>
      <c r="G4261" s="65" t="b">
        <v>0</v>
      </c>
      <c r="H4261" s="65" t="b">
        <v>0</v>
      </c>
      <c r="I4261" s="65" t="b">
        <v>0</v>
      </c>
      <c r="J4261" s="65" t="b">
        <v>0</v>
      </c>
      <c r="K4261" s="63" t="s">
        <v>965</v>
      </c>
      <c r="L4261" s="63" t="s">
        <v>9042</v>
      </c>
      <c r="M4261" s="63" t="s">
        <v>9043</v>
      </c>
      <c r="N4261" s="63" t="s">
        <v>5165</v>
      </c>
    </row>
    <row r="4262" spans="1:14" x14ac:dyDescent="0.2">
      <c r="A4262" s="51">
        <v>4261</v>
      </c>
      <c r="E4262" s="48"/>
      <c r="G4262" s="65" t="b">
        <v>0</v>
      </c>
      <c r="H4262" s="65" t="b">
        <v>0</v>
      </c>
      <c r="I4262" s="65" t="b">
        <v>0</v>
      </c>
      <c r="J4262" s="65" t="b">
        <v>0</v>
      </c>
      <c r="K4262" s="63" t="s">
        <v>965</v>
      </c>
      <c r="L4262" s="63" t="s">
        <v>9082</v>
      </c>
      <c r="M4262" s="63" t="s">
        <v>9083</v>
      </c>
      <c r="N4262" s="63" t="s">
        <v>5165</v>
      </c>
    </row>
    <row r="4263" spans="1:14" x14ac:dyDescent="0.2">
      <c r="A4263" s="51">
        <v>4262</v>
      </c>
      <c r="B4263" s="54" t="s">
        <v>965</v>
      </c>
      <c r="C4263" s="47" t="s">
        <v>13322</v>
      </c>
      <c r="D4263" s="47" t="s">
        <v>13323</v>
      </c>
      <c r="E4263" s="47" t="s">
        <v>2164</v>
      </c>
      <c r="F4263" s="55" t="b">
        <v>1</v>
      </c>
      <c r="G4263" s="65" t="b">
        <v>0</v>
      </c>
      <c r="H4263" s="65" t="b">
        <v>0</v>
      </c>
      <c r="I4263" s="65" t="b">
        <v>0</v>
      </c>
      <c r="J4263" s="65" t="b">
        <v>0</v>
      </c>
    </row>
    <row r="4264" spans="1:14" x14ac:dyDescent="0.2">
      <c r="A4264" s="51">
        <v>4263</v>
      </c>
      <c r="B4264" s="54" t="s">
        <v>965</v>
      </c>
      <c r="C4264" s="47" t="s">
        <v>13324</v>
      </c>
      <c r="D4264" s="47" t="s">
        <v>13325</v>
      </c>
      <c r="E4264" s="47" t="s">
        <v>2164</v>
      </c>
      <c r="F4264" s="55" t="b">
        <v>1</v>
      </c>
      <c r="G4264" s="65" t="b">
        <v>0</v>
      </c>
      <c r="H4264" s="65" t="b">
        <v>0</v>
      </c>
      <c r="I4264" s="65" t="b">
        <v>0</v>
      </c>
      <c r="J4264" s="65" t="b">
        <v>0</v>
      </c>
    </row>
    <row r="4265" spans="1:14" x14ac:dyDescent="0.2">
      <c r="A4265" s="51">
        <v>4264</v>
      </c>
      <c r="B4265" s="54" t="s">
        <v>965</v>
      </c>
      <c r="C4265" s="47" t="s">
        <v>13326</v>
      </c>
      <c r="D4265" s="47" t="s">
        <v>13327</v>
      </c>
      <c r="E4265" s="47" t="s">
        <v>2164</v>
      </c>
      <c r="F4265" s="55" t="b">
        <v>1</v>
      </c>
      <c r="G4265" s="65" t="b">
        <v>0</v>
      </c>
      <c r="H4265" s="65" t="b">
        <v>0</v>
      </c>
      <c r="I4265" s="65" t="b">
        <v>0</v>
      </c>
      <c r="J4265" s="65" t="b">
        <v>0</v>
      </c>
    </row>
    <row r="4266" spans="1:14" x14ac:dyDescent="0.2">
      <c r="A4266" s="51">
        <v>4265</v>
      </c>
      <c r="B4266" s="54" t="s">
        <v>965</v>
      </c>
      <c r="C4266" s="47" t="s">
        <v>13328</v>
      </c>
      <c r="D4266" s="47" t="s">
        <v>13329</v>
      </c>
      <c r="E4266" s="47" t="s">
        <v>2164</v>
      </c>
      <c r="F4266" s="55" t="b">
        <v>1</v>
      </c>
      <c r="G4266" s="65" t="b">
        <v>0</v>
      </c>
      <c r="H4266" s="65" t="b">
        <v>0</v>
      </c>
      <c r="I4266" s="65" t="b">
        <v>0</v>
      </c>
      <c r="J4266" s="65" t="b">
        <v>0</v>
      </c>
    </row>
    <row r="4267" spans="1:14" x14ac:dyDescent="0.2">
      <c r="A4267" s="51">
        <v>4266</v>
      </c>
      <c r="B4267" s="54" t="s">
        <v>965</v>
      </c>
      <c r="C4267" s="47" t="s">
        <v>13330</v>
      </c>
      <c r="D4267" s="47" t="s">
        <v>13331</v>
      </c>
      <c r="E4267" s="47" t="s">
        <v>2164</v>
      </c>
      <c r="F4267" s="55" t="b">
        <v>1</v>
      </c>
      <c r="G4267" s="65" t="b">
        <v>0</v>
      </c>
      <c r="H4267" s="65" t="b">
        <v>0</v>
      </c>
      <c r="I4267" s="65" t="b">
        <v>0</v>
      </c>
      <c r="J4267" s="65" t="b">
        <v>0</v>
      </c>
    </row>
    <row r="4268" spans="1:14" x14ac:dyDescent="0.2">
      <c r="A4268" s="51">
        <v>4267</v>
      </c>
      <c r="B4268" s="54" t="s">
        <v>965</v>
      </c>
      <c r="C4268" s="47" t="s">
        <v>13332</v>
      </c>
      <c r="D4268" s="47" t="s">
        <v>13333</v>
      </c>
      <c r="E4268" s="47" t="s">
        <v>2164</v>
      </c>
      <c r="F4268" s="55" t="b">
        <v>1</v>
      </c>
      <c r="G4268" s="65" t="b">
        <v>0</v>
      </c>
      <c r="H4268" s="65" t="b">
        <v>0</v>
      </c>
      <c r="I4268" s="65" t="b">
        <v>0</v>
      </c>
      <c r="J4268" s="65" t="b">
        <v>0</v>
      </c>
    </row>
    <row r="4269" spans="1:14" x14ac:dyDescent="0.2">
      <c r="A4269" s="51">
        <v>4268</v>
      </c>
      <c r="B4269" s="54" t="s">
        <v>965</v>
      </c>
      <c r="C4269" s="47" t="s">
        <v>13334</v>
      </c>
      <c r="D4269" s="47" t="s">
        <v>13335</v>
      </c>
      <c r="E4269" s="47" t="s">
        <v>2164</v>
      </c>
      <c r="F4269" s="55" t="b">
        <v>1</v>
      </c>
      <c r="G4269" s="65" t="b">
        <v>0</v>
      </c>
      <c r="H4269" s="65" t="b">
        <v>0</v>
      </c>
      <c r="I4269" s="65" t="b">
        <v>0</v>
      </c>
      <c r="J4269" s="65" t="b">
        <v>0</v>
      </c>
    </row>
    <row r="4270" spans="1:14" x14ac:dyDescent="0.2">
      <c r="A4270" s="51">
        <v>4269</v>
      </c>
      <c r="B4270" s="54" t="s">
        <v>965</v>
      </c>
      <c r="C4270" s="47" t="s">
        <v>13336</v>
      </c>
      <c r="D4270" s="47" t="s">
        <v>13337</v>
      </c>
      <c r="E4270" s="47" t="s">
        <v>2164</v>
      </c>
      <c r="F4270" s="55" t="b">
        <v>1</v>
      </c>
      <c r="G4270" s="65" t="b">
        <v>0</v>
      </c>
      <c r="H4270" s="65" t="b">
        <v>0</v>
      </c>
      <c r="I4270" s="65" t="b">
        <v>0</v>
      </c>
      <c r="J4270" s="65" t="b">
        <v>0</v>
      </c>
    </row>
    <row r="4271" spans="1:14" x14ac:dyDescent="0.2">
      <c r="A4271" s="51">
        <v>4270</v>
      </c>
      <c r="B4271" s="54" t="s">
        <v>965</v>
      </c>
      <c r="C4271" s="47" t="s">
        <v>13338</v>
      </c>
      <c r="D4271" s="47" t="s">
        <v>13339</v>
      </c>
      <c r="E4271" s="47" t="s">
        <v>2164</v>
      </c>
      <c r="F4271" s="55" t="b">
        <v>1</v>
      </c>
      <c r="G4271" s="65" t="b">
        <v>0</v>
      </c>
      <c r="H4271" s="65" t="b">
        <v>0</v>
      </c>
      <c r="I4271" s="65" t="b">
        <v>0</v>
      </c>
      <c r="J4271" s="65" t="b">
        <v>0</v>
      </c>
    </row>
    <row r="4272" spans="1:14" x14ac:dyDescent="0.2">
      <c r="A4272" s="51">
        <v>4271</v>
      </c>
      <c r="B4272" s="54" t="s">
        <v>965</v>
      </c>
      <c r="C4272" s="47" t="s">
        <v>13340</v>
      </c>
      <c r="D4272" s="47" t="s">
        <v>13341</v>
      </c>
      <c r="E4272" s="47" t="s">
        <v>2164</v>
      </c>
      <c r="F4272" s="55" t="b">
        <v>1</v>
      </c>
      <c r="G4272" s="65" t="b">
        <v>0</v>
      </c>
      <c r="H4272" s="65" t="b">
        <v>0</v>
      </c>
      <c r="I4272" s="65" t="b">
        <v>0</v>
      </c>
      <c r="J4272" s="65" t="b">
        <v>0</v>
      </c>
    </row>
    <row r="4273" spans="1:10" x14ac:dyDescent="0.2">
      <c r="A4273" s="51">
        <v>4272</v>
      </c>
      <c r="B4273" s="54" t="s">
        <v>965</v>
      </c>
      <c r="C4273" s="47" t="s">
        <v>13342</v>
      </c>
      <c r="D4273" s="47" t="s">
        <v>13343</v>
      </c>
      <c r="E4273" s="47" t="s">
        <v>2164</v>
      </c>
      <c r="F4273" s="55" t="b">
        <v>1</v>
      </c>
      <c r="G4273" s="65" t="b">
        <v>0</v>
      </c>
      <c r="H4273" s="65" t="b">
        <v>0</v>
      </c>
      <c r="I4273" s="65" t="b">
        <v>0</v>
      </c>
      <c r="J4273" s="65" t="b">
        <v>0</v>
      </c>
    </row>
    <row r="4274" spans="1:10" x14ac:dyDescent="0.2">
      <c r="A4274" s="51">
        <v>4273</v>
      </c>
      <c r="B4274" s="54" t="s">
        <v>965</v>
      </c>
      <c r="C4274" s="47" t="s">
        <v>13469</v>
      </c>
      <c r="D4274" s="47" t="s">
        <v>13470</v>
      </c>
      <c r="E4274" s="47" t="s">
        <v>2164</v>
      </c>
      <c r="F4274" s="55" t="b">
        <v>1</v>
      </c>
      <c r="G4274" s="65" t="b">
        <v>0</v>
      </c>
      <c r="H4274" s="65" t="b">
        <v>0</v>
      </c>
      <c r="I4274" s="65" t="b">
        <v>0</v>
      </c>
      <c r="J4274" s="65" t="b">
        <v>0</v>
      </c>
    </row>
    <row r="4275" spans="1:10" x14ac:dyDescent="0.2">
      <c r="A4275" s="51">
        <v>4274</v>
      </c>
      <c r="B4275" s="54" t="s">
        <v>965</v>
      </c>
      <c r="C4275" s="47" t="s">
        <v>13471</v>
      </c>
      <c r="D4275" s="47" t="s">
        <v>13472</v>
      </c>
      <c r="E4275" s="47" t="s">
        <v>2164</v>
      </c>
      <c r="F4275" s="55" t="b">
        <v>1</v>
      </c>
      <c r="G4275" s="65" t="b">
        <v>0</v>
      </c>
      <c r="H4275" s="65" t="b">
        <v>0</v>
      </c>
      <c r="I4275" s="65" t="b">
        <v>0</v>
      </c>
      <c r="J4275" s="65" t="b">
        <v>0</v>
      </c>
    </row>
    <row r="4276" spans="1:10" x14ac:dyDescent="0.2">
      <c r="A4276" s="51">
        <v>4275</v>
      </c>
      <c r="B4276" s="54" t="s">
        <v>965</v>
      </c>
      <c r="C4276" s="47" t="s">
        <v>13473</v>
      </c>
      <c r="D4276" s="47" t="s">
        <v>13474</v>
      </c>
      <c r="E4276" s="47" t="s">
        <v>2164</v>
      </c>
      <c r="F4276" s="55" t="b">
        <v>1</v>
      </c>
      <c r="G4276" s="65" t="b">
        <v>0</v>
      </c>
      <c r="H4276" s="65" t="b">
        <v>0</v>
      </c>
      <c r="I4276" s="65" t="b">
        <v>0</v>
      </c>
      <c r="J4276" s="65" t="b">
        <v>0</v>
      </c>
    </row>
    <row r="4277" spans="1:10" x14ac:dyDescent="0.2">
      <c r="A4277" s="51">
        <v>4276</v>
      </c>
      <c r="B4277" s="54" t="s">
        <v>965</v>
      </c>
      <c r="C4277" s="47" t="s">
        <v>13476</v>
      </c>
      <c r="D4277" s="47" t="s">
        <v>13477</v>
      </c>
      <c r="E4277" s="47" t="s">
        <v>2164</v>
      </c>
      <c r="F4277" s="55" t="b">
        <v>1</v>
      </c>
      <c r="G4277" s="65" t="b">
        <v>0</v>
      </c>
      <c r="H4277" s="65" t="b">
        <v>0</v>
      </c>
      <c r="I4277" s="65" t="b">
        <v>0</v>
      </c>
      <c r="J4277" s="65" t="b">
        <v>0</v>
      </c>
    </row>
    <row r="4278" spans="1:10" x14ac:dyDescent="0.2">
      <c r="A4278" s="51">
        <v>4277</v>
      </c>
      <c r="B4278" s="54" t="s">
        <v>965</v>
      </c>
      <c r="C4278" s="47" t="s">
        <v>13478</v>
      </c>
      <c r="D4278" s="47" t="s">
        <v>13479</v>
      </c>
      <c r="E4278" s="47" t="s">
        <v>2046</v>
      </c>
      <c r="F4278" s="55" t="b">
        <v>1</v>
      </c>
      <c r="G4278" s="65" t="b">
        <v>0</v>
      </c>
      <c r="H4278" s="65" t="b">
        <v>0</v>
      </c>
      <c r="I4278" s="65" t="b">
        <v>0</v>
      </c>
      <c r="J4278" s="65" t="b">
        <v>0</v>
      </c>
    </row>
    <row r="4279" spans="1:10" x14ac:dyDescent="0.2">
      <c r="A4279" s="51">
        <v>4278</v>
      </c>
      <c r="B4279" s="54" t="s">
        <v>965</v>
      </c>
      <c r="C4279" s="47" t="s">
        <v>13481</v>
      </c>
      <c r="D4279" s="47" t="s">
        <v>13482</v>
      </c>
      <c r="E4279" s="47" t="s">
        <v>2164</v>
      </c>
      <c r="F4279" s="55" t="b">
        <v>1</v>
      </c>
      <c r="G4279" s="65" t="b">
        <v>0</v>
      </c>
      <c r="H4279" s="65" t="b">
        <v>0</v>
      </c>
      <c r="I4279" s="65" t="b">
        <v>0</v>
      </c>
      <c r="J4279" s="65" t="b">
        <v>0</v>
      </c>
    </row>
    <row r="4280" spans="1:10" x14ac:dyDescent="0.2">
      <c r="A4280" s="51">
        <v>4279</v>
      </c>
      <c r="B4280" s="54" t="s">
        <v>965</v>
      </c>
      <c r="C4280" s="47" t="s">
        <v>13483</v>
      </c>
      <c r="D4280" s="47" t="s">
        <v>13484</v>
      </c>
      <c r="E4280" s="47" t="s">
        <v>2164</v>
      </c>
      <c r="F4280" s="55" t="b">
        <v>1</v>
      </c>
      <c r="G4280" s="65" t="b">
        <v>0</v>
      </c>
      <c r="H4280" s="65" t="b">
        <v>0</v>
      </c>
      <c r="I4280" s="65" t="b">
        <v>0</v>
      </c>
      <c r="J4280" s="65" t="b">
        <v>0</v>
      </c>
    </row>
    <row r="4281" spans="1:10" x14ac:dyDescent="0.2">
      <c r="A4281" s="51">
        <v>4280</v>
      </c>
      <c r="B4281" s="54" t="s">
        <v>965</v>
      </c>
      <c r="C4281" s="47" t="s">
        <v>13485</v>
      </c>
      <c r="D4281" s="47" t="s">
        <v>13486</v>
      </c>
      <c r="E4281" s="47" t="s">
        <v>2164</v>
      </c>
      <c r="F4281" s="55" t="b">
        <v>1</v>
      </c>
      <c r="G4281" s="65" t="b">
        <v>0</v>
      </c>
      <c r="H4281" s="65" t="b">
        <v>0</v>
      </c>
      <c r="I4281" s="65" t="b">
        <v>0</v>
      </c>
      <c r="J4281" s="65" t="b">
        <v>0</v>
      </c>
    </row>
    <row r="4282" spans="1:10" x14ac:dyDescent="0.2">
      <c r="A4282" s="51">
        <v>4281</v>
      </c>
      <c r="B4282" s="54" t="s">
        <v>965</v>
      </c>
      <c r="C4282" s="47" t="s">
        <v>13487</v>
      </c>
      <c r="D4282" s="47" t="s">
        <v>13488</v>
      </c>
      <c r="E4282" s="47" t="s">
        <v>2164</v>
      </c>
      <c r="F4282" s="55" t="b">
        <v>1</v>
      </c>
      <c r="G4282" s="65" t="b">
        <v>0</v>
      </c>
      <c r="H4282" s="65" t="b">
        <v>0</v>
      </c>
      <c r="I4282" s="65" t="b">
        <v>0</v>
      </c>
      <c r="J4282" s="65" t="b">
        <v>0</v>
      </c>
    </row>
    <row r="4283" spans="1:10" x14ac:dyDescent="0.2">
      <c r="A4283" s="51">
        <v>4282</v>
      </c>
      <c r="B4283" s="54" t="s">
        <v>965</v>
      </c>
      <c r="C4283" s="47" t="s">
        <v>13489</v>
      </c>
      <c r="D4283" s="47" t="s">
        <v>13490</v>
      </c>
      <c r="E4283" s="47" t="s">
        <v>2046</v>
      </c>
      <c r="F4283" s="55" t="b">
        <v>1</v>
      </c>
      <c r="G4283" s="65" t="b">
        <v>0</v>
      </c>
      <c r="H4283" s="65" t="b">
        <v>0</v>
      </c>
      <c r="I4283" s="65" t="b">
        <v>0</v>
      </c>
      <c r="J4283" s="65" t="b">
        <v>0</v>
      </c>
    </row>
    <row r="4284" spans="1:10" x14ac:dyDescent="0.2">
      <c r="A4284" s="51">
        <v>4283</v>
      </c>
      <c r="B4284" s="54" t="s">
        <v>965</v>
      </c>
      <c r="C4284" s="47" t="s">
        <v>13491</v>
      </c>
      <c r="D4284" s="47" t="s">
        <v>13492</v>
      </c>
      <c r="E4284" s="47" t="s">
        <v>2046</v>
      </c>
      <c r="F4284" s="55" t="b">
        <v>1</v>
      </c>
      <c r="G4284" s="65" t="b">
        <v>0</v>
      </c>
      <c r="H4284" s="65" t="b">
        <v>0</v>
      </c>
      <c r="I4284" s="65" t="b">
        <v>0</v>
      </c>
      <c r="J4284" s="65" t="b">
        <v>0</v>
      </c>
    </row>
    <row r="4285" spans="1:10" x14ac:dyDescent="0.2">
      <c r="A4285" s="51">
        <v>4284</v>
      </c>
      <c r="B4285" s="54" t="s">
        <v>965</v>
      </c>
      <c r="C4285" s="47" t="s">
        <v>13493</v>
      </c>
      <c r="D4285" s="47" t="s">
        <v>13494</v>
      </c>
      <c r="E4285" s="47" t="s">
        <v>2164</v>
      </c>
      <c r="F4285" s="55" t="b">
        <v>1</v>
      </c>
      <c r="G4285" s="65" t="b">
        <v>0</v>
      </c>
      <c r="H4285" s="65" t="b">
        <v>0</v>
      </c>
      <c r="I4285" s="65" t="b">
        <v>0</v>
      </c>
      <c r="J4285" s="65" t="b">
        <v>0</v>
      </c>
    </row>
    <row r="4286" spans="1:10" x14ac:dyDescent="0.2">
      <c r="A4286" s="51">
        <v>4285</v>
      </c>
      <c r="B4286" s="54" t="s">
        <v>965</v>
      </c>
      <c r="C4286" s="47" t="s">
        <v>13495</v>
      </c>
      <c r="D4286" s="47" t="s">
        <v>13496</v>
      </c>
      <c r="E4286" s="47" t="s">
        <v>2164</v>
      </c>
      <c r="F4286" s="55" t="b">
        <v>1</v>
      </c>
      <c r="G4286" s="65" t="b">
        <v>0</v>
      </c>
      <c r="H4286" s="65" t="b">
        <v>0</v>
      </c>
      <c r="I4286" s="65" t="b">
        <v>0</v>
      </c>
      <c r="J4286" s="65" t="b">
        <v>0</v>
      </c>
    </row>
    <row r="4287" spans="1:10" x14ac:dyDescent="0.2">
      <c r="A4287" s="51">
        <v>4286</v>
      </c>
      <c r="B4287" s="54" t="s">
        <v>965</v>
      </c>
      <c r="C4287" s="47" t="s">
        <v>13497</v>
      </c>
      <c r="D4287" s="47" t="s">
        <v>13498</v>
      </c>
      <c r="E4287" s="47" t="s">
        <v>2164</v>
      </c>
      <c r="F4287" s="55" t="b">
        <v>1</v>
      </c>
      <c r="G4287" s="65" t="b">
        <v>0</v>
      </c>
      <c r="H4287" s="65" t="b">
        <v>0</v>
      </c>
      <c r="I4287" s="65" t="b">
        <v>0</v>
      </c>
      <c r="J4287" s="65" t="b">
        <v>0</v>
      </c>
    </row>
    <row r="4288" spans="1:10" x14ac:dyDescent="0.2">
      <c r="A4288" s="51">
        <v>4287</v>
      </c>
      <c r="B4288" s="54" t="s">
        <v>965</v>
      </c>
      <c r="C4288" s="47" t="s">
        <v>13499</v>
      </c>
      <c r="D4288" s="47" t="s">
        <v>13500</v>
      </c>
      <c r="E4288" s="47" t="s">
        <v>2046</v>
      </c>
      <c r="F4288" s="55" t="b">
        <v>1</v>
      </c>
      <c r="G4288" s="65" t="b">
        <v>0</v>
      </c>
      <c r="H4288" s="65" t="b">
        <v>0</v>
      </c>
      <c r="I4288" s="65" t="b">
        <v>0</v>
      </c>
      <c r="J4288" s="65" t="b">
        <v>0</v>
      </c>
    </row>
    <row r="4289" spans="1:10" x14ac:dyDescent="0.2">
      <c r="A4289" s="51">
        <v>4288</v>
      </c>
      <c r="B4289" s="54" t="s">
        <v>965</v>
      </c>
      <c r="C4289" s="47" t="s">
        <v>13501</v>
      </c>
      <c r="D4289" s="47" t="s">
        <v>13502</v>
      </c>
      <c r="E4289" s="47" t="s">
        <v>2164</v>
      </c>
      <c r="F4289" s="55" t="b">
        <v>1</v>
      </c>
      <c r="G4289" s="65" t="b">
        <v>0</v>
      </c>
      <c r="H4289" s="65" t="b">
        <v>0</v>
      </c>
      <c r="I4289" s="65" t="b">
        <v>0</v>
      </c>
      <c r="J4289" s="65" t="b">
        <v>0</v>
      </c>
    </row>
    <row r="4290" spans="1:10" x14ac:dyDescent="0.2">
      <c r="A4290" s="51">
        <v>4289</v>
      </c>
      <c r="B4290" s="54" t="s">
        <v>965</v>
      </c>
      <c r="C4290" s="47" t="s">
        <v>13504</v>
      </c>
      <c r="D4290" s="47" t="s">
        <v>13505</v>
      </c>
      <c r="E4290" s="47" t="s">
        <v>2164</v>
      </c>
      <c r="F4290" s="55" t="b">
        <v>1</v>
      </c>
      <c r="G4290" s="65" t="b">
        <v>0</v>
      </c>
      <c r="H4290" s="65" t="b">
        <v>0</v>
      </c>
      <c r="I4290" s="65" t="b">
        <v>0</v>
      </c>
      <c r="J4290" s="65" t="b">
        <v>0</v>
      </c>
    </row>
    <row r="4291" spans="1:10" x14ac:dyDescent="0.2">
      <c r="A4291" s="51">
        <v>4290</v>
      </c>
      <c r="B4291" s="54" t="s">
        <v>965</v>
      </c>
      <c r="C4291" s="47" t="s">
        <v>13506</v>
      </c>
      <c r="D4291" s="47" t="s">
        <v>13507</v>
      </c>
      <c r="E4291" s="47" t="s">
        <v>2164</v>
      </c>
      <c r="F4291" s="55" t="b">
        <v>1</v>
      </c>
      <c r="G4291" s="65" t="b">
        <v>0</v>
      </c>
      <c r="H4291" s="65" t="b">
        <v>0</v>
      </c>
      <c r="I4291" s="65" t="b">
        <v>0</v>
      </c>
      <c r="J4291" s="65" t="b">
        <v>0</v>
      </c>
    </row>
    <row r="4292" spans="1:10" x14ac:dyDescent="0.2">
      <c r="A4292" s="51">
        <v>4291</v>
      </c>
      <c r="B4292" s="54" t="s">
        <v>965</v>
      </c>
      <c r="C4292" s="47" t="s">
        <v>13508</v>
      </c>
      <c r="D4292" s="47" t="s">
        <v>13509</v>
      </c>
      <c r="E4292" s="47" t="s">
        <v>2164</v>
      </c>
      <c r="F4292" s="55" t="b">
        <v>1</v>
      </c>
      <c r="G4292" s="65" t="b">
        <v>0</v>
      </c>
      <c r="H4292" s="65" t="b">
        <v>0</v>
      </c>
      <c r="I4292" s="65" t="b">
        <v>0</v>
      </c>
      <c r="J4292" s="65" t="b">
        <v>0</v>
      </c>
    </row>
    <row r="4293" spans="1:10" x14ac:dyDescent="0.2">
      <c r="A4293" s="51">
        <v>4292</v>
      </c>
      <c r="B4293" s="54" t="s">
        <v>965</v>
      </c>
      <c r="C4293" s="47" t="s">
        <v>13511</v>
      </c>
      <c r="D4293" s="47" t="s">
        <v>13512</v>
      </c>
      <c r="E4293" s="47" t="s">
        <v>2164</v>
      </c>
      <c r="F4293" s="55" t="b">
        <v>1</v>
      </c>
      <c r="G4293" s="65" t="b">
        <v>0</v>
      </c>
      <c r="H4293" s="65" t="b">
        <v>0</v>
      </c>
      <c r="I4293" s="65" t="b">
        <v>0</v>
      </c>
      <c r="J4293" s="65" t="b">
        <v>0</v>
      </c>
    </row>
    <row r="4294" spans="1:10" x14ac:dyDescent="0.2">
      <c r="A4294" s="51">
        <v>4293</v>
      </c>
      <c r="B4294" s="54" t="s">
        <v>965</v>
      </c>
      <c r="C4294" s="47" t="s">
        <v>13515</v>
      </c>
      <c r="D4294" s="47" t="s">
        <v>13516</v>
      </c>
      <c r="E4294" s="47" t="s">
        <v>2046</v>
      </c>
      <c r="F4294" s="55" t="b">
        <v>1</v>
      </c>
      <c r="G4294" s="65" t="b">
        <v>0</v>
      </c>
      <c r="H4294" s="65" t="b">
        <v>0</v>
      </c>
      <c r="I4294" s="65" t="b">
        <v>0</v>
      </c>
      <c r="J4294" s="65" t="b">
        <v>0</v>
      </c>
    </row>
    <row r="4295" spans="1:10" x14ac:dyDescent="0.2">
      <c r="A4295" s="51">
        <v>4294</v>
      </c>
      <c r="B4295" s="54" t="s">
        <v>965</v>
      </c>
      <c r="C4295" s="47" t="s">
        <v>13517</v>
      </c>
      <c r="D4295" s="47" t="s">
        <v>13518</v>
      </c>
      <c r="E4295" s="47" t="s">
        <v>2164</v>
      </c>
      <c r="F4295" s="55" t="b">
        <v>1</v>
      </c>
      <c r="G4295" s="65" t="b">
        <v>0</v>
      </c>
      <c r="H4295" s="65" t="b">
        <v>0</v>
      </c>
      <c r="I4295" s="65" t="b">
        <v>0</v>
      </c>
      <c r="J4295" s="65" t="b">
        <v>0</v>
      </c>
    </row>
    <row r="4296" spans="1:10" x14ac:dyDescent="0.2">
      <c r="A4296" s="51">
        <v>4295</v>
      </c>
      <c r="B4296" s="54" t="s">
        <v>965</v>
      </c>
      <c r="C4296" s="47" t="s">
        <v>13519</v>
      </c>
      <c r="D4296" s="47" t="s">
        <v>13520</v>
      </c>
      <c r="E4296" s="47" t="s">
        <v>2164</v>
      </c>
      <c r="F4296" s="55" t="b">
        <v>1</v>
      </c>
      <c r="G4296" s="65" t="b">
        <v>0</v>
      </c>
      <c r="H4296" s="65" t="b">
        <v>0</v>
      </c>
      <c r="I4296" s="65" t="b">
        <v>0</v>
      </c>
      <c r="J4296" s="65" t="b">
        <v>0</v>
      </c>
    </row>
    <row r="4297" spans="1:10" x14ac:dyDescent="0.2">
      <c r="A4297" s="51">
        <v>4296</v>
      </c>
      <c r="B4297" s="54" t="s">
        <v>965</v>
      </c>
      <c r="C4297" s="47" t="s">
        <v>13521</v>
      </c>
      <c r="D4297" s="47" t="s">
        <v>13522</v>
      </c>
      <c r="E4297" s="47" t="s">
        <v>2164</v>
      </c>
      <c r="F4297" s="55" t="b">
        <v>1</v>
      </c>
      <c r="G4297" s="65" t="b">
        <v>0</v>
      </c>
      <c r="H4297" s="65" t="b">
        <v>0</v>
      </c>
      <c r="I4297" s="65" t="b">
        <v>0</v>
      </c>
      <c r="J4297" s="65" t="b">
        <v>0</v>
      </c>
    </row>
    <row r="4298" spans="1:10" x14ac:dyDescent="0.2">
      <c r="A4298" s="51">
        <v>4297</v>
      </c>
      <c r="B4298" s="54" t="s">
        <v>965</v>
      </c>
      <c r="C4298" s="47" t="s">
        <v>13523</v>
      </c>
      <c r="D4298" s="47" t="s">
        <v>13524</v>
      </c>
      <c r="E4298" s="47" t="s">
        <v>2164</v>
      </c>
      <c r="F4298" s="55" t="b">
        <v>1</v>
      </c>
      <c r="G4298" s="65" t="b">
        <v>0</v>
      </c>
      <c r="H4298" s="65" t="b">
        <v>0</v>
      </c>
      <c r="I4298" s="65" t="b">
        <v>0</v>
      </c>
      <c r="J4298" s="65" t="b">
        <v>0</v>
      </c>
    </row>
    <row r="4299" spans="1:10" x14ac:dyDescent="0.2">
      <c r="A4299" s="51">
        <v>4298</v>
      </c>
      <c r="B4299" s="54" t="s">
        <v>965</v>
      </c>
      <c r="C4299" s="47" t="s">
        <v>13525</v>
      </c>
      <c r="D4299" s="47" t="s">
        <v>13526</v>
      </c>
      <c r="E4299" s="47" t="s">
        <v>2164</v>
      </c>
      <c r="F4299" s="55" t="b">
        <v>1</v>
      </c>
      <c r="G4299" s="65" t="b">
        <v>0</v>
      </c>
      <c r="H4299" s="65" t="b">
        <v>0</v>
      </c>
      <c r="I4299" s="65" t="b">
        <v>0</v>
      </c>
      <c r="J4299" s="65" t="b">
        <v>0</v>
      </c>
    </row>
    <row r="4300" spans="1:10" x14ac:dyDescent="0.2">
      <c r="A4300" s="51">
        <v>4299</v>
      </c>
      <c r="B4300" s="54" t="s">
        <v>965</v>
      </c>
      <c r="C4300" s="47" t="s">
        <v>13527</v>
      </c>
      <c r="D4300" s="47" t="s">
        <v>13528</v>
      </c>
      <c r="E4300" s="47" t="s">
        <v>2164</v>
      </c>
      <c r="F4300" s="55" t="b">
        <v>1</v>
      </c>
      <c r="G4300" s="65" t="b">
        <v>0</v>
      </c>
      <c r="H4300" s="65" t="b">
        <v>0</v>
      </c>
      <c r="I4300" s="65" t="b">
        <v>0</v>
      </c>
      <c r="J4300" s="65" t="b">
        <v>0</v>
      </c>
    </row>
    <row r="4301" spans="1:10" x14ac:dyDescent="0.2">
      <c r="A4301" s="51">
        <v>4300</v>
      </c>
      <c r="B4301" s="54" t="s">
        <v>965</v>
      </c>
      <c r="C4301" s="47" t="s">
        <v>13530</v>
      </c>
      <c r="D4301" s="47" t="s">
        <v>13531</v>
      </c>
      <c r="E4301" s="47" t="s">
        <v>2164</v>
      </c>
      <c r="F4301" s="55" t="b">
        <v>1</v>
      </c>
      <c r="G4301" s="65" t="b">
        <v>0</v>
      </c>
      <c r="H4301" s="65" t="b">
        <v>0</v>
      </c>
      <c r="I4301" s="65" t="b">
        <v>0</v>
      </c>
      <c r="J4301" s="65" t="b">
        <v>0</v>
      </c>
    </row>
    <row r="4302" spans="1:10" x14ac:dyDescent="0.2">
      <c r="A4302" s="51">
        <v>4301</v>
      </c>
      <c r="B4302" s="54" t="s">
        <v>965</v>
      </c>
      <c r="C4302" s="47" t="s">
        <v>13533</v>
      </c>
      <c r="D4302" s="47" t="s">
        <v>13534</v>
      </c>
      <c r="E4302" s="47" t="s">
        <v>2164</v>
      </c>
      <c r="F4302" s="55" t="b">
        <v>1</v>
      </c>
      <c r="G4302" s="65" t="b">
        <v>0</v>
      </c>
      <c r="H4302" s="65" t="b">
        <v>0</v>
      </c>
      <c r="I4302" s="65" t="b">
        <v>0</v>
      </c>
      <c r="J4302" s="65" t="b">
        <v>0</v>
      </c>
    </row>
    <row r="4303" spans="1:10" x14ac:dyDescent="0.2">
      <c r="A4303" s="51">
        <v>4302</v>
      </c>
      <c r="B4303" s="54" t="s">
        <v>965</v>
      </c>
      <c r="C4303" s="47" t="s">
        <v>13535</v>
      </c>
      <c r="D4303" s="47" t="s">
        <v>13536</v>
      </c>
      <c r="E4303" s="47" t="s">
        <v>2164</v>
      </c>
      <c r="F4303" s="55" t="b">
        <v>1</v>
      </c>
      <c r="G4303" s="65" t="b">
        <v>0</v>
      </c>
      <c r="H4303" s="65" t="b">
        <v>0</v>
      </c>
      <c r="I4303" s="65" t="b">
        <v>0</v>
      </c>
      <c r="J4303" s="65" t="b">
        <v>0</v>
      </c>
    </row>
    <row r="4304" spans="1:10" x14ac:dyDescent="0.2">
      <c r="A4304" s="51">
        <v>4303</v>
      </c>
      <c r="B4304" s="54" t="s">
        <v>965</v>
      </c>
      <c r="C4304" s="47" t="s">
        <v>13537</v>
      </c>
      <c r="D4304" s="47" t="s">
        <v>13538</v>
      </c>
      <c r="E4304" s="47" t="s">
        <v>2164</v>
      </c>
      <c r="F4304" s="55" t="b">
        <v>1</v>
      </c>
      <c r="G4304" s="65" t="b">
        <v>0</v>
      </c>
      <c r="H4304" s="65" t="b">
        <v>0</v>
      </c>
      <c r="I4304" s="65" t="b">
        <v>0</v>
      </c>
      <c r="J4304" s="65" t="b">
        <v>0</v>
      </c>
    </row>
    <row r="4305" spans="1:10" x14ac:dyDescent="0.2">
      <c r="A4305" s="51">
        <v>4304</v>
      </c>
      <c r="B4305" s="54" t="s">
        <v>965</v>
      </c>
      <c r="C4305" s="47" t="s">
        <v>13539</v>
      </c>
      <c r="D4305" s="47" t="s">
        <v>13540</v>
      </c>
      <c r="E4305" s="47" t="s">
        <v>2046</v>
      </c>
      <c r="F4305" s="55" t="b">
        <v>1</v>
      </c>
      <c r="G4305" s="65" t="b">
        <v>0</v>
      </c>
      <c r="H4305" s="65" t="b">
        <v>0</v>
      </c>
      <c r="I4305" s="65" t="b">
        <v>0</v>
      </c>
      <c r="J4305" s="65" t="b">
        <v>0</v>
      </c>
    </row>
    <row r="4306" spans="1:10" x14ac:dyDescent="0.2">
      <c r="A4306" s="51">
        <v>4305</v>
      </c>
      <c r="B4306" s="54" t="s">
        <v>965</v>
      </c>
      <c r="C4306" s="47" t="s">
        <v>13541</v>
      </c>
      <c r="D4306" s="47" t="s">
        <v>13542</v>
      </c>
      <c r="E4306" s="47" t="s">
        <v>2164</v>
      </c>
      <c r="F4306" s="55" t="b">
        <v>1</v>
      </c>
      <c r="G4306" s="65" t="b">
        <v>0</v>
      </c>
      <c r="H4306" s="65" t="b">
        <v>0</v>
      </c>
      <c r="I4306" s="65" t="b">
        <v>0</v>
      </c>
      <c r="J4306" s="65" t="b">
        <v>0</v>
      </c>
    </row>
    <row r="4307" spans="1:10" x14ac:dyDescent="0.2">
      <c r="A4307" s="51">
        <v>4306</v>
      </c>
      <c r="B4307" s="54" t="s">
        <v>965</v>
      </c>
      <c r="C4307" s="47" t="s">
        <v>13543</v>
      </c>
      <c r="D4307" s="47" t="s">
        <v>13544</v>
      </c>
      <c r="E4307" s="47" t="s">
        <v>2164</v>
      </c>
      <c r="F4307" s="55" t="b">
        <v>1</v>
      </c>
      <c r="G4307" s="65" t="b">
        <v>0</v>
      </c>
      <c r="H4307" s="65" t="b">
        <v>0</v>
      </c>
      <c r="I4307" s="65" t="b">
        <v>0</v>
      </c>
      <c r="J4307" s="65" t="b">
        <v>0</v>
      </c>
    </row>
    <row r="4308" spans="1:10" x14ac:dyDescent="0.2">
      <c r="A4308" s="51">
        <v>4307</v>
      </c>
      <c r="B4308" s="54" t="s">
        <v>965</v>
      </c>
      <c r="C4308" s="47" t="s">
        <v>13547</v>
      </c>
      <c r="D4308" s="47" t="s">
        <v>13548</v>
      </c>
      <c r="E4308" s="47" t="s">
        <v>2164</v>
      </c>
      <c r="F4308" s="55" t="b">
        <v>1</v>
      </c>
      <c r="G4308" s="65" t="b">
        <v>0</v>
      </c>
      <c r="H4308" s="65" t="b">
        <v>0</v>
      </c>
      <c r="I4308" s="65" t="b">
        <v>0</v>
      </c>
      <c r="J4308" s="65" t="b">
        <v>0</v>
      </c>
    </row>
    <row r="4309" spans="1:10" x14ac:dyDescent="0.2">
      <c r="A4309" s="51">
        <v>4308</v>
      </c>
      <c r="B4309" s="54" t="s">
        <v>965</v>
      </c>
      <c r="C4309" s="47" t="s">
        <v>13549</v>
      </c>
      <c r="D4309" s="47" t="s">
        <v>13550</v>
      </c>
      <c r="E4309" s="47" t="s">
        <v>2164</v>
      </c>
      <c r="F4309" s="55" t="b">
        <v>1</v>
      </c>
      <c r="G4309" s="65" t="b">
        <v>0</v>
      </c>
      <c r="H4309" s="65" t="b">
        <v>0</v>
      </c>
      <c r="I4309" s="65" t="b">
        <v>0</v>
      </c>
      <c r="J4309" s="65" t="b">
        <v>0</v>
      </c>
    </row>
    <row r="4310" spans="1:10" x14ac:dyDescent="0.2">
      <c r="A4310" s="51">
        <v>4309</v>
      </c>
      <c r="B4310" s="54" t="s">
        <v>965</v>
      </c>
      <c r="C4310" s="47" t="s">
        <v>13551</v>
      </c>
      <c r="D4310" s="47" t="s">
        <v>13552</v>
      </c>
      <c r="E4310" s="47" t="s">
        <v>2046</v>
      </c>
      <c r="F4310" s="55" t="b">
        <v>1</v>
      </c>
      <c r="G4310" s="65" t="b">
        <v>0</v>
      </c>
      <c r="H4310" s="65" t="b">
        <v>0</v>
      </c>
      <c r="I4310" s="65" t="b">
        <v>0</v>
      </c>
      <c r="J4310" s="65" t="b">
        <v>0</v>
      </c>
    </row>
    <row r="4311" spans="1:10" x14ac:dyDescent="0.2">
      <c r="A4311" s="51">
        <v>4310</v>
      </c>
      <c r="B4311" s="54" t="s">
        <v>965</v>
      </c>
      <c r="C4311" s="47" t="s">
        <v>13553</v>
      </c>
      <c r="D4311" s="47" t="s">
        <v>13554</v>
      </c>
      <c r="E4311" s="47" t="s">
        <v>2164</v>
      </c>
      <c r="F4311" s="55" t="b">
        <v>1</v>
      </c>
      <c r="G4311" s="65" t="b">
        <v>0</v>
      </c>
      <c r="H4311" s="65" t="b">
        <v>0</v>
      </c>
      <c r="I4311" s="65" t="b">
        <v>0</v>
      </c>
      <c r="J4311" s="65" t="b">
        <v>0</v>
      </c>
    </row>
    <row r="4312" spans="1:10" x14ac:dyDescent="0.2">
      <c r="A4312" s="51">
        <v>4311</v>
      </c>
      <c r="B4312" s="54" t="s">
        <v>965</v>
      </c>
      <c r="C4312" s="47" t="s">
        <v>13555</v>
      </c>
      <c r="D4312" s="47" t="s">
        <v>13556</v>
      </c>
      <c r="E4312" s="47" t="s">
        <v>2164</v>
      </c>
      <c r="F4312" s="55" t="b">
        <v>1</v>
      </c>
      <c r="G4312" s="65" t="b">
        <v>0</v>
      </c>
      <c r="H4312" s="65" t="b">
        <v>0</v>
      </c>
      <c r="I4312" s="65" t="b">
        <v>0</v>
      </c>
      <c r="J4312" s="65" t="b">
        <v>0</v>
      </c>
    </row>
    <row r="4313" spans="1:10" x14ac:dyDescent="0.2">
      <c r="A4313" s="51">
        <v>4312</v>
      </c>
      <c r="B4313" s="54" t="s">
        <v>965</v>
      </c>
      <c r="C4313" s="47" t="s">
        <v>13557</v>
      </c>
      <c r="D4313" s="47" t="s">
        <v>13558</v>
      </c>
      <c r="E4313" s="47" t="s">
        <v>2046</v>
      </c>
      <c r="F4313" s="55" t="b">
        <v>1</v>
      </c>
      <c r="G4313" s="65" t="b">
        <v>0</v>
      </c>
      <c r="H4313" s="65" t="b">
        <v>0</v>
      </c>
      <c r="I4313" s="65" t="b">
        <v>0</v>
      </c>
      <c r="J4313" s="65" t="b">
        <v>0</v>
      </c>
    </row>
    <row r="4314" spans="1:10" x14ac:dyDescent="0.2">
      <c r="A4314" s="51">
        <v>4313</v>
      </c>
      <c r="B4314" s="54" t="s">
        <v>965</v>
      </c>
      <c r="C4314" s="47" t="s">
        <v>13559</v>
      </c>
      <c r="D4314" s="47" t="s">
        <v>13560</v>
      </c>
      <c r="E4314" s="47" t="s">
        <v>2164</v>
      </c>
      <c r="F4314" s="55" t="b">
        <v>1</v>
      </c>
      <c r="G4314" s="65" t="b">
        <v>0</v>
      </c>
      <c r="H4314" s="65" t="b">
        <v>0</v>
      </c>
      <c r="I4314" s="65" t="b">
        <v>0</v>
      </c>
      <c r="J4314" s="65" t="b">
        <v>0</v>
      </c>
    </row>
    <row r="4315" spans="1:10" x14ac:dyDescent="0.2">
      <c r="A4315" s="51">
        <v>4314</v>
      </c>
      <c r="B4315" s="54" t="s">
        <v>965</v>
      </c>
      <c r="C4315" s="47" t="s">
        <v>13562</v>
      </c>
      <c r="D4315" s="47" t="s">
        <v>13563</v>
      </c>
      <c r="E4315" s="47" t="s">
        <v>2046</v>
      </c>
      <c r="F4315" s="55" t="b">
        <v>1</v>
      </c>
      <c r="G4315" s="65" t="b">
        <v>0</v>
      </c>
      <c r="H4315" s="65" t="b">
        <v>0</v>
      </c>
      <c r="I4315" s="65" t="b">
        <v>0</v>
      </c>
      <c r="J4315" s="65" t="b">
        <v>0</v>
      </c>
    </row>
    <row r="4316" spans="1:10" x14ac:dyDescent="0.2">
      <c r="A4316" s="51">
        <v>4315</v>
      </c>
      <c r="B4316" s="54" t="s">
        <v>965</v>
      </c>
      <c r="C4316" s="47" t="s">
        <v>13564</v>
      </c>
      <c r="D4316" s="47" t="s">
        <v>13565</v>
      </c>
      <c r="E4316" s="47" t="s">
        <v>2164</v>
      </c>
      <c r="F4316" s="55" t="b">
        <v>1</v>
      </c>
      <c r="G4316" s="65" t="b">
        <v>0</v>
      </c>
      <c r="H4316" s="65" t="b">
        <v>0</v>
      </c>
      <c r="I4316" s="65" t="b">
        <v>0</v>
      </c>
      <c r="J4316" s="65" t="b">
        <v>0</v>
      </c>
    </row>
    <row r="4317" spans="1:10" x14ac:dyDescent="0.2">
      <c r="A4317" s="51">
        <v>4316</v>
      </c>
      <c r="B4317" s="54" t="s">
        <v>965</v>
      </c>
      <c r="C4317" s="47" t="s">
        <v>13567</v>
      </c>
      <c r="D4317" s="47" t="s">
        <v>13568</v>
      </c>
      <c r="E4317" s="47" t="s">
        <v>2164</v>
      </c>
      <c r="F4317" s="55" t="b">
        <v>1</v>
      </c>
      <c r="G4317" s="65" t="b">
        <v>0</v>
      </c>
      <c r="H4317" s="65" t="b">
        <v>0</v>
      </c>
      <c r="I4317" s="65" t="b">
        <v>0</v>
      </c>
      <c r="J4317" s="65" t="b">
        <v>0</v>
      </c>
    </row>
    <row r="4318" spans="1:10" x14ac:dyDescent="0.2">
      <c r="A4318" s="51">
        <v>4317</v>
      </c>
      <c r="B4318" s="54" t="s">
        <v>965</v>
      </c>
      <c r="C4318" s="47" t="s">
        <v>13569</v>
      </c>
      <c r="D4318" s="47" t="s">
        <v>13570</v>
      </c>
      <c r="E4318" s="47" t="s">
        <v>2046</v>
      </c>
      <c r="F4318" s="55" t="b">
        <v>1</v>
      </c>
      <c r="G4318" s="65" t="b">
        <v>0</v>
      </c>
      <c r="H4318" s="65" t="b">
        <v>0</v>
      </c>
      <c r="I4318" s="65" t="b">
        <v>0</v>
      </c>
      <c r="J4318" s="65" t="b">
        <v>0</v>
      </c>
    </row>
    <row r="4319" spans="1:10" x14ac:dyDescent="0.2">
      <c r="A4319" s="51">
        <v>4318</v>
      </c>
      <c r="B4319" s="54" t="s">
        <v>965</v>
      </c>
      <c r="C4319" s="47" t="s">
        <v>13572</v>
      </c>
      <c r="D4319" s="47" t="s">
        <v>13573</v>
      </c>
      <c r="E4319" s="47" t="s">
        <v>2164</v>
      </c>
      <c r="F4319" s="55" t="b">
        <v>1</v>
      </c>
      <c r="G4319" s="65" t="b">
        <v>0</v>
      </c>
      <c r="H4319" s="65" t="b">
        <v>0</v>
      </c>
      <c r="I4319" s="65" t="b">
        <v>0</v>
      </c>
      <c r="J4319" s="65" t="b">
        <v>0</v>
      </c>
    </row>
    <row r="4320" spans="1:10" x14ac:dyDescent="0.2">
      <c r="A4320" s="51">
        <v>4319</v>
      </c>
      <c r="B4320" s="54" t="s">
        <v>965</v>
      </c>
      <c r="C4320" s="47" t="s">
        <v>13574</v>
      </c>
      <c r="D4320" s="47" t="s">
        <v>13575</v>
      </c>
      <c r="E4320" s="47" t="s">
        <v>2164</v>
      </c>
      <c r="F4320" s="55" t="b">
        <v>1</v>
      </c>
      <c r="G4320" s="65" t="b">
        <v>0</v>
      </c>
      <c r="H4320" s="65" t="b">
        <v>0</v>
      </c>
      <c r="I4320" s="65" t="b">
        <v>0</v>
      </c>
      <c r="J4320" s="65" t="b">
        <v>0</v>
      </c>
    </row>
    <row r="4321" spans="1:10" x14ac:dyDescent="0.2">
      <c r="A4321" s="51">
        <v>4320</v>
      </c>
      <c r="B4321" s="54" t="s">
        <v>965</v>
      </c>
      <c r="C4321" s="47" t="s">
        <v>13576</v>
      </c>
      <c r="D4321" s="47" t="s">
        <v>13577</v>
      </c>
      <c r="E4321" s="47" t="s">
        <v>2164</v>
      </c>
      <c r="F4321" s="55" t="b">
        <v>1</v>
      </c>
      <c r="G4321" s="65" t="b">
        <v>0</v>
      </c>
      <c r="H4321" s="65" t="b">
        <v>0</v>
      </c>
      <c r="I4321" s="65" t="b">
        <v>0</v>
      </c>
      <c r="J4321" s="65" t="b">
        <v>0</v>
      </c>
    </row>
    <row r="4322" spans="1:10" x14ac:dyDescent="0.2">
      <c r="A4322" s="51">
        <v>4321</v>
      </c>
      <c r="B4322" s="54" t="s">
        <v>965</v>
      </c>
      <c r="C4322" s="47" t="s">
        <v>13578</v>
      </c>
      <c r="D4322" s="47" t="s">
        <v>13579</v>
      </c>
      <c r="E4322" s="47" t="s">
        <v>2164</v>
      </c>
      <c r="F4322" s="55" t="b">
        <v>1</v>
      </c>
      <c r="G4322" s="65" t="b">
        <v>0</v>
      </c>
      <c r="H4322" s="65" t="b">
        <v>0</v>
      </c>
      <c r="I4322" s="65" t="b">
        <v>0</v>
      </c>
      <c r="J4322" s="65" t="b">
        <v>0</v>
      </c>
    </row>
    <row r="4323" spans="1:10" x14ac:dyDescent="0.2">
      <c r="A4323" s="51">
        <v>4322</v>
      </c>
      <c r="B4323" s="54" t="s">
        <v>965</v>
      </c>
      <c r="C4323" s="47" t="s">
        <v>13580</v>
      </c>
      <c r="D4323" s="47" t="s">
        <v>13581</v>
      </c>
      <c r="E4323" s="47" t="s">
        <v>2164</v>
      </c>
      <c r="F4323" s="55" t="b">
        <v>1</v>
      </c>
      <c r="G4323" s="65" t="b">
        <v>0</v>
      </c>
      <c r="H4323" s="65" t="b">
        <v>0</v>
      </c>
      <c r="I4323" s="65" t="b">
        <v>0</v>
      </c>
      <c r="J4323" s="65" t="b">
        <v>0</v>
      </c>
    </row>
    <row r="4324" spans="1:10" x14ac:dyDescent="0.2">
      <c r="A4324" s="51">
        <v>4323</v>
      </c>
      <c r="B4324" s="54" t="s">
        <v>965</v>
      </c>
      <c r="C4324" s="47" t="s">
        <v>13583</v>
      </c>
      <c r="D4324" s="47" t="s">
        <v>13584</v>
      </c>
      <c r="E4324" s="47" t="s">
        <v>2164</v>
      </c>
      <c r="F4324" s="55" t="b">
        <v>1</v>
      </c>
      <c r="G4324" s="65" t="b">
        <v>0</v>
      </c>
      <c r="H4324" s="65" t="b">
        <v>0</v>
      </c>
      <c r="I4324" s="65" t="b">
        <v>0</v>
      </c>
      <c r="J4324" s="65" t="b">
        <v>0</v>
      </c>
    </row>
    <row r="4325" spans="1:10" x14ac:dyDescent="0.2">
      <c r="A4325" s="51">
        <v>4324</v>
      </c>
      <c r="B4325" s="54" t="s">
        <v>965</v>
      </c>
      <c r="C4325" s="47" t="s">
        <v>13585</v>
      </c>
      <c r="D4325" s="47" t="s">
        <v>13586</v>
      </c>
      <c r="E4325" s="47" t="s">
        <v>2164</v>
      </c>
      <c r="F4325" s="55" t="b">
        <v>1</v>
      </c>
      <c r="G4325" s="65" t="b">
        <v>0</v>
      </c>
      <c r="H4325" s="65" t="b">
        <v>0</v>
      </c>
      <c r="I4325" s="65" t="b">
        <v>0</v>
      </c>
      <c r="J4325" s="65" t="b">
        <v>0</v>
      </c>
    </row>
    <row r="4326" spans="1:10" x14ac:dyDescent="0.2">
      <c r="A4326" s="51">
        <v>4325</v>
      </c>
      <c r="B4326" s="54" t="s">
        <v>965</v>
      </c>
      <c r="C4326" s="47" t="s">
        <v>13587</v>
      </c>
      <c r="D4326" s="47" t="s">
        <v>13588</v>
      </c>
      <c r="E4326" s="47" t="s">
        <v>2164</v>
      </c>
      <c r="F4326" s="55" t="b">
        <v>1</v>
      </c>
      <c r="G4326" s="65" t="b">
        <v>0</v>
      </c>
      <c r="H4326" s="65" t="b">
        <v>0</v>
      </c>
      <c r="I4326" s="65" t="b">
        <v>0</v>
      </c>
      <c r="J4326" s="65" t="b">
        <v>0</v>
      </c>
    </row>
    <row r="4327" spans="1:10" x14ac:dyDescent="0.2">
      <c r="A4327" s="51">
        <v>4326</v>
      </c>
      <c r="B4327" s="54" t="s">
        <v>965</v>
      </c>
      <c r="C4327" s="47" t="s">
        <v>13589</v>
      </c>
      <c r="D4327" s="47" t="s">
        <v>13590</v>
      </c>
      <c r="E4327" s="47" t="s">
        <v>2164</v>
      </c>
      <c r="F4327" s="55" t="b">
        <v>1</v>
      </c>
      <c r="G4327" s="65" t="b">
        <v>0</v>
      </c>
      <c r="H4327" s="65" t="b">
        <v>0</v>
      </c>
      <c r="I4327" s="65" t="b">
        <v>0</v>
      </c>
      <c r="J4327" s="65" t="b">
        <v>0</v>
      </c>
    </row>
    <row r="4328" spans="1:10" x14ac:dyDescent="0.2">
      <c r="A4328" s="51">
        <v>4327</v>
      </c>
      <c r="B4328" s="54" t="s">
        <v>965</v>
      </c>
      <c r="C4328" s="47" t="s">
        <v>13591</v>
      </c>
      <c r="D4328" s="47" t="s">
        <v>13592</v>
      </c>
      <c r="E4328" s="47" t="s">
        <v>2164</v>
      </c>
      <c r="F4328" s="55" t="b">
        <v>1</v>
      </c>
      <c r="G4328" s="65" t="b">
        <v>0</v>
      </c>
      <c r="H4328" s="65" t="b">
        <v>0</v>
      </c>
      <c r="I4328" s="65" t="b">
        <v>0</v>
      </c>
      <c r="J4328" s="65" t="b">
        <v>0</v>
      </c>
    </row>
    <row r="4329" spans="1:10" x14ac:dyDescent="0.2">
      <c r="A4329" s="51">
        <v>4328</v>
      </c>
      <c r="B4329" s="54" t="s">
        <v>965</v>
      </c>
      <c r="C4329" s="47" t="s">
        <v>13593</v>
      </c>
      <c r="D4329" s="47" t="s">
        <v>13594</v>
      </c>
      <c r="E4329" s="47" t="s">
        <v>2046</v>
      </c>
      <c r="F4329" s="55" t="b">
        <v>1</v>
      </c>
      <c r="G4329" s="65" t="b">
        <v>0</v>
      </c>
      <c r="H4329" s="65" t="b">
        <v>0</v>
      </c>
      <c r="I4329" s="65" t="b">
        <v>0</v>
      </c>
      <c r="J4329" s="65" t="b">
        <v>0</v>
      </c>
    </row>
    <row r="4330" spans="1:10" x14ac:dyDescent="0.2">
      <c r="A4330" s="51">
        <v>4329</v>
      </c>
      <c r="B4330" s="54" t="s">
        <v>965</v>
      </c>
      <c r="C4330" s="47" t="s">
        <v>13595</v>
      </c>
      <c r="D4330" s="47" t="s">
        <v>13596</v>
      </c>
      <c r="E4330" s="47" t="s">
        <v>2046</v>
      </c>
      <c r="F4330" s="55" t="b">
        <v>1</v>
      </c>
      <c r="G4330" s="65" t="b">
        <v>0</v>
      </c>
      <c r="H4330" s="65" t="b">
        <v>0</v>
      </c>
      <c r="I4330" s="65" t="b">
        <v>0</v>
      </c>
      <c r="J4330" s="65" t="b">
        <v>0</v>
      </c>
    </row>
    <row r="4331" spans="1:10" x14ac:dyDescent="0.2">
      <c r="A4331" s="51">
        <v>4330</v>
      </c>
      <c r="B4331" s="54" t="s">
        <v>965</v>
      </c>
      <c r="C4331" s="47" t="s">
        <v>13597</v>
      </c>
      <c r="D4331" s="47" t="s">
        <v>13598</v>
      </c>
      <c r="E4331" s="47" t="s">
        <v>2164</v>
      </c>
      <c r="F4331" s="55" t="b">
        <v>1</v>
      </c>
      <c r="G4331" s="65" t="b">
        <v>0</v>
      </c>
      <c r="H4331" s="65" t="b">
        <v>0</v>
      </c>
      <c r="I4331" s="65" t="b">
        <v>0</v>
      </c>
      <c r="J4331" s="65" t="b">
        <v>0</v>
      </c>
    </row>
    <row r="4332" spans="1:10" x14ac:dyDescent="0.2">
      <c r="A4332" s="51">
        <v>4331</v>
      </c>
      <c r="B4332" s="54" t="s">
        <v>965</v>
      </c>
      <c r="C4332" s="47" t="s">
        <v>13599</v>
      </c>
      <c r="D4332" s="47" t="s">
        <v>13600</v>
      </c>
      <c r="E4332" s="47" t="s">
        <v>2164</v>
      </c>
      <c r="F4332" s="55" t="b">
        <v>1</v>
      </c>
      <c r="G4332" s="65" t="b">
        <v>0</v>
      </c>
      <c r="H4332" s="65" t="b">
        <v>0</v>
      </c>
      <c r="I4332" s="65" t="b">
        <v>0</v>
      </c>
      <c r="J4332" s="65" t="b">
        <v>0</v>
      </c>
    </row>
    <row r="4333" spans="1:10" x14ac:dyDescent="0.2">
      <c r="A4333" s="51">
        <v>4332</v>
      </c>
      <c r="B4333" s="54" t="s">
        <v>965</v>
      </c>
      <c r="C4333" s="47" t="s">
        <v>13601</v>
      </c>
      <c r="D4333" s="47" t="s">
        <v>13602</v>
      </c>
      <c r="E4333" s="47" t="s">
        <v>2164</v>
      </c>
      <c r="F4333" s="55" t="b">
        <v>1</v>
      </c>
      <c r="G4333" s="65" t="b">
        <v>0</v>
      </c>
      <c r="H4333" s="65" t="b">
        <v>0</v>
      </c>
      <c r="I4333" s="65" t="b">
        <v>0</v>
      </c>
      <c r="J4333" s="65" t="b">
        <v>0</v>
      </c>
    </row>
    <row r="4334" spans="1:10" x14ac:dyDescent="0.2">
      <c r="A4334" s="51">
        <v>4333</v>
      </c>
      <c r="B4334" s="54" t="s">
        <v>965</v>
      </c>
      <c r="C4334" s="47" t="s">
        <v>13603</v>
      </c>
      <c r="D4334" s="47" t="s">
        <v>13604</v>
      </c>
      <c r="E4334" s="47" t="s">
        <v>2164</v>
      </c>
      <c r="F4334" s="55" t="b">
        <v>1</v>
      </c>
      <c r="G4334" s="65" t="b">
        <v>0</v>
      </c>
      <c r="H4334" s="65" t="b">
        <v>0</v>
      </c>
      <c r="I4334" s="65" t="b">
        <v>0</v>
      </c>
      <c r="J4334" s="65" t="b">
        <v>0</v>
      </c>
    </row>
    <row r="4335" spans="1:10" x14ac:dyDescent="0.2">
      <c r="A4335" s="51">
        <v>4334</v>
      </c>
      <c r="B4335" s="54" t="s">
        <v>965</v>
      </c>
      <c r="C4335" s="47" t="s">
        <v>13605</v>
      </c>
      <c r="D4335" s="47" t="s">
        <v>13606</v>
      </c>
      <c r="E4335" s="47" t="s">
        <v>2164</v>
      </c>
      <c r="F4335" s="55" t="b">
        <v>1</v>
      </c>
      <c r="G4335" s="65" t="b">
        <v>0</v>
      </c>
      <c r="H4335" s="65" t="b">
        <v>0</v>
      </c>
      <c r="I4335" s="65" t="b">
        <v>0</v>
      </c>
      <c r="J4335" s="65" t="b">
        <v>0</v>
      </c>
    </row>
    <row r="4336" spans="1:10" x14ac:dyDescent="0.2">
      <c r="A4336" s="51">
        <v>4335</v>
      </c>
      <c r="B4336" s="54" t="s">
        <v>965</v>
      </c>
      <c r="C4336" s="47" t="s">
        <v>13607</v>
      </c>
      <c r="D4336" s="47" t="s">
        <v>13608</v>
      </c>
      <c r="E4336" s="47" t="s">
        <v>2164</v>
      </c>
      <c r="F4336" s="55" t="b">
        <v>1</v>
      </c>
      <c r="G4336" s="65" t="b">
        <v>0</v>
      </c>
      <c r="H4336" s="65" t="b">
        <v>0</v>
      </c>
      <c r="I4336" s="65" t="b">
        <v>0</v>
      </c>
      <c r="J4336" s="65" t="b">
        <v>0</v>
      </c>
    </row>
    <row r="4337" spans="1:10" x14ac:dyDescent="0.2">
      <c r="A4337" s="51">
        <v>4336</v>
      </c>
      <c r="B4337" s="54" t="s">
        <v>965</v>
      </c>
      <c r="C4337" s="47" t="s">
        <v>13609</v>
      </c>
      <c r="D4337" s="47" t="s">
        <v>13610</v>
      </c>
      <c r="E4337" s="47" t="s">
        <v>2046</v>
      </c>
      <c r="F4337" s="55" t="b">
        <v>1</v>
      </c>
      <c r="G4337" s="65" t="b">
        <v>0</v>
      </c>
      <c r="H4337" s="65" t="b">
        <v>0</v>
      </c>
      <c r="I4337" s="65" t="b">
        <v>0</v>
      </c>
      <c r="J4337" s="65" t="b">
        <v>0</v>
      </c>
    </row>
    <row r="4338" spans="1:10" x14ac:dyDescent="0.2">
      <c r="A4338" s="51">
        <v>4337</v>
      </c>
      <c r="B4338" s="54" t="s">
        <v>965</v>
      </c>
      <c r="C4338" s="47" t="s">
        <v>13611</v>
      </c>
      <c r="D4338" s="47" t="s">
        <v>13612</v>
      </c>
      <c r="E4338" s="47" t="s">
        <v>2164</v>
      </c>
      <c r="F4338" s="55" t="b">
        <v>1</v>
      </c>
      <c r="G4338" s="65" t="b">
        <v>0</v>
      </c>
      <c r="H4338" s="65" t="b">
        <v>0</v>
      </c>
      <c r="I4338" s="65" t="b">
        <v>0</v>
      </c>
      <c r="J4338" s="65" t="b">
        <v>0</v>
      </c>
    </row>
    <row r="4339" spans="1:10" x14ac:dyDescent="0.2">
      <c r="A4339" s="51">
        <v>4338</v>
      </c>
      <c r="B4339" s="54" t="s">
        <v>965</v>
      </c>
      <c r="C4339" s="47" t="s">
        <v>13613</v>
      </c>
      <c r="D4339" s="47" t="s">
        <v>13614</v>
      </c>
      <c r="E4339" s="47" t="s">
        <v>2164</v>
      </c>
      <c r="F4339" s="55" t="b">
        <v>1</v>
      </c>
      <c r="G4339" s="65" t="b">
        <v>0</v>
      </c>
      <c r="H4339" s="65" t="b">
        <v>0</v>
      </c>
      <c r="I4339" s="65" t="b">
        <v>0</v>
      </c>
      <c r="J4339" s="65" t="b">
        <v>0</v>
      </c>
    </row>
    <row r="4340" spans="1:10" x14ac:dyDescent="0.2">
      <c r="A4340" s="51">
        <v>4339</v>
      </c>
      <c r="B4340" s="54" t="s">
        <v>965</v>
      </c>
      <c r="C4340" s="47" t="s">
        <v>13615</v>
      </c>
      <c r="D4340" s="47" t="s">
        <v>13616</v>
      </c>
      <c r="E4340" s="47" t="s">
        <v>2164</v>
      </c>
      <c r="F4340" s="55" t="b">
        <v>1</v>
      </c>
      <c r="G4340" s="65" t="b">
        <v>0</v>
      </c>
      <c r="H4340" s="65" t="b">
        <v>0</v>
      </c>
      <c r="I4340" s="65" t="b">
        <v>0</v>
      </c>
      <c r="J4340" s="65" t="b">
        <v>0</v>
      </c>
    </row>
    <row r="4341" spans="1:10" x14ac:dyDescent="0.2">
      <c r="A4341" s="51">
        <v>4340</v>
      </c>
      <c r="B4341" s="54" t="s">
        <v>965</v>
      </c>
      <c r="C4341" s="47" t="s">
        <v>13617</v>
      </c>
      <c r="D4341" s="47" t="s">
        <v>13618</v>
      </c>
      <c r="E4341" s="47" t="s">
        <v>2164</v>
      </c>
      <c r="F4341" s="55" t="b">
        <v>1</v>
      </c>
      <c r="G4341" s="65" t="b">
        <v>0</v>
      </c>
      <c r="H4341" s="65" t="b">
        <v>0</v>
      </c>
      <c r="I4341" s="65" t="b">
        <v>0</v>
      </c>
      <c r="J4341" s="65" t="b">
        <v>0</v>
      </c>
    </row>
    <row r="4342" spans="1:10" x14ac:dyDescent="0.2">
      <c r="A4342" s="51">
        <v>4341</v>
      </c>
      <c r="B4342" s="54" t="s">
        <v>965</v>
      </c>
      <c r="C4342" s="47" t="s">
        <v>13619</v>
      </c>
      <c r="D4342" s="47" t="s">
        <v>13620</v>
      </c>
      <c r="E4342" s="47" t="s">
        <v>2164</v>
      </c>
      <c r="F4342" s="55" t="b">
        <v>1</v>
      </c>
      <c r="G4342" s="65" t="b">
        <v>0</v>
      </c>
      <c r="H4342" s="65" t="b">
        <v>0</v>
      </c>
      <c r="I4342" s="65" t="b">
        <v>0</v>
      </c>
      <c r="J4342" s="65" t="b">
        <v>0</v>
      </c>
    </row>
    <row r="4343" spans="1:10" x14ac:dyDescent="0.2">
      <c r="A4343" s="51">
        <v>4342</v>
      </c>
      <c r="B4343" s="54" t="s">
        <v>965</v>
      </c>
      <c r="C4343" s="47" t="s">
        <v>13621</v>
      </c>
      <c r="D4343" s="47" t="s">
        <v>13622</v>
      </c>
      <c r="E4343" s="47" t="s">
        <v>2164</v>
      </c>
      <c r="F4343" s="55" t="b">
        <v>1</v>
      </c>
      <c r="G4343" s="65" t="b">
        <v>0</v>
      </c>
      <c r="H4343" s="65" t="b">
        <v>0</v>
      </c>
      <c r="I4343" s="65" t="b">
        <v>0</v>
      </c>
      <c r="J4343" s="65" t="b">
        <v>0</v>
      </c>
    </row>
    <row r="4344" spans="1:10" x14ac:dyDescent="0.2">
      <c r="A4344" s="51">
        <v>4343</v>
      </c>
      <c r="B4344" s="54" t="s">
        <v>965</v>
      </c>
      <c r="C4344" s="47" t="s">
        <v>13623</v>
      </c>
      <c r="D4344" s="47" t="s">
        <v>13624</v>
      </c>
      <c r="E4344" s="47" t="s">
        <v>2046</v>
      </c>
      <c r="F4344" s="55" t="b">
        <v>1</v>
      </c>
      <c r="G4344" s="65" t="b">
        <v>0</v>
      </c>
      <c r="H4344" s="65" t="b">
        <v>0</v>
      </c>
      <c r="I4344" s="65" t="b">
        <v>0</v>
      </c>
      <c r="J4344" s="65" t="b">
        <v>0</v>
      </c>
    </row>
    <row r="4345" spans="1:10" x14ac:dyDescent="0.2">
      <c r="A4345" s="51">
        <v>4344</v>
      </c>
      <c r="B4345" s="54" t="s">
        <v>965</v>
      </c>
      <c r="C4345" s="47" t="s">
        <v>13627</v>
      </c>
      <c r="D4345" s="47" t="s">
        <v>13628</v>
      </c>
      <c r="E4345" s="47" t="s">
        <v>2164</v>
      </c>
      <c r="F4345" s="55" t="b">
        <v>1</v>
      </c>
      <c r="G4345" s="65" t="b">
        <v>0</v>
      </c>
      <c r="H4345" s="65" t="b">
        <v>0</v>
      </c>
      <c r="I4345" s="65" t="b">
        <v>0</v>
      </c>
      <c r="J4345" s="65" t="b">
        <v>0</v>
      </c>
    </row>
    <row r="4346" spans="1:10" x14ac:dyDescent="0.2">
      <c r="A4346" s="51">
        <v>4345</v>
      </c>
      <c r="B4346" s="54" t="s">
        <v>965</v>
      </c>
      <c r="C4346" s="47" t="s">
        <v>13629</v>
      </c>
      <c r="D4346" s="47" t="s">
        <v>13630</v>
      </c>
      <c r="E4346" s="47" t="s">
        <v>2164</v>
      </c>
      <c r="F4346" s="55" t="b">
        <v>1</v>
      </c>
      <c r="G4346" s="65" t="b">
        <v>0</v>
      </c>
      <c r="H4346" s="65" t="b">
        <v>0</v>
      </c>
      <c r="I4346" s="65" t="b">
        <v>0</v>
      </c>
      <c r="J4346" s="65" t="b">
        <v>0</v>
      </c>
    </row>
    <row r="4347" spans="1:10" x14ac:dyDescent="0.2">
      <c r="A4347" s="51">
        <v>4346</v>
      </c>
      <c r="B4347" s="54" t="s">
        <v>965</v>
      </c>
      <c r="C4347" s="47" t="s">
        <v>13632</v>
      </c>
      <c r="D4347" s="47" t="s">
        <v>13633</v>
      </c>
      <c r="E4347" s="47" t="s">
        <v>2046</v>
      </c>
      <c r="F4347" s="55" t="b">
        <v>1</v>
      </c>
      <c r="G4347" s="65" t="b">
        <v>0</v>
      </c>
      <c r="H4347" s="65" t="b">
        <v>0</v>
      </c>
      <c r="I4347" s="65" t="b">
        <v>0</v>
      </c>
      <c r="J4347" s="65" t="b">
        <v>0</v>
      </c>
    </row>
    <row r="4348" spans="1:10" x14ac:dyDescent="0.2">
      <c r="A4348" s="51">
        <v>4347</v>
      </c>
      <c r="B4348" s="54" t="s">
        <v>965</v>
      </c>
      <c r="C4348" s="47" t="s">
        <v>13344</v>
      </c>
      <c r="D4348" s="47" t="s">
        <v>13345</v>
      </c>
      <c r="E4348" s="47" t="s">
        <v>2164</v>
      </c>
      <c r="F4348" s="55" t="b">
        <v>1</v>
      </c>
      <c r="G4348" s="65" t="b">
        <v>0</v>
      </c>
      <c r="H4348" s="65" t="b">
        <v>0</v>
      </c>
      <c r="I4348" s="65" t="b">
        <v>0</v>
      </c>
      <c r="J4348" s="65" t="b">
        <v>0</v>
      </c>
    </row>
    <row r="4349" spans="1:10" x14ac:dyDescent="0.2">
      <c r="A4349" s="51">
        <v>4348</v>
      </c>
      <c r="B4349" s="54" t="s">
        <v>965</v>
      </c>
      <c r="C4349" s="47" t="s">
        <v>13346</v>
      </c>
      <c r="D4349" s="47" t="s">
        <v>13347</v>
      </c>
      <c r="E4349" s="47" t="s">
        <v>2164</v>
      </c>
      <c r="F4349" s="55" t="b">
        <v>1</v>
      </c>
      <c r="G4349" s="65" t="b">
        <v>0</v>
      </c>
      <c r="H4349" s="65" t="b">
        <v>0</v>
      </c>
      <c r="I4349" s="65" t="b">
        <v>0</v>
      </c>
      <c r="J4349" s="65" t="b">
        <v>0</v>
      </c>
    </row>
    <row r="4350" spans="1:10" x14ac:dyDescent="0.2">
      <c r="A4350" s="51">
        <v>4349</v>
      </c>
      <c r="B4350" s="54" t="s">
        <v>965</v>
      </c>
      <c r="C4350" s="47" t="s">
        <v>13348</v>
      </c>
      <c r="D4350" s="47" t="s">
        <v>13349</v>
      </c>
      <c r="E4350" s="47" t="s">
        <v>2164</v>
      </c>
      <c r="F4350" s="55" t="b">
        <v>1</v>
      </c>
      <c r="G4350" s="65" t="b">
        <v>0</v>
      </c>
      <c r="H4350" s="65" t="b">
        <v>0</v>
      </c>
      <c r="I4350" s="65" t="b">
        <v>0</v>
      </c>
      <c r="J4350" s="65" t="b">
        <v>0</v>
      </c>
    </row>
    <row r="4351" spans="1:10" x14ac:dyDescent="0.2">
      <c r="A4351" s="51">
        <v>4350</v>
      </c>
      <c r="B4351" s="54" t="s">
        <v>965</v>
      </c>
      <c r="C4351" s="47" t="s">
        <v>13350</v>
      </c>
      <c r="D4351" s="47" t="s">
        <v>13351</v>
      </c>
      <c r="E4351" s="47" t="s">
        <v>2164</v>
      </c>
      <c r="F4351" s="55" t="b">
        <v>1</v>
      </c>
      <c r="G4351" s="65" t="b">
        <v>0</v>
      </c>
      <c r="H4351" s="65" t="b">
        <v>0</v>
      </c>
      <c r="I4351" s="65" t="b">
        <v>0</v>
      </c>
      <c r="J4351" s="65" t="b">
        <v>0</v>
      </c>
    </row>
    <row r="4352" spans="1:10" x14ac:dyDescent="0.2">
      <c r="A4352" s="51">
        <v>4351</v>
      </c>
      <c r="B4352" s="54" t="s">
        <v>965</v>
      </c>
      <c r="C4352" s="47" t="s">
        <v>13352</v>
      </c>
      <c r="D4352" s="47" t="s">
        <v>13353</v>
      </c>
      <c r="E4352" s="47" t="s">
        <v>2164</v>
      </c>
      <c r="F4352" s="55" t="b">
        <v>1</v>
      </c>
      <c r="G4352" s="65" t="b">
        <v>0</v>
      </c>
      <c r="H4352" s="65" t="b">
        <v>0</v>
      </c>
      <c r="I4352" s="65" t="b">
        <v>0</v>
      </c>
      <c r="J4352" s="65" t="b">
        <v>0</v>
      </c>
    </row>
    <row r="4353" spans="1:10" x14ac:dyDescent="0.2">
      <c r="A4353" s="51">
        <v>4352</v>
      </c>
      <c r="B4353" s="54" t="s">
        <v>965</v>
      </c>
      <c r="C4353" s="47" t="s">
        <v>13354</v>
      </c>
      <c r="D4353" s="47" t="s">
        <v>13355</v>
      </c>
      <c r="E4353" s="47" t="s">
        <v>2164</v>
      </c>
      <c r="F4353" s="55" t="b">
        <v>1</v>
      </c>
      <c r="G4353" s="65" t="b">
        <v>0</v>
      </c>
      <c r="H4353" s="65" t="b">
        <v>0</v>
      </c>
      <c r="I4353" s="65" t="b">
        <v>0</v>
      </c>
      <c r="J4353" s="65" t="b">
        <v>0</v>
      </c>
    </row>
    <row r="4354" spans="1:10" x14ac:dyDescent="0.2">
      <c r="A4354" s="51">
        <v>4353</v>
      </c>
      <c r="B4354" s="54" t="s">
        <v>965</v>
      </c>
      <c r="C4354" s="47" t="s">
        <v>13356</v>
      </c>
      <c r="D4354" s="47" t="s">
        <v>13357</v>
      </c>
      <c r="E4354" s="47" t="s">
        <v>2164</v>
      </c>
      <c r="F4354" s="55" t="b">
        <v>1</v>
      </c>
      <c r="G4354" s="65" t="b">
        <v>0</v>
      </c>
      <c r="H4354" s="65" t="b">
        <v>0</v>
      </c>
      <c r="I4354" s="65" t="b">
        <v>0</v>
      </c>
      <c r="J4354" s="65" t="b">
        <v>0</v>
      </c>
    </row>
    <row r="4355" spans="1:10" x14ac:dyDescent="0.2">
      <c r="A4355" s="51">
        <v>4354</v>
      </c>
      <c r="B4355" s="54" t="s">
        <v>965</v>
      </c>
      <c r="C4355" s="47" t="s">
        <v>13358</v>
      </c>
      <c r="D4355" s="47" t="s">
        <v>13359</v>
      </c>
      <c r="E4355" s="47" t="s">
        <v>2164</v>
      </c>
      <c r="F4355" s="55" t="b">
        <v>1</v>
      </c>
      <c r="G4355" s="65" t="b">
        <v>0</v>
      </c>
      <c r="H4355" s="65" t="b">
        <v>0</v>
      </c>
      <c r="I4355" s="65" t="b">
        <v>0</v>
      </c>
      <c r="J4355" s="65" t="b">
        <v>0</v>
      </c>
    </row>
    <row r="4356" spans="1:10" x14ac:dyDescent="0.2">
      <c r="A4356" s="51">
        <v>4355</v>
      </c>
      <c r="B4356" s="54" t="s">
        <v>965</v>
      </c>
      <c r="C4356" s="47" t="s">
        <v>13360</v>
      </c>
      <c r="D4356" s="47" t="s">
        <v>13361</v>
      </c>
      <c r="E4356" s="47" t="s">
        <v>2164</v>
      </c>
      <c r="F4356" s="55" t="b">
        <v>1</v>
      </c>
      <c r="G4356" s="65" t="b">
        <v>0</v>
      </c>
      <c r="H4356" s="65" t="b">
        <v>0</v>
      </c>
      <c r="I4356" s="65" t="b">
        <v>0</v>
      </c>
      <c r="J4356" s="65" t="b">
        <v>0</v>
      </c>
    </row>
    <row r="4357" spans="1:10" x14ac:dyDescent="0.2">
      <c r="A4357" s="51">
        <v>4356</v>
      </c>
      <c r="B4357" s="54" t="s">
        <v>965</v>
      </c>
      <c r="C4357" s="47" t="s">
        <v>13362</v>
      </c>
      <c r="D4357" s="47" t="s">
        <v>13363</v>
      </c>
      <c r="E4357" s="47" t="s">
        <v>2164</v>
      </c>
      <c r="F4357" s="55" t="b">
        <v>1</v>
      </c>
      <c r="G4357" s="65" t="b">
        <v>0</v>
      </c>
      <c r="H4357" s="65" t="b">
        <v>0</v>
      </c>
      <c r="I4357" s="65" t="b">
        <v>0</v>
      </c>
      <c r="J4357" s="65" t="b">
        <v>0</v>
      </c>
    </row>
    <row r="4358" spans="1:10" x14ac:dyDescent="0.2">
      <c r="A4358" s="51">
        <v>4357</v>
      </c>
      <c r="B4358" s="54" t="s">
        <v>965</v>
      </c>
      <c r="C4358" s="47" t="s">
        <v>13364</v>
      </c>
      <c r="D4358" s="47" t="s">
        <v>13365</v>
      </c>
      <c r="E4358" s="47" t="s">
        <v>2164</v>
      </c>
      <c r="F4358" s="55" t="b">
        <v>1</v>
      </c>
      <c r="G4358" s="65" t="b">
        <v>0</v>
      </c>
      <c r="H4358" s="65" t="b">
        <v>0</v>
      </c>
      <c r="I4358" s="65" t="b">
        <v>0</v>
      </c>
      <c r="J4358" s="65" t="b">
        <v>0</v>
      </c>
    </row>
    <row r="4359" spans="1:10" x14ac:dyDescent="0.2">
      <c r="A4359" s="51">
        <v>4358</v>
      </c>
      <c r="B4359" s="54" t="s">
        <v>965</v>
      </c>
      <c r="C4359" s="47" t="s">
        <v>13366</v>
      </c>
      <c r="D4359" s="47" t="s">
        <v>13367</v>
      </c>
      <c r="E4359" s="47" t="s">
        <v>2164</v>
      </c>
      <c r="F4359" s="55" t="b">
        <v>1</v>
      </c>
      <c r="G4359" s="65" t="b">
        <v>0</v>
      </c>
      <c r="H4359" s="65" t="b">
        <v>0</v>
      </c>
      <c r="I4359" s="65" t="b">
        <v>0</v>
      </c>
      <c r="J4359" s="65" t="b">
        <v>0</v>
      </c>
    </row>
    <row r="4360" spans="1:10" x14ac:dyDescent="0.2">
      <c r="A4360" s="51">
        <v>4359</v>
      </c>
      <c r="B4360" s="54" t="s">
        <v>965</v>
      </c>
      <c r="C4360" s="47" t="s">
        <v>13369</v>
      </c>
      <c r="D4360" s="47" t="s">
        <v>13370</v>
      </c>
      <c r="E4360" s="47" t="s">
        <v>2164</v>
      </c>
      <c r="F4360" s="55" t="b">
        <v>1</v>
      </c>
      <c r="G4360" s="65" t="b">
        <v>0</v>
      </c>
      <c r="H4360" s="65" t="b">
        <v>0</v>
      </c>
      <c r="I4360" s="65" t="b">
        <v>0</v>
      </c>
      <c r="J4360" s="65" t="b">
        <v>0</v>
      </c>
    </row>
    <row r="4361" spans="1:10" x14ac:dyDescent="0.2">
      <c r="A4361" s="51">
        <v>4360</v>
      </c>
      <c r="B4361" s="54" t="s">
        <v>965</v>
      </c>
      <c r="C4361" s="47" t="s">
        <v>13372</v>
      </c>
      <c r="D4361" s="47" t="s">
        <v>13373</v>
      </c>
      <c r="E4361" s="47" t="s">
        <v>2164</v>
      </c>
      <c r="F4361" s="55" t="b">
        <v>1</v>
      </c>
      <c r="G4361" s="65" t="b">
        <v>0</v>
      </c>
      <c r="H4361" s="65" t="b">
        <v>0</v>
      </c>
      <c r="I4361" s="65" t="b">
        <v>0</v>
      </c>
      <c r="J4361" s="65" t="b">
        <v>0</v>
      </c>
    </row>
    <row r="4362" spans="1:10" x14ac:dyDescent="0.2">
      <c r="A4362" s="51">
        <v>4361</v>
      </c>
      <c r="B4362" s="54" t="s">
        <v>965</v>
      </c>
      <c r="C4362" s="47" t="s">
        <v>13374</v>
      </c>
      <c r="D4362" s="47" t="s">
        <v>13375</v>
      </c>
      <c r="E4362" s="47" t="s">
        <v>2164</v>
      </c>
      <c r="F4362" s="55" t="b">
        <v>1</v>
      </c>
      <c r="G4362" s="65" t="b">
        <v>0</v>
      </c>
      <c r="H4362" s="65" t="b">
        <v>0</v>
      </c>
      <c r="I4362" s="65" t="b">
        <v>0</v>
      </c>
      <c r="J4362" s="65" t="b">
        <v>0</v>
      </c>
    </row>
    <row r="4363" spans="1:10" x14ac:dyDescent="0.2">
      <c r="A4363" s="51">
        <v>4362</v>
      </c>
      <c r="B4363" s="54" t="s">
        <v>965</v>
      </c>
      <c r="C4363" s="47" t="s">
        <v>13376</v>
      </c>
      <c r="D4363" s="47" t="s">
        <v>13377</v>
      </c>
      <c r="E4363" s="47" t="s">
        <v>2046</v>
      </c>
      <c r="F4363" s="55" t="b">
        <v>1</v>
      </c>
      <c r="G4363" s="65" t="b">
        <v>0</v>
      </c>
      <c r="H4363" s="65" t="b">
        <v>0</v>
      </c>
      <c r="I4363" s="65" t="b">
        <v>0</v>
      </c>
      <c r="J4363" s="65" t="b">
        <v>0</v>
      </c>
    </row>
    <row r="4364" spans="1:10" x14ac:dyDescent="0.2">
      <c r="A4364" s="51">
        <v>4363</v>
      </c>
      <c r="B4364" s="54" t="s">
        <v>965</v>
      </c>
      <c r="C4364" s="47" t="s">
        <v>13378</v>
      </c>
      <c r="D4364" s="47" t="s">
        <v>13379</v>
      </c>
      <c r="E4364" s="47" t="s">
        <v>2164</v>
      </c>
      <c r="F4364" s="55" t="b">
        <v>1</v>
      </c>
      <c r="G4364" s="65" t="b">
        <v>0</v>
      </c>
      <c r="H4364" s="65" t="b">
        <v>0</v>
      </c>
      <c r="I4364" s="65" t="b">
        <v>0</v>
      </c>
      <c r="J4364" s="65" t="b">
        <v>0</v>
      </c>
    </row>
    <row r="4365" spans="1:10" x14ac:dyDescent="0.2">
      <c r="A4365" s="51">
        <v>4364</v>
      </c>
      <c r="B4365" s="54" t="s">
        <v>965</v>
      </c>
      <c r="C4365" s="47" t="s">
        <v>13380</v>
      </c>
      <c r="D4365" s="47" t="s">
        <v>13381</v>
      </c>
      <c r="E4365" s="47" t="s">
        <v>2164</v>
      </c>
      <c r="F4365" s="55" t="b">
        <v>1</v>
      </c>
      <c r="G4365" s="65" t="b">
        <v>0</v>
      </c>
      <c r="H4365" s="65" t="b">
        <v>0</v>
      </c>
      <c r="I4365" s="65" t="b">
        <v>0</v>
      </c>
      <c r="J4365" s="65" t="b">
        <v>0</v>
      </c>
    </row>
    <row r="4366" spans="1:10" x14ac:dyDescent="0.2">
      <c r="A4366" s="51">
        <v>4365</v>
      </c>
      <c r="B4366" s="54" t="s">
        <v>965</v>
      </c>
      <c r="C4366" s="47" t="s">
        <v>13382</v>
      </c>
      <c r="D4366" s="47" t="s">
        <v>13383</v>
      </c>
      <c r="E4366" s="47" t="s">
        <v>2164</v>
      </c>
      <c r="F4366" s="55" t="b">
        <v>1</v>
      </c>
      <c r="G4366" s="65" t="b">
        <v>0</v>
      </c>
      <c r="H4366" s="65" t="b">
        <v>0</v>
      </c>
      <c r="I4366" s="65" t="b">
        <v>0</v>
      </c>
      <c r="J4366" s="65" t="b">
        <v>0</v>
      </c>
    </row>
    <row r="4367" spans="1:10" x14ac:dyDescent="0.2">
      <c r="A4367" s="51">
        <v>4366</v>
      </c>
      <c r="B4367" s="54" t="s">
        <v>965</v>
      </c>
      <c r="C4367" s="47" t="s">
        <v>13384</v>
      </c>
      <c r="D4367" s="47" t="s">
        <v>13385</v>
      </c>
      <c r="E4367" s="47" t="s">
        <v>2164</v>
      </c>
      <c r="F4367" s="55" t="b">
        <v>1</v>
      </c>
      <c r="G4367" s="65" t="b">
        <v>0</v>
      </c>
      <c r="H4367" s="65" t="b">
        <v>0</v>
      </c>
      <c r="I4367" s="65" t="b">
        <v>0</v>
      </c>
      <c r="J4367" s="65" t="b">
        <v>0</v>
      </c>
    </row>
    <row r="4368" spans="1:10" x14ac:dyDescent="0.2">
      <c r="A4368" s="51">
        <v>4367</v>
      </c>
      <c r="B4368" s="54" t="s">
        <v>965</v>
      </c>
      <c r="C4368" s="47" t="s">
        <v>13386</v>
      </c>
      <c r="D4368" s="47" t="s">
        <v>13387</v>
      </c>
      <c r="E4368" s="47" t="s">
        <v>2164</v>
      </c>
      <c r="F4368" s="55" t="b">
        <v>1</v>
      </c>
      <c r="G4368" s="65" t="b">
        <v>0</v>
      </c>
      <c r="H4368" s="65" t="b">
        <v>0</v>
      </c>
      <c r="I4368" s="65" t="b">
        <v>0</v>
      </c>
      <c r="J4368" s="65" t="b">
        <v>0</v>
      </c>
    </row>
    <row r="4369" spans="1:10" x14ac:dyDescent="0.2">
      <c r="A4369" s="51">
        <v>4368</v>
      </c>
      <c r="B4369" s="54" t="s">
        <v>965</v>
      </c>
      <c r="C4369" s="47" t="s">
        <v>13388</v>
      </c>
      <c r="D4369" s="47" t="s">
        <v>13389</v>
      </c>
      <c r="E4369" s="47" t="s">
        <v>2164</v>
      </c>
      <c r="F4369" s="55" t="b">
        <v>1</v>
      </c>
      <c r="G4369" s="65" t="b">
        <v>0</v>
      </c>
      <c r="H4369" s="65" t="b">
        <v>0</v>
      </c>
      <c r="I4369" s="65" t="b">
        <v>0</v>
      </c>
      <c r="J4369" s="65" t="b">
        <v>0</v>
      </c>
    </row>
    <row r="4370" spans="1:10" x14ac:dyDescent="0.2">
      <c r="A4370" s="51">
        <v>4369</v>
      </c>
      <c r="B4370" s="54" t="s">
        <v>965</v>
      </c>
      <c r="C4370" s="47" t="s">
        <v>13390</v>
      </c>
      <c r="D4370" s="47" t="s">
        <v>13391</v>
      </c>
      <c r="E4370" s="47" t="s">
        <v>2164</v>
      </c>
      <c r="F4370" s="55" t="b">
        <v>1</v>
      </c>
      <c r="G4370" s="65" t="b">
        <v>0</v>
      </c>
      <c r="H4370" s="65" t="b">
        <v>0</v>
      </c>
      <c r="I4370" s="65" t="b">
        <v>0</v>
      </c>
      <c r="J4370" s="65" t="b">
        <v>0</v>
      </c>
    </row>
    <row r="4371" spans="1:10" x14ac:dyDescent="0.2">
      <c r="A4371" s="51">
        <v>4370</v>
      </c>
      <c r="B4371" s="54" t="s">
        <v>965</v>
      </c>
      <c r="C4371" s="47" t="s">
        <v>13392</v>
      </c>
      <c r="D4371" s="47" t="s">
        <v>13393</v>
      </c>
      <c r="E4371" s="47" t="s">
        <v>2164</v>
      </c>
      <c r="F4371" s="55" t="b">
        <v>1</v>
      </c>
      <c r="G4371" s="65" t="b">
        <v>0</v>
      </c>
      <c r="H4371" s="65" t="b">
        <v>0</v>
      </c>
      <c r="I4371" s="65" t="b">
        <v>0</v>
      </c>
      <c r="J4371" s="65" t="b">
        <v>0</v>
      </c>
    </row>
    <row r="4372" spans="1:10" x14ac:dyDescent="0.2">
      <c r="A4372" s="51">
        <v>4371</v>
      </c>
      <c r="B4372" s="54" t="s">
        <v>965</v>
      </c>
      <c r="C4372" s="47" t="s">
        <v>13394</v>
      </c>
      <c r="D4372" s="47" t="s">
        <v>13395</v>
      </c>
      <c r="E4372" s="47" t="s">
        <v>2164</v>
      </c>
      <c r="F4372" s="55" t="b">
        <v>1</v>
      </c>
      <c r="G4372" s="65" t="b">
        <v>0</v>
      </c>
      <c r="H4372" s="65" t="b">
        <v>0</v>
      </c>
      <c r="I4372" s="65" t="b">
        <v>0</v>
      </c>
      <c r="J4372" s="65" t="b">
        <v>0</v>
      </c>
    </row>
    <row r="4373" spans="1:10" x14ac:dyDescent="0.2">
      <c r="A4373" s="51">
        <v>4372</v>
      </c>
      <c r="B4373" s="54" t="s">
        <v>965</v>
      </c>
      <c r="C4373" s="47" t="s">
        <v>13396</v>
      </c>
      <c r="D4373" s="47" t="s">
        <v>13397</v>
      </c>
      <c r="E4373" s="47" t="s">
        <v>2164</v>
      </c>
      <c r="F4373" s="55" t="b">
        <v>1</v>
      </c>
      <c r="G4373" s="65" t="b">
        <v>0</v>
      </c>
      <c r="H4373" s="65" t="b">
        <v>0</v>
      </c>
      <c r="I4373" s="65" t="b">
        <v>0</v>
      </c>
      <c r="J4373" s="65" t="b">
        <v>0</v>
      </c>
    </row>
    <row r="4374" spans="1:10" x14ac:dyDescent="0.2">
      <c r="A4374" s="51">
        <v>4373</v>
      </c>
      <c r="B4374" s="54" t="s">
        <v>965</v>
      </c>
      <c r="C4374" s="47" t="s">
        <v>13398</v>
      </c>
      <c r="D4374" s="47" t="s">
        <v>13399</v>
      </c>
      <c r="E4374" s="47" t="s">
        <v>2164</v>
      </c>
      <c r="F4374" s="55" t="b">
        <v>1</v>
      </c>
      <c r="G4374" s="65" t="b">
        <v>0</v>
      </c>
      <c r="H4374" s="65" t="b">
        <v>0</v>
      </c>
      <c r="I4374" s="65" t="b">
        <v>0</v>
      </c>
      <c r="J4374" s="65" t="b">
        <v>0</v>
      </c>
    </row>
    <row r="4375" spans="1:10" x14ac:dyDescent="0.2">
      <c r="A4375" s="51">
        <v>4374</v>
      </c>
      <c r="B4375" s="54" t="s">
        <v>965</v>
      </c>
      <c r="C4375" s="47" t="s">
        <v>13400</v>
      </c>
      <c r="D4375" s="47" t="s">
        <v>13401</v>
      </c>
      <c r="E4375" s="47" t="s">
        <v>2164</v>
      </c>
      <c r="F4375" s="55" t="b">
        <v>1</v>
      </c>
      <c r="G4375" s="65" t="b">
        <v>0</v>
      </c>
      <c r="H4375" s="65" t="b">
        <v>0</v>
      </c>
      <c r="I4375" s="65" t="b">
        <v>0</v>
      </c>
      <c r="J4375" s="65" t="b">
        <v>0</v>
      </c>
    </row>
    <row r="4376" spans="1:10" x14ac:dyDescent="0.2">
      <c r="A4376" s="51">
        <v>4375</v>
      </c>
      <c r="B4376" s="54" t="s">
        <v>965</v>
      </c>
      <c r="C4376" s="47" t="s">
        <v>13402</v>
      </c>
      <c r="D4376" s="47" t="s">
        <v>13403</v>
      </c>
      <c r="E4376" s="47" t="s">
        <v>2164</v>
      </c>
      <c r="F4376" s="55" t="b">
        <v>1</v>
      </c>
      <c r="G4376" s="65" t="b">
        <v>0</v>
      </c>
      <c r="H4376" s="65" t="b">
        <v>0</v>
      </c>
      <c r="I4376" s="65" t="b">
        <v>0</v>
      </c>
      <c r="J4376" s="65" t="b">
        <v>0</v>
      </c>
    </row>
    <row r="4377" spans="1:10" x14ac:dyDescent="0.2">
      <c r="A4377" s="51">
        <v>4376</v>
      </c>
      <c r="B4377" s="54" t="s">
        <v>965</v>
      </c>
      <c r="C4377" s="47" t="s">
        <v>13404</v>
      </c>
      <c r="D4377" s="47" t="s">
        <v>13405</v>
      </c>
      <c r="E4377" s="47" t="s">
        <v>2164</v>
      </c>
      <c r="F4377" s="55" t="b">
        <v>1</v>
      </c>
      <c r="G4377" s="65" t="b">
        <v>0</v>
      </c>
      <c r="H4377" s="65" t="b">
        <v>0</v>
      </c>
      <c r="I4377" s="65" t="b">
        <v>0</v>
      </c>
      <c r="J4377" s="65" t="b">
        <v>0</v>
      </c>
    </row>
    <row r="4378" spans="1:10" x14ac:dyDescent="0.2">
      <c r="A4378" s="51">
        <v>4377</v>
      </c>
      <c r="B4378" s="54" t="s">
        <v>965</v>
      </c>
      <c r="C4378" s="47" t="s">
        <v>13407</v>
      </c>
      <c r="D4378" s="47" t="s">
        <v>13408</v>
      </c>
      <c r="E4378" s="47" t="s">
        <v>2046</v>
      </c>
      <c r="F4378" s="55" t="b">
        <v>1</v>
      </c>
      <c r="G4378" s="65" t="b">
        <v>0</v>
      </c>
      <c r="H4378" s="65" t="b">
        <v>0</v>
      </c>
      <c r="I4378" s="65" t="b">
        <v>0</v>
      </c>
      <c r="J4378" s="65" t="b">
        <v>0</v>
      </c>
    </row>
    <row r="4379" spans="1:10" x14ac:dyDescent="0.2">
      <c r="A4379" s="51">
        <v>4378</v>
      </c>
      <c r="B4379" s="54" t="s">
        <v>965</v>
      </c>
      <c r="C4379" s="47" t="s">
        <v>13411</v>
      </c>
      <c r="D4379" s="47" t="s">
        <v>13412</v>
      </c>
      <c r="E4379" s="47" t="s">
        <v>2164</v>
      </c>
      <c r="F4379" s="55" t="b">
        <v>1</v>
      </c>
      <c r="G4379" s="65" t="b">
        <v>0</v>
      </c>
      <c r="H4379" s="65" t="b">
        <v>0</v>
      </c>
      <c r="I4379" s="65" t="b">
        <v>0</v>
      </c>
      <c r="J4379" s="65" t="b">
        <v>0</v>
      </c>
    </row>
    <row r="4380" spans="1:10" x14ac:dyDescent="0.2">
      <c r="A4380" s="51">
        <v>4379</v>
      </c>
      <c r="B4380" s="54" t="s">
        <v>965</v>
      </c>
      <c r="C4380" s="47" t="s">
        <v>13413</v>
      </c>
      <c r="D4380" s="47" t="s">
        <v>13414</v>
      </c>
      <c r="E4380" s="47" t="s">
        <v>2164</v>
      </c>
      <c r="F4380" s="55" t="b">
        <v>1</v>
      </c>
      <c r="G4380" s="65" t="b">
        <v>0</v>
      </c>
      <c r="H4380" s="65" t="b">
        <v>0</v>
      </c>
      <c r="I4380" s="65" t="b">
        <v>0</v>
      </c>
      <c r="J4380" s="65" t="b">
        <v>0</v>
      </c>
    </row>
    <row r="4381" spans="1:10" x14ac:dyDescent="0.2">
      <c r="A4381" s="51">
        <v>4380</v>
      </c>
      <c r="B4381" s="54" t="s">
        <v>965</v>
      </c>
      <c r="C4381" s="47" t="s">
        <v>13415</v>
      </c>
      <c r="D4381" s="47" t="s">
        <v>13416</v>
      </c>
      <c r="E4381" s="47" t="s">
        <v>2164</v>
      </c>
      <c r="F4381" s="55" t="b">
        <v>1</v>
      </c>
      <c r="G4381" s="65" t="b">
        <v>0</v>
      </c>
      <c r="H4381" s="65" t="b">
        <v>0</v>
      </c>
      <c r="I4381" s="65" t="b">
        <v>0</v>
      </c>
      <c r="J4381" s="65" t="b">
        <v>0</v>
      </c>
    </row>
    <row r="4382" spans="1:10" x14ac:dyDescent="0.2">
      <c r="A4382" s="51">
        <v>4381</v>
      </c>
      <c r="B4382" s="54" t="s">
        <v>965</v>
      </c>
      <c r="C4382" s="47" t="s">
        <v>13417</v>
      </c>
      <c r="D4382" s="47" t="s">
        <v>13418</v>
      </c>
      <c r="E4382" s="47" t="s">
        <v>2164</v>
      </c>
      <c r="F4382" s="55" t="b">
        <v>1</v>
      </c>
      <c r="G4382" s="65" t="b">
        <v>0</v>
      </c>
      <c r="H4382" s="65" t="b">
        <v>0</v>
      </c>
      <c r="I4382" s="65" t="b">
        <v>0</v>
      </c>
      <c r="J4382" s="65" t="b">
        <v>0</v>
      </c>
    </row>
    <row r="4383" spans="1:10" x14ac:dyDescent="0.2">
      <c r="A4383" s="51">
        <v>4382</v>
      </c>
      <c r="B4383" s="54" t="s">
        <v>965</v>
      </c>
      <c r="C4383" s="47" t="s">
        <v>13419</v>
      </c>
      <c r="D4383" s="47" t="s">
        <v>13420</v>
      </c>
      <c r="E4383" s="47" t="s">
        <v>2164</v>
      </c>
      <c r="F4383" s="55" t="b">
        <v>1</v>
      </c>
      <c r="G4383" s="65" t="b">
        <v>0</v>
      </c>
      <c r="H4383" s="65" t="b">
        <v>0</v>
      </c>
      <c r="I4383" s="65" t="b">
        <v>0</v>
      </c>
      <c r="J4383" s="65" t="b">
        <v>0</v>
      </c>
    </row>
    <row r="4384" spans="1:10" x14ac:dyDescent="0.2">
      <c r="A4384" s="51">
        <v>4383</v>
      </c>
      <c r="B4384" s="54" t="s">
        <v>965</v>
      </c>
      <c r="C4384" s="47" t="s">
        <v>13421</v>
      </c>
      <c r="D4384" s="47" t="s">
        <v>13422</v>
      </c>
      <c r="E4384" s="47" t="s">
        <v>2164</v>
      </c>
      <c r="F4384" s="55" t="b">
        <v>1</v>
      </c>
      <c r="G4384" s="65" t="b">
        <v>0</v>
      </c>
      <c r="H4384" s="65" t="b">
        <v>0</v>
      </c>
      <c r="I4384" s="65" t="b">
        <v>0</v>
      </c>
      <c r="J4384" s="65" t="b">
        <v>0</v>
      </c>
    </row>
    <row r="4385" spans="1:10" x14ac:dyDescent="0.2">
      <c r="A4385" s="51">
        <v>4384</v>
      </c>
      <c r="B4385" s="54" t="s">
        <v>965</v>
      </c>
      <c r="C4385" s="47" t="s">
        <v>13424</v>
      </c>
      <c r="D4385" s="47" t="s">
        <v>13425</v>
      </c>
      <c r="E4385" s="47" t="s">
        <v>2164</v>
      </c>
      <c r="F4385" s="55" t="b">
        <v>1</v>
      </c>
      <c r="G4385" s="65" t="b">
        <v>0</v>
      </c>
      <c r="H4385" s="65" t="b">
        <v>0</v>
      </c>
      <c r="I4385" s="65" t="b">
        <v>0</v>
      </c>
      <c r="J4385" s="65" t="b">
        <v>0</v>
      </c>
    </row>
    <row r="4386" spans="1:10" x14ac:dyDescent="0.2">
      <c r="A4386" s="51">
        <v>4385</v>
      </c>
      <c r="B4386" s="54" t="s">
        <v>965</v>
      </c>
      <c r="C4386" s="47" t="s">
        <v>13426</v>
      </c>
      <c r="D4386" s="47" t="s">
        <v>13427</v>
      </c>
      <c r="E4386" s="47" t="s">
        <v>2164</v>
      </c>
      <c r="F4386" s="55" t="b">
        <v>1</v>
      </c>
      <c r="G4386" s="65" t="b">
        <v>0</v>
      </c>
      <c r="H4386" s="65" t="b">
        <v>0</v>
      </c>
      <c r="I4386" s="65" t="b">
        <v>0</v>
      </c>
      <c r="J4386" s="65" t="b">
        <v>0</v>
      </c>
    </row>
    <row r="4387" spans="1:10" x14ac:dyDescent="0.2">
      <c r="A4387" s="51">
        <v>4386</v>
      </c>
      <c r="B4387" s="54" t="s">
        <v>965</v>
      </c>
      <c r="C4387" s="47" t="s">
        <v>13428</v>
      </c>
      <c r="D4387" s="47" t="s">
        <v>13429</v>
      </c>
      <c r="E4387" s="47" t="s">
        <v>2164</v>
      </c>
      <c r="F4387" s="55" t="b">
        <v>1</v>
      </c>
      <c r="G4387" s="65" t="b">
        <v>0</v>
      </c>
      <c r="H4387" s="65" t="b">
        <v>0</v>
      </c>
      <c r="I4387" s="65" t="b">
        <v>0</v>
      </c>
      <c r="J4387" s="65" t="b">
        <v>0</v>
      </c>
    </row>
    <row r="4388" spans="1:10" x14ac:dyDescent="0.2">
      <c r="A4388" s="51">
        <v>4387</v>
      </c>
      <c r="B4388" s="54" t="s">
        <v>965</v>
      </c>
      <c r="C4388" s="47" t="s">
        <v>13430</v>
      </c>
      <c r="D4388" s="47" t="s">
        <v>13431</v>
      </c>
      <c r="E4388" s="47" t="s">
        <v>2046</v>
      </c>
      <c r="F4388" s="55" t="b">
        <v>1</v>
      </c>
      <c r="G4388" s="65" t="b">
        <v>0</v>
      </c>
      <c r="H4388" s="65" t="b">
        <v>0</v>
      </c>
      <c r="I4388" s="65" t="b">
        <v>0</v>
      </c>
      <c r="J4388" s="65" t="b">
        <v>0</v>
      </c>
    </row>
    <row r="4389" spans="1:10" x14ac:dyDescent="0.2">
      <c r="A4389" s="51">
        <v>4388</v>
      </c>
      <c r="B4389" s="54" t="s">
        <v>965</v>
      </c>
      <c r="C4389" s="47" t="s">
        <v>13432</v>
      </c>
      <c r="D4389" s="47" t="s">
        <v>13433</v>
      </c>
      <c r="E4389" s="47" t="s">
        <v>2046</v>
      </c>
      <c r="F4389" s="55" t="b">
        <v>1</v>
      </c>
      <c r="G4389" s="65" t="b">
        <v>0</v>
      </c>
      <c r="H4389" s="65" t="b">
        <v>0</v>
      </c>
      <c r="I4389" s="65" t="b">
        <v>0</v>
      </c>
      <c r="J4389" s="65" t="b">
        <v>0</v>
      </c>
    </row>
    <row r="4390" spans="1:10" x14ac:dyDescent="0.2">
      <c r="A4390" s="51">
        <v>4389</v>
      </c>
      <c r="B4390" s="54" t="s">
        <v>965</v>
      </c>
      <c r="C4390" s="47" t="s">
        <v>13434</v>
      </c>
      <c r="D4390" s="47" t="s">
        <v>13435</v>
      </c>
      <c r="E4390" s="47" t="s">
        <v>2164</v>
      </c>
      <c r="F4390" s="55" t="b">
        <v>1</v>
      </c>
      <c r="G4390" s="65" t="b">
        <v>0</v>
      </c>
      <c r="H4390" s="65" t="b">
        <v>0</v>
      </c>
      <c r="I4390" s="65" t="b">
        <v>0</v>
      </c>
      <c r="J4390" s="65" t="b">
        <v>0</v>
      </c>
    </row>
    <row r="4391" spans="1:10" x14ac:dyDescent="0.2">
      <c r="A4391" s="51">
        <v>4390</v>
      </c>
      <c r="B4391" s="54" t="s">
        <v>965</v>
      </c>
      <c r="C4391" s="47" t="s">
        <v>13436</v>
      </c>
      <c r="D4391" s="47" t="s">
        <v>13437</v>
      </c>
      <c r="E4391" s="47" t="s">
        <v>2046</v>
      </c>
      <c r="F4391" s="55" t="b">
        <v>1</v>
      </c>
      <c r="G4391" s="65" t="b">
        <v>0</v>
      </c>
      <c r="H4391" s="65" t="b">
        <v>0</v>
      </c>
      <c r="I4391" s="65" t="b">
        <v>0</v>
      </c>
      <c r="J4391" s="65" t="b">
        <v>0</v>
      </c>
    </row>
    <row r="4392" spans="1:10" x14ac:dyDescent="0.2">
      <c r="A4392" s="51">
        <v>4391</v>
      </c>
      <c r="B4392" s="54" t="s">
        <v>965</v>
      </c>
      <c r="C4392" s="47" t="s">
        <v>13438</v>
      </c>
      <c r="D4392" s="47" t="s">
        <v>13439</v>
      </c>
      <c r="E4392" s="47" t="s">
        <v>2164</v>
      </c>
      <c r="F4392" s="55" t="b">
        <v>1</v>
      </c>
      <c r="G4392" s="65" t="b">
        <v>0</v>
      </c>
      <c r="H4392" s="65" t="b">
        <v>0</v>
      </c>
      <c r="I4392" s="65" t="b">
        <v>0</v>
      </c>
      <c r="J4392" s="65" t="b">
        <v>0</v>
      </c>
    </row>
    <row r="4393" spans="1:10" x14ac:dyDescent="0.2">
      <c r="A4393" s="51">
        <v>4392</v>
      </c>
      <c r="B4393" s="54" t="s">
        <v>965</v>
      </c>
      <c r="C4393" s="47" t="s">
        <v>13440</v>
      </c>
      <c r="D4393" s="47" t="s">
        <v>13441</v>
      </c>
      <c r="E4393" s="47" t="s">
        <v>2164</v>
      </c>
      <c r="F4393" s="55" t="b">
        <v>1</v>
      </c>
      <c r="G4393" s="65" t="b">
        <v>0</v>
      </c>
      <c r="H4393" s="65" t="b">
        <v>0</v>
      </c>
      <c r="I4393" s="65" t="b">
        <v>0</v>
      </c>
      <c r="J4393" s="65" t="b">
        <v>0</v>
      </c>
    </row>
    <row r="4394" spans="1:10" x14ac:dyDescent="0.2">
      <c r="A4394" s="51">
        <v>4393</v>
      </c>
      <c r="B4394" s="54" t="s">
        <v>965</v>
      </c>
      <c r="C4394" s="47" t="s">
        <v>13442</v>
      </c>
      <c r="D4394" s="47" t="s">
        <v>13443</v>
      </c>
      <c r="E4394" s="47" t="s">
        <v>2164</v>
      </c>
      <c r="F4394" s="55" t="b">
        <v>1</v>
      </c>
      <c r="G4394" s="65" t="b">
        <v>0</v>
      </c>
      <c r="H4394" s="65" t="b">
        <v>0</v>
      </c>
      <c r="I4394" s="65" t="b">
        <v>0</v>
      </c>
      <c r="J4394" s="65" t="b">
        <v>0</v>
      </c>
    </row>
    <row r="4395" spans="1:10" x14ac:dyDescent="0.2">
      <c r="A4395" s="51">
        <v>4394</v>
      </c>
      <c r="B4395" s="54" t="s">
        <v>965</v>
      </c>
      <c r="C4395" s="47" t="s">
        <v>13444</v>
      </c>
      <c r="D4395" s="47" t="s">
        <v>13445</v>
      </c>
      <c r="E4395" s="47" t="s">
        <v>2164</v>
      </c>
      <c r="F4395" s="55" t="b">
        <v>1</v>
      </c>
      <c r="G4395" s="65" t="b">
        <v>0</v>
      </c>
      <c r="H4395" s="65" t="b">
        <v>0</v>
      </c>
      <c r="I4395" s="65" t="b">
        <v>0</v>
      </c>
      <c r="J4395" s="65" t="b">
        <v>0</v>
      </c>
    </row>
    <row r="4396" spans="1:10" x14ac:dyDescent="0.2">
      <c r="A4396" s="51">
        <v>4395</v>
      </c>
      <c r="B4396" s="54" t="s">
        <v>965</v>
      </c>
      <c r="C4396" s="47" t="s">
        <v>13446</v>
      </c>
      <c r="D4396" s="47" t="s">
        <v>13447</v>
      </c>
      <c r="E4396" s="47" t="s">
        <v>2164</v>
      </c>
      <c r="F4396" s="55" t="b">
        <v>1</v>
      </c>
      <c r="G4396" s="65" t="b">
        <v>0</v>
      </c>
      <c r="H4396" s="65" t="b">
        <v>0</v>
      </c>
      <c r="I4396" s="65" t="b">
        <v>0</v>
      </c>
      <c r="J4396" s="65" t="b">
        <v>0</v>
      </c>
    </row>
    <row r="4397" spans="1:10" x14ac:dyDescent="0.2">
      <c r="A4397" s="51">
        <v>4396</v>
      </c>
      <c r="B4397" s="54" t="s">
        <v>965</v>
      </c>
      <c r="C4397" s="47" t="s">
        <v>13448</v>
      </c>
      <c r="D4397" s="47" t="s">
        <v>13449</v>
      </c>
      <c r="E4397" s="47" t="s">
        <v>2164</v>
      </c>
      <c r="F4397" s="55" t="b">
        <v>1</v>
      </c>
      <c r="G4397" s="65" t="b">
        <v>0</v>
      </c>
      <c r="H4397" s="65" t="b">
        <v>0</v>
      </c>
      <c r="I4397" s="65" t="b">
        <v>0</v>
      </c>
      <c r="J4397" s="65" t="b">
        <v>0</v>
      </c>
    </row>
    <row r="4398" spans="1:10" x14ac:dyDescent="0.2">
      <c r="A4398" s="51">
        <v>4397</v>
      </c>
      <c r="B4398" s="54" t="s">
        <v>965</v>
      </c>
      <c r="C4398" s="47" t="s">
        <v>13450</v>
      </c>
      <c r="D4398" s="47" t="s">
        <v>13451</v>
      </c>
      <c r="E4398" s="47" t="s">
        <v>2046</v>
      </c>
      <c r="F4398" s="55" t="b">
        <v>1</v>
      </c>
      <c r="G4398" s="65" t="b">
        <v>0</v>
      </c>
      <c r="H4398" s="65" t="b">
        <v>0</v>
      </c>
      <c r="I4398" s="65" t="b">
        <v>0</v>
      </c>
      <c r="J4398" s="65" t="b">
        <v>0</v>
      </c>
    </row>
    <row r="4399" spans="1:10" x14ac:dyDescent="0.2">
      <c r="A4399" s="51">
        <v>4398</v>
      </c>
      <c r="B4399" s="54" t="s">
        <v>965</v>
      </c>
      <c r="C4399" s="47" t="s">
        <v>13452</v>
      </c>
      <c r="D4399" s="47" t="s">
        <v>13453</v>
      </c>
      <c r="E4399" s="47" t="s">
        <v>2164</v>
      </c>
      <c r="F4399" s="55" t="b">
        <v>1</v>
      </c>
      <c r="G4399" s="65" t="b">
        <v>0</v>
      </c>
      <c r="H4399" s="65" t="b">
        <v>0</v>
      </c>
      <c r="I4399" s="65" t="b">
        <v>0</v>
      </c>
      <c r="J4399" s="65" t="b">
        <v>0</v>
      </c>
    </row>
    <row r="4400" spans="1:10" x14ac:dyDescent="0.2">
      <c r="A4400" s="51">
        <v>4399</v>
      </c>
      <c r="B4400" s="54" t="s">
        <v>965</v>
      </c>
      <c r="C4400" s="47" t="s">
        <v>13454</v>
      </c>
      <c r="D4400" s="47" t="s">
        <v>13455</v>
      </c>
      <c r="E4400" s="47" t="s">
        <v>2164</v>
      </c>
      <c r="F4400" s="55" t="b">
        <v>1</v>
      </c>
      <c r="G4400" s="65" t="b">
        <v>0</v>
      </c>
      <c r="H4400" s="65" t="b">
        <v>0</v>
      </c>
      <c r="I4400" s="65" t="b">
        <v>0</v>
      </c>
      <c r="J4400" s="65" t="b">
        <v>0</v>
      </c>
    </row>
    <row r="4401" spans="1:14" x14ac:dyDescent="0.2">
      <c r="A4401" s="51">
        <v>4400</v>
      </c>
      <c r="B4401" s="54" t="s">
        <v>965</v>
      </c>
      <c r="C4401" s="47" t="s">
        <v>13456</v>
      </c>
      <c r="D4401" s="47" t="s">
        <v>13457</v>
      </c>
      <c r="E4401" s="47" t="s">
        <v>2046</v>
      </c>
      <c r="F4401" s="55" t="b">
        <v>1</v>
      </c>
      <c r="G4401" s="65" t="b">
        <v>0</v>
      </c>
      <c r="H4401" s="65" t="b">
        <v>0</v>
      </c>
      <c r="I4401" s="65" t="b">
        <v>0</v>
      </c>
      <c r="J4401" s="65" t="b">
        <v>0</v>
      </c>
    </row>
    <row r="4402" spans="1:14" x14ac:dyDescent="0.2">
      <c r="A4402" s="51">
        <v>4401</v>
      </c>
      <c r="B4402" s="54" t="s">
        <v>965</v>
      </c>
      <c r="C4402" s="47" t="s">
        <v>13458</v>
      </c>
      <c r="D4402" s="47" t="s">
        <v>13459</v>
      </c>
      <c r="E4402" s="47" t="s">
        <v>2164</v>
      </c>
      <c r="F4402" s="55" t="b">
        <v>1</v>
      </c>
      <c r="G4402" s="65" t="b">
        <v>0</v>
      </c>
      <c r="H4402" s="65" t="b">
        <v>0</v>
      </c>
      <c r="I4402" s="65" t="b">
        <v>0</v>
      </c>
      <c r="J4402" s="65" t="b">
        <v>0</v>
      </c>
    </row>
    <row r="4403" spans="1:14" x14ac:dyDescent="0.2">
      <c r="A4403" s="51">
        <v>4402</v>
      </c>
      <c r="B4403" s="54" t="s">
        <v>965</v>
      </c>
      <c r="C4403" s="47" t="s">
        <v>13461</v>
      </c>
      <c r="D4403" s="47" t="s">
        <v>13462</v>
      </c>
      <c r="E4403" s="47" t="s">
        <v>2164</v>
      </c>
      <c r="F4403" s="55" t="b">
        <v>1</v>
      </c>
      <c r="G4403" s="65" t="b">
        <v>0</v>
      </c>
      <c r="H4403" s="65" t="b">
        <v>0</v>
      </c>
      <c r="I4403" s="65" t="b">
        <v>0</v>
      </c>
      <c r="J4403" s="65" t="b">
        <v>0</v>
      </c>
    </row>
    <row r="4404" spans="1:14" x14ac:dyDescent="0.2">
      <c r="A4404" s="51">
        <v>4403</v>
      </c>
      <c r="B4404" s="54" t="s">
        <v>965</v>
      </c>
      <c r="C4404" s="47" t="s">
        <v>13463</v>
      </c>
      <c r="D4404" s="47" t="s">
        <v>13464</v>
      </c>
      <c r="E4404" s="47" t="s">
        <v>2164</v>
      </c>
      <c r="F4404" s="55" t="b">
        <v>1</v>
      </c>
      <c r="G4404" s="65" t="b">
        <v>0</v>
      </c>
      <c r="H4404" s="65" t="b">
        <v>0</v>
      </c>
      <c r="I4404" s="65" t="b">
        <v>0</v>
      </c>
      <c r="J4404" s="65" t="b">
        <v>0</v>
      </c>
    </row>
    <row r="4405" spans="1:14" x14ac:dyDescent="0.2">
      <c r="A4405" s="51">
        <v>4404</v>
      </c>
      <c r="B4405" s="54" t="s">
        <v>965</v>
      </c>
      <c r="C4405" s="47" t="s">
        <v>13465</v>
      </c>
      <c r="D4405" s="47" t="s">
        <v>13466</v>
      </c>
      <c r="E4405" s="47" t="s">
        <v>2164</v>
      </c>
      <c r="F4405" s="55" t="b">
        <v>1</v>
      </c>
      <c r="G4405" s="65" t="b">
        <v>0</v>
      </c>
      <c r="H4405" s="65" t="b">
        <v>0</v>
      </c>
      <c r="I4405" s="65" t="b">
        <v>0</v>
      </c>
      <c r="J4405" s="65" t="b">
        <v>0</v>
      </c>
    </row>
    <row r="4406" spans="1:14" x14ac:dyDescent="0.2">
      <c r="A4406" s="51">
        <v>4405</v>
      </c>
      <c r="B4406" s="54" t="s">
        <v>965</v>
      </c>
      <c r="C4406" s="47" t="s">
        <v>13467</v>
      </c>
      <c r="D4406" s="47" t="s">
        <v>13468</v>
      </c>
      <c r="E4406" s="47" t="s">
        <v>2164</v>
      </c>
      <c r="F4406" s="55" t="b">
        <v>1</v>
      </c>
      <c r="G4406" s="65" t="b">
        <v>0</v>
      </c>
      <c r="H4406" s="65" t="b">
        <v>0</v>
      </c>
      <c r="I4406" s="65" t="b">
        <v>0</v>
      </c>
      <c r="J4406" s="65" t="b">
        <v>0</v>
      </c>
    </row>
    <row r="4407" spans="1:14" x14ac:dyDescent="0.2">
      <c r="A4407" s="51">
        <v>4406</v>
      </c>
      <c r="B4407" s="54" t="s">
        <v>965</v>
      </c>
      <c r="C4407" s="47" t="s">
        <v>9082</v>
      </c>
      <c r="D4407" s="47" t="s">
        <v>9083</v>
      </c>
      <c r="E4407" s="48" t="s">
        <v>5165</v>
      </c>
      <c r="F4407" s="66" t="b">
        <v>0</v>
      </c>
      <c r="G4407" s="65" t="b">
        <v>0</v>
      </c>
      <c r="H4407" s="65" t="b">
        <v>0</v>
      </c>
      <c r="I4407" s="65" t="b">
        <v>0</v>
      </c>
      <c r="J4407" s="65" t="b">
        <v>0</v>
      </c>
    </row>
    <row r="4408" spans="1:14" x14ac:dyDescent="0.2">
      <c r="A4408" s="51">
        <v>4407</v>
      </c>
      <c r="B4408" s="54" t="s">
        <v>967</v>
      </c>
      <c r="C4408" s="47" t="s">
        <v>9098</v>
      </c>
      <c r="D4408" s="47" t="s">
        <v>9103</v>
      </c>
      <c r="E4408" s="47" t="s">
        <v>1790</v>
      </c>
      <c r="F4408" s="55" t="b">
        <v>1</v>
      </c>
      <c r="G4408" s="54" t="b">
        <v>1</v>
      </c>
      <c r="H4408" s="54" t="b">
        <v>1</v>
      </c>
      <c r="I4408" s="54" t="b">
        <v>1</v>
      </c>
      <c r="J4408" s="54" t="b">
        <v>1</v>
      </c>
      <c r="K4408" s="63" t="s">
        <v>967</v>
      </c>
      <c r="L4408" s="63" t="s">
        <v>9098</v>
      </c>
      <c r="M4408" s="63" t="s">
        <v>9103</v>
      </c>
      <c r="N4408" s="63" t="s">
        <v>1790</v>
      </c>
    </row>
    <row r="4409" spans="1:14" x14ac:dyDescent="0.2">
      <c r="A4409" s="51">
        <v>4408</v>
      </c>
      <c r="G4409" s="65" t="b">
        <v>0</v>
      </c>
      <c r="H4409" s="65" t="b">
        <v>0</v>
      </c>
      <c r="I4409" s="65" t="b">
        <v>0</v>
      </c>
      <c r="J4409" s="65" t="b">
        <v>0</v>
      </c>
      <c r="K4409" s="63" t="s">
        <v>967</v>
      </c>
      <c r="L4409" s="63" t="s">
        <v>9098</v>
      </c>
      <c r="M4409" s="63" t="s">
        <v>9099</v>
      </c>
      <c r="N4409" s="63" t="s">
        <v>1790</v>
      </c>
    </row>
    <row r="4410" spans="1:14" x14ac:dyDescent="0.2">
      <c r="A4410" s="51">
        <v>4409</v>
      </c>
      <c r="B4410" s="54" t="s">
        <v>967</v>
      </c>
      <c r="C4410" s="47" t="s">
        <v>9092</v>
      </c>
      <c r="D4410" s="47" t="s">
        <v>9100</v>
      </c>
      <c r="E4410" s="47" t="s">
        <v>1790</v>
      </c>
      <c r="F4410" s="55" t="b">
        <v>1</v>
      </c>
      <c r="G4410" s="54" t="b">
        <v>1</v>
      </c>
      <c r="H4410" s="54" t="b">
        <v>1</v>
      </c>
      <c r="I4410" s="65" t="b">
        <v>0</v>
      </c>
      <c r="J4410" s="54" t="b">
        <v>1</v>
      </c>
      <c r="K4410" s="63" t="s">
        <v>967</v>
      </c>
      <c r="L4410" s="63" t="s">
        <v>9092</v>
      </c>
      <c r="M4410" s="63" t="s">
        <v>9093</v>
      </c>
      <c r="N4410" s="63" t="s">
        <v>1790</v>
      </c>
    </row>
    <row r="4411" spans="1:14" x14ac:dyDescent="0.2">
      <c r="A4411" s="51">
        <v>4410</v>
      </c>
      <c r="G4411" s="65" t="b">
        <v>0</v>
      </c>
      <c r="H4411" s="65" t="b">
        <v>0</v>
      </c>
      <c r="I4411" s="65" t="b">
        <v>0</v>
      </c>
      <c r="J4411" s="65" t="b">
        <v>0</v>
      </c>
      <c r="K4411" s="63" t="s">
        <v>967</v>
      </c>
      <c r="L4411" s="63" t="s">
        <v>9092</v>
      </c>
      <c r="M4411" s="63" t="s">
        <v>9100</v>
      </c>
      <c r="N4411" s="63" t="s">
        <v>1790</v>
      </c>
    </row>
    <row r="4412" spans="1:14" x14ac:dyDescent="0.2">
      <c r="A4412" s="51">
        <v>4411</v>
      </c>
      <c r="B4412" s="54" t="s">
        <v>967</v>
      </c>
      <c r="C4412" s="47" t="s">
        <v>9094</v>
      </c>
      <c r="D4412" s="47" t="s">
        <v>9101</v>
      </c>
      <c r="E4412" s="47" t="s">
        <v>1790</v>
      </c>
      <c r="F4412" s="55" t="b">
        <v>1</v>
      </c>
      <c r="G4412" s="54" t="b">
        <v>1</v>
      </c>
      <c r="H4412" s="54" t="b">
        <v>1</v>
      </c>
      <c r="I4412" s="65" t="b">
        <v>0</v>
      </c>
      <c r="J4412" s="54" t="b">
        <v>1</v>
      </c>
      <c r="K4412" s="63" t="s">
        <v>967</v>
      </c>
      <c r="L4412" s="63" t="s">
        <v>9094</v>
      </c>
      <c r="M4412" s="63" t="s">
        <v>9095</v>
      </c>
      <c r="N4412" s="63" t="s">
        <v>1790</v>
      </c>
    </row>
    <row r="4413" spans="1:14" x14ac:dyDescent="0.2">
      <c r="A4413" s="51">
        <v>4412</v>
      </c>
      <c r="G4413" s="65" t="b">
        <v>0</v>
      </c>
      <c r="H4413" s="65" t="b">
        <v>0</v>
      </c>
      <c r="I4413" s="65" t="b">
        <v>0</v>
      </c>
      <c r="J4413" s="65" t="b">
        <v>0</v>
      </c>
      <c r="K4413" s="63" t="s">
        <v>967</v>
      </c>
      <c r="L4413" s="63" t="s">
        <v>9094</v>
      </c>
      <c r="M4413" s="63" t="s">
        <v>9101</v>
      </c>
      <c r="N4413" s="63" t="s">
        <v>1790</v>
      </c>
    </row>
    <row r="4414" spans="1:14" x14ac:dyDescent="0.2">
      <c r="A4414" s="51">
        <v>4413</v>
      </c>
      <c r="G4414" s="65" t="b">
        <v>0</v>
      </c>
      <c r="H4414" s="65" t="b">
        <v>0</v>
      </c>
      <c r="I4414" s="65" t="b">
        <v>0</v>
      </c>
      <c r="J4414" s="65" t="b">
        <v>0</v>
      </c>
      <c r="K4414" s="63" t="s">
        <v>967</v>
      </c>
      <c r="L4414" s="63" t="s">
        <v>9094</v>
      </c>
      <c r="M4414" s="63" t="s">
        <v>9104</v>
      </c>
      <c r="N4414" s="63" t="s">
        <v>1790</v>
      </c>
    </row>
    <row r="4415" spans="1:14" x14ac:dyDescent="0.2">
      <c r="A4415" s="51">
        <v>4414</v>
      </c>
      <c r="B4415" s="54" t="s">
        <v>967</v>
      </c>
      <c r="C4415" s="47" t="s">
        <v>9105</v>
      </c>
      <c r="D4415" s="47" t="s">
        <v>9106</v>
      </c>
      <c r="E4415" s="47" t="s">
        <v>1790</v>
      </c>
      <c r="F4415" s="55" t="b">
        <v>1</v>
      </c>
      <c r="G4415" s="54" t="b">
        <v>1</v>
      </c>
      <c r="H4415" s="54" t="b">
        <v>1</v>
      </c>
      <c r="I4415" s="54" t="b">
        <v>1</v>
      </c>
      <c r="J4415" s="54" t="b">
        <v>1</v>
      </c>
      <c r="K4415" s="63" t="s">
        <v>967</v>
      </c>
      <c r="L4415" s="63" t="s">
        <v>9105</v>
      </c>
      <c r="M4415" s="63" t="s">
        <v>9106</v>
      </c>
      <c r="N4415" s="63" t="s">
        <v>1790</v>
      </c>
    </row>
    <row r="4416" spans="1:14" x14ac:dyDescent="0.2">
      <c r="A4416" s="51">
        <v>4415</v>
      </c>
      <c r="G4416" s="65" t="b">
        <v>0</v>
      </c>
      <c r="H4416" s="65" t="b">
        <v>0</v>
      </c>
      <c r="I4416" s="65" t="b">
        <v>0</v>
      </c>
      <c r="J4416" s="65" t="b">
        <v>0</v>
      </c>
      <c r="K4416" s="63" t="s">
        <v>967</v>
      </c>
      <c r="L4416" s="63" t="s">
        <v>9105</v>
      </c>
      <c r="M4416" s="63" t="s">
        <v>9153</v>
      </c>
      <c r="N4416" s="63" t="s">
        <v>1790</v>
      </c>
    </row>
    <row r="4417" spans="1:14" x14ac:dyDescent="0.2">
      <c r="A4417" s="51">
        <v>4416</v>
      </c>
      <c r="B4417" s="54" t="s">
        <v>967</v>
      </c>
      <c r="C4417" s="47" t="s">
        <v>9096</v>
      </c>
      <c r="D4417" s="47" t="s">
        <v>9102</v>
      </c>
      <c r="E4417" s="47" t="s">
        <v>1790</v>
      </c>
      <c r="F4417" s="55" t="b">
        <v>1</v>
      </c>
      <c r="G4417" s="54" t="b">
        <v>1</v>
      </c>
      <c r="H4417" s="54" t="b">
        <v>1</v>
      </c>
      <c r="I4417" s="65" t="b">
        <v>0</v>
      </c>
      <c r="J4417" s="54" t="b">
        <v>1</v>
      </c>
      <c r="K4417" s="63" t="s">
        <v>967</v>
      </c>
      <c r="L4417" s="63" t="s">
        <v>9096</v>
      </c>
      <c r="M4417" s="63" t="s">
        <v>9097</v>
      </c>
      <c r="N4417" s="63" t="s">
        <v>1790</v>
      </c>
    </row>
    <row r="4418" spans="1:14" x14ac:dyDescent="0.2">
      <c r="A4418" s="51">
        <v>4417</v>
      </c>
      <c r="G4418" s="65" t="b">
        <v>0</v>
      </c>
      <c r="H4418" s="65" t="b">
        <v>0</v>
      </c>
      <c r="I4418" s="65" t="b">
        <v>0</v>
      </c>
      <c r="J4418" s="65" t="b">
        <v>0</v>
      </c>
      <c r="K4418" s="63" t="s">
        <v>967</v>
      </c>
      <c r="L4418" s="63" t="s">
        <v>9096</v>
      </c>
      <c r="M4418" s="63" t="s">
        <v>9102</v>
      </c>
      <c r="N4418" s="63" t="s">
        <v>1790</v>
      </c>
    </row>
    <row r="4419" spans="1:14" x14ac:dyDescent="0.2">
      <c r="A4419" s="51">
        <v>4418</v>
      </c>
      <c r="B4419" s="54" t="s">
        <v>967</v>
      </c>
      <c r="C4419" s="47" t="s">
        <v>9107</v>
      </c>
      <c r="D4419" s="47" t="s">
        <v>9108</v>
      </c>
      <c r="E4419" s="47" t="s">
        <v>1790</v>
      </c>
      <c r="F4419" s="55" t="b">
        <v>1</v>
      </c>
      <c r="G4419" s="54" t="b">
        <v>1</v>
      </c>
      <c r="H4419" s="54" t="b">
        <v>1</v>
      </c>
      <c r="I4419" s="54" t="b">
        <v>1</v>
      </c>
      <c r="J4419" s="54" t="b">
        <v>1</v>
      </c>
      <c r="K4419" s="63" t="s">
        <v>967</v>
      </c>
      <c r="L4419" s="63" t="s">
        <v>9107</v>
      </c>
      <c r="M4419" s="63" t="s">
        <v>9108</v>
      </c>
      <c r="N4419" s="63" t="s">
        <v>1790</v>
      </c>
    </row>
    <row r="4420" spans="1:14" x14ac:dyDescent="0.2">
      <c r="A4420" s="51">
        <v>4419</v>
      </c>
      <c r="G4420" s="65" t="b">
        <v>0</v>
      </c>
      <c r="H4420" s="65" t="b">
        <v>0</v>
      </c>
      <c r="I4420" s="65" t="b">
        <v>0</v>
      </c>
      <c r="J4420" s="65" t="b">
        <v>0</v>
      </c>
      <c r="K4420" s="63" t="s">
        <v>967</v>
      </c>
      <c r="L4420" s="63" t="s">
        <v>9107</v>
      </c>
      <c r="M4420" s="63" t="s">
        <v>9112</v>
      </c>
      <c r="N4420" s="63" t="s">
        <v>1790</v>
      </c>
    </row>
    <row r="4421" spans="1:14" x14ac:dyDescent="0.2">
      <c r="A4421" s="51">
        <v>4420</v>
      </c>
      <c r="B4421" s="54" t="s">
        <v>967</v>
      </c>
      <c r="C4421" s="47" t="s">
        <v>9109</v>
      </c>
      <c r="D4421" s="47" t="s">
        <v>9110</v>
      </c>
      <c r="E4421" s="47" t="s">
        <v>1790</v>
      </c>
      <c r="F4421" s="55" t="b">
        <v>1</v>
      </c>
      <c r="G4421" s="54" t="b">
        <v>1</v>
      </c>
      <c r="H4421" s="54" t="b">
        <v>1</v>
      </c>
      <c r="I4421" s="54" t="b">
        <v>1</v>
      </c>
      <c r="J4421" s="54" t="b">
        <v>1</v>
      </c>
      <c r="K4421" s="63" t="s">
        <v>967</v>
      </c>
      <c r="L4421" s="63" t="s">
        <v>9109</v>
      </c>
      <c r="M4421" s="63" t="s">
        <v>9110</v>
      </c>
      <c r="N4421" s="63" t="s">
        <v>1790</v>
      </c>
    </row>
    <row r="4422" spans="1:14" x14ac:dyDescent="0.2">
      <c r="A4422" s="51">
        <v>4421</v>
      </c>
      <c r="G4422" s="65" t="b">
        <v>0</v>
      </c>
      <c r="H4422" s="65" t="b">
        <v>0</v>
      </c>
      <c r="I4422" s="65" t="b">
        <v>0</v>
      </c>
      <c r="J4422" s="65" t="b">
        <v>0</v>
      </c>
      <c r="K4422" s="63" t="s">
        <v>967</v>
      </c>
      <c r="L4422" s="63" t="s">
        <v>9109</v>
      </c>
      <c r="M4422" s="63" t="s">
        <v>9111</v>
      </c>
      <c r="N4422" s="63" t="s">
        <v>1790</v>
      </c>
    </row>
    <row r="4423" spans="1:14" x14ac:dyDescent="0.2">
      <c r="A4423" s="51">
        <v>4422</v>
      </c>
      <c r="G4423" s="65" t="b">
        <v>0</v>
      </c>
      <c r="H4423" s="65" t="b">
        <v>0</v>
      </c>
      <c r="I4423" s="65" t="b">
        <v>0</v>
      </c>
      <c r="J4423" s="65" t="b">
        <v>0</v>
      </c>
      <c r="K4423" s="63" t="s">
        <v>967</v>
      </c>
      <c r="L4423" s="63" t="s">
        <v>9109</v>
      </c>
      <c r="M4423" s="63" t="s">
        <v>9113</v>
      </c>
      <c r="N4423" s="63" t="s">
        <v>1790</v>
      </c>
    </row>
    <row r="4424" spans="1:14" x14ac:dyDescent="0.2">
      <c r="A4424" s="51">
        <v>4423</v>
      </c>
      <c r="B4424" s="54" t="s">
        <v>967</v>
      </c>
      <c r="C4424" s="47" t="s">
        <v>9114</v>
      </c>
      <c r="D4424" s="47" t="s">
        <v>9115</v>
      </c>
      <c r="E4424" s="47" t="s">
        <v>1790</v>
      </c>
      <c r="F4424" s="55" t="b">
        <v>1</v>
      </c>
      <c r="G4424" s="54" t="b">
        <v>1</v>
      </c>
      <c r="H4424" s="54" t="b">
        <v>1</v>
      </c>
      <c r="I4424" s="54" t="b">
        <v>1</v>
      </c>
      <c r="J4424" s="54" t="b">
        <v>1</v>
      </c>
      <c r="K4424" s="63" t="s">
        <v>967</v>
      </c>
      <c r="L4424" s="63" t="s">
        <v>9114</v>
      </c>
      <c r="M4424" s="63" t="s">
        <v>9115</v>
      </c>
      <c r="N4424" s="63" t="s">
        <v>1790</v>
      </c>
    </row>
    <row r="4425" spans="1:14" x14ac:dyDescent="0.2">
      <c r="A4425" s="51">
        <v>4424</v>
      </c>
      <c r="G4425" s="65" t="b">
        <v>0</v>
      </c>
      <c r="H4425" s="65" t="b">
        <v>0</v>
      </c>
      <c r="I4425" s="65" t="b">
        <v>0</v>
      </c>
      <c r="J4425" s="65" t="b">
        <v>0</v>
      </c>
      <c r="K4425" s="63" t="s">
        <v>967</v>
      </c>
      <c r="L4425" s="63" t="s">
        <v>9114</v>
      </c>
      <c r="M4425" s="63" t="s">
        <v>9122</v>
      </c>
      <c r="N4425" s="63" t="s">
        <v>1790</v>
      </c>
    </row>
    <row r="4426" spans="1:14" x14ac:dyDescent="0.2">
      <c r="A4426" s="51">
        <v>4425</v>
      </c>
      <c r="B4426" s="54" t="s">
        <v>967</v>
      </c>
      <c r="C4426" s="47" t="s">
        <v>9116</v>
      </c>
      <c r="D4426" s="47" t="s">
        <v>9117</v>
      </c>
      <c r="E4426" s="47" t="s">
        <v>1790</v>
      </c>
      <c r="F4426" s="55" t="b">
        <v>1</v>
      </c>
      <c r="G4426" s="54" t="b">
        <v>1</v>
      </c>
      <c r="H4426" s="54" t="b">
        <v>1</v>
      </c>
      <c r="I4426" s="54" t="b">
        <v>1</v>
      </c>
      <c r="J4426" s="54" t="b">
        <v>1</v>
      </c>
      <c r="K4426" s="63" t="s">
        <v>967</v>
      </c>
      <c r="L4426" s="63" t="s">
        <v>9116</v>
      </c>
      <c r="M4426" s="63" t="s">
        <v>9117</v>
      </c>
      <c r="N4426" s="63" t="s">
        <v>1790</v>
      </c>
    </row>
    <row r="4427" spans="1:14" x14ac:dyDescent="0.2">
      <c r="A4427" s="51">
        <v>4426</v>
      </c>
      <c r="G4427" s="65" t="b">
        <v>0</v>
      </c>
      <c r="H4427" s="65" t="b">
        <v>0</v>
      </c>
      <c r="I4427" s="65" t="b">
        <v>0</v>
      </c>
      <c r="J4427" s="65" t="b">
        <v>0</v>
      </c>
      <c r="K4427" s="63" t="s">
        <v>967</v>
      </c>
      <c r="L4427" s="63" t="s">
        <v>9116</v>
      </c>
      <c r="M4427" s="63" t="s">
        <v>9120</v>
      </c>
      <c r="N4427" s="63" t="s">
        <v>1790</v>
      </c>
    </row>
    <row r="4428" spans="1:14" x14ac:dyDescent="0.2">
      <c r="A4428" s="51">
        <v>4427</v>
      </c>
      <c r="B4428" s="54" t="s">
        <v>967</v>
      </c>
      <c r="C4428" s="47" t="s">
        <v>9118</v>
      </c>
      <c r="D4428" s="47" t="s">
        <v>9119</v>
      </c>
      <c r="E4428" s="47" t="s">
        <v>1790</v>
      </c>
      <c r="F4428" s="55" t="b">
        <v>1</v>
      </c>
      <c r="G4428" s="54" t="b">
        <v>1</v>
      </c>
      <c r="H4428" s="54" t="b">
        <v>1</v>
      </c>
      <c r="I4428" s="54" t="b">
        <v>1</v>
      </c>
      <c r="J4428" s="54" t="b">
        <v>1</v>
      </c>
      <c r="K4428" s="63" t="s">
        <v>967</v>
      </c>
      <c r="L4428" s="63" t="s">
        <v>9118</v>
      </c>
      <c r="M4428" s="63" t="s">
        <v>9119</v>
      </c>
      <c r="N4428" s="63" t="s">
        <v>1790</v>
      </c>
    </row>
    <row r="4429" spans="1:14" x14ac:dyDescent="0.2">
      <c r="A4429" s="51">
        <v>4428</v>
      </c>
      <c r="G4429" s="65" t="b">
        <v>0</v>
      </c>
      <c r="H4429" s="65" t="b">
        <v>0</v>
      </c>
      <c r="I4429" s="65" t="b">
        <v>0</v>
      </c>
      <c r="J4429" s="65" t="b">
        <v>0</v>
      </c>
      <c r="K4429" s="63" t="s">
        <v>967</v>
      </c>
      <c r="L4429" s="63" t="s">
        <v>9118</v>
      </c>
      <c r="M4429" s="63" t="s">
        <v>9121</v>
      </c>
      <c r="N4429" s="63" t="s">
        <v>1790</v>
      </c>
    </row>
    <row r="4430" spans="1:14" x14ac:dyDescent="0.2">
      <c r="A4430" s="51">
        <v>4429</v>
      </c>
      <c r="B4430" s="54" t="s">
        <v>967</v>
      </c>
      <c r="C4430" s="47" t="s">
        <v>9123</v>
      </c>
      <c r="D4430" s="47" t="s">
        <v>9124</v>
      </c>
      <c r="E4430" s="47" t="s">
        <v>1790</v>
      </c>
      <c r="F4430" s="55" t="b">
        <v>1</v>
      </c>
      <c r="G4430" s="54" t="b">
        <v>1</v>
      </c>
      <c r="H4430" s="54" t="b">
        <v>1</v>
      </c>
      <c r="I4430" s="54" t="b">
        <v>1</v>
      </c>
      <c r="J4430" s="54" t="b">
        <v>1</v>
      </c>
      <c r="K4430" s="63" t="s">
        <v>967</v>
      </c>
      <c r="L4430" s="63" t="s">
        <v>9123</v>
      </c>
      <c r="M4430" s="63" t="s">
        <v>9124</v>
      </c>
      <c r="N4430" s="63" t="s">
        <v>1790</v>
      </c>
    </row>
    <row r="4431" spans="1:14" x14ac:dyDescent="0.2">
      <c r="A4431" s="51">
        <v>4430</v>
      </c>
      <c r="G4431" s="65" t="b">
        <v>0</v>
      </c>
      <c r="H4431" s="65" t="b">
        <v>0</v>
      </c>
      <c r="I4431" s="65" t="b">
        <v>0</v>
      </c>
      <c r="J4431" s="65" t="b">
        <v>0</v>
      </c>
      <c r="K4431" s="63" t="s">
        <v>967</v>
      </c>
      <c r="L4431" s="63" t="s">
        <v>9123</v>
      </c>
      <c r="M4431" s="63" t="s">
        <v>9138</v>
      </c>
      <c r="N4431" s="63" t="s">
        <v>1790</v>
      </c>
    </row>
    <row r="4432" spans="1:14" x14ac:dyDescent="0.2">
      <c r="A4432" s="51">
        <v>4431</v>
      </c>
      <c r="B4432" s="54" t="s">
        <v>967</v>
      </c>
      <c r="C4432" s="47" t="s">
        <v>9127</v>
      </c>
      <c r="D4432" s="47" t="s">
        <v>9128</v>
      </c>
      <c r="E4432" s="47" t="s">
        <v>1790</v>
      </c>
      <c r="F4432" s="55" t="b">
        <v>1</v>
      </c>
      <c r="G4432" s="54" t="b">
        <v>1</v>
      </c>
      <c r="H4432" s="54" t="b">
        <v>1</v>
      </c>
      <c r="I4432" s="54" t="b">
        <v>1</v>
      </c>
      <c r="J4432" s="54" t="b">
        <v>1</v>
      </c>
      <c r="K4432" s="63" t="s">
        <v>967</v>
      </c>
      <c r="L4432" s="63" t="s">
        <v>9127</v>
      </c>
      <c r="M4432" s="63" t="s">
        <v>9128</v>
      </c>
      <c r="N4432" s="63" t="s">
        <v>1790</v>
      </c>
    </row>
    <row r="4433" spans="1:14" x14ac:dyDescent="0.2">
      <c r="A4433" s="51">
        <v>4432</v>
      </c>
      <c r="G4433" s="65" t="b">
        <v>0</v>
      </c>
      <c r="H4433" s="65" t="b">
        <v>0</v>
      </c>
      <c r="I4433" s="65" t="b">
        <v>0</v>
      </c>
      <c r="J4433" s="65" t="b">
        <v>0</v>
      </c>
      <c r="K4433" s="63" t="s">
        <v>967</v>
      </c>
      <c r="L4433" s="63" t="s">
        <v>9127</v>
      </c>
      <c r="M4433" s="63" t="s">
        <v>9129</v>
      </c>
      <c r="N4433" s="63" t="s">
        <v>1790</v>
      </c>
    </row>
    <row r="4434" spans="1:14" x14ac:dyDescent="0.2">
      <c r="A4434" s="51">
        <v>4433</v>
      </c>
      <c r="B4434" s="54" t="s">
        <v>967</v>
      </c>
      <c r="C4434" s="47" t="s">
        <v>9130</v>
      </c>
      <c r="D4434" s="47" t="s">
        <v>9134</v>
      </c>
      <c r="E4434" s="47" t="s">
        <v>1790</v>
      </c>
      <c r="F4434" s="55" t="b">
        <v>1</v>
      </c>
      <c r="G4434" s="54" t="b">
        <v>1</v>
      </c>
      <c r="H4434" s="54" t="b">
        <v>1</v>
      </c>
      <c r="I4434" s="65" t="b">
        <v>0</v>
      </c>
      <c r="J4434" s="54" t="b">
        <v>1</v>
      </c>
      <c r="K4434" s="63" t="s">
        <v>967</v>
      </c>
      <c r="L4434" s="63" t="s">
        <v>9130</v>
      </c>
      <c r="M4434" s="63" t="s">
        <v>9131</v>
      </c>
      <c r="N4434" s="63" t="s">
        <v>1790</v>
      </c>
    </row>
    <row r="4435" spans="1:14" x14ac:dyDescent="0.2">
      <c r="A4435" s="51">
        <v>4434</v>
      </c>
      <c r="G4435" s="65" t="b">
        <v>0</v>
      </c>
      <c r="H4435" s="65" t="b">
        <v>0</v>
      </c>
      <c r="I4435" s="65" t="b">
        <v>0</v>
      </c>
      <c r="J4435" s="65" t="b">
        <v>0</v>
      </c>
      <c r="K4435" s="63" t="s">
        <v>967</v>
      </c>
      <c r="L4435" s="63" t="s">
        <v>9130</v>
      </c>
      <c r="M4435" s="63" t="s">
        <v>9134</v>
      </c>
      <c r="N4435" s="63" t="s">
        <v>1790</v>
      </c>
    </row>
    <row r="4436" spans="1:14" x14ac:dyDescent="0.2">
      <c r="A4436" s="51">
        <v>4435</v>
      </c>
      <c r="G4436" s="65" t="b">
        <v>0</v>
      </c>
      <c r="H4436" s="65" t="b">
        <v>0</v>
      </c>
      <c r="I4436" s="65" t="b">
        <v>0</v>
      </c>
      <c r="J4436" s="65" t="b">
        <v>0</v>
      </c>
      <c r="K4436" s="63" t="s">
        <v>967</v>
      </c>
      <c r="L4436" s="63" t="s">
        <v>9130</v>
      </c>
      <c r="M4436" s="63" t="s">
        <v>9136</v>
      </c>
      <c r="N4436" s="63" t="s">
        <v>1790</v>
      </c>
    </row>
    <row r="4437" spans="1:14" x14ac:dyDescent="0.2">
      <c r="A4437" s="51">
        <v>4436</v>
      </c>
      <c r="B4437" s="54" t="s">
        <v>967</v>
      </c>
      <c r="C4437" s="47" t="s">
        <v>9132</v>
      </c>
      <c r="D4437" s="47" t="s">
        <v>9135</v>
      </c>
      <c r="E4437" s="47" t="s">
        <v>1790</v>
      </c>
      <c r="F4437" s="55" t="b">
        <v>1</v>
      </c>
      <c r="G4437" s="54" t="b">
        <v>1</v>
      </c>
      <c r="H4437" s="54" t="b">
        <v>1</v>
      </c>
      <c r="I4437" s="65" t="b">
        <v>0</v>
      </c>
      <c r="J4437" s="54" t="b">
        <v>1</v>
      </c>
      <c r="K4437" s="63" t="s">
        <v>967</v>
      </c>
      <c r="L4437" s="63" t="s">
        <v>9132</v>
      </c>
      <c r="M4437" s="63" t="s">
        <v>9133</v>
      </c>
      <c r="N4437" s="63" t="s">
        <v>1790</v>
      </c>
    </row>
    <row r="4438" spans="1:14" x14ac:dyDescent="0.2">
      <c r="A4438" s="51">
        <v>4437</v>
      </c>
      <c r="G4438" s="65" t="b">
        <v>0</v>
      </c>
      <c r="H4438" s="65" t="b">
        <v>0</v>
      </c>
      <c r="I4438" s="65" t="b">
        <v>0</v>
      </c>
      <c r="J4438" s="65" t="b">
        <v>0</v>
      </c>
      <c r="K4438" s="63" t="s">
        <v>967</v>
      </c>
      <c r="L4438" s="63" t="s">
        <v>9132</v>
      </c>
      <c r="M4438" s="63" t="s">
        <v>9135</v>
      </c>
      <c r="N4438" s="63" t="s">
        <v>1790</v>
      </c>
    </row>
    <row r="4439" spans="1:14" x14ac:dyDescent="0.2">
      <c r="A4439" s="51">
        <v>4438</v>
      </c>
      <c r="G4439" s="65" t="b">
        <v>0</v>
      </c>
      <c r="H4439" s="65" t="b">
        <v>0</v>
      </c>
      <c r="I4439" s="65" t="b">
        <v>0</v>
      </c>
      <c r="J4439" s="65" t="b">
        <v>0</v>
      </c>
      <c r="K4439" s="63" t="s">
        <v>967</v>
      </c>
      <c r="L4439" s="63" t="s">
        <v>9132</v>
      </c>
      <c r="M4439" s="63" t="s">
        <v>9137</v>
      </c>
      <c r="N4439" s="63" t="s">
        <v>1790</v>
      </c>
    </row>
    <row r="4440" spans="1:14" x14ac:dyDescent="0.2">
      <c r="A4440" s="51">
        <v>4439</v>
      </c>
      <c r="B4440" s="54" t="s">
        <v>967</v>
      </c>
      <c r="C4440" s="47" t="s">
        <v>9139</v>
      </c>
      <c r="D4440" s="47" t="s">
        <v>13634</v>
      </c>
      <c r="E4440" s="47" t="s">
        <v>1790</v>
      </c>
      <c r="F4440" s="55" t="b">
        <v>1</v>
      </c>
      <c r="G4440" s="54" t="b">
        <v>1</v>
      </c>
      <c r="H4440" s="54" t="b">
        <v>1</v>
      </c>
      <c r="I4440" s="65" t="b">
        <v>0</v>
      </c>
      <c r="J4440" s="54" t="b">
        <v>1</v>
      </c>
      <c r="K4440" s="63" t="s">
        <v>967</v>
      </c>
      <c r="L4440" s="63" t="s">
        <v>9139</v>
      </c>
      <c r="M4440" s="63" t="s">
        <v>9140</v>
      </c>
      <c r="N4440" s="63" t="s">
        <v>1790</v>
      </c>
    </row>
    <row r="4441" spans="1:14" x14ac:dyDescent="0.2">
      <c r="A4441" s="51">
        <v>4440</v>
      </c>
      <c r="G4441" s="65" t="b">
        <v>0</v>
      </c>
      <c r="H4441" s="65" t="b">
        <v>0</v>
      </c>
      <c r="I4441" s="65" t="b">
        <v>0</v>
      </c>
      <c r="J4441" s="65" t="b">
        <v>0</v>
      </c>
      <c r="K4441" s="63" t="s">
        <v>967</v>
      </c>
      <c r="L4441" s="63" t="s">
        <v>9139</v>
      </c>
      <c r="M4441" s="63" t="s">
        <v>9142</v>
      </c>
      <c r="N4441" s="63" t="s">
        <v>1790</v>
      </c>
    </row>
    <row r="4442" spans="1:14" x14ac:dyDescent="0.2">
      <c r="A4442" s="51">
        <v>4441</v>
      </c>
      <c r="B4442" s="54" t="s">
        <v>967</v>
      </c>
      <c r="C4442" s="47" t="s">
        <v>9125</v>
      </c>
      <c r="D4442" s="47" t="s">
        <v>9126</v>
      </c>
      <c r="E4442" s="47" t="s">
        <v>1790</v>
      </c>
      <c r="F4442" s="55" t="b">
        <v>1</v>
      </c>
      <c r="G4442" s="54" t="b">
        <v>1</v>
      </c>
      <c r="H4442" s="54" t="b">
        <v>1</v>
      </c>
      <c r="I4442" s="54" t="b">
        <v>1</v>
      </c>
      <c r="J4442" s="54" t="b">
        <v>1</v>
      </c>
      <c r="K4442" s="63" t="s">
        <v>967</v>
      </c>
      <c r="L4442" s="63" t="s">
        <v>9125</v>
      </c>
      <c r="M4442" s="63" t="s">
        <v>9126</v>
      </c>
      <c r="N4442" s="63" t="s">
        <v>1790</v>
      </c>
    </row>
    <row r="4443" spans="1:14" x14ac:dyDescent="0.2">
      <c r="A4443" s="51">
        <v>4442</v>
      </c>
      <c r="G4443" s="65" t="b">
        <v>0</v>
      </c>
      <c r="H4443" s="65" t="b">
        <v>0</v>
      </c>
      <c r="I4443" s="65" t="b">
        <v>0</v>
      </c>
      <c r="J4443" s="65" t="b">
        <v>0</v>
      </c>
      <c r="K4443" s="63" t="s">
        <v>967</v>
      </c>
      <c r="L4443" s="63" t="s">
        <v>9125</v>
      </c>
      <c r="M4443" s="63" t="s">
        <v>9141</v>
      </c>
      <c r="N4443" s="63" t="s">
        <v>1790</v>
      </c>
    </row>
    <row r="4444" spans="1:14" x14ac:dyDescent="0.2">
      <c r="A4444" s="51">
        <v>4443</v>
      </c>
      <c r="G4444" s="65" t="b">
        <v>0</v>
      </c>
      <c r="H4444" s="65" t="b">
        <v>0</v>
      </c>
      <c r="I4444" s="65" t="b">
        <v>0</v>
      </c>
      <c r="J4444" s="65" t="b">
        <v>0</v>
      </c>
      <c r="K4444" s="63" t="s">
        <v>967</v>
      </c>
      <c r="L4444" s="63" t="s">
        <v>9125</v>
      </c>
      <c r="M4444" s="63" t="s">
        <v>9143</v>
      </c>
      <c r="N4444" s="63" t="s">
        <v>1790</v>
      </c>
    </row>
    <row r="4445" spans="1:14" x14ac:dyDescent="0.2">
      <c r="A4445" s="51">
        <v>4444</v>
      </c>
      <c r="B4445" s="54" t="s">
        <v>967</v>
      </c>
      <c r="C4445" s="47" t="s">
        <v>9147</v>
      </c>
      <c r="D4445" s="47" t="s">
        <v>9151</v>
      </c>
      <c r="E4445" s="47" t="s">
        <v>1790</v>
      </c>
      <c r="F4445" s="55" t="b">
        <v>1</v>
      </c>
      <c r="G4445" s="54" t="b">
        <v>1</v>
      </c>
      <c r="H4445" s="54" t="b">
        <v>1</v>
      </c>
      <c r="I4445" s="65" t="b">
        <v>0</v>
      </c>
      <c r="J4445" s="54" t="b">
        <v>1</v>
      </c>
      <c r="K4445" s="63" t="s">
        <v>967</v>
      </c>
      <c r="L4445" s="63" t="s">
        <v>9147</v>
      </c>
      <c r="M4445" s="63" t="s">
        <v>9148</v>
      </c>
      <c r="N4445" s="63" t="s">
        <v>1790</v>
      </c>
    </row>
    <row r="4446" spans="1:14" x14ac:dyDescent="0.2">
      <c r="A4446" s="51">
        <v>4445</v>
      </c>
      <c r="G4446" s="65" t="b">
        <v>0</v>
      </c>
      <c r="H4446" s="65" t="b">
        <v>0</v>
      </c>
      <c r="I4446" s="65" t="b">
        <v>0</v>
      </c>
      <c r="J4446" s="65" t="b">
        <v>0</v>
      </c>
      <c r="K4446" s="63" t="s">
        <v>967</v>
      </c>
      <c r="L4446" s="63" t="s">
        <v>9147</v>
      </c>
      <c r="M4446" s="63" t="s">
        <v>9151</v>
      </c>
      <c r="N4446" s="63" t="s">
        <v>1790</v>
      </c>
    </row>
    <row r="4447" spans="1:14" x14ac:dyDescent="0.2">
      <c r="A4447" s="51">
        <v>4446</v>
      </c>
      <c r="B4447" s="54" t="s">
        <v>967</v>
      </c>
      <c r="C4447" s="47" t="s">
        <v>9149</v>
      </c>
      <c r="D4447" s="47" t="s">
        <v>9152</v>
      </c>
      <c r="E4447" s="47" t="s">
        <v>1790</v>
      </c>
      <c r="F4447" s="55" t="b">
        <v>1</v>
      </c>
      <c r="G4447" s="54" t="b">
        <v>1</v>
      </c>
      <c r="H4447" s="54" t="b">
        <v>1</v>
      </c>
      <c r="I4447" s="65" t="b">
        <v>0</v>
      </c>
      <c r="J4447" s="54" t="b">
        <v>1</v>
      </c>
      <c r="K4447" s="63" t="s">
        <v>967</v>
      </c>
      <c r="L4447" s="63" t="s">
        <v>9149</v>
      </c>
      <c r="M4447" s="63" t="s">
        <v>9150</v>
      </c>
      <c r="N4447" s="63" t="s">
        <v>1790</v>
      </c>
    </row>
    <row r="4448" spans="1:14" x14ac:dyDescent="0.2">
      <c r="A4448" s="51">
        <v>4447</v>
      </c>
      <c r="G4448" s="65" t="b">
        <v>0</v>
      </c>
      <c r="H4448" s="65" t="b">
        <v>0</v>
      </c>
      <c r="I4448" s="65" t="b">
        <v>0</v>
      </c>
      <c r="J4448" s="65" t="b">
        <v>0</v>
      </c>
      <c r="K4448" s="63" t="s">
        <v>967</v>
      </c>
      <c r="L4448" s="63" t="s">
        <v>9149</v>
      </c>
      <c r="M4448" s="63" t="s">
        <v>9152</v>
      </c>
      <c r="N4448" s="63" t="s">
        <v>1790</v>
      </c>
    </row>
    <row r="4449" spans="1:14" x14ac:dyDescent="0.2">
      <c r="A4449" s="51">
        <v>4448</v>
      </c>
      <c r="B4449" s="54" t="s">
        <v>967</v>
      </c>
      <c r="C4449" s="47" t="s">
        <v>9154</v>
      </c>
      <c r="D4449" s="47" t="s">
        <v>9155</v>
      </c>
      <c r="E4449" s="47" t="s">
        <v>1790</v>
      </c>
      <c r="F4449" s="55" t="b">
        <v>1</v>
      </c>
      <c r="G4449" s="54" t="b">
        <v>1</v>
      </c>
      <c r="H4449" s="54" t="b">
        <v>1</v>
      </c>
      <c r="I4449" s="54" t="b">
        <v>1</v>
      </c>
      <c r="J4449" s="54" t="b">
        <v>1</v>
      </c>
      <c r="K4449" s="63" t="s">
        <v>967</v>
      </c>
      <c r="L4449" s="63" t="s">
        <v>9154</v>
      </c>
      <c r="M4449" s="63" t="s">
        <v>9155</v>
      </c>
      <c r="N4449" s="63" t="s">
        <v>1790</v>
      </c>
    </row>
    <row r="4450" spans="1:14" x14ac:dyDescent="0.2">
      <c r="A4450" s="51">
        <v>4449</v>
      </c>
      <c r="G4450" s="65" t="b">
        <v>0</v>
      </c>
      <c r="H4450" s="65" t="b">
        <v>0</v>
      </c>
      <c r="I4450" s="65" t="b">
        <v>0</v>
      </c>
      <c r="J4450" s="65" t="b">
        <v>0</v>
      </c>
      <c r="K4450" s="63" t="s">
        <v>967</v>
      </c>
      <c r="L4450" s="63" t="s">
        <v>9154</v>
      </c>
      <c r="M4450" s="63" t="s">
        <v>9156</v>
      </c>
      <c r="N4450" s="63" t="s">
        <v>1790</v>
      </c>
    </row>
    <row r="4451" spans="1:14" x14ac:dyDescent="0.2">
      <c r="A4451" s="51">
        <v>4450</v>
      </c>
      <c r="B4451" s="54" t="s">
        <v>967</v>
      </c>
      <c r="C4451" s="47" t="s">
        <v>9157</v>
      </c>
      <c r="D4451" s="47" t="s">
        <v>9159</v>
      </c>
      <c r="E4451" s="47" t="s">
        <v>1790</v>
      </c>
      <c r="F4451" s="55" t="b">
        <v>1</v>
      </c>
      <c r="G4451" s="54" t="b">
        <v>1</v>
      </c>
      <c r="H4451" s="54" t="b">
        <v>1</v>
      </c>
      <c r="I4451" s="65" t="b">
        <v>0</v>
      </c>
      <c r="J4451" s="54" t="b">
        <v>1</v>
      </c>
      <c r="K4451" s="63" t="s">
        <v>967</v>
      </c>
      <c r="L4451" s="63" t="s">
        <v>9157</v>
      </c>
      <c r="M4451" s="63" t="s">
        <v>9158</v>
      </c>
      <c r="N4451" s="63" t="s">
        <v>1790</v>
      </c>
    </row>
    <row r="4452" spans="1:14" x14ac:dyDescent="0.2">
      <c r="A4452" s="51">
        <v>4451</v>
      </c>
      <c r="G4452" s="65" t="b">
        <v>0</v>
      </c>
      <c r="H4452" s="65" t="b">
        <v>0</v>
      </c>
      <c r="I4452" s="65" t="b">
        <v>0</v>
      </c>
      <c r="J4452" s="65" t="b">
        <v>0</v>
      </c>
      <c r="K4452" s="63" t="s">
        <v>967</v>
      </c>
      <c r="L4452" s="63" t="s">
        <v>9157</v>
      </c>
      <c r="M4452" s="63" t="s">
        <v>9159</v>
      </c>
      <c r="N4452" s="63" t="s">
        <v>1790</v>
      </c>
    </row>
    <row r="4453" spans="1:14" x14ac:dyDescent="0.2">
      <c r="A4453" s="51">
        <v>4452</v>
      </c>
      <c r="G4453" s="65" t="b">
        <v>0</v>
      </c>
      <c r="H4453" s="65" t="b">
        <v>0</v>
      </c>
      <c r="I4453" s="65" t="b">
        <v>0</v>
      </c>
      <c r="J4453" s="65" t="b">
        <v>0</v>
      </c>
      <c r="K4453" s="63" t="s">
        <v>967</v>
      </c>
      <c r="L4453" s="63" t="s">
        <v>9157</v>
      </c>
      <c r="M4453" s="63" t="s">
        <v>9163</v>
      </c>
      <c r="N4453" s="63" t="s">
        <v>1790</v>
      </c>
    </row>
    <row r="4454" spans="1:14" x14ac:dyDescent="0.2">
      <c r="A4454" s="51">
        <v>4453</v>
      </c>
      <c r="B4454" s="54" t="s">
        <v>967</v>
      </c>
      <c r="C4454" s="47" t="s">
        <v>9160</v>
      </c>
      <c r="D4454" s="47" t="s">
        <v>9162</v>
      </c>
      <c r="E4454" s="47" t="s">
        <v>1790</v>
      </c>
      <c r="F4454" s="55" t="b">
        <v>1</v>
      </c>
      <c r="G4454" s="54" t="b">
        <v>1</v>
      </c>
      <c r="H4454" s="54" t="b">
        <v>1</v>
      </c>
      <c r="I4454" s="65" t="b">
        <v>0</v>
      </c>
      <c r="J4454" s="54" t="b">
        <v>1</v>
      </c>
      <c r="K4454" s="63" t="s">
        <v>967</v>
      </c>
      <c r="L4454" s="63" t="s">
        <v>9160</v>
      </c>
      <c r="M4454" s="63" t="s">
        <v>9161</v>
      </c>
      <c r="N4454" s="63" t="s">
        <v>1790</v>
      </c>
    </row>
    <row r="4455" spans="1:14" x14ac:dyDescent="0.2">
      <c r="A4455" s="51">
        <v>4454</v>
      </c>
      <c r="G4455" s="65" t="b">
        <v>0</v>
      </c>
      <c r="H4455" s="65" t="b">
        <v>0</v>
      </c>
      <c r="I4455" s="65" t="b">
        <v>0</v>
      </c>
      <c r="J4455" s="65" t="b">
        <v>0</v>
      </c>
      <c r="K4455" s="63" t="s">
        <v>967</v>
      </c>
      <c r="L4455" s="63" t="s">
        <v>9160</v>
      </c>
      <c r="M4455" s="63" t="s">
        <v>9162</v>
      </c>
      <c r="N4455" s="63" t="s">
        <v>1790</v>
      </c>
    </row>
    <row r="4456" spans="1:14" x14ac:dyDescent="0.2">
      <c r="A4456" s="51">
        <v>4455</v>
      </c>
      <c r="B4456" s="54" t="s">
        <v>967</v>
      </c>
      <c r="C4456" s="47" t="s">
        <v>9168</v>
      </c>
      <c r="D4456" s="47" t="s">
        <v>9169</v>
      </c>
      <c r="E4456" s="47" t="s">
        <v>1790</v>
      </c>
      <c r="F4456" s="55" t="b">
        <v>1</v>
      </c>
      <c r="G4456" s="54" t="b">
        <v>1</v>
      </c>
      <c r="H4456" s="54" t="b">
        <v>1</v>
      </c>
      <c r="I4456" s="54" t="b">
        <v>1</v>
      </c>
      <c r="J4456" s="54" t="b">
        <v>1</v>
      </c>
      <c r="K4456" s="63" t="s">
        <v>967</v>
      </c>
      <c r="L4456" s="63" t="s">
        <v>9168</v>
      </c>
      <c r="M4456" s="63" t="s">
        <v>9169</v>
      </c>
      <c r="N4456" s="63" t="s">
        <v>1790</v>
      </c>
    </row>
    <row r="4457" spans="1:14" x14ac:dyDescent="0.2">
      <c r="A4457" s="51">
        <v>4456</v>
      </c>
      <c r="G4457" s="65" t="b">
        <v>0</v>
      </c>
      <c r="H4457" s="65" t="b">
        <v>0</v>
      </c>
      <c r="I4457" s="65" t="b">
        <v>0</v>
      </c>
      <c r="J4457" s="65" t="b">
        <v>0</v>
      </c>
      <c r="K4457" s="63" t="s">
        <v>967</v>
      </c>
      <c r="L4457" s="63" t="s">
        <v>9168</v>
      </c>
      <c r="M4457" s="63" t="s">
        <v>9019</v>
      </c>
      <c r="N4457" s="63" t="s">
        <v>1790</v>
      </c>
    </row>
    <row r="4458" spans="1:14" x14ac:dyDescent="0.2">
      <c r="A4458" s="51">
        <v>4457</v>
      </c>
      <c r="G4458" s="65" t="b">
        <v>0</v>
      </c>
      <c r="H4458" s="65" t="b">
        <v>0</v>
      </c>
      <c r="I4458" s="65" t="b">
        <v>0</v>
      </c>
      <c r="J4458" s="65" t="b">
        <v>0</v>
      </c>
      <c r="K4458" s="63" t="s">
        <v>967</v>
      </c>
      <c r="L4458" s="63" t="s">
        <v>9168</v>
      </c>
      <c r="M4458" s="63" t="s">
        <v>9170</v>
      </c>
      <c r="N4458" s="63" t="s">
        <v>1790</v>
      </c>
    </row>
    <row r="4459" spans="1:14" x14ac:dyDescent="0.2">
      <c r="A4459" s="51">
        <v>4458</v>
      </c>
      <c r="B4459" s="54" t="s">
        <v>967</v>
      </c>
      <c r="C4459" s="47" t="s">
        <v>9171</v>
      </c>
      <c r="D4459" s="47" t="s">
        <v>9172</v>
      </c>
      <c r="E4459" s="47" t="s">
        <v>1790</v>
      </c>
      <c r="F4459" s="55" t="b">
        <v>1</v>
      </c>
      <c r="G4459" s="54" t="b">
        <v>1</v>
      </c>
      <c r="H4459" s="54" t="b">
        <v>1</v>
      </c>
      <c r="I4459" s="54" t="b">
        <v>1</v>
      </c>
      <c r="J4459" s="54" t="b">
        <v>1</v>
      </c>
      <c r="K4459" s="63" t="s">
        <v>967</v>
      </c>
      <c r="L4459" s="63" t="s">
        <v>9171</v>
      </c>
      <c r="M4459" s="63" t="s">
        <v>9172</v>
      </c>
      <c r="N4459" s="63" t="s">
        <v>1790</v>
      </c>
    </row>
    <row r="4460" spans="1:14" x14ac:dyDescent="0.2">
      <c r="A4460" s="51">
        <v>4459</v>
      </c>
      <c r="B4460" s="54" t="s">
        <v>967</v>
      </c>
      <c r="C4460" s="47" t="s">
        <v>9144</v>
      </c>
      <c r="D4460" s="47" t="s">
        <v>9146</v>
      </c>
      <c r="E4460" s="47" t="s">
        <v>1790</v>
      </c>
      <c r="F4460" s="55" t="b">
        <v>1</v>
      </c>
      <c r="G4460" s="54" t="b">
        <v>1</v>
      </c>
      <c r="H4460" s="54" t="b">
        <v>1</v>
      </c>
      <c r="I4460" s="65" t="b">
        <v>0</v>
      </c>
      <c r="J4460" s="54" t="b">
        <v>1</v>
      </c>
      <c r="K4460" s="63" t="s">
        <v>967</v>
      </c>
      <c r="L4460" s="63" t="s">
        <v>9144</v>
      </c>
      <c r="M4460" s="63" t="s">
        <v>9145</v>
      </c>
      <c r="N4460" s="63" t="s">
        <v>1790</v>
      </c>
    </row>
    <row r="4461" spans="1:14" x14ac:dyDescent="0.2">
      <c r="A4461" s="51">
        <v>4460</v>
      </c>
      <c r="G4461" s="65" t="b">
        <v>0</v>
      </c>
      <c r="H4461" s="65" t="b">
        <v>0</v>
      </c>
      <c r="I4461" s="65" t="b">
        <v>0</v>
      </c>
      <c r="J4461" s="65" t="b">
        <v>0</v>
      </c>
      <c r="K4461" s="63" t="s">
        <v>967</v>
      </c>
      <c r="L4461" s="63" t="s">
        <v>9144</v>
      </c>
      <c r="M4461" s="63" t="s">
        <v>9146</v>
      </c>
      <c r="N4461" s="63" t="s">
        <v>1790</v>
      </c>
    </row>
    <row r="4462" spans="1:14" x14ac:dyDescent="0.2">
      <c r="A4462" s="51">
        <v>4461</v>
      </c>
      <c r="B4462" s="54" t="s">
        <v>967</v>
      </c>
      <c r="C4462" s="47" t="s">
        <v>9164</v>
      </c>
      <c r="D4462" s="47" t="s">
        <v>9165</v>
      </c>
      <c r="E4462" s="47" t="s">
        <v>1790</v>
      </c>
      <c r="F4462" s="55" t="b">
        <v>1</v>
      </c>
      <c r="G4462" s="54" t="b">
        <v>1</v>
      </c>
      <c r="H4462" s="54" t="b">
        <v>1</v>
      </c>
      <c r="I4462" s="54" t="b">
        <v>1</v>
      </c>
      <c r="J4462" s="54" t="b">
        <v>1</v>
      </c>
      <c r="K4462" s="63" t="s">
        <v>967</v>
      </c>
      <c r="L4462" s="63" t="s">
        <v>9164</v>
      </c>
      <c r="M4462" s="63" t="s">
        <v>9165</v>
      </c>
      <c r="N4462" s="63" t="s">
        <v>1790</v>
      </c>
    </row>
    <row r="4463" spans="1:14" x14ac:dyDescent="0.2">
      <c r="A4463" s="51">
        <v>4462</v>
      </c>
      <c r="G4463" s="65" t="b">
        <v>0</v>
      </c>
      <c r="H4463" s="65" t="b">
        <v>0</v>
      </c>
      <c r="I4463" s="65" t="b">
        <v>0</v>
      </c>
      <c r="J4463" s="65" t="b">
        <v>0</v>
      </c>
      <c r="K4463" s="63" t="s">
        <v>967</v>
      </c>
      <c r="L4463" s="63" t="s">
        <v>9164</v>
      </c>
      <c r="M4463" s="63" t="s">
        <v>9166</v>
      </c>
      <c r="N4463" s="63" t="s">
        <v>1790</v>
      </c>
    </row>
    <row r="4464" spans="1:14" x14ac:dyDescent="0.2">
      <c r="A4464" s="51">
        <v>4463</v>
      </c>
      <c r="G4464" s="65" t="b">
        <v>0</v>
      </c>
      <c r="H4464" s="65" t="b">
        <v>0</v>
      </c>
      <c r="I4464" s="65" t="b">
        <v>0</v>
      </c>
      <c r="J4464" s="65" t="b">
        <v>0</v>
      </c>
      <c r="K4464" s="63" t="s">
        <v>967</v>
      </c>
      <c r="L4464" s="63" t="s">
        <v>9164</v>
      </c>
      <c r="M4464" s="63" t="s">
        <v>9167</v>
      </c>
      <c r="N4464" s="63" t="s">
        <v>1790</v>
      </c>
    </row>
    <row r="4465" spans="1:14" x14ac:dyDescent="0.2">
      <c r="A4465" s="51">
        <v>4464</v>
      </c>
      <c r="B4465" s="54" t="s">
        <v>969</v>
      </c>
      <c r="C4465" s="47" t="s">
        <v>9173</v>
      </c>
      <c r="D4465" s="47" t="s">
        <v>4191</v>
      </c>
      <c r="E4465" s="47" t="s">
        <v>1719</v>
      </c>
      <c r="F4465" s="55" t="b">
        <v>1</v>
      </c>
      <c r="G4465" s="54" t="b">
        <v>1</v>
      </c>
      <c r="H4465" s="54" t="b">
        <v>1</v>
      </c>
      <c r="I4465" s="54" t="b">
        <v>1</v>
      </c>
      <c r="J4465" s="54" t="b">
        <v>1</v>
      </c>
      <c r="K4465" s="63" t="s">
        <v>969</v>
      </c>
      <c r="L4465" s="63" t="s">
        <v>9173</v>
      </c>
      <c r="M4465" s="63" t="s">
        <v>4191</v>
      </c>
      <c r="N4465" s="63" t="s">
        <v>1719</v>
      </c>
    </row>
    <row r="4466" spans="1:14" x14ac:dyDescent="0.2">
      <c r="A4466" s="51">
        <v>4465</v>
      </c>
      <c r="B4466" s="54" t="s">
        <v>969</v>
      </c>
      <c r="C4466" s="47" t="s">
        <v>9174</v>
      </c>
      <c r="D4466" s="47" t="s">
        <v>4193</v>
      </c>
      <c r="E4466" s="47" t="s">
        <v>1719</v>
      </c>
      <c r="F4466" s="55" t="b">
        <v>1</v>
      </c>
      <c r="G4466" s="54" t="b">
        <v>1</v>
      </c>
      <c r="H4466" s="54" t="b">
        <v>1</v>
      </c>
      <c r="I4466" s="54" t="b">
        <v>1</v>
      </c>
      <c r="J4466" s="54" t="b">
        <v>1</v>
      </c>
      <c r="K4466" s="63" t="s">
        <v>969</v>
      </c>
      <c r="L4466" s="63" t="s">
        <v>9174</v>
      </c>
      <c r="M4466" s="63" t="s">
        <v>4193</v>
      </c>
      <c r="N4466" s="63" t="s">
        <v>1719</v>
      </c>
    </row>
    <row r="4467" spans="1:14" x14ac:dyDescent="0.2">
      <c r="A4467" s="51">
        <v>4466</v>
      </c>
      <c r="B4467" s="54" t="s">
        <v>969</v>
      </c>
      <c r="C4467" s="47" t="s">
        <v>9175</v>
      </c>
      <c r="D4467" s="47" t="s">
        <v>2736</v>
      </c>
      <c r="E4467" s="47" t="s">
        <v>1719</v>
      </c>
      <c r="F4467" s="55" t="b">
        <v>1</v>
      </c>
      <c r="G4467" s="54" t="b">
        <v>1</v>
      </c>
      <c r="H4467" s="54" t="b">
        <v>1</v>
      </c>
      <c r="I4467" s="54" t="b">
        <v>1</v>
      </c>
      <c r="J4467" s="54" t="b">
        <v>1</v>
      </c>
      <c r="K4467" s="63" t="s">
        <v>969</v>
      </c>
      <c r="L4467" s="63" t="s">
        <v>9175</v>
      </c>
      <c r="M4467" s="63" t="s">
        <v>2736</v>
      </c>
      <c r="N4467" s="63" t="s">
        <v>1719</v>
      </c>
    </row>
    <row r="4468" spans="1:14" x14ac:dyDescent="0.2">
      <c r="A4468" s="51">
        <v>4467</v>
      </c>
      <c r="B4468" s="54" t="s">
        <v>969</v>
      </c>
      <c r="C4468" s="47" t="s">
        <v>9176</v>
      </c>
      <c r="D4468" s="47" t="s">
        <v>13635</v>
      </c>
      <c r="E4468" s="47" t="s">
        <v>1719</v>
      </c>
      <c r="F4468" s="55" t="b">
        <v>1</v>
      </c>
      <c r="G4468" s="54" t="b">
        <v>1</v>
      </c>
      <c r="H4468" s="54" t="b">
        <v>1</v>
      </c>
      <c r="I4468" s="65" t="b">
        <v>0</v>
      </c>
      <c r="J4468" s="65" t="b">
        <v>0</v>
      </c>
      <c r="K4468" s="63" t="s">
        <v>969</v>
      </c>
      <c r="L4468" s="63" t="s">
        <v>9176</v>
      </c>
      <c r="M4468" s="63" t="s">
        <v>9177</v>
      </c>
      <c r="N4468" s="63" t="s">
        <v>9178</v>
      </c>
    </row>
    <row r="4469" spans="1:14" x14ac:dyDescent="0.2">
      <c r="A4469" s="51">
        <v>4468</v>
      </c>
      <c r="B4469" s="54" t="s">
        <v>971</v>
      </c>
      <c r="C4469" s="47" t="s">
        <v>9179</v>
      </c>
      <c r="D4469" s="47" t="s">
        <v>9180</v>
      </c>
      <c r="E4469" s="48" t="s">
        <v>1790</v>
      </c>
      <c r="F4469" s="66" t="b">
        <v>0</v>
      </c>
      <c r="G4469" s="54" t="b">
        <v>1</v>
      </c>
      <c r="H4469" s="54" t="b">
        <v>1</v>
      </c>
      <c r="I4469" s="54" t="b">
        <v>1</v>
      </c>
      <c r="J4469" s="54" t="b">
        <v>1</v>
      </c>
      <c r="K4469" s="63" t="s">
        <v>971</v>
      </c>
      <c r="L4469" s="63" t="s">
        <v>9179</v>
      </c>
      <c r="M4469" s="63" t="s">
        <v>9180</v>
      </c>
      <c r="N4469" s="63" t="s">
        <v>1790</v>
      </c>
    </row>
    <row r="4470" spans="1:14" x14ac:dyDescent="0.2">
      <c r="A4470" s="51">
        <v>4469</v>
      </c>
      <c r="B4470" s="54" t="s">
        <v>971</v>
      </c>
      <c r="C4470" s="47" t="s">
        <v>9181</v>
      </c>
      <c r="D4470" s="47" t="s">
        <v>9182</v>
      </c>
      <c r="E4470" s="48" t="s">
        <v>1790</v>
      </c>
      <c r="F4470" s="66" t="b">
        <v>0</v>
      </c>
      <c r="G4470" s="54" t="b">
        <v>1</v>
      </c>
      <c r="H4470" s="54" t="b">
        <v>1</v>
      </c>
      <c r="I4470" s="54" t="b">
        <v>1</v>
      </c>
      <c r="J4470" s="54" t="b">
        <v>1</v>
      </c>
      <c r="K4470" s="63" t="s">
        <v>971</v>
      </c>
      <c r="L4470" s="63" t="s">
        <v>9181</v>
      </c>
      <c r="M4470" s="63" t="s">
        <v>9182</v>
      </c>
      <c r="N4470" s="63" t="s">
        <v>1790</v>
      </c>
    </row>
    <row r="4471" spans="1:14" x14ac:dyDescent="0.2">
      <c r="A4471" s="51">
        <v>4470</v>
      </c>
      <c r="B4471" s="54" t="s">
        <v>971</v>
      </c>
      <c r="C4471" s="47" t="s">
        <v>9183</v>
      </c>
      <c r="D4471" s="47" t="s">
        <v>9184</v>
      </c>
      <c r="E4471" s="48" t="s">
        <v>1790</v>
      </c>
      <c r="F4471" s="66" t="b">
        <v>0</v>
      </c>
      <c r="G4471" s="54" t="b">
        <v>1</v>
      </c>
      <c r="H4471" s="54" t="b">
        <v>1</v>
      </c>
      <c r="I4471" s="54" t="b">
        <v>1</v>
      </c>
      <c r="J4471" s="54" t="b">
        <v>1</v>
      </c>
      <c r="K4471" s="63" t="s">
        <v>971</v>
      </c>
      <c r="L4471" s="63" t="s">
        <v>9183</v>
      </c>
      <c r="M4471" s="63" t="s">
        <v>9184</v>
      </c>
      <c r="N4471" s="63" t="s">
        <v>1790</v>
      </c>
    </row>
    <row r="4472" spans="1:14" x14ac:dyDescent="0.2">
      <c r="A4472" s="51">
        <v>4471</v>
      </c>
      <c r="B4472" s="54" t="s">
        <v>971</v>
      </c>
      <c r="C4472" s="47" t="s">
        <v>9185</v>
      </c>
      <c r="D4472" s="47" t="s">
        <v>9186</v>
      </c>
      <c r="E4472" s="48" t="s">
        <v>1790</v>
      </c>
      <c r="F4472" s="66" t="b">
        <v>0</v>
      </c>
      <c r="G4472" s="54" t="b">
        <v>1</v>
      </c>
      <c r="H4472" s="54" t="b">
        <v>1</v>
      </c>
      <c r="I4472" s="54" t="b">
        <v>1</v>
      </c>
      <c r="J4472" s="54" t="b">
        <v>1</v>
      </c>
      <c r="K4472" s="63" t="s">
        <v>971</v>
      </c>
      <c r="L4472" s="63" t="s">
        <v>9185</v>
      </c>
      <c r="M4472" s="63" t="s">
        <v>9186</v>
      </c>
      <c r="N4472" s="63" t="s">
        <v>1790</v>
      </c>
    </row>
    <row r="4473" spans="1:14" x14ac:dyDescent="0.2">
      <c r="A4473" s="51">
        <v>4472</v>
      </c>
      <c r="B4473" s="54" t="s">
        <v>971</v>
      </c>
      <c r="C4473" s="47" t="s">
        <v>9187</v>
      </c>
      <c r="D4473" s="47" t="s">
        <v>9188</v>
      </c>
      <c r="E4473" s="48" t="s">
        <v>1790</v>
      </c>
      <c r="F4473" s="66" t="b">
        <v>0</v>
      </c>
      <c r="G4473" s="54" t="b">
        <v>1</v>
      </c>
      <c r="H4473" s="54" t="b">
        <v>1</v>
      </c>
      <c r="I4473" s="54" t="b">
        <v>1</v>
      </c>
      <c r="J4473" s="54" t="b">
        <v>1</v>
      </c>
      <c r="K4473" s="63" t="s">
        <v>971</v>
      </c>
      <c r="L4473" s="63" t="s">
        <v>9187</v>
      </c>
      <c r="M4473" s="63" t="s">
        <v>9188</v>
      </c>
      <c r="N4473" s="63" t="s">
        <v>1790</v>
      </c>
    </row>
    <row r="4474" spans="1:14" x14ac:dyDescent="0.2">
      <c r="A4474" s="51">
        <v>4473</v>
      </c>
      <c r="B4474" s="54" t="s">
        <v>975</v>
      </c>
      <c r="C4474" s="47" t="s">
        <v>9189</v>
      </c>
      <c r="D4474" s="47" t="s">
        <v>13636</v>
      </c>
      <c r="E4474" s="47" t="s">
        <v>1790</v>
      </c>
      <c r="F4474" s="55" t="b">
        <v>1</v>
      </c>
      <c r="G4474" s="54" t="b">
        <v>1</v>
      </c>
      <c r="H4474" s="54" t="b">
        <v>1</v>
      </c>
      <c r="I4474" s="65" t="b">
        <v>0</v>
      </c>
      <c r="J4474" s="65" t="b">
        <v>0</v>
      </c>
      <c r="K4474" s="63" t="s">
        <v>975</v>
      </c>
      <c r="L4474" s="63" t="s">
        <v>9189</v>
      </c>
      <c r="M4474" s="63" t="s">
        <v>9190</v>
      </c>
      <c r="N4474" s="63" t="s">
        <v>2087</v>
      </c>
    </row>
    <row r="4475" spans="1:14" x14ac:dyDescent="0.2">
      <c r="A4475" s="51">
        <v>4474</v>
      </c>
      <c r="B4475" s="54" t="s">
        <v>975</v>
      </c>
      <c r="C4475" s="47" t="s">
        <v>9191</v>
      </c>
      <c r="D4475" s="47" t="s">
        <v>13637</v>
      </c>
      <c r="E4475" s="47" t="s">
        <v>1790</v>
      </c>
      <c r="F4475" s="55" t="b">
        <v>1</v>
      </c>
      <c r="G4475" s="54" t="b">
        <v>1</v>
      </c>
      <c r="H4475" s="54" t="b">
        <v>1</v>
      </c>
      <c r="I4475" s="65" t="b">
        <v>0</v>
      </c>
      <c r="J4475" s="65" t="b">
        <v>0</v>
      </c>
      <c r="K4475" s="63" t="s">
        <v>975</v>
      </c>
      <c r="L4475" s="63" t="s">
        <v>9191</v>
      </c>
      <c r="M4475" s="63" t="s">
        <v>9192</v>
      </c>
      <c r="N4475" s="63" t="s">
        <v>2087</v>
      </c>
    </row>
    <row r="4476" spans="1:14" x14ac:dyDescent="0.2">
      <c r="A4476" s="51">
        <v>4475</v>
      </c>
      <c r="B4476" s="54" t="s">
        <v>975</v>
      </c>
      <c r="C4476" s="47" t="s">
        <v>9193</v>
      </c>
      <c r="D4476" s="47" t="s">
        <v>13638</v>
      </c>
      <c r="E4476" s="47" t="s">
        <v>1790</v>
      </c>
      <c r="F4476" s="55" t="b">
        <v>1</v>
      </c>
      <c r="G4476" s="54" t="b">
        <v>1</v>
      </c>
      <c r="H4476" s="54" t="b">
        <v>1</v>
      </c>
      <c r="I4476" s="65" t="b">
        <v>0</v>
      </c>
      <c r="J4476" s="65" t="b">
        <v>0</v>
      </c>
      <c r="K4476" s="63" t="s">
        <v>975</v>
      </c>
      <c r="L4476" s="63" t="s">
        <v>9193</v>
      </c>
      <c r="M4476" s="63" t="s">
        <v>9194</v>
      </c>
      <c r="N4476" s="63" t="s">
        <v>2087</v>
      </c>
    </row>
    <row r="4477" spans="1:14" x14ac:dyDescent="0.2">
      <c r="A4477" s="51">
        <v>4476</v>
      </c>
      <c r="B4477" s="54" t="s">
        <v>975</v>
      </c>
      <c r="C4477" s="47" t="s">
        <v>9195</v>
      </c>
      <c r="D4477" s="47" t="s">
        <v>13639</v>
      </c>
      <c r="E4477" s="47" t="s">
        <v>1790</v>
      </c>
      <c r="F4477" s="55" t="b">
        <v>1</v>
      </c>
      <c r="G4477" s="54" t="b">
        <v>1</v>
      </c>
      <c r="H4477" s="54" t="b">
        <v>1</v>
      </c>
      <c r="I4477" s="65" t="b">
        <v>0</v>
      </c>
      <c r="J4477" s="65" t="b">
        <v>0</v>
      </c>
      <c r="K4477" s="63" t="s">
        <v>975</v>
      </c>
      <c r="L4477" s="63" t="s">
        <v>9195</v>
      </c>
      <c r="M4477" s="63" t="s">
        <v>9196</v>
      </c>
      <c r="N4477" s="63" t="s">
        <v>2087</v>
      </c>
    </row>
    <row r="4478" spans="1:14" x14ac:dyDescent="0.2">
      <c r="A4478" s="51">
        <v>4477</v>
      </c>
      <c r="B4478" s="54" t="s">
        <v>975</v>
      </c>
      <c r="C4478" s="47" t="s">
        <v>9197</v>
      </c>
      <c r="D4478" s="47" t="s">
        <v>13640</v>
      </c>
      <c r="E4478" s="47" t="s">
        <v>1790</v>
      </c>
      <c r="F4478" s="55" t="b">
        <v>1</v>
      </c>
      <c r="G4478" s="54" t="b">
        <v>1</v>
      </c>
      <c r="H4478" s="54" t="b">
        <v>1</v>
      </c>
      <c r="I4478" s="65" t="b">
        <v>0</v>
      </c>
      <c r="J4478" s="65" t="b">
        <v>0</v>
      </c>
      <c r="K4478" s="63" t="s">
        <v>975</v>
      </c>
      <c r="L4478" s="63" t="s">
        <v>9197</v>
      </c>
      <c r="M4478" s="63" t="s">
        <v>9198</v>
      </c>
      <c r="N4478" s="63" t="s">
        <v>2087</v>
      </c>
    </row>
    <row r="4479" spans="1:14" x14ac:dyDescent="0.2">
      <c r="A4479" s="51">
        <v>4478</v>
      </c>
      <c r="B4479" s="54" t="s">
        <v>975</v>
      </c>
      <c r="C4479" s="47" t="s">
        <v>9201</v>
      </c>
      <c r="D4479" s="47" t="s">
        <v>13642</v>
      </c>
      <c r="E4479" s="47" t="s">
        <v>1790</v>
      </c>
      <c r="F4479" s="55" t="b">
        <v>1</v>
      </c>
      <c r="G4479" s="54" t="b">
        <v>1</v>
      </c>
      <c r="H4479" s="54" t="b">
        <v>1</v>
      </c>
      <c r="I4479" s="65" t="b">
        <v>0</v>
      </c>
      <c r="J4479" s="65" t="b">
        <v>0</v>
      </c>
      <c r="K4479" s="63" t="s">
        <v>975</v>
      </c>
      <c r="L4479" s="63" t="s">
        <v>9201</v>
      </c>
      <c r="M4479" s="63" t="s">
        <v>9202</v>
      </c>
      <c r="N4479" s="63" t="s">
        <v>2087</v>
      </c>
    </row>
    <row r="4480" spans="1:14" x14ac:dyDescent="0.2">
      <c r="A4480" s="51">
        <v>4479</v>
      </c>
      <c r="B4480" s="54" t="s">
        <v>975</v>
      </c>
      <c r="C4480" s="47" t="s">
        <v>9199</v>
      </c>
      <c r="D4480" s="47" t="s">
        <v>13641</v>
      </c>
      <c r="E4480" s="47" t="s">
        <v>1790</v>
      </c>
      <c r="F4480" s="55" t="b">
        <v>1</v>
      </c>
      <c r="G4480" s="54" t="b">
        <v>1</v>
      </c>
      <c r="H4480" s="54" t="b">
        <v>1</v>
      </c>
      <c r="I4480" s="65" t="b">
        <v>0</v>
      </c>
      <c r="J4480" s="65" t="b">
        <v>0</v>
      </c>
      <c r="K4480" s="63" t="s">
        <v>975</v>
      </c>
      <c r="L4480" s="63" t="s">
        <v>9199</v>
      </c>
      <c r="M4480" s="63" t="s">
        <v>9200</v>
      </c>
      <c r="N4480" s="63" t="s">
        <v>2087</v>
      </c>
    </row>
    <row r="4481" spans="1:14" x14ac:dyDescent="0.2">
      <c r="A4481" s="51">
        <v>4480</v>
      </c>
      <c r="B4481" s="54" t="s">
        <v>975</v>
      </c>
      <c r="C4481" s="47" t="s">
        <v>9203</v>
      </c>
      <c r="D4481" s="47" t="s">
        <v>13643</v>
      </c>
      <c r="E4481" s="47" t="s">
        <v>1790</v>
      </c>
      <c r="F4481" s="55" t="b">
        <v>1</v>
      </c>
      <c r="G4481" s="54" t="b">
        <v>1</v>
      </c>
      <c r="H4481" s="54" t="b">
        <v>1</v>
      </c>
      <c r="I4481" s="65" t="b">
        <v>0</v>
      </c>
      <c r="J4481" s="65" t="b">
        <v>0</v>
      </c>
      <c r="K4481" s="63" t="s">
        <v>975</v>
      </c>
      <c r="L4481" s="63" t="s">
        <v>9203</v>
      </c>
      <c r="M4481" s="63" t="s">
        <v>9204</v>
      </c>
      <c r="N4481" s="63" t="s">
        <v>2087</v>
      </c>
    </row>
    <row r="4482" spans="1:14" x14ac:dyDescent="0.2">
      <c r="A4482" s="51">
        <v>4481</v>
      </c>
      <c r="B4482" s="54" t="s">
        <v>977</v>
      </c>
      <c r="C4482" s="47" t="s">
        <v>9205</v>
      </c>
      <c r="D4482" s="47" t="s">
        <v>9206</v>
      </c>
      <c r="E4482" s="47" t="s">
        <v>3162</v>
      </c>
      <c r="F4482" s="55" t="b">
        <v>1</v>
      </c>
      <c r="G4482" s="54" t="b">
        <v>1</v>
      </c>
      <c r="H4482" s="54" t="b">
        <v>1</v>
      </c>
      <c r="I4482" s="54" t="b">
        <v>1</v>
      </c>
      <c r="J4482" s="54" t="b">
        <v>1</v>
      </c>
      <c r="K4482" s="63" t="s">
        <v>977</v>
      </c>
      <c r="L4482" s="63" t="s">
        <v>9205</v>
      </c>
      <c r="M4482" s="63" t="s">
        <v>9206</v>
      </c>
      <c r="N4482" s="63" t="s">
        <v>3162</v>
      </c>
    </row>
    <row r="4483" spans="1:14" x14ac:dyDescent="0.2">
      <c r="A4483" s="51">
        <v>4482</v>
      </c>
      <c r="B4483" s="54" t="s">
        <v>977</v>
      </c>
      <c r="C4483" s="47" t="s">
        <v>9209</v>
      </c>
      <c r="D4483" s="47" t="s">
        <v>9210</v>
      </c>
      <c r="E4483" s="47" t="s">
        <v>3162</v>
      </c>
      <c r="F4483" s="55" t="b">
        <v>1</v>
      </c>
      <c r="G4483" s="54" t="b">
        <v>1</v>
      </c>
      <c r="H4483" s="54" t="b">
        <v>1</v>
      </c>
      <c r="I4483" s="54" t="b">
        <v>1</v>
      </c>
      <c r="J4483" s="54" t="b">
        <v>1</v>
      </c>
      <c r="K4483" s="63" t="s">
        <v>977</v>
      </c>
      <c r="L4483" s="63" t="s">
        <v>9209</v>
      </c>
      <c r="M4483" s="63" t="s">
        <v>9210</v>
      </c>
      <c r="N4483" s="63" t="s">
        <v>3162</v>
      </c>
    </row>
    <row r="4484" spans="1:14" x14ac:dyDescent="0.2">
      <c r="A4484" s="51">
        <v>4483</v>
      </c>
      <c r="B4484" s="54" t="s">
        <v>977</v>
      </c>
      <c r="C4484" s="47" t="s">
        <v>9215</v>
      </c>
      <c r="D4484" s="47" t="s">
        <v>9216</v>
      </c>
      <c r="E4484" s="47" t="s">
        <v>3162</v>
      </c>
      <c r="F4484" s="55" t="b">
        <v>1</v>
      </c>
      <c r="G4484" s="54" t="b">
        <v>1</v>
      </c>
      <c r="H4484" s="54" t="b">
        <v>1</v>
      </c>
      <c r="I4484" s="54" t="b">
        <v>1</v>
      </c>
      <c r="J4484" s="54" t="b">
        <v>1</v>
      </c>
      <c r="K4484" s="63" t="s">
        <v>977</v>
      </c>
      <c r="L4484" s="63" t="s">
        <v>9215</v>
      </c>
      <c r="M4484" s="63" t="s">
        <v>9216</v>
      </c>
      <c r="N4484" s="63" t="s">
        <v>3162</v>
      </c>
    </row>
    <row r="4485" spans="1:14" x14ac:dyDescent="0.2">
      <c r="A4485" s="51">
        <v>4484</v>
      </c>
      <c r="B4485" s="54" t="s">
        <v>977</v>
      </c>
      <c r="C4485" s="47" t="s">
        <v>9219</v>
      </c>
      <c r="D4485" s="47" t="s">
        <v>9220</v>
      </c>
      <c r="E4485" s="47" t="s">
        <v>3162</v>
      </c>
      <c r="F4485" s="55" t="b">
        <v>1</v>
      </c>
      <c r="G4485" s="54" t="b">
        <v>1</v>
      </c>
      <c r="H4485" s="54" t="b">
        <v>1</v>
      </c>
      <c r="I4485" s="54" t="b">
        <v>1</v>
      </c>
      <c r="J4485" s="54" t="b">
        <v>1</v>
      </c>
      <c r="K4485" s="63" t="s">
        <v>977</v>
      </c>
      <c r="L4485" s="63" t="s">
        <v>9219</v>
      </c>
      <c r="M4485" s="63" t="s">
        <v>9220</v>
      </c>
      <c r="N4485" s="63" t="s">
        <v>3162</v>
      </c>
    </row>
    <row r="4486" spans="1:14" x14ac:dyDescent="0.2">
      <c r="A4486" s="51">
        <v>4485</v>
      </c>
      <c r="B4486" s="54" t="s">
        <v>977</v>
      </c>
      <c r="C4486" s="47" t="s">
        <v>9221</v>
      </c>
      <c r="D4486" s="47" t="s">
        <v>9222</v>
      </c>
      <c r="E4486" s="47" t="s">
        <v>3162</v>
      </c>
      <c r="F4486" s="55" t="b">
        <v>1</v>
      </c>
      <c r="G4486" s="54" t="b">
        <v>1</v>
      </c>
      <c r="H4486" s="54" t="b">
        <v>1</v>
      </c>
      <c r="I4486" s="54" t="b">
        <v>1</v>
      </c>
      <c r="J4486" s="54" t="b">
        <v>1</v>
      </c>
      <c r="K4486" s="63" t="s">
        <v>977</v>
      </c>
      <c r="L4486" s="63" t="s">
        <v>9221</v>
      </c>
      <c r="M4486" s="63" t="s">
        <v>9222</v>
      </c>
      <c r="N4486" s="63" t="s">
        <v>3162</v>
      </c>
    </row>
    <row r="4487" spans="1:14" x14ac:dyDescent="0.2">
      <c r="A4487" s="51">
        <v>4486</v>
      </c>
      <c r="B4487" s="54" t="s">
        <v>977</v>
      </c>
      <c r="C4487" s="47" t="s">
        <v>9223</v>
      </c>
      <c r="D4487" s="47" t="s">
        <v>9224</v>
      </c>
      <c r="E4487" s="47" t="s">
        <v>3162</v>
      </c>
      <c r="F4487" s="55" t="b">
        <v>1</v>
      </c>
      <c r="G4487" s="54" t="b">
        <v>1</v>
      </c>
      <c r="H4487" s="54" t="b">
        <v>1</v>
      </c>
      <c r="I4487" s="54" t="b">
        <v>1</v>
      </c>
      <c r="J4487" s="54" t="b">
        <v>1</v>
      </c>
      <c r="K4487" s="63" t="s">
        <v>977</v>
      </c>
      <c r="L4487" s="63" t="s">
        <v>9223</v>
      </c>
      <c r="M4487" s="63" t="s">
        <v>9224</v>
      </c>
      <c r="N4487" s="63" t="s">
        <v>3162</v>
      </c>
    </row>
    <row r="4488" spans="1:14" x14ac:dyDescent="0.2">
      <c r="A4488" s="51">
        <v>4487</v>
      </c>
      <c r="B4488" s="54" t="s">
        <v>977</v>
      </c>
      <c r="C4488" s="47" t="s">
        <v>9227</v>
      </c>
      <c r="D4488" s="47" t="s">
        <v>9228</v>
      </c>
      <c r="E4488" s="47" t="s">
        <v>3162</v>
      </c>
      <c r="F4488" s="55" t="b">
        <v>1</v>
      </c>
      <c r="G4488" s="54" t="b">
        <v>1</v>
      </c>
      <c r="H4488" s="54" t="b">
        <v>1</v>
      </c>
      <c r="I4488" s="54" t="b">
        <v>1</v>
      </c>
      <c r="J4488" s="54" t="b">
        <v>1</v>
      </c>
      <c r="K4488" s="63" t="s">
        <v>977</v>
      </c>
      <c r="L4488" s="63" t="s">
        <v>9227</v>
      </c>
      <c r="M4488" s="63" t="s">
        <v>9228</v>
      </c>
      <c r="N4488" s="63" t="s">
        <v>3162</v>
      </c>
    </row>
    <row r="4489" spans="1:14" x14ac:dyDescent="0.2">
      <c r="A4489" s="51">
        <v>4488</v>
      </c>
      <c r="B4489" s="54" t="s">
        <v>977</v>
      </c>
      <c r="C4489" s="47" t="s">
        <v>9229</v>
      </c>
      <c r="D4489" s="47" t="s">
        <v>9230</v>
      </c>
      <c r="E4489" s="47" t="s">
        <v>3162</v>
      </c>
      <c r="F4489" s="55" t="b">
        <v>1</v>
      </c>
      <c r="G4489" s="54" t="b">
        <v>1</v>
      </c>
      <c r="H4489" s="54" t="b">
        <v>1</v>
      </c>
      <c r="I4489" s="54" t="b">
        <v>1</v>
      </c>
      <c r="J4489" s="54" t="b">
        <v>1</v>
      </c>
      <c r="K4489" s="63" t="s">
        <v>977</v>
      </c>
      <c r="L4489" s="63" t="s">
        <v>9229</v>
      </c>
      <c r="M4489" s="63" t="s">
        <v>9230</v>
      </c>
      <c r="N4489" s="63" t="s">
        <v>3162</v>
      </c>
    </row>
    <row r="4490" spans="1:14" x14ac:dyDescent="0.2">
      <c r="A4490" s="51">
        <v>4489</v>
      </c>
      <c r="B4490" s="54" t="s">
        <v>977</v>
      </c>
      <c r="C4490" s="47" t="s">
        <v>9231</v>
      </c>
      <c r="D4490" s="47" t="s">
        <v>9232</v>
      </c>
      <c r="E4490" s="47" t="s">
        <v>3162</v>
      </c>
      <c r="F4490" s="55" t="b">
        <v>1</v>
      </c>
      <c r="G4490" s="54" t="b">
        <v>1</v>
      </c>
      <c r="H4490" s="54" t="b">
        <v>1</v>
      </c>
      <c r="I4490" s="54" t="b">
        <v>1</v>
      </c>
      <c r="J4490" s="54" t="b">
        <v>1</v>
      </c>
      <c r="K4490" s="63" t="s">
        <v>977</v>
      </c>
      <c r="L4490" s="63" t="s">
        <v>9231</v>
      </c>
      <c r="M4490" s="63" t="s">
        <v>9232</v>
      </c>
      <c r="N4490" s="63" t="s">
        <v>3162</v>
      </c>
    </row>
    <row r="4491" spans="1:14" x14ac:dyDescent="0.2">
      <c r="A4491" s="51">
        <v>4490</v>
      </c>
      <c r="B4491" s="54" t="s">
        <v>977</v>
      </c>
      <c r="C4491" s="47" t="s">
        <v>9529</v>
      </c>
      <c r="D4491" s="47" t="s">
        <v>9530</v>
      </c>
      <c r="E4491" s="47" t="s">
        <v>3162</v>
      </c>
      <c r="F4491" s="55" t="b">
        <v>1</v>
      </c>
      <c r="G4491" s="54" t="b">
        <v>1</v>
      </c>
      <c r="H4491" s="54" t="b">
        <v>1</v>
      </c>
      <c r="I4491" s="54" t="b">
        <v>1</v>
      </c>
      <c r="J4491" s="54" t="b">
        <v>1</v>
      </c>
      <c r="K4491" s="63" t="s">
        <v>977</v>
      </c>
      <c r="L4491" s="63" t="s">
        <v>9529</v>
      </c>
      <c r="M4491" s="63" t="s">
        <v>9530</v>
      </c>
      <c r="N4491" s="63" t="s">
        <v>3162</v>
      </c>
    </row>
    <row r="4492" spans="1:14" x14ac:dyDescent="0.2">
      <c r="A4492" s="51">
        <v>4491</v>
      </c>
      <c r="B4492" s="54" t="s">
        <v>977</v>
      </c>
      <c r="C4492" s="47" t="s">
        <v>9235</v>
      </c>
      <c r="D4492" s="47" t="s">
        <v>9236</v>
      </c>
      <c r="E4492" s="47" t="s">
        <v>3162</v>
      </c>
      <c r="F4492" s="55" t="b">
        <v>1</v>
      </c>
      <c r="G4492" s="54" t="b">
        <v>1</v>
      </c>
      <c r="H4492" s="54" t="b">
        <v>1</v>
      </c>
      <c r="I4492" s="54" t="b">
        <v>1</v>
      </c>
      <c r="J4492" s="54" t="b">
        <v>1</v>
      </c>
      <c r="K4492" s="63" t="s">
        <v>977</v>
      </c>
      <c r="L4492" s="63" t="s">
        <v>9235</v>
      </c>
      <c r="M4492" s="63" t="s">
        <v>9236</v>
      </c>
      <c r="N4492" s="63" t="s">
        <v>3162</v>
      </c>
    </row>
    <row r="4493" spans="1:14" x14ac:dyDescent="0.2">
      <c r="A4493" s="51">
        <v>4492</v>
      </c>
      <c r="B4493" s="54" t="s">
        <v>977</v>
      </c>
      <c r="C4493" s="47" t="s">
        <v>9237</v>
      </c>
      <c r="D4493" s="47" t="s">
        <v>9238</v>
      </c>
      <c r="E4493" s="47" t="s">
        <v>3162</v>
      </c>
      <c r="F4493" s="55" t="b">
        <v>1</v>
      </c>
      <c r="G4493" s="54" t="b">
        <v>1</v>
      </c>
      <c r="H4493" s="54" t="b">
        <v>1</v>
      </c>
      <c r="I4493" s="54" t="b">
        <v>1</v>
      </c>
      <c r="J4493" s="54" t="b">
        <v>1</v>
      </c>
      <c r="K4493" s="63" t="s">
        <v>977</v>
      </c>
      <c r="L4493" s="63" t="s">
        <v>9237</v>
      </c>
      <c r="M4493" s="63" t="s">
        <v>9238</v>
      </c>
      <c r="N4493" s="63" t="s">
        <v>3162</v>
      </c>
    </row>
    <row r="4494" spans="1:14" x14ac:dyDescent="0.2">
      <c r="A4494" s="51">
        <v>4493</v>
      </c>
      <c r="B4494" s="54" t="s">
        <v>977</v>
      </c>
      <c r="C4494" s="47" t="s">
        <v>9239</v>
      </c>
      <c r="D4494" s="47" t="s">
        <v>9240</v>
      </c>
      <c r="E4494" s="47" t="s">
        <v>3162</v>
      </c>
      <c r="F4494" s="55" t="b">
        <v>1</v>
      </c>
      <c r="G4494" s="54" t="b">
        <v>1</v>
      </c>
      <c r="H4494" s="54" t="b">
        <v>1</v>
      </c>
      <c r="I4494" s="54" t="b">
        <v>1</v>
      </c>
      <c r="J4494" s="54" t="b">
        <v>1</v>
      </c>
      <c r="K4494" s="63" t="s">
        <v>977</v>
      </c>
      <c r="L4494" s="63" t="s">
        <v>9239</v>
      </c>
      <c r="M4494" s="63" t="s">
        <v>9240</v>
      </c>
      <c r="N4494" s="63" t="s">
        <v>3162</v>
      </c>
    </row>
    <row r="4495" spans="1:14" x14ac:dyDescent="0.2">
      <c r="A4495" s="51">
        <v>4494</v>
      </c>
      <c r="B4495" s="54" t="s">
        <v>977</v>
      </c>
      <c r="C4495" s="47" t="s">
        <v>9241</v>
      </c>
      <c r="D4495" s="47" t="s">
        <v>9242</v>
      </c>
      <c r="E4495" s="47" t="s">
        <v>3162</v>
      </c>
      <c r="F4495" s="55" t="b">
        <v>1</v>
      </c>
      <c r="G4495" s="54" t="b">
        <v>1</v>
      </c>
      <c r="H4495" s="54" t="b">
        <v>1</v>
      </c>
      <c r="I4495" s="54" t="b">
        <v>1</v>
      </c>
      <c r="J4495" s="54" t="b">
        <v>1</v>
      </c>
      <c r="K4495" s="63" t="s">
        <v>977</v>
      </c>
      <c r="L4495" s="63" t="s">
        <v>9241</v>
      </c>
      <c r="M4495" s="63" t="s">
        <v>9242</v>
      </c>
      <c r="N4495" s="63" t="s">
        <v>3162</v>
      </c>
    </row>
    <row r="4496" spans="1:14" x14ac:dyDescent="0.2">
      <c r="A4496" s="51">
        <v>4495</v>
      </c>
      <c r="B4496" s="54" t="s">
        <v>977</v>
      </c>
      <c r="C4496" s="47" t="s">
        <v>9575</v>
      </c>
      <c r="D4496" s="47" t="s">
        <v>9576</v>
      </c>
      <c r="E4496" s="47" t="s">
        <v>3162</v>
      </c>
      <c r="F4496" s="55" t="b">
        <v>1</v>
      </c>
      <c r="G4496" s="54" t="b">
        <v>1</v>
      </c>
      <c r="H4496" s="54" t="b">
        <v>1</v>
      </c>
      <c r="I4496" s="54" t="b">
        <v>1</v>
      </c>
      <c r="J4496" s="54" t="b">
        <v>1</v>
      </c>
      <c r="K4496" s="63" t="s">
        <v>977</v>
      </c>
      <c r="L4496" s="63" t="s">
        <v>9575</v>
      </c>
      <c r="M4496" s="63" t="s">
        <v>9576</v>
      </c>
      <c r="N4496" s="63" t="s">
        <v>3162</v>
      </c>
    </row>
    <row r="4497" spans="1:14" x14ac:dyDescent="0.2">
      <c r="A4497" s="51">
        <v>4496</v>
      </c>
      <c r="B4497" s="54" t="s">
        <v>977</v>
      </c>
      <c r="C4497" s="47" t="s">
        <v>9577</v>
      </c>
      <c r="D4497" s="47" t="s">
        <v>9578</v>
      </c>
      <c r="E4497" s="47" t="s">
        <v>3162</v>
      </c>
      <c r="F4497" s="55" t="b">
        <v>1</v>
      </c>
      <c r="G4497" s="54" t="b">
        <v>1</v>
      </c>
      <c r="H4497" s="54" t="b">
        <v>1</v>
      </c>
      <c r="I4497" s="54" t="b">
        <v>1</v>
      </c>
      <c r="J4497" s="54" t="b">
        <v>1</v>
      </c>
      <c r="K4497" s="63" t="s">
        <v>977</v>
      </c>
      <c r="L4497" s="63" t="s">
        <v>9577</v>
      </c>
      <c r="M4497" s="63" t="s">
        <v>9578</v>
      </c>
      <c r="N4497" s="63" t="s">
        <v>3162</v>
      </c>
    </row>
    <row r="4498" spans="1:14" x14ac:dyDescent="0.2">
      <c r="A4498" s="51">
        <v>4497</v>
      </c>
      <c r="B4498" s="54" t="s">
        <v>977</v>
      </c>
      <c r="C4498" s="47" t="s">
        <v>9579</v>
      </c>
      <c r="D4498" s="47" t="s">
        <v>9580</v>
      </c>
      <c r="E4498" s="47" t="s">
        <v>3162</v>
      </c>
      <c r="F4498" s="55" t="b">
        <v>1</v>
      </c>
      <c r="G4498" s="54" t="b">
        <v>1</v>
      </c>
      <c r="H4498" s="54" t="b">
        <v>1</v>
      </c>
      <c r="I4498" s="54" t="b">
        <v>1</v>
      </c>
      <c r="J4498" s="54" t="b">
        <v>1</v>
      </c>
      <c r="K4498" s="63" t="s">
        <v>977</v>
      </c>
      <c r="L4498" s="63" t="s">
        <v>9579</v>
      </c>
      <c r="M4498" s="63" t="s">
        <v>9580</v>
      </c>
      <c r="N4498" s="63" t="s">
        <v>3162</v>
      </c>
    </row>
    <row r="4499" spans="1:14" x14ac:dyDescent="0.2">
      <c r="A4499" s="51">
        <v>4498</v>
      </c>
      <c r="B4499" s="54" t="s">
        <v>977</v>
      </c>
      <c r="C4499" s="47" t="s">
        <v>9247</v>
      </c>
      <c r="D4499" s="47" t="s">
        <v>9248</v>
      </c>
      <c r="E4499" s="47" t="s">
        <v>3162</v>
      </c>
      <c r="F4499" s="55" t="b">
        <v>1</v>
      </c>
      <c r="G4499" s="54" t="b">
        <v>1</v>
      </c>
      <c r="H4499" s="54" t="b">
        <v>1</v>
      </c>
      <c r="I4499" s="54" t="b">
        <v>1</v>
      </c>
      <c r="J4499" s="54" t="b">
        <v>1</v>
      </c>
      <c r="K4499" s="63" t="s">
        <v>977</v>
      </c>
      <c r="L4499" s="63" t="s">
        <v>9247</v>
      </c>
      <c r="M4499" s="63" t="s">
        <v>9248</v>
      </c>
      <c r="N4499" s="63" t="s">
        <v>3162</v>
      </c>
    </row>
    <row r="4500" spans="1:14" x14ac:dyDescent="0.2">
      <c r="A4500" s="51">
        <v>4499</v>
      </c>
      <c r="B4500" s="54" t="s">
        <v>977</v>
      </c>
      <c r="C4500" s="47" t="s">
        <v>9249</v>
      </c>
      <c r="D4500" s="47" t="s">
        <v>9250</v>
      </c>
      <c r="E4500" s="47" t="s">
        <v>3162</v>
      </c>
      <c r="F4500" s="55" t="b">
        <v>1</v>
      </c>
      <c r="G4500" s="54" t="b">
        <v>1</v>
      </c>
      <c r="H4500" s="54" t="b">
        <v>1</v>
      </c>
      <c r="I4500" s="54" t="b">
        <v>1</v>
      </c>
      <c r="J4500" s="54" t="b">
        <v>1</v>
      </c>
      <c r="K4500" s="63" t="s">
        <v>977</v>
      </c>
      <c r="L4500" s="63" t="s">
        <v>9249</v>
      </c>
      <c r="M4500" s="63" t="s">
        <v>9250</v>
      </c>
      <c r="N4500" s="63" t="s">
        <v>3162</v>
      </c>
    </row>
    <row r="4501" spans="1:14" x14ac:dyDescent="0.2">
      <c r="A4501" s="51">
        <v>4500</v>
      </c>
      <c r="B4501" s="54" t="s">
        <v>977</v>
      </c>
      <c r="C4501" s="47" t="s">
        <v>9253</v>
      </c>
      <c r="D4501" s="47" t="s">
        <v>9254</v>
      </c>
      <c r="E4501" s="47" t="s">
        <v>3162</v>
      </c>
      <c r="F4501" s="55" t="b">
        <v>1</v>
      </c>
      <c r="G4501" s="54" t="b">
        <v>1</v>
      </c>
      <c r="H4501" s="54" t="b">
        <v>1</v>
      </c>
      <c r="I4501" s="54" t="b">
        <v>1</v>
      </c>
      <c r="J4501" s="54" t="b">
        <v>1</v>
      </c>
      <c r="K4501" s="63" t="s">
        <v>977</v>
      </c>
      <c r="L4501" s="63" t="s">
        <v>9253</v>
      </c>
      <c r="M4501" s="63" t="s">
        <v>9254</v>
      </c>
      <c r="N4501" s="63" t="s">
        <v>3162</v>
      </c>
    </row>
    <row r="4502" spans="1:14" x14ac:dyDescent="0.2">
      <c r="A4502" s="51">
        <v>4501</v>
      </c>
      <c r="B4502" s="54" t="s">
        <v>977</v>
      </c>
      <c r="C4502" s="47" t="s">
        <v>9257</v>
      </c>
      <c r="D4502" s="47" t="s">
        <v>9258</v>
      </c>
      <c r="E4502" s="47" t="s">
        <v>3162</v>
      </c>
      <c r="F4502" s="55" t="b">
        <v>1</v>
      </c>
      <c r="G4502" s="54" t="b">
        <v>1</v>
      </c>
      <c r="H4502" s="54" t="b">
        <v>1</v>
      </c>
      <c r="I4502" s="54" t="b">
        <v>1</v>
      </c>
      <c r="J4502" s="54" t="b">
        <v>1</v>
      </c>
      <c r="K4502" s="63" t="s">
        <v>977</v>
      </c>
      <c r="L4502" s="63" t="s">
        <v>9257</v>
      </c>
      <c r="M4502" s="63" t="s">
        <v>9258</v>
      </c>
      <c r="N4502" s="63" t="s">
        <v>3162</v>
      </c>
    </row>
    <row r="4503" spans="1:14" x14ac:dyDescent="0.2">
      <c r="A4503" s="51">
        <v>4502</v>
      </c>
      <c r="B4503" s="54" t="s">
        <v>977</v>
      </c>
      <c r="C4503" s="47" t="s">
        <v>9261</v>
      </c>
      <c r="D4503" s="47" t="s">
        <v>9262</v>
      </c>
      <c r="E4503" s="47" t="s">
        <v>3162</v>
      </c>
      <c r="F4503" s="55" t="b">
        <v>1</v>
      </c>
      <c r="G4503" s="54" t="b">
        <v>1</v>
      </c>
      <c r="H4503" s="54" t="b">
        <v>1</v>
      </c>
      <c r="I4503" s="54" t="b">
        <v>1</v>
      </c>
      <c r="J4503" s="54" t="b">
        <v>1</v>
      </c>
      <c r="K4503" s="63" t="s">
        <v>977</v>
      </c>
      <c r="L4503" s="63" t="s">
        <v>9261</v>
      </c>
      <c r="M4503" s="63" t="s">
        <v>9262</v>
      </c>
      <c r="N4503" s="63" t="s">
        <v>3162</v>
      </c>
    </row>
    <row r="4504" spans="1:14" x14ac:dyDescent="0.2">
      <c r="A4504" s="51">
        <v>4503</v>
      </c>
      <c r="B4504" s="54" t="s">
        <v>977</v>
      </c>
      <c r="C4504" s="47" t="s">
        <v>9265</v>
      </c>
      <c r="D4504" s="47" t="s">
        <v>9266</v>
      </c>
      <c r="E4504" s="47" t="s">
        <v>3162</v>
      </c>
      <c r="F4504" s="55" t="b">
        <v>1</v>
      </c>
      <c r="G4504" s="54" t="b">
        <v>1</v>
      </c>
      <c r="H4504" s="54" t="b">
        <v>1</v>
      </c>
      <c r="I4504" s="54" t="b">
        <v>1</v>
      </c>
      <c r="J4504" s="54" t="b">
        <v>1</v>
      </c>
      <c r="K4504" s="63" t="s">
        <v>977</v>
      </c>
      <c r="L4504" s="63" t="s">
        <v>9265</v>
      </c>
      <c r="M4504" s="63" t="s">
        <v>9266</v>
      </c>
      <c r="N4504" s="63" t="s">
        <v>3162</v>
      </c>
    </row>
    <row r="4505" spans="1:14" x14ac:dyDescent="0.2">
      <c r="A4505" s="51">
        <v>4504</v>
      </c>
      <c r="B4505" s="54" t="s">
        <v>977</v>
      </c>
      <c r="C4505" s="47" t="s">
        <v>9267</v>
      </c>
      <c r="D4505" s="47" t="s">
        <v>9268</v>
      </c>
      <c r="E4505" s="47" t="s">
        <v>3162</v>
      </c>
      <c r="F4505" s="55" t="b">
        <v>1</v>
      </c>
      <c r="G4505" s="54" t="b">
        <v>1</v>
      </c>
      <c r="H4505" s="54" t="b">
        <v>1</v>
      </c>
      <c r="I4505" s="54" t="b">
        <v>1</v>
      </c>
      <c r="J4505" s="54" t="b">
        <v>1</v>
      </c>
      <c r="K4505" s="63" t="s">
        <v>977</v>
      </c>
      <c r="L4505" s="63" t="s">
        <v>9267</v>
      </c>
      <c r="M4505" s="63" t="s">
        <v>9268</v>
      </c>
      <c r="N4505" s="63" t="s">
        <v>3162</v>
      </c>
    </row>
    <row r="4506" spans="1:14" x14ac:dyDescent="0.2">
      <c r="A4506" s="51">
        <v>4505</v>
      </c>
      <c r="B4506" s="54" t="s">
        <v>977</v>
      </c>
      <c r="C4506" s="47" t="s">
        <v>9269</v>
      </c>
      <c r="D4506" s="47" t="s">
        <v>9270</v>
      </c>
      <c r="E4506" s="47" t="s">
        <v>3162</v>
      </c>
      <c r="F4506" s="55" t="b">
        <v>1</v>
      </c>
      <c r="G4506" s="54" t="b">
        <v>1</v>
      </c>
      <c r="H4506" s="54" t="b">
        <v>1</v>
      </c>
      <c r="I4506" s="54" t="b">
        <v>1</v>
      </c>
      <c r="J4506" s="54" t="b">
        <v>1</v>
      </c>
      <c r="K4506" s="63" t="s">
        <v>977</v>
      </c>
      <c r="L4506" s="63" t="s">
        <v>9269</v>
      </c>
      <c r="M4506" s="63" t="s">
        <v>9270</v>
      </c>
      <c r="N4506" s="63" t="s">
        <v>3162</v>
      </c>
    </row>
    <row r="4507" spans="1:14" x14ac:dyDescent="0.2">
      <c r="A4507" s="51">
        <v>4506</v>
      </c>
      <c r="B4507" s="54" t="s">
        <v>977</v>
      </c>
      <c r="C4507" s="47" t="s">
        <v>9271</v>
      </c>
      <c r="D4507" s="47" t="s">
        <v>9272</v>
      </c>
      <c r="E4507" s="47" t="s">
        <v>3162</v>
      </c>
      <c r="F4507" s="55" t="b">
        <v>1</v>
      </c>
      <c r="G4507" s="54" t="b">
        <v>1</v>
      </c>
      <c r="H4507" s="54" t="b">
        <v>1</v>
      </c>
      <c r="I4507" s="54" t="b">
        <v>1</v>
      </c>
      <c r="J4507" s="54" t="b">
        <v>1</v>
      </c>
      <c r="K4507" s="63" t="s">
        <v>977</v>
      </c>
      <c r="L4507" s="63" t="s">
        <v>9271</v>
      </c>
      <c r="M4507" s="63" t="s">
        <v>9272</v>
      </c>
      <c r="N4507" s="63" t="s">
        <v>3162</v>
      </c>
    </row>
    <row r="4508" spans="1:14" x14ac:dyDescent="0.2">
      <c r="A4508" s="51">
        <v>4507</v>
      </c>
      <c r="B4508" s="54" t="s">
        <v>977</v>
      </c>
      <c r="C4508" s="47" t="s">
        <v>9273</v>
      </c>
      <c r="D4508" s="47" t="s">
        <v>13644</v>
      </c>
      <c r="E4508" s="47" t="s">
        <v>3162</v>
      </c>
      <c r="F4508" s="55" t="b">
        <v>1</v>
      </c>
      <c r="G4508" s="54" t="b">
        <v>1</v>
      </c>
      <c r="H4508" s="54" t="b">
        <v>1</v>
      </c>
      <c r="I4508" s="65" t="b">
        <v>0</v>
      </c>
      <c r="J4508" s="54" t="b">
        <v>1</v>
      </c>
      <c r="K4508" s="63" t="s">
        <v>977</v>
      </c>
      <c r="L4508" s="63" t="s">
        <v>9273</v>
      </c>
      <c r="M4508" s="63" t="s">
        <v>9274</v>
      </c>
      <c r="N4508" s="63" t="s">
        <v>3162</v>
      </c>
    </row>
    <row r="4509" spans="1:14" x14ac:dyDescent="0.2">
      <c r="A4509" s="51">
        <v>4508</v>
      </c>
      <c r="B4509" s="54" t="s">
        <v>977</v>
      </c>
      <c r="C4509" s="47" t="s">
        <v>9275</v>
      </c>
      <c r="D4509" s="47" t="s">
        <v>9276</v>
      </c>
      <c r="E4509" s="47" t="s">
        <v>3162</v>
      </c>
      <c r="F4509" s="55" t="b">
        <v>1</v>
      </c>
      <c r="G4509" s="54" t="b">
        <v>1</v>
      </c>
      <c r="H4509" s="54" t="b">
        <v>1</v>
      </c>
      <c r="I4509" s="54" t="b">
        <v>1</v>
      </c>
      <c r="J4509" s="54" t="b">
        <v>1</v>
      </c>
      <c r="K4509" s="63" t="s">
        <v>977</v>
      </c>
      <c r="L4509" s="63" t="s">
        <v>9275</v>
      </c>
      <c r="M4509" s="63" t="s">
        <v>9276</v>
      </c>
      <c r="N4509" s="63" t="s">
        <v>3162</v>
      </c>
    </row>
    <row r="4510" spans="1:14" x14ac:dyDescent="0.2">
      <c r="A4510" s="51">
        <v>4509</v>
      </c>
      <c r="B4510" s="54" t="s">
        <v>977</v>
      </c>
      <c r="C4510" s="47" t="s">
        <v>9279</v>
      </c>
      <c r="D4510" s="47" t="s">
        <v>9280</v>
      </c>
      <c r="E4510" s="47" t="s">
        <v>3162</v>
      </c>
      <c r="F4510" s="55" t="b">
        <v>1</v>
      </c>
      <c r="G4510" s="54" t="b">
        <v>1</v>
      </c>
      <c r="H4510" s="54" t="b">
        <v>1</v>
      </c>
      <c r="I4510" s="54" t="b">
        <v>1</v>
      </c>
      <c r="J4510" s="54" t="b">
        <v>1</v>
      </c>
      <c r="K4510" s="63" t="s">
        <v>977</v>
      </c>
      <c r="L4510" s="63" t="s">
        <v>9279</v>
      </c>
      <c r="M4510" s="63" t="s">
        <v>9280</v>
      </c>
      <c r="N4510" s="63" t="s">
        <v>3162</v>
      </c>
    </row>
    <row r="4511" spans="1:14" x14ac:dyDescent="0.2">
      <c r="A4511" s="51">
        <v>4510</v>
      </c>
      <c r="B4511" s="54" t="s">
        <v>977</v>
      </c>
      <c r="C4511" s="47" t="s">
        <v>9281</v>
      </c>
      <c r="D4511" s="47" t="s">
        <v>9282</v>
      </c>
      <c r="E4511" s="47" t="s">
        <v>3162</v>
      </c>
      <c r="F4511" s="55" t="b">
        <v>1</v>
      </c>
      <c r="G4511" s="54" t="b">
        <v>1</v>
      </c>
      <c r="H4511" s="54" t="b">
        <v>1</v>
      </c>
      <c r="I4511" s="54" t="b">
        <v>1</v>
      </c>
      <c r="J4511" s="54" t="b">
        <v>1</v>
      </c>
      <c r="K4511" s="63" t="s">
        <v>977</v>
      </c>
      <c r="L4511" s="63" t="s">
        <v>9281</v>
      </c>
      <c r="M4511" s="63" t="s">
        <v>9282</v>
      </c>
      <c r="N4511" s="63" t="s">
        <v>3162</v>
      </c>
    </row>
    <row r="4512" spans="1:14" x14ac:dyDescent="0.2">
      <c r="A4512" s="51">
        <v>4511</v>
      </c>
      <c r="B4512" s="54" t="s">
        <v>977</v>
      </c>
      <c r="C4512" s="47" t="s">
        <v>9283</v>
      </c>
      <c r="D4512" s="47" t="s">
        <v>9284</v>
      </c>
      <c r="E4512" s="47" t="s">
        <v>3162</v>
      </c>
      <c r="F4512" s="55" t="b">
        <v>1</v>
      </c>
      <c r="G4512" s="54" t="b">
        <v>1</v>
      </c>
      <c r="H4512" s="54" t="b">
        <v>1</v>
      </c>
      <c r="I4512" s="54" t="b">
        <v>1</v>
      </c>
      <c r="J4512" s="54" t="b">
        <v>1</v>
      </c>
      <c r="K4512" s="63" t="s">
        <v>977</v>
      </c>
      <c r="L4512" s="63" t="s">
        <v>9283</v>
      </c>
      <c r="M4512" s="63" t="s">
        <v>9284</v>
      </c>
      <c r="N4512" s="63" t="s">
        <v>3162</v>
      </c>
    </row>
    <row r="4513" spans="1:14" x14ac:dyDescent="0.2">
      <c r="A4513" s="51">
        <v>4512</v>
      </c>
      <c r="B4513" s="54" t="s">
        <v>977</v>
      </c>
      <c r="C4513" s="47" t="s">
        <v>9287</v>
      </c>
      <c r="D4513" s="47" t="s">
        <v>9288</v>
      </c>
      <c r="E4513" s="47" t="s">
        <v>3162</v>
      </c>
      <c r="F4513" s="55" t="b">
        <v>1</v>
      </c>
      <c r="G4513" s="54" t="b">
        <v>1</v>
      </c>
      <c r="H4513" s="54" t="b">
        <v>1</v>
      </c>
      <c r="I4513" s="54" t="b">
        <v>1</v>
      </c>
      <c r="J4513" s="54" t="b">
        <v>1</v>
      </c>
      <c r="K4513" s="63" t="s">
        <v>977</v>
      </c>
      <c r="L4513" s="63" t="s">
        <v>9287</v>
      </c>
      <c r="M4513" s="63" t="s">
        <v>9288</v>
      </c>
      <c r="N4513" s="63" t="s">
        <v>3162</v>
      </c>
    </row>
    <row r="4514" spans="1:14" x14ac:dyDescent="0.2">
      <c r="A4514" s="51">
        <v>4513</v>
      </c>
      <c r="B4514" s="54" t="s">
        <v>977</v>
      </c>
      <c r="C4514" s="47" t="s">
        <v>9581</v>
      </c>
      <c r="D4514" s="47" t="s">
        <v>9582</v>
      </c>
      <c r="E4514" s="47" t="s">
        <v>3162</v>
      </c>
      <c r="F4514" s="55" t="b">
        <v>1</v>
      </c>
      <c r="G4514" s="54" t="b">
        <v>1</v>
      </c>
      <c r="H4514" s="54" t="b">
        <v>1</v>
      </c>
      <c r="I4514" s="54" t="b">
        <v>1</v>
      </c>
      <c r="J4514" s="54" t="b">
        <v>1</v>
      </c>
      <c r="K4514" s="63" t="s">
        <v>977</v>
      </c>
      <c r="L4514" s="63" t="s">
        <v>9581</v>
      </c>
      <c r="M4514" s="63" t="s">
        <v>9582</v>
      </c>
      <c r="N4514" s="63" t="s">
        <v>3162</v>
      </c>
    </row>
    <row r="4515" spans="1:14" x14ac:dyDescent="0.2">
      <c r="A4515" s="51">
        <v>4514</v>
      </c>
      <c r="B4515" s="54" t="s">
        <v>977</v>
      </c>
      <c r="C4515" s="47" t="s">
        <v>9297</v>
      </c>
      <c r="D4515" s="47" t="s">
        <v>9298</v>
      </c>
      <c r="E4515" s="47" t="s">
        <v>3162</v>
      </c>
      <c r="F4515" s="55" t="b">
        <v>1</v>
      </c>
      <c r="G4515" s="54" t="b">
        <v>1</v>
      </c>
      <c r="H4515" s="54" t="b">
        <v>1</v>
      </c>
      <c r="I4515" s="54" t="b">
        <v>1</v>
      </c>
      <c r="J4515" s="54" t="b">
        <v>1</v>
      </c>
      <c r="K4515" s="63" t="s">
        <v>977</v>
      </c>
      <c r="L4515" s="63" t="s">
        <v>9297</v>
      </c>
      <c r="M4515" s="63" t="s">
        <v>9298</v>
      </c>
      <c r="N4515" s="63" t="s">
        <v>3162</v>
      </c>
    </row>
    <row r="4516" spans="1:14" x14ac:dyDescent="0.2">
      <c r="A4516" s="51">
        <v>4515</v>
      </c>
      <c r="B4516" s="54" t="s">
        <v>977</v>
      </c>
      <c r="C4516" s="47" t="s">
        <v>9299</v>
      </c>
      <c r="D4516" s="47" t="s">
        <v>9300</v>
      </c>
      <c r="E4516" s="47" t="s">
        <v>3162</v>
      </c>
      <c r="F4516" s="55" t="b">
        <v>1</v>
      </c>
      <c r="G4516" s="54" t="b">
        <v>1</v>
      </c>
      <c r="H4516" s="54" t="b">
        <v>1</v>
      </c>
      <c r="I4516" s="54" t="b">
        <v>1</v>
      </c>
      <c r="J4516" s="54" t="b">
        <v>1</v>
      </c>
      <c r="K4516" s="63" t="s">
        <v>977</v>
      </c>
      <c r="L4516" s="63" t="s">
        <v>9299</v>
      </c>
      <c r="M4516" s="63" t="s">
        <v>9300</v>
      </c>
      <c r="N4516" s="63" t="s">
        <v>3162</v>
      </c>
    </row>
    <row r="4517" spans="1:14" x14ac:dyDescent="0.2">
      <c r="A4517" s="51">
        <v>4516</v>
      </c>
      <c r="B4517" s="54" t="s">
        <v>977</v>
      </c>
      <c r="C4517" s="47" t="s">
        <v>9301</v>
      </c>
      <c r="D4517" s="47" t="s">
        <v>9302</v>
      </c>
      <c r="E4517" s="47" t="s">
        <v>3162</v>
      </c>
      <c r="F4517" s="55" t="b">
        <v>1</v>
      </c>
      <c r="G4517" s="54" t="b">
        <v>1</v>
      </c>
      <c r="H4517" s="54" t="b">
        <v>1</v>
      </c>
      <c r="I4517" s="54" t="b">
        <v>1</v>
      </c>
      <c r="J4517" s="54" t="b">
        <v>1</v>
      </c>
      <c r="K4517" s="63" t="s">
        <v>977</v>
      </c>
      <c r="L4517" s="63" t="s">
        <v>9301</v>
      </c>
      <c r="M4517" s="63" t="s">
        <v>9302</v>
      </c>
      <c r="N4517" s="63" t="s">
        <v>3162</v>
      </c>
    </row>
    <row r="4518" spans="1:14" x14ac:dyDescent="0.2">
      <c r="A4518" s="51">
        <v>4517</v>
      </c>
      <c r="B4518" s="54" t="s">
        <v>977</v>
      </c>
      <c r="C4518" s="47" t="s">
        <v>9303</v>
      </c>
      <c r="D4518" s="47" t="s">
        <v>9304</v>
      </c>
      <c r="E4518" s="47" t="s">
        <v>3162</v>
      </c>
      <c r="F4518" s="55" t="b">
        <v>1</v>
      </c>
      <c r="G4518" s="54" t="b">
        <v>1</v>
      </c>
      <c r="H4518" s="54" t="b">
        <v>1</v>
      </c>
      <c r="I4518" s="54" t="b">
        <v>1</v>
      </c>
      <c r="J4518" s="54" t="b">
        <v>1</v>
      </c>
      <c r="K4518" s="63" t="s">
        <v>977</v>
      </c>
      <c r="L4518" s="63" t="s">
        <v>9303</v>
      </c>
      <c r="M4518" s="63" t="s">
        <v>9304</v>
      </c>
      <c r="N4518" s="63" t="s">
        <v>3162</v>
      </c>
    </row>
    <row r="4519" spans="1:14" x14ac:dyDescent="0.2">
      <c r="A4519" s="51">
        <v>4518</v>
      </c>
      <c r="B4519" s="54" t="s">
        <v>977</v>
      </c>
      <c r="C4519" s="47" t="s">
        <v>9305</v>
      </c>
      <c r="D4519" s="47" t="s">
        <v>9306</v>
      </c>
      <c r="E4519" s="47" t="s">
        <v>3162</v>
      </c>
      <c r="F4519" s="55" t="b">
        <v>1</v>
      </c>
      <c r="G4519" s="54" t="b">
        <v>1</v>
      </c>
      <c r="H4519" s="54" t="b">
        <v>1</v>
      </c>
      <c r="I4519" s="54" t="b">
        <v>1</v>
      </c>
      <c r="J4519" s="54" t="b">
        <v>1</v>
      </c>
      <c r="K4519" s="63" t="s">
        <v>977</v>
      </c>
      <c r="L4519" s="63" t="s">
        <v>9305</v>
      </c>
      <c r="M4519" s="63" t="s">
        <v>9306</v>
      </c>
      <c r="N4519" s="63" t="s">
        <v>3162</v>
      </c>
    </row>
    <row r="4520" spans="1:14" x14ac:dyDescent="0.2">
      <c r="A4520" s="51">
        <v>4519</v>
      </c>
      <c r="B4520" s="54" t="s">
        <v>977</v>
      </c>
      <c r="C4520" s="47" t="s">
        <v>9307</v>
      </c>
      <c r="D4520" s="47" t="s">
        <v>9308</v>
      </c>
      <c r="E4520" s="47" t="s">
        <v>3162</v>
      </c>
      <c r="F4520" s="55" t="b">
        <v>1</v>
      </c>
      <c r="G4520" s="54" t="b">
        <v>1</v>
      </c>
      <c r="H4520" s="54" t="b">
        <v>1</v>
      </c>
      <c r="I4520" s="54" t="b">
        <v>1</v>
      </c>
      <c r="J4520" s="54" t="b">
        <v>1</v>
      </c>
      <c r="K4520" s="63" t="s">
        <v>977</v>
      </c>
      <c r="L4520" s="63" t="s">
        <v>9307</v>
      </c>
      <c r="M4520" s="63" t="s">
        <v>9308</v>
      </c>
      <c r="N4520" s="63" t="s">
        <v>3162</v>
      </c>
    </row>
    <row r="4521" spans="1:14" x14ac:dyDescent="0.2">
      <c r="A4521" s="51">
        <v>4520</v>
      </c>
      <c r="B4521" s="54" t="s">
        <v>977</v>
      </c>
      <c r="C4521" s="47" t="s">
        <v>9309</v>
      </c>
      <c r="D4521" s="47" t="s">
        <v>9310</v>
      </c>
      <c r="E4521" s="47" t="s">
        <v>3162</v>
      </c>
      <c r="F4521" s="55" t="b">
        <v>1</v>
      </c>
      <c r="G4521" s="54" t="b">
        <v>1</v>
      </c>
      <c r="H4521" s="54" t="b">
        <v>1</v>
      </c>
      <c r="I4521" s="54" t="b">
        <v>1</v>
      </c>
      <c r="J4521" s="54" t="b">
        <v>1</v>
      </c>
      <c r="K4521" s="63" t="s">
        <v>977</v>
      </c>
      <c r="L4521" s="63" t="s">
        <v>9309</v>
      </c>
      <c r="M4521" s="63" t="s">
        <v>9310</v>
      </c>
      <c r="N4521" s="63" t="s">
        <v>3162</v>
      </c>
    </row>
    <row r="4522" spans="1:14" x14ac:dyDescent="0.2">
      <c r="A4522" s="51">
        <v>4521</v>
      </c>
      <c r="B4522" s="54" t="s">
        <v>977</v>
      </c>
      <c r="C4522" s="47" t="s">
        <v>9311</v>
      </c>
      <c r="D4522" s="47" t="s">
        <v>9312</v>
      </c>
      <c r="E4522" s="47" t="s">
        <v>3162</v>
      </c>
      <c r="F4522" s="55" t="b">
        <v>1</v>
      </c>
      <c r="G4522" s="54" t="b">
        <v>1</v>
      </c>
      <c r="H4522" s="54" t="b">
        <v>1</v>
      </c>
      <c r="I4522" s="54" t="b">
        <v>1</v>
      </c>
      <c r="J4522" s="54" t="b">
        <v>1</v>
      </c>
      <c r="K4522" s="63" t="s">
        <v>977</v>
      </c>
      <c r="L4522" s="63" t="s">
        <v>9311</v>
      </c>
      <c r="M4522" s="63" t="s">
        <v>9312</v>
      </c>
      <c r="N4522" s="63" t="s">
        <v>3162</v>
      </c>
    </row>
    <row r="4523" spans="1:14" x14ac:dyDescent="0.2">
      <c r="A4523" s="51">
        <v>4522</v>
      </c>
      <c r="B4523" s="54" t="s">
        <v>977</v>
      </c>
      <c r="C4523" s="47" t="s">
        <v>9315</v>
      </c>
      <c r="D4523" s="47" t="s">
        <v>9316</v>
      </c>
      <c r="E4523" s="47" t="s">
        <v>3162</v>
      </c>
      <c r="F4523" s="55" t="b">
        <v>1</v>
      </c>
      <c r="G4523" s="54" t="b">
        <v>1</v>
      </c>
      <c r="H4523" s="54" t="b">
        <v>1</v>
      </c>
      <c r="I4523" s="54" t="b">
        <v>1</v>
      </c>
      <c r="J4523" s="54" t="b">
        <v>1</v>
      </c>
      <c r="K4523" s="63" t="s">
        <v>977</v>
      </c>
      <c r="L4523" s="63" t="s">
        <v>9315</v>
      </c>
      <c r="M4523" s="63" t="s">
        <v>9316</v>
      </c>
      <c r="N4523" s="63" t="s">
        <v>3162</v>
      </c>
    </row>
    <row r="4524" spans="1:14" x14ac:dyDescent="0.2">
      <c r="A4524" s="51">
        <v>4523</v>
      </c>
      <c r="B4524" s="54" t="s">
        <v>977</v>
      </c>
      <c r="C4524" s="47" t="s">
        <v>9317</v>
      </c>
      <c r="D4524" s="47" t="s">
        <v>9318</v>
      </c>
      <c r="E4524" s="47" t="s">
        <v>3162</v>
      </c>
      <c r="F4524" s="55" t="b">
        <v>1</v>
      </c>
      <c r="G4524" s="54" t="b">
        <v>1</v>
      </c>
      <c r="H4524" s="54" t="b">
        <v>1</v>
      </c>
      <c r="I4524" s="54" t="b">
        <v>1</v>
      </c>
      <c r="J4524" s="54" t="b">
        <v>1</v>
      </c>
      <c r="K4524" s="63" t="s">
        <v>977</v>
      </c>
      <c r="L4524" s="63" t="s">
        <v>9317</v>
      </c>
      <c r="M4524" s="63" t="s">
        <v>9318</v>
      </c>
      <c r="N4524" s="63" t="s">
        <v>3162</v>
      </c>
    </row>
    <row r="4525" spans="1:14" x14ac:dyDescent="0.2">
      <c r="A4525" s="51">
        <v>4524</v>
      </c>
      <c r="B4525" s="54" t="s">
        <v>977</v>
      </c>
      <c r="C4525" s="47" t="s">
        <v>9319</v>
      </c>
      <c r="D4525" s="47" t="s">
        <v>9320</v>
      </c>
      <c r="E4525" s="47" t="s">
        <v>3162</v>
      </c>
      <c r="F4525" s="55" t="b">
        <v>1</v>
      </c>
      <c r="G4525" s="54" t="b">
        <v>1</v>
      </c>
      <c r="H4525" s="54" t="b">
        <v>1</v>
      </c>
      <c r="I4525" s="54" t="b">
        <v>1</v>
      </c>
      <c r="J4525" s="54" t="b">
        <v>1</v>
      </c>
      <c r="K4525" s="63" t="s">
        <v>977</v>
      </c>
      <c r="L4525" s="63" t="s">
        <v>9319</v>
      </c>
      <c r="M4525" s="63" t="s">
        <v>9320</v>
      </c>
      <c r="N4525" s="63" t="s">
        <v>3162</v>
      </c>
    </row>
    <row r="4526" spans="1:14" x14ac:dyDescent="0.2">
      <c r="A4526" s="51">
        <v>4525</v>
      </c>
      <c r="B4526" s="54" t="s">
        <v>977</v>
      </c>
      <c r="C4526" s="47" t="s">
        <v>9321</v>
      </c>
      <c r="D4526" s="47" t="s">
        <v>9322</v>
      </c>
      <c r="E4526" s="47" t="s">
        <v>3162</v>
      </c>
      <c r="F4526" s="55" t="b">
        <v>1</v>
      </c>
      <c r="G4526" s="54" t="b">
        <v>1</v>
      </c>
      <c r="H4526" s="54" t="b">
        <v>1</v>
      </c>
      <c r="I4526" s="54" t="b">
        <v>1</v>
      </c>
      <c r="J4526" s="54" t="b">
        <v>1</v>
      </c>
      <c r="K4526" s="63" t="s">
        <v>977</v>
      </c>
      <c r="L4526" s="63" t="s">
        <v>9321</v>
      </c>
      <c r="M4526" s="63" t="s">
        <v>9322</v>
      </c>
      <c r="N4526" s="63" t="s">
        <v>3162</v>
      </c>
    </row>
    <row r="4527" spans="1:14" x14ac:dyDescent="0.2">
      <c r="A4527" s="51">
        <v>4526</v>
      </c>
      <c r="B4527" s="54" t="s">
        <v>977</v>
      </c>
      <c r="C4527" s="47" t="s">
        <v>9323</v>
      </c>
      <c r="D4527" s="47" t="s">
        <v>9324</v>
      </c>
      <c r="E4527" s="47" t="s">
        <v>3162</v>
      </c>
      <c r="F4527" s="55" t="b">
        <v>1</v>
      </c>
      <c r="G4527" s="54" t="b">
        <v>1</v>
      </c>
      <c r="H4527" s="54" t="b">
        <v>1</v>
      </c>
      <c r="I4527" s="54" t="b">
        <v>1</v>
      </c>
      <c r="J4527" s="54" t="b">
        <v>1</v>
      </c>
      <c r="K4527" s="63" t="s">
        <v>977</v>
      </c>
      <c r="L4527" s="63" t="s">
        <v>9323</v>
      </c>
      <c r="M4527" s="63" t="s">
        <v>9324</v>
      </c>
      <c r="N4527" s="63" t="s">
        <v>3162</v>
      </c>
    </row>
    <row r="4528" spans="1:14" x14ac:dyDescent="0.2">
      <c r="A4528" s="51">
        <v>4527</v>
      </c>
      <c r="B4528" s="54" t="s">
        <v>977</v>
      </c>
      <c r="C4528" s="47" t="s">
        <v>9325</v>
      </c>
      <c r="D4528" s="47" t="s">
        <v>9326</v>
      </c>
      <c r="E4528" s="47" t="s">
        <v>3162</v>
      </c>
      <c r="F4528" s="55" t="b">
        <v>1</v>
      </c>
      <c r="G4528" s="54" t="b">
        <v>1</v>
      </c>
      <c r="H4528" s="54" t="b">
        <v>1</v>
      </c>
      <c r="I4528" s="54" t="b">
        <v>1</v>
      </c>
      <c r="J4528" s="54" t="b">
        <v>1</v>
      </c>
      <c r="K4528" s="63" t="s">
        <v>977</v>
      </c>
      <c r="L4528" s="63" t="s">
        <v>9325</v>
      </c>
      <c r="M4528" s="63" t="s">
        <v>9326</v>
      </c>
      <c r="N4528" s="63" t="s">
        <v>3162</v>
      </c>
    </row>
    <row r="4529" spans="1:14" x14ac:dyDescent="0.2">
      <c r="A4529" s="51">
        <v>4528</v>
      </c>
      <c r="B4529" s="54" t="s">
        <v>977</v>
      </c>
      <c r="C4529" s="47" t="s">
        <v>9339</v>
      </c>
      <c r="D4529" s="47" t="s">
        <v>9340</v>
      </c>
      <c r="E4529" s="47" t="s">
        <v>3162</v>
      </c>
      <c r="F4529" s="55" t="b">
        <v>1</v>
      </c>
      <c r="G4529" s="54" t="b">
        <v>1</v>
      </c>
      <c r="H4529" s="54" t="b">
        <v>1</v>
      </c>
      <c r="I4529" s="54" t="b">
        <v>1</v>
      </c>
      <c r="J4529" s="54" t="b">
        <v>1</v>
      </c>
      <c r="K4529" s="63" t="s">
        <v>977</v>
      </c>
      <c r="L4529" s="63" t="s">
        <v>9339</v>
      </c>
      <c r="M4529" s="63" t="s">
        <v>9340</v>
      </c>
      <c r="N4529" s="63" t="s">
        <v>3162</v>
      </c>
    </row>
    <row r="4530" spans="1:14" x14ac:dyDescent="0.2">
      <c r="A4530" s="51">
        <v>4529</v>
      </c>
      <c r="B4530" s="54" t="s">
        <v>977</v>
      </c>
      <c r="C4530" s="47" t="s">
        <v>9327</v>
      </c>
      <c r="D4530" s="47" t="s">
        <v>9328</v>
      </c>
      <c r="E4530" s="47" t="s">
        <v>3162</v>
      </c>
      <c r="F4530" s="55" t="b">
        <v>1</v>
      </c>
      <c r="G4530" s="54" t="b">
        <v>1</v>
      </c>
      <c r="H4530" s="54" t="b">
        <v>1</v>
      </c>
      <c r="I4530" s="54" t="b">
        <v>1</v>
      </c>
      <c r="J4530" s="54" t="b">
        <v>1</v>
      </c>
      <c r="K4530" s="63" t="s">
        <v>977</v>
      </c>
      <c r="L4530" s="63" t="s">
        <v>9327</v>
      </c>
      <c r="M4530" s="63" t="s">
        <v>9328</v>
      </c>
      <c r="N4530" s="63" t="s">
        <v>3162</v>
      </c>
    </row>
    <row r="4531" spans="1:14" x14ac:dyDescent="0.2">
      <c r="A4531" s="51">
        <v>4530</v>
      </c>
      <c r="B4531" s="54" t="s">
        <v>977</v>
      </c>
      <c r="C4531" s="47" t="s">
        <v>9331</v>
      </c>
      <c r="D4531" s="47" t="s">
        <v>9332</v>
      </c>
      <c r="E4531" s="47" t="s">
        <v>13645</v>
      </c>
      <c r="F4531" s="55" t="b">
        <v>1</v>
      </c>
      <c r="G4531" s="54" t="b">
        <v>1</v>
      </c>
      <c r="H4531" s="54" t="b">
        <v>1</v>
      </c>
      <c r="I4531" s="54" t="b">
        <v>1</v>
      </c>
      <c r="J4531" s="65" t="b">
        <v>0</v>
      </c>
      <c r="K4531" s="63" t="s">
        <v>977</v>
      </c>
      <c r="L4531" s="63" t="s">
        <v>9331</v>
      </c>
      <c r="M4531" s="63" t="s">
        <v>9332</v>
      </c>
      <c r="N4531" s="63" t="s">
        <v>3162</v>
      </c>
    </row>
    <row r="4532" spans="1:14" x14ac:dyDescent="0.2">
      <c r="A4532" s="51">
        <v>4531</v>
      </c>
      <c r="B4532" s="54" t="s">
        <v>977</v>
      </c>
      <c r="C4532" s="47" t="s">
        <v>9337</v>
      </c>
      <c r="D4532" s="47" t="s">
        <v>9338</v>
      </c>
      <c r="E4532" s="47" t="s">
        <v>3162</v>
      </c>
      <c r="F4532" s="55" t="b">
        <v>1</v>
      </c>
      <c r="G4532" s="54" t="b">
        <v>1</v>
      </c>
      <c r="H4532" s="54" t="b">
        <v>1</v>
      </c>
      <c r="I4532" s="54" t="b">
        <v>1</v>
      </c>
      <c r="J4532" s="54" t="b">
        <v>1</v>
      </c>
      <c r="K4532" s="63" t="s">
        <v>977</v>
      </c>
      <c r="L4532" s="63" t="s">
        <v>9337</v>
      </c>
      <c r="M4532" s="63" t="s">
        <v>9338</v>
      </c>
      <c r="N4532" s="63" t="s">
        <v>3162</v>
      </c>
    </row>
    <row r="4533" spans="1:14" x14ac:dyDescent="0.2">
      <c r="A4533" s="51">
        <v>4532</v>
      </c>
      <c r="B4533" s="54" t="s">
        <v>977</v>
      </c>
      <c r="C4533" s="47" t="s">
        <v>9341</v>
      </c>
      <c r="D4533" s="47" t="s">
        <v>9342</v>
      </c>
      <c r="E4533" s="47" t="s">
        <v>3162</v>
      </c>
      <c r="F4533" s="55" t="b">
        <v>1</v>
      </c>
      <c r="G4533" s="54" t="b">
        <v>1</v>
      </c>
      <c r="H4533" s="54" t="b">
        <v>1</v>
      </c>
      <c r="I4533" s="54" t="b">
        <v>1</v>
      </c>
      <c r="J4533" s="54" t="b">
        <v>1</v>
      </c>
      <c r="K4533" s="63" t="s">
        <v>977</v>
      </c>
      <c r="L4533" s="63" t="s">
        <v>9341</v>
      </c>
      <c r="M4533" s="63" t="s">
        <v>9342</v>
      </c>
      <c r="N4533" s="63" t="s">
        <v>3162</v>
      </c>
    </row>
    <row r="4534" spans="1:14" x14ac:dyDescent="0.2">
      <c r="A4534" s="51">
        <v>4533</v>
      </c>
      <c r="B4534" s="54" t="s">
        <v>977</v>
      </c>
      <c r="C4534" s="47" t="s">
        <v>9343</v>
      </c>
      <c r="D4534" s="47" t="s">
        <v>9344</v>
      </c>
      <c r="E4534" s="47" t="s">
        <v>3162</v>
      </c>
      <c r="F4534" s="55" t="b">
        <v>1</v>
      </c>
      <c r="G4534" s="54" t="b">
        <v>1</v>
      </c>
      <c r="H4534" s="54" t="b">
        <v>1</v>
      </c>
      <c r="I4534" s="54" t="b">
        <v>1</v>
      </c>
      <c r="J4534" s="54" t="b">
        <v>1</v>
      </c>
      <c r="K4534" s="63" t="s">
        <v>977</v>
      </c>
      <c r="L4534" s="63" t="s">
        <v>9343</v>
      </c>
      <c r="M4534" s="63" t="s">
        <v>9344</v>
      </c>
      <c r="N4534" s="63" t="s">
        <v>3162</v>
      </c>
    </row>
    <row r="4535" spans="1:14" x14ac:dyDescent="0.2">
      <c r="A4535" s="51">
        <v>4534</v>
      </c>
      <c r="B4535" s="54" t="s">
        <v>977</v>
      </c>
      <c r="C4535" s="47" t="s">
        <v>9347</v>
      </c>
      <c r="D4535" s="47" t="s">
        <v>9348</v>
      </c>
      <c r="E4535" s="47" t="s">
        <v>3162</v>
      </c>
      <c r="F4535" s="55" t="b">
        <v>1</v>
      </c>
      <c r="G4535" s="54" t="b">
        <v>1</v>
      </c>
      <c r="H4535" s="54" t="b">
        <v>1</v>
      </c>
      <c r="I4535" s="54" t="b">
        <v>1</v>
      </c>
      <c r="J4535" s="54" t="b">
        <v>1</v>
      </c>
      <c r="K4535" s="63" t="s">
        <v>977</v>
      </c>
      <c r="L4535" s="63" t="s">
        <v>9347</v>
      </c>
      <c r="M4535" s="63" t="s">
        <v>9348</v>
      </c>
      <c r="N4535" s="63" t="s">
        <v>3162</v>
      </c>
    </row>
    <row r="4536" spans="1:14" x14ac:dyDescent="0.2">
      <c r="A4536" s="51">
        <v>4535</v>
      </c>
      <c r="B4536" s="54" t="s">
        <v>977</v>
      </c>
      <c r="C4536" s="47" t="s">
        <v>9349</v>
      </c>
      <c r="D4536" s="47" t="s">
        <v>9350</v>
      </c>
      <c r="E4536" s="47" t="s">
        <v>3162</v>
      </c>
      <c r="F4536" s="55" t="b">
        <v>1</v>
      </c>
      <c r="G4536" s="54" t="b">
        <v>1</v>
      </c>
      <c r="H4536" s="54" t="b">
        <v>1</v>
      </c>
      <c r="I4536" s="54" t="b">
        <v>1</v>
      </c>
      <c r="J4536" s="54" t="b">
        <v>1</v>
      </c>
      <c r="K4536" s="63" t="s">
        <v>977</v>
      </c>
      <c r="L4536" s="63" t="s">
        <v>9349</v>
      </c>
      <c r="M4536" s="63" t="s">
        <v>9350</v>
      </c>
      <c r="N4536" s="63" t="s">
        <v>3162</v>
      </c>
    </row>
    <row r="4537" spans="1:14" x14ac:dyDescent="0.2">
      <c r="A4537" s="51">
        <v>4536</v>
      </c>
      <c r="B4537" s="54" t="s">
        <v>977</v>
      </c>
      <c r="C4537" s="47" t="s">
        <v>9351</v>
      </c>
      <c r="D4537" s="47" t="s">
        <v>9352</v>
      </c>
      <c r="E4537" s="47" t="s">
        <v>3162</v>
      </c>
      <c r="F4537" s="55" t="b">
        <v>1</v>
      </c>
      <c r="G4537" s="54" t="b">
        <v>1</v>
      </c>
      <c r="H4537" s="54" t="b">
        <v>1</v>
      </c>
      <c r="I4537" s="54" t="b">
        <v>1</v>
      </c>
      <c r="J4537" s="54" t="b">
        <v>1</v>
      </c>
      <c r="K4537" s="63" t="s">
        <v>977</v>
      </c>
      <c r="L4537" s="63" t="s">
        <v>9351</v>
      </c>
      <c r="M4537" s="63" t="s">
        <v>9352</v>
      </c>
      <c r="N4537" s="63" t="s">
        <v>3162</v>
      </c>
    </row>
    <row r="4538" spans="1:14" x14ac:dyDescent="0.2">
      <c r="A4538" s="51">
        <v>4537</v>
      </c>
      <c r="B4538" s="54" t="s">
        <v>977</v>
      </c>
      <c r="C4538" s="47" t="s">
        <v>9353</v>
      </c>
      <c r="D4538" s="47" t="s">
        <v>9354</v>
      </c>
      <c r="E4538" s="47" t="s">
        <v>3162</v>
      </c>
      <c r="F4538" s="55" t="b">
        <v>1</v>
      </c>
      <c r="G4538" s="54" t="b">
        <v>1</v>
      </c>
      <c r="H4538" s="54" t="b">
        <v>1</v>
      </c>
      <c r="I4538" s="54" t="b">
        <v>1</v>
      </c>
      <c r="J4538" s="54" t="b">
        <v>1</v>
      </c>
      <c r="K4538" s="63" t="s">
        <v>977</v>
      </c>
      <c r="L4538" s="63" t="s">
        <v>9353</v>
      </c>
      <c r="M4538" s="63" t="s">
        <v>9354</v>
      </c>
      <c r="N4538" s="63" t="s">
        <v>3162</v>
      </c>
    </row>
    <row r="4539" spans="1:14" x14ac:dyDescent="0.2">
      <c r="A4539" s="51">
        <v>4538</v>
      </c>
      <c r="B4539" s="54" t="s">
        <v>977</v>
      </c>
      <c r="C4539" s="47" t="s">
        <v>9355</v>
      </c>
      <c r="D4539" s="47" t="s">
        <v>9356</v>
      </c>
      <c r="E4539" s="47" t="s">
        <v>3162</v>
      </c>
      <c r="F4539" s="55" t="b">
        <v>1</v>
      </c>
      <c r="G4539" s="54" t="b">
        <v>1</v>
      </c>
      <c r="H4539" s="54" t="b">
        <v>1</v>
      </c>
      <c r="I4539" s="54" t="b">
        <v>1</v>
      </c>
      <c r="J4539" s="54" t="b">
        <v>1</v>
      </c>
      <c r="K4539" s="63" t="s">
        <v>977</v>
      </c>
      <c r="L4539" s="63" t="s">
        <v>9355</v>
      </c>
      <c r="M4539" s="63" t="s">
        <v>9356</v>
      </c>
      <c r="N4539" s="63" t="s">
        <v>3162</v>
      </c>
    </row>
    <row r="4540" spans="1:14" x14ac:dyDescent="0.2">
      <c r="A4540" s="51">
        <v>4539</v>
      </c>
      <c r="B4540" s="54" t="s">
        <v>977</v>
      </c>
      <c r="C4540" s="47" t="s">
        <v>9357</v>
      </c>
      <c r="D4540" s="47" t="s">
        <v>9358</v>
      </c>
      <c r="E4540" s="47" t="s">
        <v>3162</v>
      </c>
      <c r="F4540" s="55" t="b">
        <v>1</v>
      </c>
      <c r="G4540" s="54" t="b">
        <v>1</v>
      </c>
      <c r="H4540" s="54" t="b">
        <v>1</v>
      </c>
      <c r="I4540" s="54" t="b">
        <v>1</v>
      </c>
      <c r="J4540" s="54" t="b">
        <v>1</v>
      </c>
      <c r="K4540" s="63" t="s">
        <v>977</v>
      </c>
      <c r="L4540" s="63" t="s">
        <v>9357</v>
      </c>
      <c r="M4540" s="63" t="s">
        <v>9358</v>
      </c>
      <c r="N4540" s="63" t="s">
        <v>3162</v>
      </c>
    </row>
    <row r="4541" spans="1:14" x14ac:dyDescent="0.2">
      <c r="A4541" s="51">
        <v>4540</v>
      </c>
      <c r="B4541" s="54" t="s">
        <v>977</v>
      </c>
      <c r="C4541" s="47" t="s">
        <v>9359</v>
      </c>
      <c r="D4541" s="47" t="s">
        <v>9360</v>
      </c>
      <c r="E4541" s="47" t="s">
        <v>3162</v>
      </c>
      <c r="F4541" s="55" t="b">
        <v>1</v>
      </c>
      <c r="G4541" s="54" t="b">
        <v>1</v>
      </c>
      <c r="H4541" s="54" t="b">
        <v>1</v>
      </c>
      <c r="I4541" s="54" t="b">
        <v>1</v>
      </c>
      <c r="J4541" s="54" t="b">
        <v>1</v>
      </c>
      <c r="K4541" s="63" t="s">
        <v>977</v>
      </c>
      <c r="L4541" s="63" t="s">
        <v>9359</v>
      </c>
      <c r="M4541" s="63" t="s">
        <v>9360</v>
      </c>
      <c r="N4541" s="63" t="s">
        <v>3162</v>
      </c>
    </row>
    <row r="4542" spans="1:14" x14ac:dyDescent="0.2">
      <c r="A4542" s="51">
        <v>4541</v>
      </c>
      <c r="B4542" s="54" t="s">
        <v>977</v>
      </c>
      <c r="C4542" s="47" t="s">
        <v>9361</v>
      </c>
      <c r="D4542" s="47" t="s">
        <v>9362</v>
      </c>
      <c r="E4542" s="47" t="s">
        <v>13645</v>
      </c>
      <c r="F4542" s="55" t="b">
        <v>1</v>
      </c>
      <c r="G4542" s="54" t="b">
        <v>1</v>
      </c>
      <c r="H4542" s="54" t="b">
        <v>1</v>
      </c>
      <c r="I4542" s="54" t="b">
        <v>1</v>
      </c>
      <c r="J4542" s="65" t="b">
        <v>0</v>
      </c>
      <c r="K4542" s="63" t="s">
        <v>977</v>
      </c>
      <c r="L4542" s="63" t="s">
        <v>9361</v>
      </c>
      <c r="M4542" s="63" t="s">
        <v>9362</v>
      </c>
      <c r="N4542" s="63" t="s">
        <v>3162</v>
      </c>
    </row>
    <row r="4543" spans="1:14" x14ac:dyDescent="0.2">
      <c r="A4543" s="51">
        <v>4542</v>
      </c>
      <c r="B4543" s="54" t="s">
        <v>977</v>
      </c>
      <c r="C4543" s="47" t="s">
        <v>9363</v>
      </c>
      <c r="D4543" s="47" t="s">
        <v>9364</v>
      </c>
      <c r="E4543" s="47" t="s">
        <v>3162</v>
      </c>
      <c r="F4543" s="55" t="b">
        <v>1</v>
      </c>
      <c r="G4543" s="54" t="b">
        <v>1</v>
      </c>
      <c r="H4543" s="54" t="b">
        <v>1</v>
      </c>
      <c r="I4543" s="54" t="b">
        <v>1</v>
      </c>
      <c r="J4543" s="54" t="b">
        <v>1</v>
      </c>
      <c r="K4543" s="63" t="s">
        <v>977</v>
      </c>
      <c r="L4543" s="63" t="s">
        <v>9363</v>
      </c>
      <c r="M4543" s="63" t="s">
        <v>9364</v>
      </c>
      <c r="N4543" s="63" t="s">
        <v>3162</v>
      </c>
    </row>
    <row r="4544" spans="1:14" x14ac:dyDescent="0.2">
      <c r="A4544" s="51">
        <v>4543</v>
      </c>
      <c r="B4544" s="54" t="s">
        <v>977</v>
      </c>
      <c r="C4544" s="47" t="s">
        <v>9365</v>
      </c>
      <c r="D4544" s="47" t="s">
        <v>9366</v>
      </c>
      <c r="E4544" s="47" t="s">
        <v>3162</v>
      </c>
      <c r="F4544" s="55" t="b">
        <v>1</v>
      </c>
      <c r="G4544" s="54" t="b">
        <v>1</v>
      </c>
      <c r="H4544" s="54" t="b">
        <v>1</v>
      </c>
      <c r="I4544" s="54" t="b">
        <v>1</v>
      </c>
      <c r="J4544" s="54" t="b">
        <v>1</v>
      </c>
      <c r="K4544" s="63" t="s">
        <v>977</v>
      </c>
      <c r="L4544" s="63" t="s">
        <v>9365</v>
      </c>
      <c r="M4544" s="63" t="s">
        <v>9366</v>
      </c>
      <c r="N4544" s="63" t="s">
        <v>3162</v>
      </c>
    </row>
    <row r="4545" spans="1:14" x14ac:dyDescent="0.2">
      <c r="A4545" s="51">
        <v>4544</v>
      </c>
      <c r="B4545" s="54" t="s">
        <v>977</v>
      </c>
      <c r="C4545" s="47" t="s">
        <v>9369</v>
      </c>
      <c r="D4545" s="47" t="s">
        <v>9370</v>
      </c>
      <c r="E4545" s="47" t="s">
        <v>3162</v>
      </c>
      <c r="F4545" s="55" t="b">
        <v>1</v>
      </c>
      <c r="G4545" s="54" t="b">
        <v>1</v>
      </c>
      <c r="H4545" s="54" t="b">
        <v>1</v>
      </c>
      <c r="I4545" s="54" t="b">
        <v>1</v>
      </c>
      <c r="J4545" s="54" t="b">
        <v>1</v>
      </c>
      <c r="K4545" s="63" t="s">
        <v>977</v>
      </c>
      <c r="L4545" s="63" t="s">
        <v>9369</v>
      </c>
      <c r="M4545" s="63" t="s">
        <v>9370</v>
      </c>
      <c r="N4545" s="63" t="s">
        <v>3162</v>
      </c>
    </row>
    <row r="4546" spans="1:14" x14ac:dyDescent="0.2">
      <c r="A4546" s="51">
        <v>4545</v>
      </c>
      <c r="B4546" s="54" t="s">
        <v>977</v>
      </c>
      <c r="C4546" s="47" t="s">
        <v>9373</v>
      </c>
      <c r="D4546" s="47" t="s">
        <v>9374</v>
      </c>
      <c r="E4546" s="47" t="s">
        <v>3162</v>
      </c>
      <c r="F4546" s="55" t="b">
        <v>1</v>
      </c>
      <c r="G4546" s="54" t="b">
        <v>1</v>
      </c>
      <c r="H4546" s="54" t="b">
        <v>1</v>
      </c>
      <c r="I4546" s="54" t="b">
        <v>1</v>
      </c>
      <c r="J4546" s="54" t="b">
        <v>1</v>
      </c>
      <c r="K4546" s="63" t="s">
        <v>977</v>
      </c>
      <c r="L4546" s="63" t="s">
        <v>9373</v>
      </c>
      <c r="M4546" s="63" t="s">
        <v>9374</v>
      </c>
      <c r="N4546" s="63" t="s">
        <v>3162</v>
      </c>
    </row>
    <row r="4547" spans="1:14" x14ac:dyDescent="0.2">
      <c r="A4547" s="51">
        <v>4546</v>
      </c>
      <c r="B4547" s="54" t="s">
        <v>977</v>
      </c>
      <c r="C4547" s="47" t="s">
        <v>9375</v>
      </c>
      <c r="D4547" s="47" t="s">
        <v>9376</v>
      </c>
      <c r="E4547" s="47" t="s">
        <v>3162</v>
      </c>
      <c r="F4547" s="55" t="b">
        <v>1</v>
      </c>
      <c r="G4547" s="54" t="b">
        <v>1</v>
      </c>
      <c r="H4547" s="54" t="b">
        <v>1</v>
      </c>
      <c r="I4547" s="54" t="b">
        <v>1</v>
      </c>
      <c r="J4547" s="54" t="b">
        <v>1</v>
      </c>
      <c r="K4547" s="63" t="s">
        <v>977</v>
      </c>
      <c r="L4547" s="63" t="s">
        <v>9375</v>
      </c>
      <c r="M4547" s="63" t="s">
        <v>9376</v>
      </c>
      <c r="N4547" s="63" t="s">
        <v>3162</v>
      </c>
    </row>
    <row r="4548" spans="1:14" x14ac:dyDescent="0.2">
      <c r="A4548" s="51">
        <v>4547</v>
      </c>
      <c r="B4548" s="54" t="s">
        <v>977</v>
      </c>
      <c r="C4548" s="47" t="s">
        <v>9379</v>
      </c>
      <c r="D4548" s="47" t="s">
        <v>9380</v>
      </c>
      <c r="E4548" s="47" t="s">
        <v>3162</v>
      </c>
      <c r="F4548" s="55" t="b">
        <v>1</v>
      </c>
      <c r="G4548" s="54" t="b">
        <v>1</v>
      </c>
      <c r="H4548" s="54" t="b">
        <v>1</v>
      </c>
      <c r="I4548" s="54" t="b">
        <v>1</v>
      </c>
      <c r="J4548" s="54" t="b">
        <v>1</v>
      </c>
      <c r="K4548" s="63" t="s">
        <v>977</v>
      </c>
      <c r="L4548" s="63" t="s">
        <v>9379</v>
      </c>
      <c r="M4548" s="63" t="s">
        <v>9380</v>
      </c>
      <c r="N4548" s="63" t="s">
        <v>3162</v>
      </c>
    </row>
    <row r="4549" spans="1:14" x14ac:dyDescent="0.2">
      <c r="A4549" s="51">
        <v>4548</v>
      </c>
      <c r="B4549" s="54" t="s">
        <v>977</v>
      </c>
      <c r="C4549" s="47" t="s">
        <v>9377</v>
      </c>
      <c r="D4549" s="47" t="s">
        <v>9378</v>
      </c>
      <c r="E4549" s="47" t="s">
        <v>3162</v>
      </c>
      <c r="F4549" s="55" t="b">
        <v>1</v>
      </c>
      <c r="G4549" s="54" t="b">
        <v>1</v>
      </c>
      <c r="H4549" s="54" t="b">
        <v>1</v>
      </c>
      <c r="I4549" s="54" t="b">
        <v>1</v>
      </c>
      <c r="J4549" s="54" t="b">
        <v>1</v>
      </c>
      <c r="K4549" s="63" t="s">
        <v>977</v>
      </c>
      <c r="L4549" s="63" t="s">
        <v>9377</v>
      </c>
      <c r="M4549" s="63" t="s">
        <v>9378</v>
      </c>
      <c r="N4549" s="63" t="s">
        <v>3162</v>
      </c>
    </row>
    <row r="4550" spans="1:14" x14ac:dyDescent="0.2">
      <c r="A4550" s="51">
        <v>4549</v>
      </c>
      <c r="B4550" s="54" t="s">
        <v>977</v>
      </c>
      <c r="C4550" s="47" t="s">
        <v>9381</v>
      </c>
      <c r="D4550" s="47" t="s">
        <v>9382</v>
      </c>
      <c r="E4550" s="47" t="s">
        <v>3162</v>
      </c>
      <c r="F4550" s="55" t="b">
        <v>1</v>
      </c>
      <c r="G4550" s="54" t="b">
        <v>1</v>
      </c>
      <c r="H4550" s="54" t="b">
        <v>1</v>
      </c>
      <c r="I4550" s="54" t="b">
        <v>1</v>
      </c>
      <c r="J4550" s="54" t="b">
        <v>1</v>
      </c>
      <c r="K4550" s="63" t="s">
        <v>977</v>
      </c>
      <c r="L4550" s="63" t="s">
        <v>9381</v>
      </c>
      <c r="M4550" s="63" t="s">
        <v>9382</v>
      </c>
      <c r="N4550" s="63" t="s">
        <v>3162</v>
      </c>
    </row>
    <row r="4551" spans="1:14" x14ac:dyDescent="0.2">
      <c r="A4551" s="51">
        <v>4550</v>
      </c>
      <c r="B4551" s="54" t="s">
        <v>977</v>
      </c>
      <c r="C4551" s="47" t="s">
        <v>9385</v>
      </c>
      <c r="D4551" s="47" t="s">
        <v>9386</v>
      </c>
      <c r="E4551" s="47" t="s">
        <v>13645</v>
      </c>
      <c r="F4551" s="55" t="b">
        <v>1</v>
      </c>
      <c r="G4551" s="54" t="b">
        <v>1</v>
      </c>
      <c r="H4551" s="54" t="b">
        <v>1</v>
      </c>
      <c r="I4551" s="54" t="b">
        <v>1</v>
      </c>
      <c r="J4551" s="65" t="b">
        <v>0</v>
      </c>
      <c r="K4551" s="63" t="s">
        <v>977</v>
      </c>
      <c r="L4551" s="63" t="s">
        <v>9385</v>
      </c>
      <c r="M4551" s="63" t="s">
        <v>9386</v>
      </c>
      <c r="N4551" s="63" t="s">
        <v>3162</v>
      </c>
    </row>
    <row r="4552" spans="1:14" x14ac:dyDescent="0.2">
      <c r="A4552" s="51">
        <v>4551</v>
      </c>
      <c r="B4552" s="54" t="s">
        <v>977</v>
      </c>
      <c r="C4552" s="47" t="s">
        <v>9389</v>
      </c>
      <c r="D4552" s="47" t="s">
        <v>9390</v>
      </c>
      <c r="E4552" s="47" t="s">
        <v>3162</v>
      </c>
      <c r="F4552" s="55" t="b">
        <v>1</v>
      </c>
      <c r="G4552" s="54" t="b">
        <v>1</v>
      </c>
      <c r="H4552" s="54" t="b">
        <v>1</v>
      </c>
      <c r="I4552" s="54" t="b">
        <v>1</v>
      </c>
      <c r="J4552" s="54" t="b">
        <v>1</v>
      </c>
      <c r="K4552" s="63" t="s">
        <v>977</v>
      </c>
      <c r="L4552" s="63" t="s">
        <v>9389</v>
      </c>
      <c r="M4552" s="63" t="s">
        <v>9390</v>
      </c>
      <c r="N4552" s="63" t="s">
        <v>3162</v>
      </c>
    </row>
    <row r="4553" spans="1:14" x14ac:dyDescent="0.2">
      <c r="A4553" s="51">
        <v>4552</v>
      </c>
      <c r="B4553" s="54" t="s">
        <v>977</v>
      </c>
      <c r="C4553" s="47" t="s">
        <v>9391</v>
      </c>
      <c r="D4553" s="47" t="s">
        <v>9392</v>
      </c>
      <c r="E4553" s="47" t="s">
        <v>3162</v>
      </c>
      <c r="F4553" s="55" t="b">
        <v>1</v>
      </c>
      <c r="G4553" s="54" t="b">
        <v>1</v>
      </c>
      <c r="H4553" s="54" t="b">
        <v>1</v>
      </c>
      <c r="I4553" s="54" t="b">
        <v>1</v>
      </c>
      <c r="J4553" s="54" t="b">
        <v>1</v>
      </c>
      <c r="K4553" s="63" t="s">
        <v>977</v>
      </c>
      <c r="L4553" s="63" t="s">
        <v>9391</v>
      </c>
      <c r="M4553" s="63" t="s">
        <v>9392</v>
      </c>
      <c r="N4553" s="63" t="s">
        <v>3162</v>
      </c>
    </row>
    <row r="4554" spans="1:14" x14ac:dyDescent="0.2">
      <c r="A4554" s="51">
        <v>4553</v>
      </c>
      <c r="B4554" s="54" t="s">
        <v>977</v>
      </c>
      <c r="C4554" s="47" t="s">
        <v>9393</v>
      </c>
      <c r="D4554" s="47" t="s">
        <v>9394</v>
      </c>
      <c r="E4554" s="47" t="s">
        <v>3162</v>
      </c>
      <c r="F4554" s="55" t="b">
        <v>1</v>
      </c>
      <c r="G4554" s="54" t="b">
        <v>1</v>
      </c>
      <c r="H4554" s="54" t="b">
        <v>1</v>
      </c>
      <c r="I4554" s="54" t="b">
        <v>1</v>
      </c>
      <c r="J4554" s="54" t="b">
        <v>1</v>
      </c>
      <c r="K4554" s="63" t="s">
        <v>977</v>
      </c>
      <c r="L4554" s="63" t="s">
        <v>9393</v>
      </c>
      <c r="M4554" s="63" t="s">
        <v>9394</v>
      </c>
      <c r="N4554" s="63" t="s">
        <v>3162</v>
      </c>
    </row>
    <row r="4555" spans="1:14" x14ac:dyDescent="0.2">
      <c r="A4555" s="51">
        <v>4554</v>
      </c>
      <c r="B4555" s="54" t="s">
        <v>977</v>
      </c>
      <c r="C4555" s="47" t="s">
        <v>9395</v>
      </c>
      <c r="D4555" s="47" t="s">
        <v>9396</v>
      </c>
      <c r="E4555" s="47" t="s">
        <v>3162</v>
      </c>
      <c r="F4555" s="55" t="b">
        <v>1</v>
      </c>
      <c r="G4555" s="54" t="b">
        <v>1</v>
      </c>
      <c r="H4555" s="54" t="b">
        <v>1</v>
      </c>
      <c r="I4555" s="54" t="b">
        <v>1</v>
      </c>
      <c r="J4555" s="54" t="b">
        <v>1</v>
      </c>
      <c r="K4555" s="63" t="s">
        <v>977</v>
      </c>
      <c r="L4555" s="63" t="s">
        <v>9395</v>
      </c>
      <c r="M4555" s="63" t="s">
        <v>9396</v>
      </c>
      <c r="N4555" s="63" t="s">
        <v>3162</v>
      </c>
    </row>
    <row r="4556" spans="1:14" x14ac:dyDescent="0.2">
      <c r="A4556" s="51">
        <v>4555</v>
      </c>
      <c r="B4556" s="54" t="s">
        <v>977</v>
      </c>
      <c r="C4556" s="47" t="s">
        <v>9399</v>
      </c>
      <c r="D4556" s="47" t="s">
        <v>9400</v>
      </c>
      <c r="E4556" s="47" t="s">
        <v>3162</v>
      </c>
      <c r="F4556" s="55" t="b">
        <v>1</v>
      </c>
      <c r="G4556" s="54" t="b">
        <v>1</v>
      </c>
      <c r="H4556" s="54" t="b">
        <v>1</v>
      </c>
      <c r="I4556" s="54" t="b">
        <v>1</v>
      </c>
      <c r="J4556" s="54" t="b">
        <v>1</v>
      </c>
      <c r="K4556" s="63" t="s">
        <v>977</v>
      </c>
      <c r="L4556" s="63" t="s">
        <v>9399</v>
      </c>
      <c r="M4556" s="63" t="s">
        <v>9400</v>
      </c>
      <c r="N4556" s="63" t="s">
        <v>3162</v>
      </c>
    </row>
    <row r="4557" spans="1:14" x14ac:dyDescent="0.2">
      <c r="A4557" s="51">
        <v>4556</v>
      </c>
      <c r="B4557" s="54" t="s">
        <v>977</v>
      </c>
      <c r="C4557" s="47" t="s">
        <v>9403</v>
      </c>
      <c r="D4557" s="47" t="s">
        <v>9404</v>
      </c>
      <c r="E4557" s="47" t="s">
        <v>3162</v>
      </c>
      <c r="F4557" s="55" t="b">
        <v>1</v>
      </c>
      <c r="G4557" s="54" t="b">
        <v>1</v>
      </c>
      <c r="H4557" s="54" t="b">
        <v>1</v>
      </c>
      <c r="I4557" s="54" t="b">
        <v>1</v>
      </c>
      <c r="J4557" s="54" t="b">
        <v>1</v>
      </c>
      <c r="K4557" s="63" t="s">
        <v>977</v>
      </c>
      <c r="L4557" s="63" t="s">
        <v>9403</v>
      </c>
      <c r="M4557" s="63" t="s">
        <v>9404</v>
      </c>
      <c r="N4557" s="63" t="s">
        <v>3162</v>
      </c>
    </row>
    <row r="4558" spans="1:14" x14ac:dyDescent="0.2">
      <c r="A4558" s="51">
        <v>4557</v>
      </c>
      <c r="B4558" s="54" t="s">
        <v>977</v>
      </c>
      <c r="C4558" s="47" t="s">
        <v>9409</v>
      </c>
      <c r="D4558" s="47" t="s">
        <v>9410</v>
      </c>
      <c r="E4558" s="47" t="s">
        <v>3162</v>
      </c>
      <c r="F4558" s="55" t="b">
        <v>1</v>
      </c>
      <c r="G4558" s="54" t="b">
        <v>1</v>
      </c>
      <c r="H4558" s="54" t="b">
        <v>1</v>
      </c>
      <c r="I4558" s="54" t="b">
        <v>1</v>
      </c>
      <c r="J4558" s="54" t="b">
        <v>1</v>
      </c>
      <c r="K4558" s="63" t="s">
        <v>977</v>
      </c>
      <c r="L4558" s="63" t="s">
        <v>9409</v>
      </c>
      <c r="M4558" s="63" t="s">
        <v>9410</v>
      </c>
      <c r="N4558" s="63" t="s">
        <v>3162</v>
      </c>
    </row>
    <row r="4559" spans="1:14" x14ac:dyDescent="0.2">
      <c r="A4559" s="51">
        <v>4558</v>
      </c>
      <c r="B4559" s="54" t="s">
        <v>977</v>
      </c>
      <c r="C4559" s="47" t="s">
        <v>9407</v>
      </c>
      <c r="D4559" s="47" t="s">
        <v>9408</v>
      </c>
      <c r="E4559" s="47" t="s">
        <v>3162</v>
      </c>
      <c r="F4559" s="55" t="b">
        <v>1</v>
      </c>
      <c r="G4559" s="54" t="b">
        <v>1</v>
      </c>
      <c r="H4559" s="54" t="b">
        <v>1</v>
      </c>
      <c r="I4559" s="54" t="b">
        <v>1</v>
      </c>
      <c r="J4559" s="54" t="b">
        <v>1</v>
      </c>
      <c r="K4559" s="63" t="s">
        <v>977</v>
      </c>
      <c r="L4559" s="63" t="s">
        <v>9407</v>
      </c>
      <c r="M4559" s="63" t="s">
        <v>9408</v>
      </c>
      <c r="N4559" s="63" t="s">
        <v>3162</v>
      </c>
    </row>
    <row r="4560" spans="1:14" x14ac:dyDescent="0.2">
      <c r="A4560" s="51">
        <v>4559</v>
      </c>
      <c r="B4560" s="54" t="s">
        <v>977</v>
      </c>
      <c r="C4560" s="47" t="s">
        <v>9411</v>
      </c>
      <c r="D4560" s="47" t="s">
        <v>9412</v>
      </c>
      <c r="E4560" s="47" t="s">
        <v>3162</v>
      </c>
      <c r="F4560" s="55" t="b">
        <v>1</v>
      </c>
      <c r="G4560" s="54" t="b">
        <v>1</v>
      </c>
      <c r="H4560" s="54" t="b">
        <v>1</v>
      </c>
      <c r="I4560" s="54" t="b">
        <v>1</v>
      </c>
      <c r="J4560" s="54" t="b">
        <v>1</v>
      </c>
      <c r="K4560" s="63" t="s">
        <v>977</v>
      </c>
      <c r="L4560" s="63" t="s">
        <v>9411</v>
      </c>
      <c r="M4560" s="63" t="s">
        <v>9412</v>
      </c>
      <c r="N4560" s="63" t="s">
        <v>3162</v>
      </c>
    </row>
    <row r="4561" spans="1:14" x14ac:dyDescent="0.2">
      <c r="A4561" s="51">
        <v>4560</v>
      </c>
      <c r="B4561" s="54" t="s">
        <v>977</v>
      </c>
      <c r="C4561" s="47" t="s">
        <v>9413</v>
      </c>
      <c r="D4561" s="47" t="s">
        <v>9414</v>
      </c>
      <c r="E4561" s="47" t="s">
        <v>13645</v>
      </c>
      <c r="F4561" s="55" t="b">
        <v>1</v>
      </c>
      <c r="G4561" s="54" t="b">
        <v>1</v>
      </c>
      <c r="H4561" s="54" t="b">
        <v>1</v>
      </c>
      <c r="I4561" s="54" t="b">
        <v>1</v>
      </c>
      <c r="J4561" s="65" t="b">
        <v>0</v>
      </c>
      <c r="K4561" s="63" t="s">
        <v>977</v>
      </c>
      <c r="L4561" s="63" t="s">
        <v>9413</v>
      </c>
      <c r="M4561" s="63" t="s">
        <v>9414</v>
      </c>
      <c r="N4561" s="63" t="s">
        <v>3162</v>
      </c>
    </row>
    <row r="4562" spans="1:14" x14ac:dyDescent="0.2">
      <c r="A4562" s="51">
        <v>4561</v>
      </c>
      <c r="B4562" s="54" t="s">
        <v>977</v>
      </c>
      <c r="C4562" s="47" t="s">
        <v>9415</v>
      </c>
      <c r="D4562" s="47" t="s">
        <v>9416</v>
      </c>
      <c r="E4562" s="47" t="s">
        <v>3162</v>
      </c>
      <c r="F4562" s="55" t="b">
        <v>1</v>
      </c>
      <c r="G4562" s="54" t="b">
        <v>1</v>
      </c>
      <c r="H4562" s="54" t="b">
        <v>1</v>
      </c>
      <c r="I4562" s="54" t="b">
        <v>1</v>
      </c>
      <c r="J4562" s="54" t="b">
        <v>1</v>
      </c>
      <c r="K4562" s="63" t="s">
        <v>977</v>
      </c>
      <c r="L4562" s="63" t="s">
        <v>9415</v>
      </c>
      <c r="M4562" s="63" t="s">
        <v>9416</v>
      </c>
      <c r="N4562" s="63" t="s">
        <v>3162</v>
      </c>
    </row>
    <row r="4563" spans="1:14" x14ac:dyDescent="0.2">
      <c r="A4563" s="51">
        <v>4562</v>
      </c>
      <c r="B4563" s="54" t="s">
        <v>977</v>
      </c>
      <c r="C4563" s="47" t="s">
        <v>9417</v>
      </c>
      <c r="D4563" s="47" t="s">
        <v>9418</v>
      </c>
      <c r="E4563" s="47" t="s">
        <v>3162</v>
      </c>
      <c r="F4563" s="55" t="b">
        <v>1</v>
      </c>
      <c r="G4563" s="54" t="b">
        <v>1</v>
      </c>
      <c r="H4563" s="54" t="b">
        <v>1</v>
      </c>
      <c r="I4563" s="54" t="b">
        <v>1</v>
      </c>
      <c r="J4563" s="54" t="b">
        <v>1</v>
      </c>
      <c r="K4563" s="63" t="s">
        <v>977</v>
      </c>
      <c r="L4563" s="63" t="s">
        <v>9417</v>
      </c>
      <c r="M4563" s="63" t="s">
        <v>9418</v>
      </c>
      <c r="N4563" s="63" t="s">
        <v>3162</v>
      </c>
    </row>
    <row r="4564" spans="1:14" x14ac:dyDescent="0.2">
      <c r="A4564" s="51">
        <v>4563</v>
      </c>
      <c r="B4564" s="54" t="s">
        <v>977</v>
      </c>
      <c r="C4564" s="47" t="s">
        <v>9419</v>
      </c>
      <c r="D4564" s="47" t="s">
        <v>9420</v>
      </c>
      <c r="E4564" s="47" t="s">
        <v>3162</v>
      </c>
      <c r="F4564" s="55" t="b">
        <v>1</v>
      </c>
      <c r="G4564" s="54" t="b">
        <v>1</v>
      </c>
      <c r="H4564" s="54" t="b">
        <v>1</v>
      </c>
      <c r="I4564" s="54" t="b">
        <v>1</v>
      </c>
      <c r="J4564" s="54" t="b">
        <v>1</v>
      </c>
      <c r="K4564" s="63" t="s">
        <v>977</v>
      </c>
      <c r="L4564" s="63" t="s">
        <v>9419</v>
      </c>
      <c r="M4564" s="63" t="s">
        <v>9420</v>
      </c>
      <c r="N4564" s="63" t="s">
        <v>3162</v>
      </c>
    </row>
    <row r="4565" spans="1:14" x14ac:dyDescent="0.2">
      <c r="A4565" s="51">
        <v>4564</v>
      </c>
      <c r="B4565" s="54" t="s">
        <v>977</v>
      </c>
      <c r="C4565" s="47" t="s">
        <v>9421</v>
      </c>
      <c r="D4565" s="47" t="s">
        <v>9422</v>
      </c>
      <c r="E4565" s="47" t="s">
        <v>13645</v>
      </c>
      <c r="F4565" s="55" t="b">
        <v>1</v>
      </c>
      <c r="G4565" s="54" t="b">
        <v>1</v>
      </c>
      <c r="H4565" s="54" t="b">
        <v>1</v>
      </c>
      <c r="I4565" s="54" t="b">
        <v>1</v>
      </c>
      <c r="J4565" s="65" t="b">
        <v>0</v>
      </c>
      <c r="K4565" s="63" t="s">
        <v>977</v>
      </c>
      <c r="L4565" s="63" t="s">
        <v>9421</v>
      </c>
      <c r="M4565" s="63" t="s">
        <v>9422</v>
      </c>
      <c r="N4565" s="63" t="s">
        <v>3162</v>
      </c>
    </row>
    <row r="4566" spans="1:14" x14ac:dyDescent="0.2">
      <c r="A4566" s="51">
        <v>4565</v>
      </c>
      <c r="B4566" s="54" t="s">
        <v>977</v>
      </c>
      <c r="C4566" s="47" t="s">
        <v>9423</v>
      </c>
      <c r="D4566" s="47" t="s">
        <v>9424</v>
      </c>
      <c r="E4566" s="47" t="s">
        <v>13645</v>
      </c>
      <c r="F4566" s="55" t="b">
        <v>1</v>
      </c>
      <c r="G4566" s="54" t="b">
        <v>1</v>
      </c>
      <c r="H4566" s="54" t="b">
        <v>1</v>
      </c>
      <c r="I4566" s="54" t="b">
        <v>1</v>
      </c>
      <c r="J4566" s="65" t="b">
        <v>0</v>
      </c>
      <c r="K4566" s="63" t="s">
        <v>977</v>
      </c>
      <c r="L4566" s="63" t="s">
        <v>9423</v>
      </c>
      <c r="M4566" s="63" t="s">
        <v>9424</v>
      </c>
      <c r="N4566" s="63" t="s">
        <v>3162</v>
      </c>
    </row>
    <row r="4567" spans="1:14" x14ac:dyDescent="0.2">
      <c r="A4567" s="51">
        <v>4566</v>
      </c>
      <c r="B4567" s="54" t="s">
        <v>977</v>
      </c>
      <c r="C4567" s="47" t="s">
        <v>9425</v>
      </c>
      <c r="D4567" s="47" t="s">
        <v>9426</v>
      </c>
      <c r="E4567" s="47" t="s">
        <v>3162</v>
      </c>
      <c r="F4567" s="55" t="b">
        <v>1</v>
      </c>
      <c r="G4567" s="54" t="b">
        <v>1</v>
      </c>
      <c r="H4567" s="54" t="b">
        <v>1</v>
      </c>
      <c r="I4567" s="54" t="b">
        <v>1</v>
      </c>
      <c r="J4567" s="54" t="b">
        <v>1</v>
      </c>
      <c r="K4567" s="63" t="s">
        <v>977</v>
      </c>
      <c r="L4567" s="63" t="s">
        <v>9425</v>
      </c>
      <c r="M4567" s="63" t="s">
        <v>9426</v>
      </c>
      <c r="N4567" s="63" t="s">
        <v>3162</v>
      </c>
    </row>
    <row r="4568" spans="1:14" x14ac:dyDescent="0.2">
      <c r="A4568" s="51">
        <v>4567</v>
      </c>
      <c r="B4568" s="54" t="s">
        <v>977</v>
      </c>
      <c r="C4568" s="47" t="s">
        <v>9429</v>
      </c>
      <c r="D4568" s="47" t="s">
        <v>9430</v>
      </c>
      <c r="E4568" s="47" t="s">
        <v>3162</v>
      </c>
      <c r="F4568" s="55" t="b">
        <v>1</v>
      </c>
      <c r="G4568" s="54" t="b">
        <v>1</v>
      </c>
      <c r="H4568" s="54" t="b">
        <v>1</v>
      </c>
      <c r="I4568" s="54" t="b">
        <v>1</v>
      </c>
      <c r="J4568" s="54" t="b">
        <v>1</v>
      </c>
      <c r="K4568" s="63" t="s">
        <v>977</v>
      </c>
      <c r="L4568" s="63" t="s">
        <v>9429</v>
      </c>
      <c r="M4568" s="63" t="s">
        <v>9430</v>
      </c>
      <c r="N4568" s="63" t="s">
        <v>3162</v>
      </c>
    </row>
    <row r="4569" spans="1:14" x14ac:dyDescent="0.2">
      <c r="A4569" s="51">
        <v>4568</v>
      </c>
      <c r="B4569" s="54" t="s">
        <v>977</v>
      </c>
      <c r="C4569" s="47" t="s">
        <v>9431</v>
      </c>
      <c r="D4569" s="47" t="s">
        <v>9432</v>
      </c>
      <c r="E4569" s="47" t="s">
        <v>3162</v>
      </c>
      <c r="F4569" s="55" t="b">
        <v>1</v>
      </c>
      <c r="G4569" s="54" t="b">
        <v>1</v>
      </c>
      <c r="H4569" s="54" t="b">
        <v>1</v>
      </c>
      <c r="I4569" s="54" t="b">
        <v>1</v>
      </c>
      <c r="J4569" s="54" t="b">
        <v>1</v>
      </c>
      <c r="K4569" s="63" t="s">
        <v>977</v>
      </c>
      <c r="L4569" s="63" t="s">
        <v>9431</v>
      </c>
      <c r="M4569" s="63" t="s">
        <v>9432</v>
      </c>
      <c r="N4569" s="63" t="s">
        <v>3162</v>
      </c>
    </row>
    <row r="4570" spans="1:14" x14ac:dyDescent="0.2">
      <c r="A4570" s="51">
        <v>4569</v>
      </c>
      <c r="B4570" s="54" t="s">
        <v>977</v>
      </c>
      <c r="C4570" s="47" t="s">
        <v>9433</v>
      </c>
      <c r="D4570" s="47" t="s">
        <v>9434</v>
      </c>
      <c r="E4570" s="47" t="s">
        <v>3162</v>
      </c>
      <c r="F4570" s="55" t="b">
        <v>1</v>
      </c>
      <c r="G4570" s="54" t="b">
        <v>1</v>
      </c>
      <c r="H4570" s="54" t="b">
        <v>1</v>
      </c>
      <c r="I4570" s="54" t="b">
        <v>1</v>
      </c>
      <c r="J4570" s="54" t="b">
        <v>1</v>
      </c>
      <c r="K4570" s="63" t="s">
        <v>977</v>
      </c>
      <c r="L4570" s="63" t="s">
        <v>9433</v>
      </c>
      <c r="M4570" s="63" t="s">
        <v>9434</v>
      </c>
      <c r="N4570" s="63" t="s">
        <v>3162</v>
      </c>
    </row>
    <row r="4571" spans="1:14" x14ac:dyDescent="0.2">
      <c r="A4571" s="51">
        <v>4570</v>
      </c>
      <c r="B4571" s="54" t="s">
        <v>977</v>
      </c>
      <c r="C4571" s="47" t="s">
        <v>9435</v>
      </c>
      <c r="D4571" s="47" t="s">
        <v>9436</v>
      </c>
      <c r="E4571" s="47" t="s">
        <v>3162</v>
      </c>
      <c r="F4571" s="55" t="b">
        <v>1</v>
      </c>
      <c r="G4571" s="54" t="b">
        <v>1</v>
      </c>
      <c r="H4571" s="54" t="b">
        <v>1</v>
      </c>
      <c r="I4571" s="54" t="b">
        <v>1</v>
      </c>
      <c r="J4571" s="54" t="b">
        <v>1</v>
      </c>
      <c r="K4571" s="63" t="s">
        <v>977</v>
      </c>
      <c r="L4571" s="63" t="s">
        <v>9435</v>
      </c>
      <c r="M4571" s="63" t="s">
        <v>9436</v>
      </c>
      <c r="N4571" s="63" t="s">
        <v>3162</v>
      </c>
    </row>
    <row r="4572" spans="1:14" x14ac:dyDescent="0.2">
      <c r="A4572" s="51">
        <v>4571</v>
      </c>
      <c r="B4572" s="54" t="s">
        <v>977</v>
      </c>
      <c r="C4572" s="47" t="s">
        <v>9437</v>
      </c>
      <c r="D4572" s="47" t="s">
        <v>9438</v>
      </c>
      <c r="E4572" s="47" t="s">
        <v>3162</v>
      </c>
      <c r="F4572" s="55" t="b">
        <v>1</v>
      </c>
      <c r="G4572" s="54" t="b">
        <v>1</v>
      </c>
      <c r="H4572" s="54" t="b">
        <v>1</v>
      </c>
      <c r="I4572" s="54" t="b">
        <v>1</v>
      </c>
      <c r="J4572" s="54" t="b">
        <v>1</v>
      </c>
      <c r="K4572" s="63" t="s">
        <v>977</v>
      </c>
      <c r="L4572" s="63" t="s">
        <v>9437</v>
      </c>
      <c r="M4572" s="63" t="s">
        <v>9438</v>
      </c>
      <c r="N4572" s="63" t="s">
        <v>3162</v>
      </c>
    </row>
    <row r="4573" spans="1:14" x14ac:dyDescent="0.2">
      <c r="A4573" s="51">
        <v>4572</v>
      </c>
      <c r="B4573" s="54" t="s">
        <v>977</v>
      </c>
      <c r="C4573" s="47" t="s">
        <v>9443</v>
      </c>
      <c r="D4573" s="47" t="s">
        <v>9444</v>
      </c>
      <c r="E4573" s="47" t="s">
        <v>3162</v>
      </c>
      <c r="F4573" s="55" t="b">
        <v>1</v>
      </c>
      <c r="G4573" s="54" t="b">
        <v>1</v>
      </c>
      <c r="H4573" s="54" t="b">
        <v>1</v>
      </c>
      <c r="I4573" s="54" t="b">
        <v>1</v>
      </c>
      <c r="J4573" s="54" t="b">
        <v>1</v>
      </c>
      <c r="K4573" s="63" t="s">
        <v>977</v>
      </c>
      <c r="L4573" s="63" t="s">
        <v>9443</v>
      </c>
      <c r="M4573" s="63" t="s">
        <v>9444</v>
      </c>
      <c r="N4573" s="63" t="s">
        <v>3162</v>
      </c>
    </row>
    <row r="4574" spans="1:14" x14ac:dyDescent="0.2">
      <c r="A4574" s="51">
        <v>4573</v>
      </c>
      <c r="B4574" s="54" t="s">
        <v>977</v>
      </c>
      <c r="C4574" s="47" t="s">
        <v>9441</v>
      </c>
      <c r="D4574" s="47" t="s">
        <v>9442</v>
      </c>
      <c r="E4574" s="47" t="s">
        <v>3162</v>
      </c>
      <c r="F4574" s="55" t="b">
        <v>1</v>
      </c>
      <c r="G4574" s="54" t="b">
        <v>1</v>
      </c>
      <c r="H4574" s="54" t="b">
        <v>1</v>
      </c>
      <c r="I4574" s="54" t="b">
        <v>1</v>
      </c>
      <c r="J4574" s="54" t="b">
        <v>1</v>
      </c>
      <c r="K4574" s="63" t="s">
        <v>977</v>
      </c>
      <c r="L4574" s="63" t="s">
        <v>9441</v>
      </c>
      <c r="M4574" s="63" t="s">
        <v>9442</v>
      </c>
      <c r="N4574" s="63" t="s">
        <v>3162</v>
      </c>
    </row>
    <row r="4575" spans="1:14" x14ac:dyDescent="0.2">
      <c r="A4575" s="51">
        <v>4574</v>
      </c>
      <c r="B4575" s="54" t="s">
        <v>977</v>
      </c>
      <c r="C4575" s="47" t="s">
        <v>9449</v>
      </c>
      <c r="D4575" s="47" t="s">
        <v>9450</v>
      </c>
      <c r="E4575" s="47" t="s">
        <v>3162</v>
      </c>
      <c r="F4575" s="55" t="b">
        <v>1</v>
      </c>
      <c r="G4575" s="54" t="b">
        <v>1</v>
      </c>
      <c r="H4575" s="54" t="b">
        <v>1</v>
      </c>
      <c r="I4575" s="54" t="b">
        <v>1</v>
      </c>
      <c r="J4575" s="54" t="b">
        <v>1</v>
      </c>
      <c r="K4575" s="63" t="s">
        <v>977</v>
      </c>
      <c r="L4575" s="63" t="s">
        <v>9449</v>
      </c>
      <c r="M4575" s="63" t="s">
        <v>9450</v>
      </c>
      <c r="N4575" s="63" t="s">
        <v>3162</v>
      </c>
    </row>
    <row r="4576" spans="1:14" x14ac:dyDescent="0.2">
      <c r="A4576" s="51">
        <v>4575</v>
      </c>
      <c r="B4576" s="54" t="s">
        <v>977</v>
      </c>
      <c r="C4576" s="47" t="s">
        <v>9453</v>
      </c>
      <c r="D4576" s="47" t="s">
        <v>9454</v>
      </c>
      <c r="E4576" s="47" t="s">
        <v>3162</v>
      </c>
      <c r="F4576" s="55" t="b">
        <v>1</v>
      </c>
      <c r="G4576" s="54" t="b">
        <v>1</v>
      </c>
      <c r="H4576" s="54" t="b">
        <v>1</v>
      </c>
      <c r="I4576" s="54" t="b">
        <v>1</v>
      </c>
      <c r="J4576" s="54" t="b">
        <v>1</v>
      </c>
      <c r="K4576" s="63" t="s">
        <v>977</v>
      </c>
      <c r="L4576" s="63" t="s">
        <v>9453</v>
      </c>
      <c r="M4576" s="63" t="s">
        <v>9454</v>
      </c>
      <c r="N4576" s="63" t="s">
        <v>3162</v>
      </c>
    </row>
    <row r="4577" spans="1:14" x14ac:dyDescent="0.2">
      <c r="A4577" s="51">
        <v>4576</v>
      </c>
      <c r="B4577" s="54" t="s">
        <v>977</v>
      </c>
      <c r="C4577" s="47" t="s">
        <v>9457</v>
      </c>
      <c r="D4577" s="47" t="s">
        <v>9458</v>
      </c>
      <c r="E4577" s="47" t="s">
        <v>13645</v>
      </c>
      <c r="F4577" s="55" t="b">
        <v>1</v>
      </c>
      <c r="G4577" s="54" t="b">
        <v>1</v>
      </c>
      <c r="H4577" s="54" t="b">
        <v>1</v>
      </c>
      <c r="I4577" s="54" t="b">
        <v>1</v>
      </c>
      <c r="J4577" s="65" t="b">
        <v>0</v>
      </c>
      <c r="K4577" s="63" t="s">
        <v>977</v>
      </c>
      <c r="L4577" s="63" t="s">
        <v>9457</v>
      </c>
      <c r="M4577" s="63" t="s">
        <v>9458</v>
      </c>
      <c r="N4577" s="63" t="s">
        <v>3162</v>
      </c>
    </row>
    <row r="4578" spans="1:14" x14ac:dyDescent="0.2">
      <c r="A4578" s="51">
        <v>4577</v>
      </c>
      <c r="B4578" s="54" t="s">
        <v>977</v>
      </c>
      <c r="C4578" s="47" t="s">
        <v>9459</v>
      </c>
      <c r="D4578" s="47" t="s">
        <v>9460</v>
      </c>
      <c r="E4578" s="47" t="s">
        <v>3162</v>
      </c>
      <c r="F4578" s="55" t="b">
        <v>1</v>
      </c>
      <c r="G4578" s="54" t="b">
        <v>1</v>
      </c>
      <c r="H4578" s="54" t="b">
        <v>1</v>
      </c>
      <c r="I4578" s="54" t="b">
        <v>1</v>
      </c>
      <c r="J4578" s="54" t="b">
        <v>1</v>
      </c>
      <c r="K4578" s="63" t="s">
        <v>977</v>
      </c>
      <c r="L4578" s="63" t="s">
        <v>9459</v>
      </c>
      <c r="M4578" s="63" t="s">
        <v>9460</v>
      </c>
      <c r="N4578" s="63" t="s">
        <v>3162</v>
      </c>
    </row>
    <row r="4579" spans="1:14" x14ac:dyDescent="0.2">
      <c r="A4579" s="51">
        <v>4578</v>
      </c>
      <c r="B4579" s="54" t="s">
        <v>977</v>
      </c>
      <c r="C4579" s="47" t="s">
        <v>9473</v>
      </c>
      <c r="D4579" s="47" t="s">
        <v>9474</v>
      </c>
      <c r="E4579" s="47" t="s">
        <v>3162</v>
      </c>
      <c r="F4579" s="55" t="b">
        <v>1</v>
      </c>
      <c r="G4579" s="54" t="b">
        <v>1</v>
      </c>
      <c r="H4579" s="54" t="b">
        <v>1</v>
      </c>
      <c r="I4579" s="54" t="b">
        <v>1</v>
      </c>
      <c r="J4579" s="54" t="b">
        <v>1</v>
      </c>
      <c r="K4579" s="63" t="s">
        <v>977</v>
      </c>
      <c r="L4579" s="63" t="s">
        <v>9473</v>
      </c>
      <c r="M4579" s="63" t="s">
        <v>9474</v>
      </c>
      <c r="N4579" s="63" t="s">
        <v>3162</v>
      </c>
    </row>
    <row r="4580" spans="1:14" x14ac:dyDescent="0.2">
      <c r="A4580" s="51">
        <v>4579</v>
      </c>
      <c r="B4580" s="54" t="s">
        <v>977</v>
      </c>
      <c r="C4580" s="47" t="s">
        <v>9463</v>
      </c>
      <c r="D4580" s="47" t="s">
        <v>9464</v>
      </c>
      <c r="E4580" s="47" t="s">
        <v>3162</v>
      </c>
      <c r="F4580" s="55" t="b">
        <v>1</v>
      </c>
      <c r="G4580" s="54" t="b">
        <v>1</v>
      </c>
      <c r="H4580" s="54" t="b">
        <v>1</v>
      </c>
      <c r="I4580" s="54" t="b">
        <v>1</v>
      </c>
      <c r="J4580" s="54" t="b">
        <v>1</v>
      </c>
      <c r="K4580" s="63" t="s">
        <v>977</v>
      </c>
      <c r="L4580" s="63" t="s">
        <v>9463</v>
      </c>
      <c r="M4580" s="63" t="s">
        <v>9464</v>
      </c>
      <c r="N4580" s="63" t="s">
        <v>3162</v>
      </c>
    </row>
    <row r="4581" spans="1:14" x14ac:dyDescent="0.2">
      <c r="A4581" s="51">
        <v>4580</v>
      </c>
      <c r="B4581" s="54" t="s">
        <v>977</v>
      </c>
      <c r="C4581" s="47" t="s">
        <v>9461</v>
      </c>
      <c r="D4581" s="47" t="s">
        <v>9462</v>
      </c>
      <c r="E4581" s="47" t="s">
        <v>3162</v>
      </c>
      <c r="F4581" s="55" t="b">
        <v>1</v>
      </c>
      <c r="G4581" s="54" t="b">
        <v>1</v>
      </c>
      <c r="H4581" s="54" t="b">
        <v>1</v>
      </c>
      <c r="I4581" s="54" t="b">
        <v>1</v>
      </c>
      <c r="J4581" s="54" t="b">
        <v>1</v>
      </c>
      <c r="K4581" s="63" t="s">
        <v>977</v>
      </c>
      <c r="L4581" s="63" t="s">
        <v>9461</v>
      </c>
      <c r="M4581" s="63" t="s">
        <v>9462</v>
      </c>
      <c r="N4581" s="63" t="s">
        <v>3162</v>
      </c>
    </row>
    <row r="4582" spans="1:14" x14ac:dyDescent="0.2">
      <c r="A4582" s="51">
        <v>4581</v>
      </c>
      <c r="B4582" s="54" t="s">
        <v>977</v>
      </c>
      <c r="C4582" s="47" t="s">
        <v>9465</v>
      </c>
      <c r="D4582" s="47" t="s">
        <v>9466</v>
      </c>
      <c r="E4582" s="47" t="s">
        <v>3162</v>
      </c>
      <c r="F4582" s="55" t="b">
        <v>1</v>
      </c>
      <c r="G4582" s="54" t="b">
        <v>1</v>
      </c>
      <c r="H4582" s="54" t="b">
        <v>1</v>
      </c>
      <c r="I4582" s="54" t="b">
        <v>1</v>
      </c>
      <c r="J4582" s="54" t="b">
        <v>1</v>
      </c>
      <c r="K4582" s="63" t="s">
        <v>977</v>
      </c>
      <c r="L4582" s="63" t="s">
        <v>9465</v>
      </c>
      <c r="M4582" s="63" t="s">
        <v>9466</v>
      </c>
      <c r="N4582" s="63" t="s">
        <v>3162</v>
      </c>
    </row>
    <row r="4583" spans="1:14" x14ac:dyDescent="0.2">
      <c r="A4583" s="51">
        <v>4582</v>
      </c>
      <c r="B4583" s="54" t="s">
        <v>977</v>
      </c>
      <c r="C4583" s="47" t="s">
        <v>9467</v>
      </c>
      <c r="D4583" s="47" t="s">
        <v>9468</v>
      </c>
      <c r="E4583" s="47" t="s">
        <v>3162</v>
      </c>
      <c r="F4583" s="55" t="b">
        <v>1</v>
      </c>
      <c r="G4583" s="54" t="b">
        <v>1</v>
      </c>
      <c r="H4583" s="54" t="b">
        <v>1</v>
      </c>
      <c r="I4583" s="54" t="b">
        <v>1</v>
      </c>
      <c r="J4583" s="54" t="b">
        <v>1</v>
      </c>
      <c r="K4583" s="63" t="s">
        <v>977</v>
      </c>
      <c r="L4583" s="63" t="s">
        <v>9467</v>
      </c>
      <c r="M4583" s="63" t="s">
        <v>9468</v>
      </c>
      <c r="N4583" s="63" t="s">
        <v>3162</v>
      </c>
    </row>
    <row r="4584" spans="1:14" x14ac:dyDescent="0.2">
      <c r="A4584" s="51">
        <v>4583</v>
      </c>
      <c r="B4584" s="54" t="s">
        <v>977</v>
      </c>
      <c r="C4584" s="47" t="s">
        <v>9469</v>
      </c>
      <c r="D4584" s="47" t="s">
        <v>9470</v>
      </c>
      <c r="E4584" s="47" t="s">
        <v>3162</v>
      </c>
      <c r="F4584" s="55" t="b">
        <v>1</v>
      </c>
      <c r="G4584" s="54" t="b">
        <v>1</v>
      </c>
      <c r="H4584" s="54" t="b">
        <v>1</v>
      </c>
      <c r="I4584" s="54" t="b">
        <v>1</v>
      </c>
      <c r="J4584" s="54" t="b">
        <v>1</v>
      </c>
      <c r="K4584" s="63" t="s">
        <v>977</v>
      </c>
      <c r="L4584" s="63" t="s">
        <v>9469</v>
      </c>
      <c r="M4584" s="63" t="s">
        <v>9470</v>
      </c>
      <c r="N4584" s="63" t="s">
        <v>3162</v>
      </c>
    </row>
    <row r="4585" spans="1:14" x14ac:dyDescent="0.2">
      <c r="A4585" s="51">
        <v>4584</v>
      </c>
      <c r="B4585" s="54" t="s">
        <v>977</v>
      </c>
      <c r="C4585" s="47" t="s">
        <v>9479</v>
      </c>
      <c r="D4585" s="47" t="s">
        <v>9480</v>
      </c>
      <c r="E4585" s="47" t="s">
        <v>3162</v>
      </c>
      <c r="F4585" s="55" t="b">
        <v>1</v>
      </c>
      <c r="G4585" s="54" t="b">
        <v>1</v>
      </c>
      <c r="H4585" s="54" t="b">
        <v>1</v>
      </c>
      <c r="I4585" s="54" t="b">
        <v>1</v>
      </c>
      <c r="J4585" s="54" t="b">
        <v>1</v>
      </c>
      <c r="K4585" s="63" t="s">
        <v>977</v>
      </c>
      <c r="L4585" s="63" t="s">
        <v>9479</v>
      </c>
      <c r="M4585" s="63" t="s">
        <v>9480</v>
      </c>
      <c r="N4585" s="63" t="s">
        <v>3162</v>
      </c>
    </row>
    <row r="4586" spans="1:14" x14ac:dyDescent="0.2">
      <c r="A4586" s="51">
        <v>4585</v>
      </c>
      <c r="B4586" s="54" t="s">
        <v>977</v>
      </c>
      <c r="C4586" s="47" t="s">
        <v>9487</v>
      </c>
      <c r="D4586" s="47" t="s">
        <v>9488</v>
      </c>
      <c r="E4586" s="47" t="s">
        <v>3162</v>
      </c>
      <c r="F4586" s="55" t="b">
        <v>1</v>
      </c>
      <c r="G4586" s="54" t="b">
        <v>1</v>
      </c>
      <c r="H4586" s="54" t="b">
        <v>1</v>
      </c>
      <c r="I4586" s="54" t="b">
        <v>1</v>
      </c>
      <c r="J4586" s="54" t="b">
        <v>1</v>
      </c>
      <c r="K4586" s="63" t="s">
        <v>977</v>
      </c>
      <c r="L4586" s="63" t="s">
        <v>9487</v>
      </c>
      <c r="M4586" s="63" t="s">
        <v>9488</v>
      </c>
      <c r="N4586" s="63" t="s">
        <v>3162</v>
      </c>
    </row>
    <row r="4587" spans="1:14" x14ac:dyDescent="0.2">
      <c r="A4587" s="51">
        <v>4586</v>
      </c>
      <c r="B4587" s="54" t="s">
        <v>977</v>
      </c>
      <c r="C4587" s="47" t="s">
        <v>9485</v>
      </c>
      <c r="D4587" s="47" t="s">
        <v>9486</v>
      </c>
      <c r="E4587" s="47" t="s">
        <v>3162</v>
      </c>
      <c r="F4587" s="55" t="b">
        <v>1</v>
      </c>
      <c r="G4587" s="54" t="b">
        <v>1</v>
      </c>
      <c r="H4587" s="54" t="b">
        <v>1</v>
      </c>
      <c r="I4587" s="54" t="b">
        <v>1</v>
      </c>
      <c r="J4587" s="54" t="b">
        <v>1</v>
      </c>
      <c r="K4587" s="63" t="s">
        <v>977</v>
      </c>
      <c r="L4587" s="63" t="s">
        <v>9485</v>
      </c>
      <c r="M4587" s="63" t="s">
        <v>9486</v>
      </c>
      <c r="N4587" s="63" t="s">
        <v>3162</v>
      </c>
    </row>
    <row r="4588" spans="1:14" x14ac:dyDescent="0.2">
      <c r="A4588" s="51">
        <v>4587</v>
      </c>
      <c r="B4588" s="54" t="s">
        <v>977</v>
      </c>
      <c r="C4588" s="47" t="s">
        <v>9483</v>
      </c>
      <c r="D4588" s="47" t="s">
        <v>9484</v>
      </c>
      <c r="E4588" s="47" t="s">
        <v>3162</v>
      </c>
      <c r="F4588" s="55" t="b">
        <v>1</v>
      </c>
      <c r="G4588" s="54" t="b">
        <v>1</v>
      </c>
      <c r="H4588" s="54" t="b">
        <v>1</v>
      </c>
      <c r="I4588" s="54" t="b">
        <v>1</v>
      </c>
      <c r="J4588" s="54" t="b">
        <v>1</v>
      </c>
      <c r="K4588" s="63" t="s">
        <v>977</v>
      </c>
      <c r="L4588" s="63" t="s">
        <v>9483</v>
      </c>
      <c r="M4588" s="63" t="s">
        <v>9484</v>
      </c>
      <c r="N4588" s="63" t="s">
        <v>3162</v>
      </c>
    </row>
    <row r="4589" spans="1:14" x14ac:dyDescent="0.2">
      <c r="A4589" s="51">
        <v>4588</v>
      </c>
      <c r="B4589" s="54" t="s">
        <v>977</v>
      </c>
      <c r="C4589" s="47" t="s">
        <v>9489</v>
      </c>
      <c r="D4589" s="47" t="s">
        <v>9490</v>
      </c>
      <c r="E4589" s="47" t="s">
        <v>3162</v>
      </c>
      <c r="F4589" s="55" t="b">
        <v>1</v>
      </c>
      <c r="G4589" s="54" t="b">
        <v>1</v>
      </c>
      <c r="H4589" s="54" t="b">
        <v>1</v>
      </c>
      <c r="I4589" s="54" t="b">
        <v>1</v>
      </c>
      <c r="J4589" s="54" t="b">
        <v>1</v>
      </c>
      <c r="K4589" s="63" t="s">
        <v>977</v>
      </c>
      <c r="L4589" s="63" t="s">
        <v>9489</v>
      </c>
      <c r="M4589" s="63" t="s">
        <v>9490</v>
      </c>
      <c r="N4589" s="63" t="s">
        <v>3162</v>
      </c>
    </row>
    <row r="4590" spans="1:14" x14ac:dyDescent="0.2">
      <c r="A4590" s="51">
        <v>4589</v>
      </c>
      <c r="B4590" s="54" t="s">
        <v>977</v>
      </c>
      <c r="C4590" s="47" t="s">
        <v>9493</v>
      </c>
      <c r="D4590" s="47" t="s">
        <v>9494</v>
      </c>
      <c r="E4590" s="47" t="s">
        <v>3162</v>
      </c>
      <c r="F4590" s="55" t="b">
        <v>1</v>
      </c>
      <c r="G4590" s="54" t="b">
        <v>1</v>
      </c>
      <c r="H4590" s="54" t="b">
        <v>1</v>
      </c>
      <c r="I4590" s="54" t="b">
        <v>1</v>
      </c>
      <c r="J4590" s="54" t="b">
        <v>1</v>
      </c>
      <c r="K4590" s="63" t="s">
        <v>977</v>
      </c>
      <c r="L4590" s="63" t="s">
        <v>9493</v>
      </c>
      <c r="M4590" s="63" t="s">
        <v>9494</v>
      </c>
      <c r="N4590" s="63" t="s">
        <v>3162</v>
      </c>
    </row>
    <row r="4591" spans="1:14" x14ac:dyDescent="0.2">
      <c r="A4591" s="51">
        <v>4590</v>
      </c>
      <c r="B4591" s="54" t="s">
        <v>977</v>
      </c>
      <c r="C4591" s="47" t="s">
        <v>9495</v>
      </c>
      <c r="D4591" s="47" t="s">
        <v>9496</v>
      </c>
      <c r="E4591" s="47" t="s">
        <v>3162</v>
      </c>
      <c r="F4591" s="55" t="b">
        <v>1</v>
      </c>
      <c r="G4591" s="54" t="b">
        <v>1</v>
      </c>
      <c r="H4591" s="54" t="b">
        <v>1</v>
      </c>
      <c r="I4591" s="54" t="b">
        <v>1</v>
      </c>
      <c r="J4591" s="54" t="b">
        <v>1</v>
      </c>
      <c r="K4591" s="63" t="s">
        <v>977</v>
      </c>
      <c r="L4591" s="63" t="s">
        <v>9495</v>
      </c>
      <c r="M4591" s="63" t="s">
        <v>9496</v>
      </c>
      <c r="N4591" s="63" t="s">
        <v>3162</v>
      </c>
    </row>
    <row r="4592" spans="1:14" x14ac:dyDescent="0.2">
      <c r="A4592" s="51">
        <v>4591</v>
      </c>
      <c r="B4592" s="54" t="s">
        <v>977</v>
      </c>
      <c r="C4592" s="47" t="s">
        <v>9497</v>
      </c>
      <c r="D4592" s="47" t="s">
        <v>9498</v>
      </c>
      <c r="E4592" s="47" t="s">
        <v>3162</v>
      </c>
      <c r="F4592" s="55" t="b">
        <v>1</v>
      </c>
      <c r="G4592" s="54" t="b">
        <v>1</v>
      </c>
      <c r="H4592" s="54" t="b">
        <v>1</v>
      </c>
      <c r="I4592" s="54" t="b">
        <v>1</v>
      </c>
      <c r="J4592" s="54" t="b">
        <v>1</v>
      </c>
      <c r="K4592" s="63" t="s">
        <v>977</v>
      </c>
      <c r="L4592" s="63" t="s">
        <v>9497</v>
      </c>
      <c r="M4592" s="63" t="s">
        <v>9498</v>
      </c>
      <c r="N4592" s="63" t="s">
        <v>3162</v>
      </c>
    </row>
    <row r="4593" spans="1:14" x14ac:dyDescent="0.2">
      <c r="A4593" s="51">
        <v>4592</v>
      </c>
      <c r="B4593" s="54" t="s">
        <v>977</v>
      </c>
      <c r="C4593" s="47" t="s">
        <v>9499</v>
      </c>
      <c r="D4593" s="47" t="s">
        <v>9500</v>
      </c>
      <c r="E4593" s="47" t="s">
        <v>13645</v>
      </c>
      <c r="F4593" s="55" t="b">
        <v>1</v>
      </c>
      <c r="G4593" s="54" t="b">
        <v>1</v>
      </c>
      <c r="H4593" s="54" t="b">
        <v>1</v>
      </c>
      <c r="I4593" s="54" t="b">
        <v>1</v>
      </c>
      <c r="J4593" s="65" t="b">
        <v>0</v>
      </c>
      <c r="K4593" s="63" t="s">
        <v>977</v>
      </c>
      <c r="L4593" s="63" t="s">
        <v>9499</v>
      </c>
      <c r="M4593" s="63" t="s">
        <v>9500</v>
      </c>
      <c r="N4593" s="63" t="s">
        <v>3162</v>
      </c>
    </row>
    <row r="4594" spans="1:14" x14ac:dyDescent="0.2">
      <c r="A4594" s="51">
        <v>4593</v>
      </c>
      <c r="B4594" s="54" t="s">
        <v>977</v>
      </c>
      <c r="C4594" s="47" t="s">
        <v>9501</v>
      </c>
      <c r="D4594" s="47" t="s">
        <v>9502</v>
      </c>
      <c r="E4594" s="47" t="s">
        <v>3162</v>
      </c>
      <c r="F4594" s="55" t="b">
        <v>1</v>
      </c>
      <c r="G4594" s="54" t="b">
        <v>1</v>
      </c>
      <c r="H4594" s="54" t="b">
        <v>1</v>
      </c>
      <c r="I4594" s="54" t="b">
        <v>1</v>
      </c>
      <c r="J4594" s="54" t="b">
        <v>1</v>
      </c>
      <c r="K4594" s="63" t="s">
        <v>977</v>
      </c>
      <c r="L4594" s="63" t="s">
        <v>9501</v>
      </c>
      <c r="M4594" s="63" t="s">
        <v>9502</v>
      </c>
      <c r="N4594" s="63" t="s">
        <v>3162</v>
      </c>
    </row>
    <row r="4595" spans="1:14" x14ac:dyDescent="0.2">
      <c r="A4595" s="51">
        <v>4594</v>
      </c>
      <c r="B4595" s="54" t="s">
        <v>977</v>
      </c>
      <c r="C4595" s="47" t="s">
        <v>9503</v>
      </c>
      <c r="D4595" s="47" t="s">
        <v>9504</v>
      </c>
      <c r="E4595" s="47" t="s">
        <v>3162</v>
      </c>
      <c r="F4595" s="55" t="b">
        <v>1</v>
      </c>
      <c r="G4595" s="54" t="b">
        <v>1</v>
      </c>
      <c r="H4595" s="54" t="b">
        <v>1</v>
      </c>
      <c r="I4595" s="54" t="b">
        <v>1</v>
      </c>
      <c r="J4595" s="54" t="b">
        <v>1</v>
      </c>
      <c r="K4595" s="63" t="s">
        <v>977</v>
      </c>
      <c r="L4595" s="63" t="s">
        <v>9503</v>
      </c>
      <c r="M4595" s="63" t="s">
        <v>9504</v>
      </c>
      <c r="N4595" s="63" t="s">
        <v>3162</v>
      </c>
    </row>
    <row r="4596" spans="1:14" x14ac:dyDescent="0.2">
      <c r="A4596" s="51">
        <v>4595</v>
      </c>
      <c r="B4596" s="54" t="s">
        <v>977</v>
      </c>
      <c r="C4596" s="47" t="s">
        <v>9511</v>
      </c>
      <c r="D4596" s="47" t="s">
        <v>9512</v>
      </c>
      <c r="E4596" s="47" t="s">
        <v>3162</v>
      </c>
      <c r="F4596" s="55" t="b">
        <v>1</v>
      </c>
      <c r="G4596" s="54" t="b">
        <v>1</v>
      </c>
      <c r="H4596" s="54" t="b">
        <v>1</v>
      </c>
      <c r="I4596" s="54" t="b">
        <v>1</v>
      </c>
      <c r="J4596" s="54" t="b">
        <v>1</v>
      </c>
      <c r="K4596" s="63" t="s">
        <v>977</v>
      </c>
      <c r="L4596" s="63" t="s">
        <v>9511</v>
      </c>
      <c r="M4596" s="63" t="s">
        <v>9512</v>
      </c>
      <c r="N4596" s="63" t="s">
        <v>3162</v>
      </c>
    </row>
    <row r="4597" spans="1:14" x14ac:dyDescent="0.2">
      <c r="A4597" s="51">
        <v>4596</v>
      </c>
      <c r="B4597" s="54" t="s">
        <v>977</v>
      </c>
      <c r="C4597" s="47" t="s">
        <v>9521</v>
      </c>
      <c r="D4597" s="47" t="s">
        <v>13651</v>
      </c>
      <c r="E4597" s="47" t="s">
        <v>3162</v>
      </c>
      <c r="F4597" s="55" t="b">
        <v>1</v>
      </c>
      <c r="G4597" s="54" t="b">
        <v>1</v>
      </c>
      <c r="H4597" s="54" t="b">
        <v>1</v>
      </c>
      <c r="I4597" s="65" t="b">
        <v>0</v>
      </c>
      <c r="J4597" s="54" t="b">
        <v>1</v>
      </c>
      <c r="K4597" s="63" t="s">
        <v>977</v>
      </c>
      <c r="L4597" s="63" t="s">
        <v>9521</v>
      </c>
      <c r="M4597" s="63" t="s">
        <v>9522</v>
      </c>
      <c r="N4597" s="63" t="s">
        <v>3162</v>
      </c>
    </row>
    <row r="4598" spans="1:14" x14ac:dyDescent="0.2">
      <c r="A4598" s="51">
        <v>4597</v>
      </c>
      <c r="B4598" s="54" t="s">
        <v>977</v>
      </c>
      <c r="C4598" s="47" t="s">
        <v>9593</v>
      </c>
      <c r="D4598" s="47" t="s">
        <v>9594</v>
      </c>
      <c r="E4598" s="47" t="s">
        <v>3162</v>
      </c>
      <c r="F4598" s="55" t="b">
        <v>1</v>
      </c>
      <c r="G4598" s="54" t="b">
        <v>1</v>
      </c>
      <c r="H4598" s="54" t="b">
        <v>1</v>
      </c>
      <c r="I4598" s="54" t="b">
        <v>1</v>
      </c>
      <c r="J4598" s="54" t="b">
        <v>1</v>
      </c>
      <c r="K4598" s="63" t="s">
        <v>977</v>
      </c>
      <c r="L4598" s="63" t="s">
        <v>9593</v>
      </c>
      <c r="M4598" s="63" t="s">
        <v>9594</v>
      </c>
      <c r="N4598" s="63" t="s">
        <v>3162</v>
      </c>
    </row>
    <row r="4599" spans="1:14" x14ac:dyDescent="0.2">
      <c r="A4599" s="51">
        <v>4598</v>
      </c>
      <c r="B4599" s="54" t="s">
        <v>977</v>
      </c>
      <c r="C4599" s="47" t="s">
        <v>9585</v>
      </c>
      <c r="D4599" s="47" t="s">
        <v>9586</v>
      </c>
      <c r="E4599" s="47" t="s">
        <v>3162</v>
      </c>
      <c r="F4599" s="55" t="b">
        <v>1</v>
      </c>
      <c r="G4599" s="54" t="b">
        <v>1</v>
      </c>
      <c r="H4599" s="54" t="b">
        <v>1</v>
      </c>
      <c r="I4599" s="54" t="b">
        <v>1</v>
      </c>
      <c r="J4599" s="54" t="b">
        <v>1</v>
      </c>
      <c r="K4599" s="63" t="s">
        <v>977</v>
      </c>
      <c r="L4599" s="63" t="s">
        <v>9585</v>
      </c>
      <c r="M4599" s="63" t="s">
        <v>9586</v>
      </c>
      <c r="N4599" s="63" t="s">
        <v>3162</v>
      </c>
    </row>
    <row r="4600" spans="1:14" x14ac:dyDescent="0.2">
      <c r="A4600" s="51">
        <v>4599</v>
      </c>
      <c r="B4600" s="54" t="s">
        <v>977</v>
      </c>
      <c r="C4600" s="47" t="s">
        <v>9587</v>
      </c>
      <c r="D4600" s="47" t="s">
        <v>9588</v>
      </c>
      <c r="E4600" s="47" t="s">
        <v>3162</v>
      </c>
      <c r="F4600" s="55" t="b">
        <v>1</v>
      </c>
      <c r="G4600" s="54" t="b">
        <v>1</v>
      </c>
      <c r="H4600" s="54" t="b">
        <v>1</v>
      </c>
      <c r="I4600" s="54" t="b">
        <v>1</v>
      </c>
      <c r="J4600" s="54" t="b">
        <v>1</v>
      </c>
      <c r="K4600" s="63" t="s">
        <v>977</v>
      </c>
      <c r="L4600" s="63" t="s">
        <v>9587</v>
      </c>
      <c r="M4600" s="63" t="s">
        <v>9588</v>
      </c>
      <c r="N4600" s="63" t="s">
        <v>3162</v>
      </c>
    </row>
    <row r="4601" spans="1:14" x14ac:dyDescent="0.2">
      <c r="A4601" s="51">
        <v>4600</v>
      </c>
      <c r="B4601" s="54" t="s">
        <v>977</v>
      </c>
      <c r="C4601" s="47" t="s">
        <v>9589</v>
      </c>
      <c r="D4601" s="47" t="s">
        <v>9590</v>
      </c>
      <c r="E4601" s="47" t="s">
        <v>3162</v>
      </c>
      <c r="F4601" s="55" t="b">
        <v>1</v>
      </c>
      <c r="G4601" s="54" t="b">
        <v>1</v>
      </c>
      <c r="H4601" s="54" t="b">
        <v>1</v>
      </c>
      <c r="I4601" s="54" t="b">
        <v>1</v>
      </c>
      <c r="J4601" s="54" t="b">
        <v>1</v>
      </c>
      <c r="K4601" s="63" t="s">
        <v>977</v>
      </c>
      <c r="L4601" s="63" t="s">
        <v>9589</v>
      </c>
      <c r="M4601" s="63" t="s">
        <v>9590</v>
      </c>
      <c r="N4601" s="63" t="s">
        <v>3162</v>
      </c>
    </row>
    <row r="4602" spans="1:14" x14ac:dyDescent="0.2">
      <c r="A4602" s="51">
        <v>4601</v>
      </c>
      <c r="B4602" s="54" t="s">
        <v>977</v>
      </c>
      <c r="C4602" s="47" t="s">
        <v>9595</v>
      </c>
      <c r="D4602" s="47" t="s">
        <v>9596</v>
      </c>
      <c r="E4602" s="47" t="s">
        <v>3162</v>
      </c>
      <c r="F4602" s="55" t="b">
        <v>1</v>
      </c>
      <c r="G4602" s="54" t="b">
        <v>1</v>
      </c>
      <c r="H4602" s="54" t="b">
        <v>1</v>
      </c>
      <c r="I4602" s="54" t="b">
        <v>1</v>
      </c>
      <c r="J4602" s="54" t="b">
        <v>1</v>
      </c>
      <c r="K4602" s="63" t="s">
        <v>977</v>
      </c>
      <c r="L4602" s="63" t="s">
        <v>9595</v>
      </c>
      <c r="M4602" s="63" t="s">
        <v>9596</v>
      </c>
      <c r="N4602" s="63" t="s">
        <v>3162</v>
      </c>
    </row>
    <row r="4603" spans="1:14" x14ac:dyDescent="0.2">
      <c r="A4603" s="51">
        <v>4602</v>
      </c>
      <c r="B4603" s="54" t="s">
        <v>977</v>
      </c>
      <c r="C4603" s="47" t="s">
        <v>9597</v>
      </c>
      <c r="D4603" s="47" t="s">
        <v>9598</v>
      </c>
      <c r="E4603" s="47" t="s">
        <v>3162</v>
      </c>
      <c r="F4603" s="55" t="b">
        <v>1</v>
      </c>
      <c r="G4603" s="54" t="b">
        <v>1</v>
      </c>
      <c r="H4603" s="54" t="b">
        <v>1</v>
      </c>
      <c r="I4603" s="54" t="b">
        <v>1</v>
      </c>
      <c r="J4603" s="54" t="b">
        <v>1</v>
      </c>
      <c r="K4603" s="63" t="s">
        <v>977</v>
      </c>
      <c r="L4603" s="63" t="s">
        <v>9597</v>
      </c>
      <c r="M4603" s="63" t="s">
        <v>9598</v>
      </c>
      <c r="N4603" s="63" t="s">
        <v>3162</v>
      </c>
    </row>
    <row r="4604" spans="1:14" x14ac:dyDescent="0.2">
      <c r="A4604" s="51">
        <v>4603</v>
      </c>
      <c r="B4604" s="54" t="s">
        <v>977</v>
      </c>
      <c r="C4604" s="47" t="s">
        <v>9599</v>
      </c>
      <c r="D4604" s="47" t="s">
        <v>9600</v>
      </c>
      <c r="E4604" s="47" t="s">
        <v>3162</v>
      </c>
      <c r="F4604" s="55" t="b">
        <v>1</v>
      </c>
      <c r="G4604" s="54" t="b">
        <v>1</v>
      </c>
      <c r="H4604" s="54" t="b">
        <v>1</v>
      </c>
      <c r="I4604" s="54" t="b">
        <v>1</v>
      </c>
      <c r="J4604" s="54" t="b">
        <v>1</v>
      </c>
      <c r="K4604" s="63" t="s">
        <v>977</v>
      </c>
      <c r="L4604" s="63" t="s">
        <v>9599</v>
      </c>
      <c r="M4604" s="63" t="s">
        <v>9600</v>
      </c>
      <c r="N4604" s="63" t="s">
        <v>3162</v>
      </c>
    </row>
    <row r="4605" spans="1:14" x14ac:dyDescent="0.2">
      <c r="A4605" s="51">
        <v>4604</v>
      </c>
      <c r="B4605" s="54" t="s">
        <v>977</v>
      </c>
      <c r="C4605" s="47" t="s">
        <v>9601</v>
      </c>
      <c r="D4605" s="47" t="s">
        <v>9602</v>
      </c>
      <c r="E4605" s="47" t="s">
        <v>3162</v>
      </c>
      <c r="F4605" s="55" t="b">
        <v>1</v>
      </c>
      <c r="G4605" s="54" t="b">
        <v>1</v>
      </c>
      <c r="H4605" s="54" t="b">
        <v>1</v>
      </c>
      <c r="I4605" s="54" t="b">
        <v>1</v>
      </c>
      <c r="J4605" s="54" t="b">
        <v>1</v>
      </c>
      <c r="K4605" s="63" t="s">
        <v>977</v>
      </c>
      <c r="L4605" s="63" t="s">
        <v>9601</v>
      </c>
      <c r="M4605" s="63" t="s">
        <v>9602</v>
      </c>
      <c r="N4605" s="63" t="s">
        <v>3162</v>
      </c>
    </row>
    <row r="4606" spans="1:14" x14ac:dyDescent="0.2">
      <c r="A4606" s="51">
        <v>4605</v>
      </c>
      <c r="B4606" s="54" t="s">
        <v>977</v>
      </c>
      <c r="C4606" s="47" t="s">
        <v>9605</v>
      </c>
      <c r="D4606" s="47" t="s">
        <v>9606</v>
      </c>
      <c r="E4606" s="47" t="s">
        <v>3162</v>
      </c>
      <c r="F4606" s="55" t="b">
        <v>1</v>
      </c>
      <c r="G4606" s="54" t="b">
        <v>1</v>
      </c>
      <c r="H4606" s="54" t="b">
        <v>1</v>
      </c>
      <c r="I4606" s="54" t="b">
        <v>1</v>
      </c>
      <c r="J4606" s="54" t="b">
        <v>1</v>
      </c>
      <c r="K4606" s="63" t="s">
        <v>977</v>
      </c>
      <c r="L4606" s="63" t="s">
        <v>9605</v>
      </c>
      <c r="M4606" s="63" t="s">
        <v>9606</v>
      </c>
      <c r="N4606" s="63" t="s">
        <v>3162</v>
      </c>
    </row>
    <row r="4607" spans="1:14" x14ac:dyDescent="0.2">
      <c r="A4607" s="51">
        <v>4606</v>
      </c>
      <c r="B4607" s="54" t="s">
        <v>977</v>
      </c>
      <c r="C4607" s="47" t="s">
        <v>9607</v>
      </c>
      <c r="D4607" s="47" t="s">
        <v>9608</v>
      </c>
      <c r="E4607" s="47" t="s">
        <v>3162</v>
      </c>
      <c r="F4607" s="55" t="b">
        <v>1</v>
      </c>
      <c r="G4607" s="54" t="b">
        <v>1</v>
      </c>
      <c r="H4607" s="54" t="b">
        <v>1</v>
      </c>
      <c r="I4607" s="54" t="b">
        <v>1</v>
      </c>
      <c r="J4607" s="54" t="b">
        <v>1</v>
      </c>
      <c r="K4607" s="63" t="s">
        <v>977</v>
      </c>
      <c r="L4607" s="63" t="s">
        <v>9607</v>
      </c>
      <c r="M4607" s="63" t="s">
        <v>9608</v>
      </c>
      <c r="N4607" s="63" t="s">
        <v>3162</v>
      </c>
    </row>
    <row r="4608" spans="1:14" x14ac:dyDescent="0.2">
      <c r="A4608" s="51">
        <v>4607</v>
      </c>
      <c r="B4608" s="54" t="s">
        <v>977</v>
      </c>
      <c r="C4608" s="47" t="s">
        <v>9609</v>
      </c>
      <c r="D4608" s="47" t="s">
        <v>9610</v>
      </c>
      <c r="E4608" s="47" t="s">
        <v>3162</v>
      </c>
      <c r="F4608" s="55" t="b">
        <v>1</v>
      </c>
      <c r="G4608" s="54" t="b">
        <v>1</v>
      </c>
      <c r="H4608" s="54" t="b">
        <v>1</v>
      </c>
      <c r="I4608" s="54" t="b">
        <v>1</v>
      </c>
      <c r="J4608" s="54" t="b">
        <v>1</v>
      </c>
      <c r="K4608" s="63" t="s">
        <v>977</v>
      </c>
      <c r="L4608" s="63" t="s">
        <v>9609</v>
      </c>
      <c r="M4608" s="63" t="s">
        <v>9610</v>
      </c>
      <c r="N4608" s="63" t="s">
        <v>3162</v>
      </c>
    </row>
    <row r="4609" spans="1:14" x14ac:dyDescent="0.2">
      <c r="A4609" s="51">
        <v>4608</v>
      </c>
      <c r="B4609" s="54" t="s">
        <v>977</v>
      </c>
      <c r="C4609" s="47" t="s">
        <v>9531</v>
      </c>
      <c r="D4609" s="47" t="s">
        <v>9532</v>
      </c>
      <c r="E4609" s="47" t="s">
        <v>3162</v>
      </c>
      <c r="F4609" s="55" t="b">
        <v>1</v>
      </c>
      <c r="G4609" s="54" t="b">
        <v>1</v>
      </c>
      <c r="H4609" s="54" t="b">
        <v>1</v>
      </c>
      <c r="I4609" s="54" t="b">
        <v>1</v>
      </c>
      <c r="J4609" s="54" t="b">
        <v>1</v>
      </c>
      <c r="K4609" s="63" t="s">
        <v>977</v>
      </c>
      <c r="L4609" s="63" t="s">
        <v>9531</v>
      </c>
      <c r="M4609" s="63" t="s">
        <v>9532</v>
      </c>
      <c r="N4609" s="63" t="s">
        <v>3162</v>
      </c>
    </row>
    <row r="4610" spans="1:14" x14ac:dyDescent="0.2">
      <c r="A4610" s="51">
        <v>4609</v>
      </c>
      <c r="B4610" s="54" t="s">
        <v>977</v>
      </c>
      <c r="C4610" s="47" t="s">
        <v>9533</v>
      </c>
      <c r="D4610" s="47" t="s">
        <v>9534</v>
      </c>
      <c r="E4610" s="47" t="s">
        <v>3162</v>
      </c>
      <c r="F4610" s="55" t="b">
        <v>1</v>
      </c>
      <c r="G4610" s="54" t="b">
        <v>1</v>
      </c>
      <c r="H4610" s="54" t="b">
        <v>1</v>
      </c>
      <c r="I4610" s="54" t="b">
        <v>1</v>
      </c>
      <c r="J4610" s="54" t="b">
        <v>1</v>
      </c>
      <c r="K4610" s="63" t="s">
        <v>977</v>
      </c>
      <c r="L4610" s="63" t="s">
        <v>9533</v>
      </c>
      <c r="M4610" s="63" t="s">
        <v>9534</v>
      </c>
      <c r="N4610" s="63" t="s">
        <v>3162</v>
      </c>
    </row>
    <row r="4611" spans="1:14" x14ac:dyDescent="0.2">
      <c r="A4611" s="51">
        <v>4610</v>
      </c>
      <c r="B4611" s="54" t="s">
        <v>977</v>
      </c>
      <c r="C4611" s="47" t="s">
        <v>9535</v>
      </c>
      <c r="D4611" s="47" t="s">
        <v>9536</v>
      </c>
      <c r="E4611" s="47" t="s">
        <v>3162</v>
      </c>
      <c r="F4611" s="55" t="b">
        <v>1</v>
      </c>
      <c r="G4611" s="54" t="b">
        <v>1</v>
      </c>
      <c r="H4611" s="54" t="b">
        <v>1</v>
      </c>
      <c r="I4611" s="54" t="b">
        <v>1</v>
      </c>
      <c r="J4611" s="54" t="b">
        <v>1</v>
      </c>
      <c r="K4611" s="63" t="s">
        <v>977</v>
      </c>
      <c r="L4611" s="63" t="s">
        <v>9535</v>
      </c>
      <c r="M4611" s="63" t="s">
        <v>9536</v>
      </c>
      <c r="N4611" s="63" t="s">
        <v>3162</v>
      </c>
    </row>
    <row r="4612" spans="1:14" x14ac:dyDescent="0.2">
      <c r="A4612" s="51">
        <v>4611</v>
      </c>
      <c r="B4612" s="54" t="s">
        <v>977</v>
      </c>
      <c r="C4612" s="47" t="s">
        <v>9541</v>
      </c>
      <c r="D4612" s="47" t="s">
        <v>9542</v>
      </c>
      <c r="E4612" s="47" t="s">
        <v>3162</v>
      </c>
      <c r="F4612" s="55" t="b">
        <v>1</v>
      </c>
      <c r="G4612" s="54" t="b">
        <v>1</v>
      </c>
      <c r="H4612" s="54" t="b">
        <v>1</v>
      </c>
      <c r="I4612" s="54" t="b">
        <v>1</v>
      </c>
      <c r="J4612" s="54" t="b">
        <v>1</v>
      </c>
      <c r="K4612" s="63" t="s">
        <v>977</v>
      </c>
      <c r="L4612" s="63" t="s">
        <v>9541</v>
      </c>
      <c r="M4612" s="63" t="s">
        <v>9542</v>
      </c>
      <c r="N4612" s="63" t="s">
        <v>3162</v>
      </c>
    </row>
    <row r="4613" spans="1:14" x14ac:dyDescent="0.2">
      <c r="A4613" s="51">
        <v>4612</v>
      </c>
      <c r="B4613" s="54" t="s">
        <v>977</v>
      </c>
      <c r="C4613" s="47" t="s">
        <v>9543</v>
      </c>
      <c r="D4613" s="47" t="s">
        <v>9544</v>
      </c>
      <c r="E4613" s="47" t="s">
        <v>3162</v>
      </c>
      <c r="F4613" s="55" t="b">
        <v>1</v>
      </c>
      <c r="G4613" s="54" t="b">
        <v>1</v>
      </c>
      <c r="H4613" s="54" t="b">
        <v>1</v>
      </c>
      <c r="I4613" s="54" t="b">
        <v>1</v>
      </c>
      <c r="J4613" s="54" t="b">
        <v>1</v>
      </c>
      <c r="K4613" s="63" t="s">
        <v>977</v>
      </c>
      <c r="L4613" s="63" t="s">
        <v>9543</v>
      </c>
      <c r="M4613" s="63" t="s">
        <v>9544</v>
      </c>
      <c r="N4613" s="63" t="s">
        <v>3162</v>
      </c>
    </row>
    <row r="4614" spans="1:14" x14ac:dyDescent="0.2">
      <c r="A4614" s="51">
        <v>4613</v>
      </c>
      <c r="B4614" s="54" t="s">
        <v>977</v>
      </c>
      <c r="C4614" s="47" t="s">
        <v>9545</v>
      </c>
      <c r="D4614" s="47" t="s">
        <v>9546</v>
      </c>
      <c r="E4614" s="47" t="s">
        <v>13645</v>
      </c>
      <c r="F4614" s="55" t="b">
        <v>1</v>
      </c>
      <c r="G4614" s="54" t="b">
        <v>1</v>
      </c>
      <c r="H4614" s="54" t="b">
        <v>1</v>
      </c>
      <c r="I4614" s="54" t="b">
        <v>1</v>
      </c>
      <c r="J4614" s="65" t="b">
        <v>0</v>
      </c>
      <c r="K4614" s="63" t="s">
        <v>977</v>
      </c>
      <c r="L4614" s="63" t="s">
        <v>9545</v>
      </c>
      <c r="M4614" s="63" t="s">
        <v>9546</v>
      </c>
      <c r="N4614" s="63" t="s">
        <v>3162</v>
      </c>
    </row>
    <row r="4615" spans="1:14" x14ac:dyDescent="0.2">
      <c r="A4615" s="51">
        <v>4614</v>
      </c>
      <c r="B4615" s="54" t="s">
        <v>977</v>
      </c>
      <c r="C4615" s="47" t="s">
        <v>9549</v>
      </c>
      <c r="D4615" s="47" t="s">
        <v>9550</v>
      </c>
      <c r="E4615" s="47" t="s">
        <v>3162</v>
      </c>
      <c r="F4615" s="55" t="b">
        <v>1</v>
      </c>
      <c r="G4615" s="54" t="b">
        <v>1</v>
      </c>
      <c r="H4615" s="54" t="b">
        <v>1</v>
      </c>
      <c r="I4615" s="54" t="b">
        <v>1</v>
      </c>
      <c r="J4615" s="54" t="b">
        <v>1</v>
      </c>
      <c r="K4615" s="63" t="s">
        <v>977</v>
      </c>
      <c r="L4615" s="63" t="s">
        <v>9549</v>
      </c>
      <c r="M4615" s="63" t="s">
        <v>9550</v>
      </c>
      <c r="N4615" s="63" t="s">
        <v>3162</v>
      </c>
    </row>
    <row r="4616" spans="1:14" x14ac:dyDescent="0.2">
      <c r="A4616" s="51">
        <v>4615</v>
      </c>
      <c r="B4616" s="54" t="s">
        <v>977</v>
      </c>
      <c r="C4616" s="47" t="s">
        <v>9553</v>
      </c>
      <c r="D4616" s="47" t="s">
        <v>9554</v>
      </c>
      <c r="E4616" s="47" t="s">
        <v>3162</v>
      </c>
      <c r="F4616" s="55" t="b">
        <v>1</v>
      </c>
      <c r="G4616" s="54" t="b">
        <v>1</v>
      </c>
      <c r="H4616" s="54" t="b">
        <v>1</v>
      </c>
      <c r="I4616" s="54" t="b">
        <v>1</v>
      </c>
      <c r="J4616" s="54" t="b">
        <v>1</v>
      </c>
      <c r="K4616" s="63" t="s">
        <v>977</v>
      </c>
      <c r="L4616" s="63" t="s">
        <v>9553</v>
      </c>
      <c r="M4616" s="63" t="s">
        <v>9554</v>
      </c>
      <c r="N4616" s="63" t="s">
        <v>3162</v>
      </c>
    </row>
    <row r="4617" spans="1:14" x14ac:dyDescent="0.2">
      <c r="A4617" s="51">
        <v>4616</v>
      </c>
      <c r="B4617" s="54" t="s">
        <v>977</v>
      </c>
      <c r="C4617" s="47" t="s">
        <v>9555</v>
      </c>
      <c r="D4617" s="47" t="s">
        <v>9556</v>
      </c>
      <c r="E4617" s="47" t="s">
        <v>3162</v>
      </c>
      <c r="F4617" s="55" t="b">
        <v>1</v>
      </c>
      <c r="G4617" s="54" t="b">
        <v>1</v>
      </c>
      <c r="H4617" s="54" t="b">
        <v>1</v>
      </c>
      <c r="I4617" s="54" t="b">
        <v>1</v>
      </c>
      <c r="J4617" s="54" t="b">
        <v>1</v>
      </c>
      <c r="K4617" s="63" t="s">
        <v>977</v>
      </c>
      <c r="L4617" s="63" t="s">
        <v>9555</v>
      </c>
      <c r="M4617" s="63" t="s">
        <v>9556</v>
      </c>
      <c r="N4617" s="63" t="s">
        <v>3162</v>
      </c>
    </row>
    <row r="4618" spans="1:14" x14ac:dyDescent="0.2">
      <c r="A4618" s="51">
        <v>4617</v>
      </c>
      <c r="B4618" s="54" t="s">
        <v>977</v>
      </c>
      <c r="C4618" s="47" t="s">
        <v>9557</v>
      </c>
      <c r="D4618" s="47" t="s">
        <v>9558</v>
      </c>
      <c r="E4618" s="47" t="s">
        <v>3162</v>
      </c>
      <c r="F4618" s="55" t="b">
        <v>1</v>
      </c>
      <c r="G4618" s="54" t="b">
        <v>1</v>
      </c>
      <c r="H4618" s="54" t="b">
        <v>1</v>
      </c>
      <c r="I4618" s="54" t="b">
        <v>1</v>
      </c>
      <c r="J4618" s="54" t="b">
        <v>1</v>
      </c>
      <c r="K4618" s="63" t="s">
        <v>977</v>
      </c>
      <c r="L4618" s="63" t="s">
        <v>9557</v>
      </c>
      <c r="M4618" s="63" t="s">
        <v>9558</v>
      </c>
      <c r="N4618" s="63" t="s">
        <v>3162</v>
      </c>
    </row>
    <row r="4619" spans="1:14" x14ac:dyDescent="0.2">
      <c r="A4619" s="51">
        <v>4618</v>
      </c>
      <c r="B4619" s="54" t="s">
        <v>977</v>
      </c>
      <c r="C4619" s="47" t="s">
        <v>9559</v>
      </c>
      <c r="D4619" s="47" t="s">
        <v>9560</v>
      </c>
      <c r="E4619" s="47" t="s">
        <v>3162</v>
      </c>
      <c r="F4619" s="55" t="b">
        <v>1</v>
      </c>
      <c r="G4619" s="54" t="b">
        <v>1</v>
      </c>
      <c r="H4619" s="54" t="b">
        <v>1</v>
      </c>
      <c r="I4619" s="54" t="b">
        <v>1</v>
      </c>
      <c r="J4619" s="54" t="b">
        <v>1</v>
      </c>
      <c r="K4619" s="63" t="s">
        <v>977</v>
      </c>
      <c r="L4619" s="63" t="s">
        <v>9559</v>
      </c>
      <c r="M4619" s="63" t="s">
        <v>9560</v>
      </c>
      <c r="N4619" s="63" t="s">
        <v>3162</v>
      </c>
    </row>
    <row r="4620" spans="1:14" x14ac:dyDescent="0.2">
      <c r="A4620" s="51">
        <v>4619</v>
      </c>
      <c r="B4620" s="54" t="s">
        <v>977</v>
      </c>
      <c r="C4620" s="47" t="s">
        <v>9561</v>
      </c>
      <c r="D4620" s="47" t="s">
        <v>9562</v>
      </c>
      <c r="E4620" s="47" t="s">
        <v>3162</v>
      </c>
      <c r="F4620" s="55" t="b">
        <v>1</v>
      </c>
      <c r="G4620" s="54" t="b">
        <v>1</v>
      </c>
      <c r="H4620" s="54" t="b">
        <v>1</v>
      </c>
      <c r="I4620" s="54" t="b">
        <v>1</v>
      </c>
      <c r="J4620" s="54" t="b">
        <v>1</v>
      </c>
      <c r="K4620" s="63" t="s">
        <v>977</v>
      </c>
      <c r="L4620" s="63" t="s">
        <v>9561</v>
      </c>
      <c r="M4620" s="63" t="s">
        <v>9562</v>
      </c>
      <c r="N4620" s="63" t="s">
        <v>3162</v>
      </c>
    </row>
    <row r="4621" spans="1:14" x14ac:dyDescent="0.2">
      <c r="A4621" s="51">
        <v>4620</v>
      </c>
      <c r="B4621" s="54" t="s">
        <v>977</v>
      </c>
      <c r="C4621" s="47" t="s">
        <v>9565</v>
      </c>
      <c r="D4621" s="47" t="s">
        <v>9566</v>
      </c>
      <c r="E4621" s="47" t="s">
        <v>3162</v>
      </c>
      <c r="F4621" s="55" t="b">
        <v>1</v>
      </c>
      <c r="G4621" s="54" t="b">
        <v>1</v>
      </c>
      <c r="H4621" s="54" t="b">
        <v>1</v>
      </c>
      <c r="I4621" s="54" t="b">
        <v>1</v>
      </c>
      <c r="J4621" s="54" t="b">
        <v>1</v>
      </c>
      <c r="K4621" s="63" t="s">
        <v>977</v>
      </c>
      <c r="L4621" s="63" t="s">
        <v>9565</v>
      </c>
      <c r="M4621" s="63" t="s">
        <v>9566</v>
      </c>
      <c r="N4621" s="63" t="s">
        <v>3162</v>
      </c>
    </row>
    <row r="4622" spans="1:14" x14ac:dyDescent="0.2">
      <c r="A4622" s="51">
        <v>4621</v>
      </c>
      <c r="B4622" s="54" t="s">
        <v>977</v>
      </c>
      <c r="C4622" s="47" t="s">
        <v>9567</v>
      </c>
      <c r="D4622" s="47" t="s">
        <v>9568</v>
      </c>
      <c r="E4622" s="47" t="s">
        <v>3162</v>
      </c>
      <c r="F4622" s="55" t="b">
        <v>1</v>
      </c>
      <c r="G4622" s="54" t="b">
        <v>1</v>
      </c>
      <c r="H4622" s="54" t="b">
        <v>1</v>
      </c>
      <c r="I4622" s="54" t="b">
        <v>1</v>
      </c>
      <c r="J4622" s="54" t="b">
        <v>1</v>
      </c>
      <c r="K4622" s="63" t="s">
        <v>977</v>
      </c>
      <c r="L4622" s="63" t="s">
        <v>9567</v>
      </c>
      <c r="M4622" s="63" t="s">
        <v>9568</v>
      </c>
      <c r="N4622" s="63" t="s">
        <v>3162</v>
      </c>
    </row>
    <row r="4623" spans="1:14" x14ac:dyDescent="0.2">
      <c r="A4623" s="51">
        <v>4622</v>
      </c>
      <c r="B4623" s="54" t="s">
        <v>977</v>
      </c>
      <c r="C4623" s="47" t="s">
        <v>9569</v>
      </c>
      <c r="D4623" s="47" t="s">
        <v>9570</v>
      </c>
      <c r="E4623" s="47" t="s">
        <v>3162</v>
      </c>
      <c r="F4623" s="55" t="b">
        <v>1</v>
      </c>
      <c r="G4623" s="54" t="b">
        <v>1</v>
      </c>
      <c r="H4623" s="54" t="b">
        <v>1</v>
      </c>
      <c r="I4623" s="54" t="b">
        <v>1</v>
      </c>
      <c r="J4623" s="54" t="b">
        <v>1</v>
      </c>
      <c r="K4623" s="63" t="s">
        <v>977</v>
      </c>
      <c r="L4623" s="63" t="s">
        <v>9569</v>
      </c>
      <c r="M4623" s="63" t="s">
        <v>9570</v>
      </c>
      <c r="N4623" s="63" t="s">
        <v>3162</v>
      </c>
    </row>
    <row r="4624" spans="1:14" x14ac:dyDescent="0.2">
      <c r="A4624" s="51">
        <v>4623</v>
      </c>
      <c r="B4624" s="54" t="s">
        <v>977</v>
      </c>
      <c r="C4624" s="47" t="s">
        <v>9571</v>
      </c>
      <c r="D4624" s="47" t="s">
        <v>9572</v>
      </c>
      <c r="E4624" s="47" t="s">
        <v>3162</v>
      </c>
      <c r="F4624" s="55" t="b">
        <v>1</v>
      </c>
      <c r="G4624" s="54" t="b">
        <v>1</v>
      </c>
      <c r="H4624" s="54" t="b">
        <v>1</v>
      </c>
      <c r="I4624" s="54" t="b">
        <v>1</v>
      </c>
      <c r="J4624" s="54" t="b">
        <v>1</v>
      </c>
      <c r="K4624" s="63" t="s">
        <v>977</v>
      </c>
      <c r="L4624" s="63" t="s">
        <v>9571</v>
      </c>
      <c r="M4624" s="63" t="s">
        <v>9572</v>
      </c>
      <c r="N4624" s="63" t="s">
        <v>3162</v>
      </c>
    </row>
    <row r="4625" spans="1:14" x14ac:dyDescent="0.2">
      <c r="A4625" s="51">
        <v>4624</v>
      </c>
      <c r="B4625" s="54" t="s">
        <v>977</v>
      </c>
      <c r="C4625" s="47" t="s">
        <v>9573</v>
      </c>
      <c r="D4625" s="47" t="s">
        <v>9574</v>
      </c>
      <c r="E4625" s="47" t="s">
        <v>3162</v>
      </c>
      <c r="F4625" s="55" t="b">
        <v>1</v>
      </c>
      <c r="G4625" s="54" t="b">
        <v>1</v>
      </c>
      <c r="H4625" s="54" t="b">
        <v>1</v>
      </c>
      <c r="I4625" s="54" t="b">
        <v>1</v>
      </c>
      <c r="J4625" s="54" t="b">
        <v>1</v>
      </c>
      <c r="K4625" s="63" t="s">
        <v>977</v>
      </c>
      <c r="L4625" s="63" t="s">
        <v>9573</v>
      </c>
      <c r="M4625" s="63" t="s">
        <v>9574</v>
      </c>
      <c r="N4625" s="63" t="s">
        <v>3162</v>
      </c>
    </row>
    <row r="4626" spans="1:14" x14ac:dyDescent="0.2">
      <c r="A4626" s="51">
        <v>4625</v>
      </c>
      <c r="B4626" s="54" t="s">
        <v>977</v>
      </c>
      <c r="C4626" s="47" t="s">
        <v>9613</v>
      </c>
      <c r="D4626" s="47" t="s">
        <v>9614</v>
      </c>
      <c r="E4626" s="47" t="s">
        <v>3162</v>
      </c>
      <c r="F4626" s="55" t="b">
        <v>1</v>
      </c>
      <c r="G4626" s="54" t="b">
        <v>1</v>
      </c>
      <c r="H4626" s="54" t="b">
        <v>1</v>
      </c>
      <c r="I4626" s="54" t="b">
        <v>1</v>
      </c>
      <c r="J4626" s="54" t="b">
        <v>1</v>
      </c>
      <c r="K4626" s="63" t="s">
        <v>977</v>
      </c>
      <c r="L4626" s="63" t="s">
        <v>9613</v>
      </c>
      <c r="M4626" s="63" t="s">
        <v>9614</v>
      </c>
      <c r="N4626" s="63" t="s">
        <v>3162</v>
      </c>
    </row>
    <row r="4627" spans="1:14" x14ac:dyDescent="0.2">
      <c r="A4627" s="51">
        <v>4626</v>
      </c>
      <c r="B4627" s="54" t="s">
        <v>977</v>
      </c>
      <c r="C4627" s="47" t="s">
        <v>9617</v>
      </c>
      <c r="D4627" s="47" t="s">
        <v>9618</v>
      </c>
      <c r="E4627" s="47" t="s">
        <v>3162</v>
      </c>
      <c r="F4627" s="55" t="b">
        <v>1</v>
      </c>
      <c r="G4627" s="54" t="b">
        <v>1</v>
      </c>
      <c r="H4627" s="54" t="b">
        <v>1</v>
      </c>
      <c r="I4627" s="54" t="b">
        <v>1</v>
      </c>
      <c r="J4627" s="54" t="b">
        <v>1</v>
      </c>
      <c r="K4627" s="63" t="s">
        <v>977</v>
      </c>
      <c r="L4627" s="63" t="s">
        <v>9617</v>
      </c>
      <c r="M4627" s="63" t="s">
        <v>9618</v>
      </c>
      <c r="N4627" s="63" t="s">
        <v>3162</v>
      </c>
    </row>
    <row r="4628" spans="1:14" x14ac:dyDescent="0.2">
      <c r="A4628" s="51">
        <v>4627</v>
      </c>
      <c r="B4628" s="54" t="s">
        <v>977</v>
      </c>
      <c r="C4628" s="47" t="s">
        <v>9211</v>
      </c>
      <c r="D4628" s="47" t="s">
        <v>9212</v>
      </c>
      <c r="E4628" s="47" t="s">
        <v>3162</v>
      </c>
      <c r="F4628" s="55" t="b">
        <v>1</v>
      </c>
      <c r="G4628" s="54" t="b">
        <v>1</v>
      </c>
      <c r="H4628" s="54" t="b">
        <v>1</v>
      </c>
      <c r="I4628" s="54" t="b">
        <v>1</v>
      </c>
      <c r="J4628" s="54" t="b">
        <v>1</v>
      </c>
      <c r="K4628" s="63" t="s">
        <v>977</v>
      </c>
      <c r="L4628" s="63" t="s">
        <v>9211</v>
      </c>
      <c r="M4628" s="63" t="s">
        <v>9212</v>
      </c>
      <c r="N4628" s="63" t="s">
        <v>3162</v>
      </c>
    </row>
    <row r="4629" spans="1:14" x14ac:dyDescent="0.2">
      <c r="A4629" s="51">
        <v>4628</v>
      </c>
      <c r="B4629" s="54" t="s">
        <v>977</v>
      </c>
      <c r="C4629" s="47" t="s">
        <v>9213</v>
      </c>
      <c r="D4629" s="47" t="s">
        <v>9214</v>
      </c>
      <c r="E4629" s="47" t="s">
        <v>3162</v>
      </c>
      <c r="F4629" s="55" t="b">
        <v>1</v>
      </c>
      <c r="G4629" s="54" t="b">
        <v>1</v>
      </c>
      <c r="H4629" s="54" t="b">
        <v>1</v>
      </c>
      <c r="I4629" s="54" t="b">
        <v>1</v>
      </c>
      <c r="J4629" s="54" t="b">
        <v>1</v>
      </c>
      <c r="K4629" s="63" t="s">
        <v>977</v>
      </c>
      <c r="L4629" s="63" t="s">
        <v>9213</v>
      </c>
      <c r="M4629" s="63" t="s">
        <v>9214</v>
      </c>
      <c r="N4629" s="63" t="s">
        <v>3162</v>
      </c>
    </row>
    <row r="4630" spans="1:14" x14ac:dyDescent="0.2">
      <c r="A4630" s="51">
        <v>4629</v>
      </c>
      <c r="B4630" s="54" t="s">
        <v>977</v>
      </c>
      <c r="C4630" s="47" t="s">
        <v>9217</v>
      </c>
      <c r="D4630" s="47" t="s">
        <v>9218</v>
      </c>
      <c r="E4630" s="47" t="s">
        <v>3162</v>
      </c>
      <c r="F4630" s="55" t="b">
        <v>1</v>
      </c>
      <c r="G4630" s="54" t="b">
        <v>1</v>
      </c>
      <c r="H4630" s="54" t="b">
        <v>1</v>
      </c>
      <c r="I4630" s="54" t="b">
        <v>1</v>
      </c>
      <c r="J4630" s="54" t="b">
        <v>1</v>
      </c>
      <c r="K4630" s="63" t="s">
        <v>977</v>
      </c>
      <c r="L4630" s="63" t="s">
        <v>9217</v>
      </c>
      <c r="M4630" s="63" t="s">
        <v>9218</v>
      </c>
      <c r="N4630" s="63" t="s">
        <v>3162</v>
      </c>
    </row>
    <row r="4631" spans="1:14" x14ac:dyDescent="0.2">
      <c r="A4631" s="51">
        <v>4630</v>
      </c>
      <c r="B4631" s="54" t="s">
        <v>977</v>
      </c>
      <c r="C4631" s="47" t="s">
        <v>9225</v>
      </c>
      <c r="D4631" s="47" t="s">
        <v>9226</v>
      </c>
      <c r="E4631" s="47" t="s">
        <v>3162</v>
      </c>
      <c r="F4631" s="55" t="b">
        <v>1</v>
      </c>
      <c r="G4631" s="54" t="b">
        <v>1</v>
      </c>
      <c r="H4631" s="54" t="b">
        <v>1</v>
      </c>
      <c r="I4631" s="54" t="b">
        <v>1</v>
      </c>
      <c r="J4631" s="54" t="b">
        <v>1</v>
      </c>
      <c r="K4631" s="63" t="s">
        <v>977</v>
      </c>
      <c r="L4631" s="63" t="s">
        <v>9225</v>
      </c>
      <c r="M4631" s="63" t="s">
        <v>9226</v>
      </c>
      <c r="N4631" s="63" t="s">
        <v>3162</v>
      </c>
    </row>
    <row r="4632" spans="1:14" x14ac:dyDescent="0.2">
      <c r="A4632" s="51">
        <v>4631</v>
      </c>
      <c r="B4632" s="54" t="s">
        <v>977</v>
      </c>
      <c r="C4632" s="47" t="s">
        <v>9233</v>
      </c>
      <c r="D4632" s="47" t="s">
        <v>9234</v>
      </c>
      <c r="E4632" s="47" t="s">
        <v>3162</v>
      </c>
      <c r="F4632" s="55" t="b">
        <v>1</v>
      </c>
      <c r="G4632" s="54" t="b">
        <v>1</v>
      </c>
      <c r="H4632" s="54" t="b">
        <v>1</v>
      </c>
      <c r="I4632" s="54" t="b">
        <v>1</v>
      </c>
      <c r="J4632" s="54" t="b">
        <v>1</v>
      </c>
      <c r="K4632" s="63" t="s">
        <v>977</v>
      </c>
      <c r="L4632" s="63" t="s">
        <v>9233</v>
      </c>
      <c r="M4632" s="63" t="s">
        <v>9234</v>
      </c>
      <c r="N4632" s="63" t="s">
        <v>3162</v>
      </c>
    </row>
    <row r="4633" spans="1:14" x14ac:dyDescent="0.2">
      <c r="A4633" s="51">
        <v>4632</v>
      </c>
      <c r="B4633" s="54" t="s">
        <v>977</v>
      </c>
      <c r="C4633" s="47" t="s">
        <v>9243</v>
      </c>
      <c r="D4633" s="47" t="s">
        <v>9244</v>
      </c>
      <c r="E4633" s="47" t="s">
        <v>3162</v>
      </c>
      <c r="F4633" s="55" t="b">
        <v>1</v>
      </c>
      <c r="G4633" s="54" t="b">
        <v>1</v>
      </c>
      <c r="H4633" s="54" t="b">
        <v>1</v>
      </c>
      <c r="I4633" s="54" t="b">
        <v>1</v>
      </c>
      <c r="J4633" s="54" t="b">
        <v>1</v>
      </c>
      <c r="K4633" s="63" t="s">
        <v>977</v>
      </c>
      <c r="L4633" s="63" t="s">
        <v>9243</v>
      </c>
      <c r="M4633" s="63" t="s">
        <v>9244</v>
      </c>
      <c r="N4633" s="63" t="s">
        <v>3162</v>
      </c>
    </row>
    <row r="4634" spans="1:14" x14ac:dyDescent="0.2">
      <c r="A4634" s="51">
        <v>4633</v>
      </c>
      <c r="B4634" s="54" t="s">
        <v>977</v>
      </c>
      <c r="C4634" s="47" t="s">
        <v>9251</v>
      </c>
      <c r="D4634" s="47" t="s">
        <v>9252</v>
      </c>
      <c r="E4634" s="47" t="s">
        <v>3162</v>
      </c>
      <c r="F4634" s="55" t="b">
        <v>1</v>
      </c>
      <c r="G4634" s="54" t="b">
        <v>1</v>
      </c>
      <c r="H4634" s="54" t="b">
        <v>1</v>
      </c>
      <c r="I4634" s="54" t="b">
        <v>1</v>
      </c>
      <c r="J4634" s="54" t="b">
        <v>1</v>
      </c>
      <c r="K4634" s="63" t="s">
        <v>977</v>
      </c>
      <c r="L4634" s="63" t="s">
        <v>9251</v>
      </c>
      <c r="M4634" s="63" t="s">
        <v>9252</v>
      </c>
      <c r="N4634" s="63" t="s">
        <v>3162</v>
      </c>
    </row>
    <row r="4635" spans="1:14" x14ac:dyDescent="0.2">
      <c r="A4635" s="51">
        <v>4634</v>
      </c>
      <c r="B4635" s="54" t="s">
        <v>977</v>
      </c>
      <c r="C4635" s="47" t="s">
        <v>9255</v>
      </c>
      <c r="D4635" s="47" t="s">
        <v>9256</v>
      </c>
      <c r="E4635" s="47" t="s">
        <v>3162</v>
      </c>
      <c r="F4635" s="55" t="b">
        <v>1</v>
      </c>
      <c r="G4635" s="54" t="b">
        <v>1</v>
      </c>
      <c r="H4635" s="54" t="b">
        <v>1</v>
      </c>
      <c r="I4635" s="54" t="b">
        <v>1</v>
      </c>
      <c r="J4635" s="54" t="b">
        <v>1</v>
      </c>
      <c r="K4635" s="63" t="s">
        <v>977</v>
      </c>
      <c r="L4635" s="63" t="s">
        <v>9255</v>
      </c>
      <c r="M4635" s="63" t="s">
        <v>9256</v>
      </c>
      <c r="N4635" s="63" t="s">
        <v>3162</v>
      </c>
    </row>
    <row r="4636" spans="1:14" x14ac:dyDescent="0.2">
      <c r="A4636" s="51">
        <v>4635</v>
      </c>
      <c r="B4636" s="54" t="s">
        <v>977</v>
      </c>
      <c r="C4636" s="47" t="s">
        <v>9259</v>
      </c>
      <c r="D4636" s="47" t="s">
        <v>9260</v>
      </c>
      <c r="E4636" s="47" t="s">
        <v>3162</v>
      </c>
      <c r="F4636" s="55" t="b">
        <v>1</v>
      </c>
      <c r="G4636" s="54" t="b">
        <v>1</v>
      </c>
      <c r="H4636" s="54" t="b">
        <v>1</v>
      </c>
      <c r="I4636" s="54" t="b">
        <v>1</v>
      </c>
      <c r="J4636" s="54" t="b">
        <v>1</v>
      </c>
      <c r="K4636" s="63" t="s">
        <v>977</v>
      </c>
      <c r="L4636" s="63" t="s">
        <v>9259</v>
      </c>
      <c r="M4636" s="63" t="s">
        <v>9260</v>
      </c>
      <c r="N4636" s="63" t="s">
        <v>3162</v>
      </c>
    </row>
    <row r="4637" spans="1:14" x14ac:dyDescent="0.2">
      <c r="A4637" s="51">
        <v>4636</v>
      </c>
      <c r="B4637" s="54" t="s">
        <v>977</v>
      </c>
      <c r="C4637" s="47" t="s">
        <v>9263</v>
      </c>
      <c r="D4637" s="47" t="s">
        <v>9264</v>
      </c>
      <c r="E4637" s="47" t="s">
        <v>3162</v>
      </c>
      <c r="F4637" s="55" t="b">
        <v>1</v>
      </c>
      <c r="G4637" s="54" t="b">
        <v>1</v>
      </c>
      <c r="H4637" s="54" t="b">
        <v>1</v>
      </c>
      <c r="I4637" s="54" t="b">
        <v>1</v>
      </c>
      <c r="J4637" s="54" t="b">
        <v>1</v>
      </c>
      <c r="K4637" s="63" t="s">
        <v>977</v>
      </c>
      <c r="L4637" s="63" t="s">
        <v>9263</v>
      </c>
      <c r="M4637" s="63" t="s">
        <v>9264</v>
      </c>
      <c r="N4637" s="63" t="s">
        <v>3162</v>
      </c>
    </row>
    <row r="4638" spans="1:14" x14ac:dyDescent="0.2">
      <c r="A4638" s="51">
        <v>4637</v>
      </c>
      <c r="B4638" s="54" t="s">
        <v>977</v>
      </c>
      <c r="C4638" s="47" t="s">
        <v>9285</v>
      </c>
      <c r="D4638" s="47" t="s">
        <v>9286</v>
      </c>
      <c r="E4638" s="47" t="s">
        <v>3162</v>
      </c>
      <c r="F4638" s="55" t="b">
        <v>1</v>
      </c>
      <c r="G4638" s="54" t="b">
        <v>1</v>
      </c>
      <c r="H4638" s="54" t="b">
        <v>1</v>
      </c>
      <c r="I4638" s="54" t="b">
        <v>1</v>
      </c>
      <c r="J4638" s="54" t="b">
        <v>1</v>
      </c>
      <c r="K4638" s="63" t="s">
        <v>977</v>
      </c>
      <c r="L4638" s="63" t="s">
        <v>9285</v>
      </c>
      <c r="M4638" s="63" t="s">
        <v>9286</v>
      </c>
      <c r="N4638" s="63" t="s">
        <v>3162</v>
      </c>
    </row>
    <row r="4639" spans="1:14" x14ac:dyDescent="0.2">
      <c r="A4639" s="51">
        <v>4638</v>
      </c>
      <c r="B4639" s="54" t="s">
        <v>977</v>
      </c>
      <c r="C4639" s="47" t="s">
        <v>9289</v>
      </c>
      <c r="D4639" s="47" t="s">
        <v>9290</v>
      </c>
      <c r="E4639" s="47" t="s">
        <v>3162</v>
      </c>
      <c r="F4639" s="55" t="b">
        <v>1</v>
      </c>
      <c r="G4639" s="54" t="b">
        <v>1</v>
      </c>
      <c r="H4639" s="54" t="b">
        <v>1</v>
      </c>
      <c r="I4639" s="54" t="b">
        <v>1</v>
      </c>
      <c r="J4639" s="54" t="b">
        <v>1</v>
      </c>
      <c r="K4639" s="63" t="s">
        <v>977</v>
      </c>
      <c r="L4639" s="63" t="s">
        <v>9289</v>
      </c>
      <c r="M4639" s="63" t="s">
        <v>9290</v>
      </c>
      <c r="N4639" s="63" t="s">
        <v>3162</v>
      </c>
    </row>
    <row r="4640" spans="1:14" x14ac:dyDescent="0.2">
      <c r="A4640" s="51">
        <v>4639</v>
      </c>
      <c r="B4640" s="54" t="s">
        <v>977</v>
      </c>
      <c r="C4640" s="47" t="s">
        <v>9295</v>
      </c>
      <c r="D4640" s="47" t="s">
        <v>9296</v>
      </c>
      <c r="E4640" s="47" t="s">
        <v>3162</v>
      </c>
      <c r="F4640" s="55" t="b">
        <v>1</v>
      </c>
      <c r="G4640" s="54" t="b">
        <v>1</v>
      </c>
      <c r="H4640" s="54" t="b">
        <v>1</v>
      </c>
      <c r="I4640" s="54" t="b">
        <v>1</v>
      </c>
      <c r="J4640" s="54" t="b">
        <v>1</v>
      </c>
      <c r="K4640" s="63" t="s">
        <v>977</v>
      </c>
      <c r="L4640" s="63" t="s">
        <v>9295</v>
      </c>
      <c r="M4640" s="63" t="s">
        <v>9296</v>
      </c>
      <c r="N4640" s="63" t="s">
        <v>3162</v>
      </c>
    </row>
    <row r="4641" spans="1:14" x14ac:dyDescent="0.2">
      <c r="A4641" s="51">
        <v>4640</v>
      </c>
      <c r="B4641" s="54" t="s">
        <v>977</v>
      </c>
      <c r="C4641" s="47" t="s">
        <v>9291</v>
      </c>
      <c r="D4641" s="47" t="s">
        <v>9292</v>
      </c>
      <c r="E4641" s="47" t="s">
        <v>3162</v>
      </c>
      <c r="F4641" s="55" t="b">
        <v>1</v>
      </c>
      <c r="G4641" s="54" t="b">
        <v>1</v>
      </c>
      <c r="H4641" s="54" t="b">
        <v>1</v>
      </c>
      <c r="I4641" s="54" t="b">
        <v>1</v>
      </c>
      <c r="J4641" s="54" t="b">
        <v>1</v>
      </c>
      <c r="K4641" s="63" t="s">
        <v>977</v>
      </c>
      <c r="L4641" s="63" t="s">
        <v>9291</v>
      </c>
      <c r="M4641" s="63" t="s">
        <v>9292</v>
      </c>
      <c r="N4641" s="63" t="s">
        <v>3162</v>
      </c>
    </row>
    <row r="4642" spans="1:14" x14ac:dyDescent="0.2">
      <c r="A4642" s="51">
        <v>4641</v>
      </c>
      <c r="B4642" s="54" t="s">
        <v>977</v>
      </c>
      <c r="C4642" s="47" t="s">
        <v>9293</v>
      </c>
      <c r="D4642" s="47" t="s">
        <v>9294</v>
      </c>
      <c r="E4642" s="47" t="s">
        <v>3162</v>
      </c>
      <c r="F4642" s="55" t="b">
        <v>1</v>
      </c>
      <c r="G4642" s="54" t="b">
        <v>1</v>
      </c>
      <c r="H4642" s="54" t="b">
        <v>1</v>
      </c>
      <c r="I4642" s="54" t="b">
        <v>1</v>
      </c>
      <c r="J4642" s="54" t="b">
        <v>1</v>
      </c>
      <c r="K4642" s="63" t="s">
        <v>977</v>
      </c>
      <c r="L4642" s="63" t="s">
        <v>9293</v>
      </c>
      <c r="M4642" s="63" t="s">
        <v>9294</v>
      </c>
      <c r="N4642" s="63" t="s">
        <v>3162</v>
      </c>
    </row>
    <row r="4643" spans="1:14" x14ac:dyDescent="0.2">
      <c r="A4643" s="51">
        <v>4642</v>
      </c>
      <c r="B4643" s="54" t="s">
        <v>977</v>
      </c>
      <c r="C4643" s="47" t="s">
        <v>9313</v>
      </c>
      <c r="D4643" s="47" t="s">
        <v>9314</v>
      </c>
      <c r="E4643" s="47" t="s">
        <v>3162</v>
      </c>
      <c r="F4643" s="55" t="b">
        <v>1</v>
      </c>
      <c r="G4643" s="54" t="b">
        <v>1</v>
      </c>
      <c r="H4643" s="54" t="b">
        <v>1</v>
      </c>
      <c r="I4643" s="54" t="b">
        <v>1</v>
      </c>
      <c r="J4643" s="54" t="b">
        <v>1</v>
      </c>
      <c r="K4643" s="63" t="s">
        <v>977</v>
      </c>
      <c r="L4643" s="63" t="s">
        <v>9313</v>
      </c>
      <c r="M4643" s="63" t="s">
        <v>9314</v>
      </c>
      <c r="N4643" s="63" t="s">
        <v>3162</v>
      </c>
    </row>
    <row r="4644" spans="1:14" x14ac:dyDescent="0.2">
      <c r="A4644" s="51">
        <v>4643</v>
      </c>
      <c r="B4644" s="54" t="s">
        <v>977</v>
      </c>
      <c r="C4644" s="47" t="s">
        <v>9329</v>
      </c>
      <c r="D4644" s="47" t="s">
        <v>9330</v>
      </c>
      <c r="E4644" s="47" t="s">
        <v>3162</v>
      </c>
      <c r="F4644" s="55" t="b">
        <v>1</v>
      </c>
      <c r="G4644" s="54" t="b">
        <v>1</v>
      </c>
      <c r="H4644" s="54" t="b">
        <v>1</v>
      </c>
      <c r="I4644" s="54" t="b">
        <v>1</v>
      </c>
      <c r="J4644" s="54" t="b">
        <v>1</v>
      </c>
      <c r="K4644" s="63" t="s">
        <v>977</v>
      </c>
      <c r="L4644" s="63" t="s">
        <v>9329</v>
      </c>
      <c r="M4644" s="63" t="s">
        <v>9330</v>
      </c>
      <c r="N4644" s="63" t="s">
        <v>3162</v>
      </c>
    </row>
    <row r="4645" spans="1:14" x14ac:dyDescent="0.2">
      <c r="A4645" s="51">
        <v>4644</v>
      </c>
      <c r="B4645" s="54" t="s">
        <v>977</v>
      </c>
      <c r="C4645" s="47" t="s">
        <v>9335</v>
      </c>
      <c r="D4645" s="47" t="s">
        <v>9336</v>
      </c>
      <c r="E4645" s="47" t="s">
        <v>3162</v>
      </c>
      <c r="F4645" s="55" t="b">
        <v>1</v>
      </c>
      <c r="G4645" s="54" t="b">
        <v>1</v>
      </c>
      <c r="H4645" s="54" t="b">
        <v>1</v>
      </c>
      <c r="I4645" s="54" t="b">
        <v>1</v>
      </c>
      <c r="J4645" s="54" t="b">
        <v>1</v>
      </c>
      <c r="K4645" s="63" t="s">
        <v>977</v>
      </c>
      <c r="L4645" s="63" t="s">
        <v>9335</v>
      </c>
      <c r="M4645" s="63" t="s">
        <v>9336</v>
      </c>
      <c r="N4645" s="63" t="s">
        <v>3162</v>
      </c>
    </row>
    <row r="4646" spans="1:14" x14ac:dyDescent="0.2">
      <c r="A4646" s="51">
        <v>4645</v>
      </c>
      <c r="B4646" s="54" t="s">
        <v>977</v>
      </c>
      <c r="C4646" s="47" t="s">
        <v>9345</v>
      </c>
      <c r="D4646" s="47" t="s">
        <v>9346</v>
      </c>
      <c r="E4646" s="47" t="s">
        <v>3162</v>
      </c>
      <c r="F4646" s="55" t="b">
        <v>1</v>
      </c>
      <c r="G4646" s="54" t="b">
        <v>1</v>
      </c>
      <c r="H4646" s="54" t="b">
        <v>1</v>
      </c>
      <c r="I4646" s="54" t="b">
        <v>1</v>
      </c>
      <c r="J4646" s="54" t="b">
        <v>1</v>
      </c>
      <c r="K4646" s="63" t="s">
        <v>977</v>
      </c>
      <c r="L4646" s="63" t="s">
        <v>9345</v>
      </c>
      <c r="M4646" s="63" t="s">
        <v>9346</v>
      </c>
      <c r="N4646" s="63" t="s">
        <v>3162</v>
      </c>
    </row>
    <row r="4647" spans="1:14" x14ac:dyDescent="0.2">
      <c r="A4647" s="51">
        <v>4646</v>
      </c>
      <c r="B4647" s="54" t="s">
        <v>977</v>
      </c>
      <c r="C4647" s="47" t="s">
        <v>9371</v>
      </c>
      <c r="D4647" s="47" t="s">
        <v>9372</v>
      </c>
      <c r="E4647" s="47" t="s">
        <v>3162</v>
      </c>
      <c r="F4647" s="55" t="b">
        <v>1</v>
      </c>
      <c r="G4647" s="54" t="b">
        <v>1</v>
      </c>
      <c r="H4647" s="54" t="b">
        <v>1</v>
      </c>
      <c r="I4647" s="54" t="b">
        <v>1</v>
      </c>
      <c r="J4647" s="54" t="b">
        <v>1</v>
      </c>
      <c r="K4647" s="63" t="s">
        <v>977</v>
      </c>
      <c r="L4647" s="63" t="s">
        <v>9371</v>
      </c>
      <c r="M4647" s="63" t="s">
        <v>9372</v>
      </c>
      <c r="N4647" s="63" t="s">
        <v>3162</v>
      </c>
    </row>
    <row r="4648" spans="1:14" x14ac:dyDescent="0.2">
      <c r="A4648" s="51">
        <v>4647</v>
      </c>
      <c r="B4648" s="54" t="s">
        <v>977</v>
      </c>
      <c r="C4648" s="47" t="s">
        <v>9387</v>
      </c>
      <c r="D4648" s="47" t="s">
        <v>9388</v>
      </c>
      <c r="E4648" s="47" t="s">
        <v>3162</v>
      </c>
      <c r="F4648" s="55" t="b">
        <v>1</v>
      </c>
      <c r="G4648" s="54" t="b">
        <v>1</v>
      </c>
      <c r="H4648" s="54" t="b">
        <v>1</v>
      </c>
      <c r="I4648" s="54" t="b">
        <v>1</v>
      </c>
      <c r="J4648" s="54" t="b">
        <v>1</v>
      </c>
      <c r="K4648" s="63" t="s">
        <v>977</v>
      </c>
      <c r="L4648" s="63" t="s">
        <v>9387</v>
      </c>
      <c r="M4648" s="63" t="s">
        <v>9388</v>
      </c>
      <c r="N4648" s="63" t="s">
        <v>3162</v>
      </c>
    </row>
    <row r="4649" spans="1:14" x14ac:dyDescent="0.2">
      <c r="A4649" s="51">
        <v>4648</v>
      </c>
      <c r="B4649" s="54" t="s">
        <v>977</v>
      </c>
      <c r="C4649" s="47" t="s">
        <v>9397</v>
      </c>
      <c r="D4649" s="47" t="s">
        <v>9398</v>
      </c>
      <c r="E4649" s="47" t="s">
        <v>3162</v>
      </c>
      <c r="F4649" s="55" t="b">
        <v>1</v>
      </c>
      <c r="G4649" s="54" t="b">
        <v>1</v>
      </c>
      <c r="H4649" s="54" t="b">
        <v>1</v>
      </c>
      <c r="I4649" s="54" t="b">
        <v>1</v>
      </c>
      <c r="J4649" s="54" t="b">
        <v>1</v>
      </c>
      <c r="K4649" s="63" t="s">
        <v>977</v>
      </c>
      <c r="L4649" s="63" t="s">
        <v>9397</v>
      </c>
      <c r="M4649" s="63" t="s">
        <v>9398</v>
      </c>
      <c r="N4649" s="63" t="s">
        <v>3162</v>
      </c>
    </row>
    <row r="4650" spans="1:14" x14ac:dyDescent="0.2">
      <c r="A4650" s="51">
        <v>4649</v>
      </c>
      <c r="B4650" s="54" t="s">
        <v>977</v>
      </c>
      <c r="C4650" s="47" t="s">
        <v>9401</v>
      </c>
      <c r="D4650" s="47" t="s">
        <v>9402</v>
      </c>
      <c r="E4650" s="47" t="s">
        <v>3162</v>
      </c>
      <c r="F4650" s="55" t="b">
        <v>1</v>
      </c>
      <c r="G4650" s="54" t="b">
        <v>1</v>
      </c>
      <c r="H4650" s="54" t="b">
        <v>1</v>
      </c>
      <c r="I4650" s="54" t="b">
        <v>1</v>
      </c>
      <c r="J4650" s="54" t="b">
        <v>1</v>
      </c>
      <c r="K4650" s="63" t="s">
        <v>977</v>
      </c>
      <c r="L4650" s="63" t="s">
        <v>9401</v>
      </c>
      <c r="M4650" s="63" t="s">
        <v>9402</v>
      </c>
      <c r="N4650" s="63" t="s">
        <v>3162</v>
      </c>
    </row>
    <row r="4651" spans="1:14" x14ac:dyDescent="0.2">
      <c r="A4651" s="51">
        <v>4650</v>
      </c>
      <c r="B4651" s="54" t="s">
        <v>977</v>
      </c>
      <c r="C4651" s="47" t="s">
        <v>9427</v>
      </c>
      <c r="D4651" s="47" t="s">
        <v>9428</v>
      </c>
      <c r="E4651" s="47" t="s">
        <v>3162</v>
      </c>
      <c r="F4651" s="55" t="b">
        <v>1</v>
      </c>
      <c r="G4651" s="54" t="b">
        <v>1</v>
      </c>
      <c r="H4651" s="54" t="b">
        <v>1</v>
      </c>
      <c r="I4651" s="54" t="b">
        <v>1</v>
      </c>
      <c r="J4651" s="54" t="b">
        <v>1</v>
      </c>
      <c r="K4651" s="63" t="s">
        <v>977</v>
      </c>
      <c r="L4651" s="63" t="s">
        <v>9427</v>
      </c>
      <c r="M4651" s="63" t="s">
        <v>9428</v>
      </c>
      <c r="N4651" s="63" t="s">
        <v>3162</v>
      </c>
    </row>
    <row r="4652" spans="1:14" x14ac:dyDescent="0.2">
      <c r="A4652" s="51">
        <v>4651</v>
      </c>
      <c r="B4652" s="54" t="s">
        <v>977</v>
      </c>
      <c r="C4652" s="47" t="s">
        <v>9439</v>
      </c>
      <c r="D4652" s="47" t="s">
        <v>9440</v>
      </c>
      <c r="E4652" s="47" t="s">
        <v>3162</v>
      </c>
      <c r="F4652" s="55" t="b">
        <v>1</v>
      </c>
      <c r="G4652" s="54" t="b">
        <v>1</v>
      </c>
      <c r="H4652" s="54" t="b">
        <v>1</v>
      </c>
      <c r="I4652" s="54" t="b">
        <v>1</v>
      </c>
      <c r="J4652" s="54" t="b">
        <v>1</v>
      </c>
      <c r="K4652" s="63" t="s">
        <v>977</v>
      </c>
      <c r="L4652" s="63" t="s">
        <v>9439</v>
      </c>
      <c r="M4652" s="63" t="s">
        <v>9440</v>
      </c>
      <c r="N4652" s="63" t="s">
        <v>3162</v>
      </c>
    </row>
    <row r="4653" spans="1:14" x14ac:dyDescent="0.2">
      <c r="A4653" s="51">
        <v>4652</v>
      </c>
      <c r="B4653" s="54" t="s">
        <v>977</v>
      </c>
      <c r="C4653" s="47" t="s">
        <v>9447</v>
      </c>
      <c r="D4653" s="47" t="s">
        <v>9448</v>
      </c>
      <c r="E4653" s="47" t="s">
        <v>3162</v>
      </c>
      <c r="F4653" s="55" t="b">
        <v>1</v>
      </c>
      <c r="G4653" s="54" t="b">
        <v>1</v>
      </c>
      <c r="H4653" s="54" t="b">
        <v>1</v>
      </c>
      <c r="I4653" s="54" t="b">
        <v>1</v>
      </c>
      <c r="J4653" s="54" t="b">
        <v>1</v>
      </c>
      <c r="K4653" s="63" t="s">
        <v>977</v>
      </c>
      <c r="L4653" s="63" t="s">
        <v>9447</v>
      </c>
      <c r="M4653" s="63" t="s">
        <v>9448</v>
      </c>
      <c r="N4653" s="63" t="s">
        <v>3162</v>
      </c>
    </row>
    <row r="4654" spans="1:14" x14ac:dyDescent="0.2">
      <c r="A4654" s="51">
        <v>4653</v>
      </c>
      <c r="B4654" s="54" t="s">
        <v>977</v>
      </c>
      <c r="C4654" s="47" t="s">
        <v>9451</v>
      </c>
      <c r="D4654" s="47" t="s">
        <v>9452</v>
      </c>
      <c r="E4654" s="47" t="s">
        <v>3162</v>
      </c>
      <c r="F4654" s="55" t="b">
        <v>1</v>
      </c>
      <c r="G4654" s="54" t="b">
        <v>1</v>
      </c>
      <c r="H4654" s="54" t="b">
        <v>1</v>
      </c>
      <c r="I4654" s="54" t="b">
        <v>1</v>
      </c>
      <c r="J4654" s="54" t="b">
        <v>1</v>
      </c>
      <c r="K4654" s="63" t="s">
        <v>977</v>
      </c>
      <c r="L4654" s="63" t="s">
        <v>9451</v>
      </c>
      <c r="M4654" s="63" t="s">
        <v>9452</v>
      </c>
      <c r="N4654" s="63" t="s">
        <v>3162</v>
      </c>
    </row>
    <row r="4655" spans="1:14" x14ac:dyDescent="0.2">
      <c r="A4655" s="51">
        <v>4654</v>
      </c>
      <c r="B4655" s="54" t="s">
        <v>977</v>
      </c>
      <c r="C4655" s="47" t="s">
        <v>9455</v>
      </c>
      <c r="D4655" s="47" t="s">
        <v>9456</v>
      </c>
      <c r="E4655" s="47" t="s">
        <v>3162</v>
      </c>
      <c r="F4655" s="55" t="b">
        <v>1</v>
      </c>
      <c r="G4655" s="54" t="b">
        <v>1</v>
      </c>
      <c r="H4655" s="54" t="b">
        <v>1</v>
      </c>
      <c r="I4655" s="54" t="b">
        <v>1</v>
      </c>
      <c r="J4655" s="54" t="b">
        <v>1</v>
      </c>
      <c r="K4655" s="63" t="s">
        <v>977</v>
      </c>
      <c r="L4655" s="63" t="s">
        <v>9455</v>
      </c>
      <c r="M4655" s="63" t="s">
        <v>9456</v>
      </c>
      <c r="N4655" s="63" t="s">
        <v>3162</v>
      </c>
    </row>
    <row r="4656" spans="1:14" x14ac:dyDescent="0.2">
      <c r="A4656" s="51">
        <v>4655</v>
      </c>
      <c r="B4656" s="54" t="s">
        <v>977</v>
      </c>
      <c r="C4656" s="47" t="s">
        <v>9471</v>
      </c>
      <c r="D4656" s="47" t="s">
        <v>9472</v>
      </c>
      <c r="E4656" s="47" t="s">
        <v>3162</v>
      </c>
      <c r="F4656" s="55" t="b">
        <v>1</v>
      </c>
      <c r="G4656" s="54" t="b">
        <v>1</v>
      </c>
      <c r="H4656" s="54" t="b">
        <v>1</v>
      </c>
      <c r="I4656" s="54" t="b">
        <v>1</v>
      </c>
      <c r="J4656" s="54" t="b">
        <v>1</v>
      </c>
      <c r="K4656" s="63" t="s">
        <v>977</v>
      </c>
      <c r="L4656" s="63" t="s">
        <v>9471</v>
      </c>
      <c r="M4656" s="63" t="s">
        <v>9472</v>
      </c>
      <c r="N4656" s="63" t="s">
        <v>3162</v>
      </c>
    </row>
    <row r="4657" spans="1:14" x14ac:dyDescent="0.2">
      <c r="A4657" s="51">
        <v>4656</v>
      </c>
      <c r="B4657" s="54" t="s">
        <v>977</v>
      </c>
      <c r="C4657" s="47" t="s">
        <v>9481</v>
      </c>
      <c r="D4657" s="47" t="s">
        <v>9482</v>
      </c>
      <c r="E4657" s="47" t="s">
        <v>3162</v>
      </c>
      <c r="F4657" s="55" t="b">
        <v>1</v>
      </c>
      <c r="G4657" s="54" t="b">
        <v>1</v>
      </c>
      <c r="H4657" s="54" t="b">
        <v>1</v>
      </c>
      <c r="I4657" s="54" t="b">
        <v>1</v>
      </c>
      <c r="J4657" s="54" t="b">
        <v>1</v>
      </c>
      <c r="K4657" s="63" t="s">
        <v>977</v>
      </c>
      <c r="L4657" s="63" t="s">
        <v>9481</v>
      </c>
      <c r="M4657" s="63" t="s">
        <v>9482</v>
      </c>
      <c r="N4657" s="63" t="s">
        <v>3162</v>
      </c>
    </row>
    <row r="4658" spans="1:14" x14ac:dyDescent="0.2">
      <c r="A4658" s="51">
        <v>4657</v>
      </c>
      <c r="B4658" s="54" t="s">
        <v>977</v>
      </c>
      <c r="C4658" s="47" t="s">
        <v>9491</v>
      </c>
      <c r="D4658" s="47" t="s">
        <v>9492</v>
      </c>
      <c r="E4658" s="47" t="s">
        <v>3162</v>
      </c>
      <c r="F4658" s="55" t="b">
        <v>1</v>
      </c>
      <c r="G4658" s="54" t="b">
        <v>1</v>
      </c>
      <c r="H4658" s="54" t="b">
        <v>1</v>
      </c>
      <c r="I4658" s="54" t="b">
        <v>1</v>
      </c>
      <c r="J4658" s="54" t="b">
        <v>1</v>
      </c>
      <c r="K4658" s="63" t="s">
        <v>977</v>
      </c>
      <c r="L4658" s="63" t="s">
        <v>9491</v>
      </c>
      <c r="M4658" s="63" t="s">
        <v>9492</v>
      </c>
      <c r="N4658" s="63" t="s">
        <v>3162</v>
      </c>
    </row>
    <row r="4659" spans="1:14" x14ac:dyDescent="0.2">
      <c r="A4659" s="51">
        <v>4658</v>
      </c>
      <c r="B4659" s="54" t="s">
        <v>977</v>
      </c>
      <c r="C4659" s="47" t="s">
        <v>9505</v>
      </c>
      <c r="D4659" s="47" t="s">
        <v>9506</v>
      </c>
      <c r="E4659" s="47" t="s">
        <v>3162</v>
      </c>
      <c r="F4659" s="55" t="b">
        <v>1</v>
      </c>
      <c r="G4659" s="54" t="b">
        <v>1</v>
      </c>
      <c r="H4659" s="54" t="b">
        <v>1</v>
      </c>
      <c r="I4659" s="54" t="b">
        <v>1</v>
      </c>
      <c r="J4659" s="54" t="b">
        <v>1</v>
      </c>
      <c r="K4659" s="63" t="s">
        <v>977</v>
      </c>
      <c r="L4659" s="63" t="s">
        <v>9505</v>
      </c>
      <c r="M4659" s="63" t="s">
        <v>9506</v>
      </c>
      <c r="N4659" s="63" t="s">
        <v>3162</v>
      </c>
    </row>
    <row r="4660" spans="1:14" x14ac:dyDescent="0.2">
      <c r="A4660" s="51">
        <v>4659</v>
      </c>
      <c r="B4660" s="54" t="s">
        <v>977</v>
      </c>
      <c r="C4660" s="47" t="s">
        <v>9507</v>
      </c>
      <c r="D4660" s="47" t="s">
        <v>9508</v>
      </c>
      <c r="E4660" s="47" t="s">
        <v>3162</v>
      </c>
      <c r="F4660" s="55" t="b">
        <v>1</v>
      </c>
      <c r="G4660" s="54" t="b">
        <v>1</v>
      </c>
      <c r="H4660" s="54" t="b">
        <v>1</v>
      </c>
      <c r="I4660" s="54" t="b">
        <v>1</v>
      </c>
      <c r="J4660" s="54" t="b">
        <v>1</v>
      </c>
      <c r="K4660" s="63" t="s">
        <v>977</v>
      </c>
      <c r="L4660" s="63" t="s">
        <v>9507</v>
      </c>
      <c r="M4660" s="63" t="s">
        <v>9508</v>
      </c>
      <c r="N4660" s="63" t="s">
        <v>3162</v>
      </c>
    </row>
    <row r="4661" spans="1:14" x14ac:dyDescent="0.2">
      <c r="A4661" s="51">
        <v>4660</v>
      </c>
      <c r="B4661" s="54" t="s">
        <v>977</v>
      </c>
      <c r="C4661" s="47" t="s">
        <v>9515</v>
      </c>
      <c r="D4661" s="47" t="s">
        <v>9516</v>
      </c>
      <c r="E4661" s="47" t="s">
        <v>3162</v>
      </c>
      <c r="F4661" s="55" t="b">
        <v>1</v>
      </c>
      <c r="G4661" s="54" t="b">
        <v>1</v>
      </c>
      <c r="H4661" s="54" t="b">
        <v>1</v>
      </c>
      <c r="I4661" s="54" t="b">
        <v>1</v>
      </c>
      <c r="J4661" s="54" t="b">
        <v>1</v>
      </c>
      <c r="K4661" s="63" t="s">
        <v>977</v>
      </c>
      <c r="L4661" s="63" t="s">
        <v>9515</v>
      </c>
      <c r="M4661" s="63" t="s">
        <v>9516</v>
      </c>
      <c r="N4661" s="63" t="s">
        <v>3162</v>
      </c>
    </row>
    <row r="4662" spans="1:14" x14ac:dyDescent="0.2">
      <c r="A4662" s="51">
        <v>4661</v>
      </c>
      <c r="B4662" s="54" t="s">
        <v>977</v>
      </c>
      <c r="C4662" s="47" t="s">
        <v>9519</v>
      </c>
      <c r="D4662" s="47" t="s">
        <v>9520</v>
      </c>
      <c r="E4662" s="47" t="s">
        <v>3162</v>
      </c>
      <c r="F4662" s="55" t="b">
        <v>1</v>
      </c>
      <c r="G4662" s="54" t="b">
        <v>1</v>
      </c>
      <c r="H4662" s="54" t="b">
        <v>1</v>
      </c>
      <c r="I4662" s="54" t="b">
        <v>1</v>
      </c>
      <c r="J4662" s="54" t="b">
        <v>1</v>
      </c>
      <c r="K4662" s="63" t="s">
        <v>977</v>
      </c>
      <c r="L4662" s="63" t="s">
        <v>9519</v>
      </c>
      <c r="M4662" s="63" t="s">
        <v>9520</v>
      </c>
      <c r="N4662" s="63" t="s">
        <v>3162</v>
      </c>
    </row>
    <row r="4663" spans="1:14" x14ac:dyDescent="0.2">
      <c r="A4663" s="51">
        <v>4662</v>
      </c>
      <c r="B4663" s="54" t="s">
        <v>977</v>
      </c>
      <c r="C4663" s="47" t="s">
        <v>9583</v>
      </c>
      <c r="D4663" s="47" t="s">
        <v>9584</v>
      </c>
      <c r="E4663" s="47" t="s">
        <v>3162</v>
      </c>
      <c r="F4663" s="55" t="b">
        <v>1</v>
      </c>
      <c r="G4663" s="54" t="b">
        <v>1</v>
      </c>
      <c r="H4663" s="54" t="b">
        <v>1</v>
      </c>
      <c r="I4663" s="54" t="b">
        <v>1</v>
      </c>
      <c r="J4663" s="54" t="b">
        <v>1</v>
      </c>
      <c r="K4663" s="63" t="s">
        <v>977</v>
      </c>
      <c r="L4663" s="63" t="s">
        <v>9583</v>
      </c>
      <c r="M4663" s="63" t="s">
        <v>9584</v>
      </c>
      <c r="N4663" s="63" t="s">
        <v>3162</v>
      </c>
    </row>
    <row r="4664" spans="1:14" x14ac:dyDescent="0.2">
      <c r="A4664" s="51">
        <v>4663</v>
      </c>
      <c r="B4664" s="54" t="s">
        <v>977</v>
      </c>
      <c r="C4664" s="47" t="s">
        <v>9527</v>
      </c>
      <c r="D4664" s="47" t="s">
        <v>9528</v>
      </c>
      <c r="E4664" s="47" t="s">
        <v>3162</v>
      </c>
      <c r="F4664" s="55" t="b">
        <v>1</v>
      </c>
      <c r="G4664" s="54" t="b">
        <v>1</v>
      </c>
      <c r="H4664" s="54" t="b">
        <v>1</v>
      </c>
      <c r="I4664" s="54" t="b">
        <v>1</v>
      </c>
      <c r="J4664" s="54" t="b">
        <v>1</v>
      </c>
      <c r="K4664" s="63" t="s">
        <v>977</v>
      </c>
      <c r="L4664" s="63" t="s">
        <v>9527</v>
      </c>
      <c r="M4664" s="63" t="s">
        <v>9528</v>
      </c>
      <c r="N4664" s="63" t="s">
        <v>3162</v>
      </c>
    </row>
    <row r="4665" spans="1:14" x14ac:dyDescent="0.2">
      <c r="A4665" s="51">
        <v>4664</v>
      </c>
      <c r="B4665" s="54" t="s">
        <v>977</v>
      </c>
      <c r="C4665" s="47" t="s">
        <v>9537</v>
      </c>
      <c r="D4665" s="47" t="s">
        <v>9538</v>
      </c>
      <c r="E4665" s="47" t="s">
        <v>3162</v>
      </c>
      <c r="F4665" s="55" t="b">
        <v>1</v>
      </c>
      <c r="G4665" s="54" t="b">
        <v>1</v>
      </c>
      <c r="H4665" s="54" t="b">
        <v>1</v>
      </c>
      <c r="I4665" s="54" t="b">
        <v>1</v>
      </c>
      <c r="J4665" s="54" t="b">
        <v>1</v>
      </c>
      <c r="K4665" s="63" t="s">
        <v>977</v>
      </c>
      <c r="L4665" s="63" t="s">
        <v>9537</v>
      </c>
      <c r="M4665" s="63" t="s">
        <v>9538</v>
      </c>
      <c r="N4665" s="63" t="s">
        <v>3162</v>
      </c>
    </row>
    <row r="4666" spans="1:14" x14ac:dyDescent="0.2">
      <c r="A4666" s="51">
        <v>4665</v>
      </c>
      <c r="B4666" s="54" t="s">
        <v>977</v>
      </c>
      <c r="C4666" s="47" t="s">
        <v>9539</v>
      </c>
      <c r="D4666" s="47" t="s">
        <v>9540</v>
      </c>
      <c r="E4666" s="47" t="s">
        <v>3162</v>
      </c>
      <c r="F4666" s="55" t="b">
        <v>1</v>
      </c>
      <c r="G4666" s="54" t="b">
        <v>1</v>
      </c>
      <c r="H4666" s="54" t="b">
        <v>1</v>
      </c>
      <c r="I4666" s="54" t="b">
        <v>1</v>
      </c>
      <c r="J4666" s="54" t="b">
        <v>1</v>
      </c>
      <c r="K4666" s="63" t="s">
        <v>977</v>
      </c>
      <c r="L4666" s="63" t="s">
        <v>9539</v>
      </c>
      <c r="M4666" s="63" t="s">
        <v>9540</v>
      </c>
      <c r="N4666" s="63" t="s">
        <v>3162</v>
      </c>
    </row>
    <row r="4667" spans="1:14" x14ac:dyDescent="0.2">
      <c r="A4667" s="51">
        <v>4666</v>
      </c>
      <c r="B4667" s="54" t="s">
        <v>977</v>
      </c>
      <c r="C4667" s="47" t="s">
        <v>9547</v>
      </c>
      <c r="D4667" s="47" t="s">
        <v>9548</v>
      </c>
      <c r="E4667" s="47" t="s">
        <v>3162</v>
      </c>
      <c r="F4667" s="55" t="b">
        <v>1</v>
      </c>
      <c r="G4667" s="54" t="b">
        <v>1</v>
      </c>
      <c r="H4667" s="54" t="b">
        <v>1</v>
      </c>
      <c r="I4667" s="54" t="b">
        <v>1</v>
      </c>
      <c r="J4667" s="54" t="b">
        <v>1</v>
      </c>
      <c r="K4667" s="63" t="s">
        <v>977</v>
      </c>
      <c r="L4667" s="63" t="s">
        <v>9547</v>
      </c>
      <c r="M4667" s="63" t="s">
        <v>9548</v>
      </c>
      <c r="N4667" s="63" t="s">
        <v>3162</v>
      </c>
    </row>
    <row r="4668" spans="1:14" x14ac:dyDescent="0.2">
      <c r="A4668" s="51">
        <v>4667</v>
      </c>
      <c r="B4668" s="54" t="s">
        <v>977</v>
      </c>
      <c r="C4668" s="47" t="s">
        <v>9551</v>
      </c>
      <c r="D4668" s="47" t="s">
        <v>9552</v>
      </c>
      <c r="E4668" s="47" t="s">
        <v>3162</v>
      </c>
      <c r="F4668" s="55" t="b">
        <v>1</v>
      </c>
      <c r="G4668" s="54" t="b">
        <v>1</v>
      </c>
      <c r="H4668" s="54" t="b">
        <v>1</v>
      </c>
      <c r="I4668" s="54" t="b">
        <v>1</v>
      </c>
      <c r="J4668" s="54" t="b">
        <v>1</v>
      </c>
      <c r="K4668" s="63" t="s">
        <v>977</v>
      </c>
      <c r="L4668" s="63" t="s">
        <v>9551</v>
      </c>
      <c r="M4668" s="63" t="s">
        <v>9552</v>
      </c>
      <c r="N4668" s="63" t="s">
        <v>3162</v>
      </c>
    </row>
    <row r="4669" spans="1:14" x14ac:dyDescent="0.2">
      <c r="A4669" s="51">
        <v>4668</v>
      </c>
      <c r="B4669" s="54" t="s">
        <v>977</v>
      </c>
      <c r="C4669" s="47" t="s">
        <v>9563</v>
      </c>
      <c r="D4669" s="47" t="s">
        <v>9564</v>
      </c>
      <c r="E4669" s="47" t="s">
        <v>3162</v>
      </c>
      <c r="F4669" s="55" t="b">
        <v>1</v>
      </c>
      <c r="G4669" s="54" t="b">
        <v>1</v>
      </c>
      <c r="H4669" s="54" t="b">
        <v>1</v>
      </c>
      <c r="I4669" s="54" t="b">
        <v>1</v>
      </c>
      <c r="J4669" s="54" t="b">
        <v>1</v>
      </c>
      <c r="K4669" s="63" t="s">
        <v>977</v>
      </c>
      <c r="L4669" s="63" t="s">
        <v>9563</v>
      </c>
      <c r="M4669" s="63" t="s">
        <v>9564</v>
      </c>
      <c r="N4669" s="63" t="s">
        <v>3162</v>
      </c>
    </row>
    <row r="4670" spans="1:14" x14ac:dyDescent="0.2">
      <c r="A4670" s="51">
        <v>4669</v>
      </c>
      <c r="B4670" s="54" t="s">
        <v>977</v>
      </c>
      <c r="C4670" s="47" t="s">
        <v>9611</v>
      </c>
      <c r="D4670" s="47" t="s">
        <v>9612</v>
      </c>
      <c r="E4670" s="47" t="s">
        <v>3162</v>
      </c>
      <c r="F4670" s="55" t="b">
        <v>1</v>
      </c>
      <c r="G4670" s="54" t="b">
        <v>1</v>
      </c>
      <c r="H4670" s="54" t="b">
        <v>1</v>
      </c>
      <c r="I4670" s="54" t="b">
        <v>1</v>
      </c>
      <c r="J4670" s="54" t="b">
        <v>1</v>
      </c>
      <c r="K4670" s="63" t="s">
        <v>977</v>
      </c>
      <c r="L4670" s="63" t="s">
        <v>9611</v>
      </c>
      <c r="M4670" s="63" t="s">
        <v>9612</v>
      </c>
      <c r="N4670" s="63" t="s">
        <v>3162</v>
      </c>
    </row>
    <row r="4671" spans="1:14" x14ac:dyDescent="0.2">
      <c r="A4671" s="51">
        <v>4670</v>
      </c>
      <c r="B4671" s="54" t="s">
        <v>977</v>
      </c>
      <c r="C4671" s="47" t="s">
        <v>9615</v>
      </c>
      <c r="D4671" s="47" t="s">
        <v>9616</v>
      </c>
      <c r="E4671" s="47" t="s">
        <v>3162</v>
      </c>
      <c r="F4671" s="55" t="b">
        <v>1</v>
      </c>
      <c r="G4671" s="54" t="b">
        <v>1</v>
      </c>
      <c r="H4671" s="54" t="b">
        <v>1</v>
      </c>
      <c r="I4671" s="54" t="b">
        <v>1</v>
      </c>
      <c r="J4671" s="54" t="b">
        <v>1</v>
      </c>
      <c r="K4671" s="63" t="s">
        <v>977</v>
      </c>
      <c r="L4671" s="63" t="s">
        <v>9615</v>
      </c>
      <c r="M4671" s="63" t="s">
        <v>9616</v>
      </c>
      <c r="N4671" s="63" t="s">
        <v>3162</v>
      </c>
    </row>
    <row r="4672" spans="1:14" x14ac:dyDescent="0.2">
      <c r="A4672" s="51">
        <v>4671</v>
      </c>
      <c r="B4672" s="54" t="s">
        <v>977</v>
      </c>
      <c r="C4672" s="47" t="s">
        <v>9619</v>
      </c>
      <c r="D4672" s="47" t="s">
        <v>9620</v>
      </c>
      <c r="E4672" s="47" t="s">
        <v>3162</v>
      </c>
      <c r="F4672" s="55" t="b">
        <v>1</v>
      </c>
      <c r="G4672" s="54" t="b">
        <v>1</v>
      </c>
      <c r="H4672" s="54" t="b">
        <v>1</v>
      </c>
      <c r="I4672" s="54" t="b">
        <v>1</v>
      </c>
      <c r="J4672" s="54" t="b">
        <v>1</v>
      </c>
      <c r="K4672" s="63" t="s">
        <v>977</v>
      </c>
      <c r="L4672" s="63" t="s">
        <v>9619</v>
      </c>
      <c r="M4672" s="63" t="s">
        <v>9620</v>
      </c>
      <c r="N4672" s="63" t="s">
        <v>3162</v>
      </c>
    </row>
    <row r="4673" spans="1:14" x14ac:dyDescent="0.2">
      <c r="A4673" s="51">
        <v>4672</v>
      </c>
      <c r="B4673" s="54" t="s">
        <v>977</v>
      </c>
      <c r="C4673" s="47" t="s">
        <v>9621</v>
      </c>
      <c r="D4673" s="47" t="s">
        <v>9622</v>
      </c>
      <c r="E4673" s="47" t="s">
        <v>3162</v>
      </c>
      <c r="F4673" s="55" t="b">
        <v>1</v>
      </c>
      <c r="G4673" s="54" t="b">
        <v>1</v>
      </c>
      <c r="H4673" s="54" t="b">
        <v>1</v>
      </c>
      <c r="I4673" s="54" t="b">
        <v>1</v>
      </c>
      <c r="J4673" s="54" t="b">
        <v>1</v>
      </c>
      <c r="K4673" s="63" t="s">
        <v>977</v>
      </c>
      <c r="L4673" s="63" t="s">
        <v>9621</v>
      </c>
      <c r="M4673" s="63" t="s">
        <v>9622</v>
      </c>
      <c r="N4673" s="63" t="s">
        <v>3162</v>
      </c>
    </row>
    <row r="4674" spans="1:14" x14ac:dyDescent="0.2">
      <c r="A4674" s="51">
        <v>4673</v>
      </c>
      <c r="B4674" s="54" t="s">
        <v>977</v>
      </c>
      <c r="C4674" s="47" t="s">
        <v>13649</v>
      </c>
      <c r="D4674" s="47" t="s">
        <v>13650</v>
      </c>
      <c r="E4674" s="47" t="s">
        <v>3162</v>
      </c>
      <c r="F4674" s="55" t="b">
        <v>1</v>
      </c>
      <c r="G4674" s="65" t="b">
        <v>0</v>
      </c>
      <c r="H4674" s="65" t="b">
        <v>0</v>
      </c>
      <c r="I4674" s="65" t="b">
        <v>0</v>
      </c>
      <c r="J4674" s="65" t="b">
        <v>0</v>
      </c>
    </row>
    <row r="4675" spans="1:14" x14ac:dyDescent="0.2">
      <c r="A4675" s="51">
        <v>4674</v>
      </c>
      <c r="B4675" s="54" t="s">
        <v>977</v>
      </c>
      <c r="C4675" s="47" t="s">
        <v>9207</v>
      </c>
      <c r="D4675" s="47" t="s">
        <v>9208</v>
      </c>
      <c r="E4675" s="47" t="s">
        <v>3162</v>
      </c>
      <c r="F4675" s="55" t="b">
        <v>1</v>
      </c>
      <c r="G4675" s="54" t="b">
        <v>1</v>
      </c>
      <c r="H4675" s="54" t="b">
        <v>1</v>
      </c>
      <c r="I4675" s="54" t="b">
        <v>1</v>
      </c>
      <c r="J4675" s="54" t="b">
        <v>1</v>
      </c>
      <c r="K4675" s="63" t="s">
        <v>977</v>
      </c>
      <c r="L4675" s="63" t="s">
        <v>9207</v>
      </c>
      <c r="M4675" s="63" t="s">
        <v>9208</v>
      </c>
      <c r="N4675" s="63" t="s">
        <v>3162</v>
      </c>
    </row>
    <row r="4676" spans="1:14" x14ac:dyDescent="0.2">
      <c r="A4676" s="51">
        <v>4675</v>
      </c>
      <c r="B4676" s="54" t="s">
        <v>977</v>
      </c>
      <c r="C4676" s="47" t="s">
        <v>9245</v>
      </c>
      <c r="D4676" s="47" t="s">
        <v>9246</v>
      </c>
      <c r="E4676" s="47" t="s">
        <v>3162</v>
      </c>
      <c r="F4676" s="55" t="b">
        <v>1</v>
      </c>
      <c r="G4676" s="54" t="b">
        <v>1</v>
      </c>
      <c r="H4676" s="54" t="b">
        <v>1</v>
      </c>
      <c r="I4676" s="54" t="b">
        <v>1</v>
      </c>
      <c r="J4676" s="54" t="b">
        <v>1</v>
      </c>
      <c r="K4676" s="63" t="s">
        <v>977</v>
      </c>
      <c r="L4676" s="63" t="s">
        <v>9245</v>
      </c>
      <c r="M4676" s="63" t="s">
        <v>9246</v>
      </c>
      <c r="N4676" s="63" t="s">
        <v>3162</v>
      </c>
    </row>
    <row r="4677" spans="1:14" x14ac:dyDescent="0.2">
      <c r="A4677" s="51">
        <v>4676</v>
      </c>
      <c r="B4677" s="54" t="s">
        <v>977</v>
      </c>
      <c r="C4677" s="47" t="s">
        <v>9333</v>
      </c>
      <c r="D4677" s="47" t="s">
        <v>13646</v>
      </c>
      <c r="E4677" s="47" t="s">
        <v>3162</v>
      </c>
      <c r="F4677" s="55" t="b">
        <v>1</v>
      </c>
      <c r="G4677" s="54" t="b">
        <v>1</v>
      </c>
      <c r="H4677" s="54" t="b">
        <v>1</v>
      </c>
      <c r="I4677" s="65" t="b">
        <v>0</v>
      </c>
      <c r="J4677" s="54" t="b">
        <v>1</v>
      </c>
      <c r="K4677" s="63" t="s">
        <v>977</v>
      </c>
      <c r="L4677" s="63" t="s">
        <v>9333</v>
      </c>
      <c r="M4677" s="63" t="s">
        <v>9334</v>
      </c>
      <c r="N4677" s="63" t="s">
        <v>3162</v>
      </c>
    </row>
    <row r="4678" spans="1:14" x14ac:dyDescent="0.2">
      <c r="A4678" s="51">
        <v>4677</v>
      </c>
      <c r="B4678" s="54" t="s">
        <v>977</v>
      </c>
      <c r="C4678" s="47" t="s">
        <v>9383</v>
      </c>
      <c r="D4678" s="47" t="s">
        <v>9384</v>
      </c>
      <c r="E4678" s="47" t="s">
        <v>3162</v>
      </c>
      <c r="F4678" s="55" t="b">
        <v>1</v>
      </c>
      <c r="G4678" s="54" t="b">
        <v>1</v>
      </c>
      <c r="H4678" s="54" t="b">
        <v>1</v>
      </c>
      <c r="I4678" s="54" t="b">
        <v>1</v>
      </c>
      <c r="J4678" s="54" t="b">
        <v>1</v>
      </c>
      <c r="K4678" s="63" t="s">
        <v>977</v>
      </c>
      <c r="L4678" s="63" t="s">
        <v>9383</v>
      </c>
      <c r="M4678" s="63" t="s">
        <v>9384</v>
      </c>
      <c r="N4678" s="63" t="s">
        <v>3162</v>
      </c>
    </row>
    <row r="4679" spans="1:14" x14ac:dyDescent="0.2">
      <c r="A4679" s="51">
        <v>4678</v>
      </c>
      <c r="B4679" s="54" t="s">
        <v>977</v>
      </c>
      <c r="C4679" s="47" t="s">
        <v>9405</v>
      </c>
      <c r="D4679" s="47" t="s">
        <v>9406</v>
      </c>
      <c r="E4679" s="47" t="s">
        <v>3162</v>
      </c>
      <c r="F4679" s="55" t="b">
        <v>1</v>
      </c>
      <c r="G4679" s="54" t="b">
        <v>1</v>
      </c>
      <c r="H4679" s="54" t="b">
        <v>1</v>
      </c>
      <c r="I4679" s="54" t="b">
        <v>1</v>
      </c>
      <c r="J4679" s="54" t="b">
        <v>1</v>
      </c>
      <c r="K4679" s="63" t="s">
        <v>977</v>
      </c>
      <c r="L4679" s="63" t="s">
        <v>9405</v>
      </c>
      <c r="M4679" s="63" t="s">
        <v>9406</v>
      </c>
      <c r="N4679" s="63" t="s">
        <v>3162</v>
      </c>
    </row>
    <row r="4680" spans="1:14" x14ac:dyDescent="0.2">
      <c r="A4680" s="51">
        <v>4679</v>
      </c>
      <c r="B4680" s="54" t="s">
        <v>977</v>
      </c>
      <c r="C4680" s="47" t="s">
        <v>9445</v>
      </c>
      <c r="D4680" s="47" t="s">
        <v>9446</v>
      </c>
      <c r="E4680" s="47" t="s">
        <v>3162</v>
      </c>
      <c r="F4680" s="55" t="b">
        <v>1</v>
      </c>
      <c r="G4680" s="54" t="b">
        <v>1</v>
      </c>
      <c r="H4680" s="54" t="b">
        <v>1</v>
      </c>
      <c r="I4680" s="54" t="b">
        <v>1</v>
      </c>
      <c r="J4680" s="54" t="b">
        <v>1</v>
      </c>
      <c r="K4680" s="63" t="s">
        <v>977</v>
      </c>
      <c r="L4680" s="63" t="s">
        <v>9445</v>
      </c>
      <c r="M4680" s="63" t="s">
        <v>9446</v>
      </c>
      <c r="N4680" s="63" t="s">
        <v>3162</v>
      </c>
    </row>
    <row r="4681" spans="1:14" x14ac:dyDescent="0.2">
      <c r="A4681" s="51">
        <v>4680</v>
      </c>
      <c r="B4681" s="54" t="s">
        <v>977</v>
      </c>
      <c r="C4681" s="47" t="s">
        <v>9475</v>
      </c>
      <c r="D4681" s="47" t="s">
        <v>9476</v>
      </c>
      <c r="E4681" s="47" t="s">
        <v>3162</v>
      </c>
      <c r="F4681" s="55" t="b">
        <v>1</v>
      </c>
      <c r="G4681" s="54" t="b">
        <v>1</v>
      </c>
      <c r="H4681" s="54" t="b">
        <v>1</v>
      </c>
      <c r="I4681" s="54" t="b">
        <v>1</v>
      </c>
      <c r="J4681" s="54" t="b">
        <v>1</v>
      </c>
      <c r="K4681" s="63" t="s">
        <v>977</v>
      </c>
      <c r="L4681" s="63" t="s">
        <v>9475</v>
      </c>
      <c r="M4681" s="63" t="s">
        <v>9476</v>
      </c>
      <c r="N4681" s="63" t="s">
        <v>3162</v>
      </c>
    </row>
    <row r="4682" spans="1:14" x14ac:dyDescent="0.2">
      <c r="A4682" s="51">
        <v>4681</v>
      </c>
      <c r="B4682" s="54" t="s">
        <v>977</v>
      </c>
      <c r="C4682" s="47" t="s">
        <v>9509</v>
      </c>
      <c r="D4682" s="47" t="s">
        <v>9510</v>
      </c>
      <c r="E4682" s="47" t="s">
        <v>3162</v>
      </c>
      <c r="F4682" s="55" t="b">
        <v>1</v>
      </c>
      <c r="G4682" s="54" t="b">
        <v>1</v>
      </c>
      <c r="H4682" s="54" t="b">
        <v>1</v>
      </c>
      <c r="I4682" s="54" t="b">
        <v>1</v>
      </c>
      <c r="J4682" s="54" t="b">
        <v>1</v>
      </c>
      <c r="K4682" s="63" t="s">
        <v>977</v>
      </c>
      <c r="L4682" s="63" t="s">
        <v>9509</v>
      </c>
      <c r="M4682" s="63" t="s">
        <v>9510</v>
      </c>
      <c r="N4682" s="63" t="s">
        <v>3162</v>
      </c>
    </row>
    <row r="4683" spans="1:14" x14ac:dyDescent="0.2">
      <c r="A4683" s="51">
        <v>4682</v>
      </c>
      <c r="B4683" s="54" t="s">
        <v>977</v>
      </c>
      <c r="C4683" s="47" t="s">
        <v>9513</v>
      </c>
      <c r="D4683" s="47" t="s">
        <v>9514</v>
      </c>
      <c r="E4683" s="47" t="s">
        <v>3162</v>
      </c>
      <c r="F4683" s="55" t="b">
        <v>1</v>
      </c>
      <c r="G4683" s="54" t="b">
        <v>1</v>
      </c>
      <c r="H4683" s="54" t="b">
        <v>1</v>
      </c>
      <c r="I4683" s="54" t="b">
        <v>1</v>
      </c>
      <c r="J4683" s="54" t="b">
        <v>1</v>
      </c>
      <c r="K4683" s="63" t="s">
        <v>977</v>
      </c>
      <c r="L4683" s="63" t="s">
        <v>9513</v>
      </c>
      <c r="M4683" s="63" t="s">
        <v>9514</v>
      </c>
      <c r="N4683" s="63" t="s">
        <v>3162</v>
      </c>
    </row>
    <row r="4684" spans="1:14" x14ac:dyDescent="0.2">
      <c r="A4684" s="51">
        <v>4683</v>
      </c>
      <c r="B4684" s="54" t="s">
        <v>977</v>
      </c>
      <c r="C4684" s="47" t="s">
        <v>9517</v>
      </c>
      <c r="D4684" s="47" t="s">
        <v>9518</v>
      </c>
      <c r="E4684" s="47" t="s">
        <v>3162</v>
      </c>
      <c r="F4684" s="55" t="b">
        <v>1</v>
      </c>
      <c r="G4684" s="54" t="b">
        <v>1</v>
      </c>
      <c r="H4684" s="54" t="b">
        <v>1</v>
      </c>
      <c r="I4684" s="54" t="b">
        <v>1</v>
      </c>
      <c r="J4684" s="54" t="b">
        <v>1</v>
      </c>
      <c r="K4684" s="63" t="s">
        <v>977</v>
      </c>
      <c r="L4684" s="63" t="s">
        <v>9517</v>
      </c>
      <c r="M4684" s="63" t="s">
        <v>9518</v>
      </c>
      <c r="N4684" s="63" t="s">
        <v>3162</v>
      </c>
    </row>
    <row r="4685" spans="1:14" x14ac:dyDescent="0.2">
      <c r="A4685" s="51">
        <v>4684</v>
      </c>
      <c r="B4685" s="54" t="s">
        <v>977</v>
      </c>
      <c r="C4685" s="47" t="s">
        <v>9525</v>
      </c>
      <c r="D4685" s="47" t="s">
        <v>9526</v>
      </c>
      <c r="E4685" s="47" t="s">
        <v>3162</v>
      </c>
      <c r="F4685" s="55" t="b">
        <v>1</v>
      </c>
      <c r="G4685" s="54" t="b">
        <v>1</v>
      </c>
      <c r="H4685" s="54" t="b">
        <v>1</v>
      </c>
      <c r="I4685" s="54" t="b">
        <v>1</v>
      </c>
      <c r="J4685" s="54" t="b">
        <v>1</v>
      </c>
      <c r="K4685" s="63" t="s">
        <v>977</v>
      </c>
      <c r="L4685" s="63" t="s">
        <v>9525</v>
      </c>
      <c r="M4685" s="63" t="s">
        <v>9526</v>
      </c>
      <c r="N4685" s="63" t="s">
        <v>3162</v>
      </c>
    </row>
    <row r="4686" spans="1:14" x14ac:dyDescent="0.2">
      <c r="A4686" s="51">
        <v>4685</v>
      </c>
      <c r="B4686" s="54" t="s">
        <v>977</v>
      </c>
      <c r="C4686" s="47" t="s">
        <v>9603</v>
      </c>
      <c r="D4686" s="47" t="s">
        <v>9604</v>
      </c>
      <c r="E4686" s="47" t="s">
        <v>3162</v>
      </c>
      <c r="F4686" s="55" t="b">
        <v>1</v>
      </c>
      <c r="G4686" s="54" t="b">
        <v>1</v>
      </c>
      <c r="H4686" s="54" t="b">
        <v>1</v>
      </c>
      <c r="I4686" s="54" t="b">
        <v>1</v>
      </c>
      <c r="J4686" s="54" t="b">
        <v>1</v>
      </c>
      <c r="K4686" s="63" t="s">
        <v>977</v>
      </c>
      <c r="L4686" s="63" t="s">
        <v>9603</v>
      </c>
      <c r="M4686" s="63" t="s">
        <v>9604</v>
      </c>
      <c r="N4686" s="63" t="s">
        <v>3162</v>
      </c>
    </row>
    <row r="4687" spans="1:14" x14ac:dyDescent="0.2">
      <c r="A4687" s="51">
        <v>4686</v>
      </c>
      <c r="B4687" s="54" t="s">
        <v>977</v>
      </c>
      <c r="C4687" s="47" t="s">
        <v>9277</v>
      </c>
      <c r="D4687" s="47" t="s">
        <v>9278</v>
      </c>
      <c r="E4687" s="47" t="s">
        <v>3162</v>
      </c>
      <c r="F4687" s="55" t="b">
        <v>1</v>
      </c>
      <c r="G4687" s="54" t="b">
        <v>1</v>
      </c>
      <c r="H4687" s="54" t="b">
        <v>1</v>
      </c>
      <c r="I4687" s="54" t="b">
        <v>1</v>
      </c>
      <c r="J4687" s="54" t="b">
        <v>1</v>
      </c>
      <c r="K4687" s="63" t="s">
        <v>977</v>
      </c>
      <c r="L4687" s="63" t="s">
        <v>9277</v>
      </c>
      <c r="M4687" s="63" t="s">
        <v>9278</v>
      </c>
      <c r="N4687" s="63" t="s">
        <v>3162</v>
      </c>
    </row>
    <row r="4688" spans="1:14" x14ac:dyDescent="0.2">
      <c r="A4688" s="51">
        <v>4687</v>
      </c>
      <c r="B4688" s="54" t="s">
        <v>977</v>
      </c>
      <c r="C4688" s="47" t="s">
        <v>9367</v>
      </c>
      <c r="D4688" s="47" t="s">
        <v>9368</v>
      </c>
      <c r="E4688" s="47" t="s">
        <v>3162</v>
      </c>
      <c r="F4688" s="55" t="b">
        <v>1</v>
      </c>
      <c r="G4688" s="54" t="b">
        <v>1</v>
      </c>
      <c r="H4688" s="54" t="b">
        <v>1</v>
      </c>
      <c r="I4688" s="54" t="b">
        <v>1</v>
      </c>
      <c r="J4688" s="54" t="b">
        <v>1</v>
      </c>
      <c r="K4688" s="63" t="s">
        <v>977</v>
      </c>
      <c r="L4688" s="63" t="s">
        <v>9367</v>
      </c>
      <c r="M4688" s="63" t="s">
        <v>9368</v>
      </c>
      <c r="N4688" s="63" t="s">
        <v>3162</v>
      </c>
    </row>
    <row r="4689" spans="1:14" x14ac:dyDescent="0.2">
      <c r="A4689" s="51">
        <v>4688</v>
      </c>
      <c r="B4689" s="54" t="s">
        <v>977</v>
      </c>
      <c r="C4689" s="47" t="s">
        <v>9477</v>
      </c>
      <c r="D4689" s="47" t="s">
        <v>9478</v>
      </c>
      <c r="E4689" s="47" t="s">
        <v>3162</v>
      </c>
      <c r="F4689" s="55" t="b">
        <v>1</v>
      </c>
      <c r="G4689" s="54" t="b">
        <v>1</v>
      </c>
      <c r="H4689" s="54" t="b">
        <v>1</v>
      </c>
      <c r="I4689" s="54" t="b">
        <v>1</v>
      </c>
      <c r="J4689" s="54" t="b">
        <v>1</v>
      </c>
      <c r="K4689" s="63" t="s">
        <v>977</v>
      </c>
      <c r="L4689" s="63" t="s">
        <v>9477</v>
      </c>
      <c r="M4689" s="63" t="s">
        <v>9478</v>
      </c>
      <c r="N4689" s="63" t="s">
        <v>3162</v>
      </c>
    </row>
    <row r="4690" spans="1:14" x14ac:dyDescent="0.2">
      <c r="A4690" s="51">
        <v>4689</v>
      </c>
      <c r="B4690" s="54" t="s">
        <v>977</v>
      </c>
      <c r="C4690" s="47" t="s">
        <v>9523</v>
      </c>
      <c r="D4690" s="47" t="s">
        <v>9524</v>
      </c>
      <c r="E4690" s="47" t="s">
        <v>3162</v>
      </c>
      <c r="F4690" s="55" t="b">
        <v>1</v>
      </c>
      <c r="G4690" s="54" t="b">
        <v>1</v>
      </c>
      <c r="H4690" s="54" t="b">
        <v>1</v>
      </c>
      <c r="I4690" s="54" t="b">
        <v>1</v>
      </c>
      <c r="J4690" s="54" t="b">
        <v>1</v>
      </c>
      <c r="K4690" s="63" t="s">
        <v>977</v>
      </c>
      <c r="L4690" s="63" t="s">
        <v>9523</v>
      </c>
      <c r="M4690" s="63" t="s">
        <v>9524</v>
      </c>
      <c r="N4690" s="63" t="s">
        <v>3162</v>
      </c>
    </row>
    <row r="4691" spans="1:14" x14ac:dyDescent="0.2">
      <c r="A4691" s="51">
        <v>4690</v>
      </c>
      <c r="B4691" s="54" t="s">
        <v>977</v>
      </c>
      <c r="C4691" s="47" t="s">
        <v>9591</v>
      </c>
      <c r="D4691" s="47" t="s">
        <v>9592</v>
      </c>
      <c r="E4691" s="47" t="s">
        <v>3162</v>
      </c>
      <c r="F4691" s="55" t="b">
        <v>1</v>
      </c>
      <c r="G4691" s="54" t="b">
        <v>1</v>
      </c>
      <c r="H4691" s="54" t="b">
        <v>1</v>
      </c>
      <c r="I4691" s="54" t="b">
        <v>1</v>
      </c>
      <c r="J4691" s="54" t="b">
        <v>1</v>
      </c>
      <c r="K4691" s="63" t="s">
        <v>977</v>
      </c>
      <c r="L4691" s="63" t="s">
        <v>9591</v>
      </c>
      <c r="M4691" s="63" t="s">
        <v>9592</v>
      </c>
      <c r="N4691" s="63" t="s">
        <v>3162</v>
      </c>
    </row>
    <row r="4692" spans="1:14" x14ac:dyDescent="0.2">
      <c r="A4692" s="51">
        <v>4691</v>
      </c>
      <c r="B4692" s="54" t="s">
        <v>977</v>
      </c>
      <c r="C4692" s="47" t="s">
        <v>13647</v>
      </c>
      <c r="D4692" s="47" t="s">
        <v>13648</v>
      </c>
      <c r="E4692" s="47" t="s">
        <v>3162</v>
      </c>
      <c r="F4692" s="55" t="b">
        <v>1</v>
      </c>
      <c r="G4692" s="65" t="b">
        <v>0</v>
      </c>
      <c r="H4692" s="65" t="b">
        <v>0</v>
      </c>
      <c r="I4692" s="65" t="b">
        <v>0</v>
      </c>
      <c r="J4692" s="65" t="b">
        <v>0</v>
      </c>
    </row>
    <row r="4693" spans="1:14" x14ac:dyDescent="0.2">
      <c r="A4693" s="51">
        <v>4692</v>
      </c>
      <c r="B4693" s="54" t="s">
        <v>979</v>
      </c>
      <c r="C4693" s="47" t="s">
        <v>9625</v>
      </c>
      <c r="D4693" s="47" t="s">
        <v>2720</v>
      </c>
      <c r="E4693" s="47" t="s">
        <v>1719</v>
      </c>
      <c r="F4693" s="55" t="b">
        <v>1</v>
      </c>
      <c r="G4693" s="54" t="b">
        <v>1</v>
      </c>
      <c r="H4693" s="54" t="b">
        <v>1</v>
      </c>
      <c r="I4693" s="54" t="b">
        <v>1</v>
      </c>
      <c r="J4693" s="54" t="b">
        <v>1</v>
      </c>
      <c r="K4693" s="63" t="s">
        <v>979</v>
      </c>
      <c r="L4693" s="63" t="s">
        <v>9625</v>
      </c>
      <c r="M4693" s="63" t="s">
        <v>2720</v>
      </c>
      <c r="N4693" s="63" t="s">
        <v>1719</v>
      </c>
    </row>
    <row r="4694" spans="1:14" x14ac:dyDescent="0.2">
      <c r="A4694" s="51">
        <v>4693</v>
      </c>
      <c r="B4694" s="54" t="s">
        <v>979</v>
      </c>
      <c r="C4694" s="47" t="s">
        <v>9626</v>
      </c>
      <c r="D4694" s="47" t="s">
        <v>8907</v>
      </c>
      <c r="E4694" s="47" t="s">
        <v>1719</v>
      </c>
      <c r="F4694" s="55" t="b">
        <v>1</v>
      </c>
      <c r="G4694" s="54" t="b">
        <v>1</v>
      </c>
      <c r="H4694" s="54" t="b">
        <v>1</v>
      </c>
      <c r="I4694" s="54" t="b">
        <v>1</v>
      </c>
      <c r="J4694" s="54" t="b">
        <v>1</v>
      </c>
      <c r="K4694" s="63" t="s">
        <v>979</v>
      </c>
      <c r="L4694" s="63" t="s">
        <v>9626</v>
      </c>
      <c r="M4694" s="63" t="s">
        <v>8907</v>
      </c>
      <c r="N4694" s="63" t="s">
        <v>1719</v>
      </c>
    </row>
    <row r="4695" spans="1:14" x14ac:dyDescent="0.2">
      <c r="A4695" s="51">
        <v>4694</v>
      </c>
      <c r="B4695" s="54" t="s">
        <v>979</v>
      </c>
      <c r="C4695" s="47" t="s">
        <v>9623</v>
      </c>
      <c r="D4695" s="47" t="s">
        <v>13652</v>
      </c>
      <c r="E4695" s="47" t="s">
        <v>2046</v>
      </c>
      <c r="F4695" s="55" t="b">
        <v>1</v>
      </c>
      <c r="G4695" s="54" t="b">
        <v>1</v>
      </c>
      <c r="H4695" s="54" t="b">
        <v>1</v>
      </c>
      <c r="I4695" s="65" t="b">
        <v>0</v>
      </c>
      <c r="J4695" s="65" t="b">
        <v>0</v>
      </c>
      <c r="K4695" s="63" t="s">
        <v>979</v>
      </c>
      <c r="L4695" s="63" t="s">
        <v>9623</v>
      </c>
      <c r="M4695" s="63" t="s">
        <v>9624</v>
      </c>
      <c r="N4695" s="63" t="s">
        <v>7831</v>
      </c>
    </row>
    <row r="4696" spans="1:14" x14ac:dyDescent="0.2">
      <c r="A4696" s="51">
        <v>4695</v>
      </c>
      <c r="B4696" s="54" t="s">
        <v>979</v>
      </c>
      <c r="C4696" s="47" t="s">
        <v>9627</v>
      </c>
      <c r="D4696" s="47" t="s">
        <v>9628</v>
      </c>
      <c r="E4696" s="47" t="s">
        <v>1719</v>
      </c>
      <c r="F4696" s="55" t="b">
        <v>1</v>
      </c>
      <c r="G4696" s="54" t="b">
        <v>1</v>
      </c>
      <c r="H4696" s="54" t="b">
        <v>1</v>
      </c>
      <c r="I4696" s="54" t="b">
        <v>1</v>
      </c>
      <c r="J4696" s="54" t="b">
        <v>1</v>
      </c>
      <c r="K4696" s="63" t="s">
        <v>979</v>
      </c>
      <c r="L4696" s="63" t="s">
        <v>9627</v>
      </c>
      <c r="M4696" s="63" t="s">
        <v>9628</v>
      </c>
      <c r="N4696" s="63" t="s">
        <v>1719</v>
      </c>
    </row>
    <row r="4697" spans="1:14" x14ac:dyDescent="0.2">
      <c r="A4697" s="51">
        <v>4696</v>
      </c>
      <c r="B4697" s="54" t="s">
        <v>979</v>
      </c>
      <c r="C4697" s="47" t="s">
        <v>9629</v>
      </c>
      <c r="D4697" s="47" t="s">
        <v>9630</v>
      </c>
      <c r="E4697" s="47" t="s">
        <v>1719</v>
      </c>
      <c r="F4697" s="55" t="b">
        <v>1</v>
      </c>
      <c r="G4697" s="54" t="b">
        <v>1</v>
      </c>
      <c r="H4697" s="54" t="b">
        <v>1</v>
      </c>
      <c r="I4697" s="54" t="b">
        <v>1</v>
      </c>
      <c r="J4697" s="54" t="b">
        <v>1</v>
      </c>
      <c r="K4697" s="63" t="s">
        <v>979</v>
      </c>
      <c r="L4697" s="63" t="s">
        <v>9629</v>
      </c>
      <c r="M4697" s="63" t="s">
        <v>9630</v>
      </c>
      <c r="N4697" s="63" t="s">
        <v>1719</v>
      </c>
    </row>
    <row r="4698" spans="1:14" x14ac:dyDescent="0.2">
      <c r="A4698" s="51">
        <v>4697</v>
      </c>
      <c r="B4698" s="54" t="s">
        <v>979</v>
      </c>
      <c r="C4698" s="47" t="s">
        <v>9631</v>
      </c>
      <c r="D4698" s="47" t="s">
        <v>13653</v>
      </c>
      <c r="E4698" s="47" t="s">
        <v>1719</v>
      </c>
      <c r="F4698" s="55" t="b">
        <v>1</v>
      </c>
      <c r="G4698" s="54" t="b">
        <v>1</v>
      </c>
      <c r="H4698" s="54" t="b">
        <v>1</v>
      </c>
      <c r="I4698" s="65" t="b">
        <v>0</v>
      </c>
      <c r="J4698" s="54" t="b">
        <v>1</v>
      </c>
      <c r="K4698" s="63" t="s">
        <v>979</v>
      </c>
      <c r="L4698" s="63" t="s">
        <v>9631</v>
      </c>
      <c r="M4698" s="63" t="s">
        <v>9632</v>
      </c>
      <c r="N4698" s="63" t="s">
        <v>1719</v>
      </c>
    </row>
    <row r="4699" spans="1:14" x14ac:dyDescent="0.2">
      <c r="A4699" s="51">
        <v>4698</v>
      </c>
      <c r="B4699" s="54" t="s">
        <v>979</v>
      </c>
      <c r="C4699" s="47" t="s">
        <v>9633</v>
      </c>
      <c r="D4699" s="47" t="s">
        <v>9634</v>
      </c>
      <c r="E4699" s="47" t="s">
        <v>1719</v>
      </c>
      <c r="F4699" s="55" t="b">
        <v>1</v>
      </c>
      <c r="G4699" s="54" t="b">
        <v>1</v>
      </c>
      <c r="H4699" s="54" t="b">
        <v>1</v>
      </c>
      <c r="I4699" s="54" t="b">
        <v>1</v>
      </c>
      <c r="J4699" s="54" t="b">
        <v>1</v>
      </c>
      <c r="K4699" s="63" t="s">
        <v>979</v>
      </c>
      <c r="L4699" s="63" t="s">
        <v>9633</v>
      </c>
      <c r="M4699" s="63" t="s">
        <v>9634</v>
      </c>
      <c r="N4699" s="63" t="s">
        <v>1719</v>
      </c>
    </row>
    <row r="4700" spans="1:14" x14ac:dyDescent="0.2">
      <c r="A4700" s="51">
        <v>4699</v>
      </c>
      <c r="B4700" s="54" t="s">
        <v>979</v>
      </c>
      <c r="C4700" s="47" t="s">
        <v>9635</v>
      </c>
      <c r="D4700" s="47" t="s">
        <v>9636</v>
      </c>
      <c r="E4700" s="47" t="s">
        <v>1719</v>
      </c>
      <c r="F4700" s="55" t="b">
        <v>1</v>
      </c>
      <c r="G4700" s="54" t="b">
        <v>1</v>
      </c>
      <c r="H4700" s="54" t="b">
        <v>1</v>
      </c>
      <c r="I4700" s="54" t="b">
        <v>1</v>
      </c>
      <c r="J4700" s="54" t="b">
        <v>1</v>
      </c>
      <c r="K4700" s="63" t="s">
        <v>979</v>
      </c>
      <c r="L4700" s="63" t="s">
        <v>9635</v>
      </c>
      <c r="M4700" s="63" t="s">
        <v>9636</v>
      </c>
      <c r="N4700" s="63" t="s">
        <v>1719</v>
      </c>
    </row>
    <row r="4701" spans="1:14" x14ac:dyDescent="0.2">
      <c r="A4701" s="51">
        <v>4700</v>
      </c>
      <c r="B4701" s="54" t="s">
        <v>979</v>
      </c>
      <c r="C4701" s="47" t="s">
        <v>9637</v>
      </c>
      <c r="D4701" s="47" t="s">
        <v>9638</v>
      </c>
      <c r="E4701" s="47" t="s">
        <v>1719</v>
      </c>
      <c r="F4701" s="55" t="b">
        <v>1</v>
      </c>
      <c r="G4701" s="54" t="b">
        <v>1</v>
      </c>
      <c r="H4701" s="54" t="b">
        <v>1</v>
      </c>
      <c r="I4701" s="54" t="b">
        <v>1</v>
      </c>
      <c r="J4701" s="54" t="b">
        <v>1</v>
      </c>
      <c r="K4701" s="63" t="s">
        <v>979</v>
      </c>
      <c r="L4701" s="63" t="s">
        <v>9637</v>
      </c>
      <c r="M4701" s="63" t="s">
        <v>9638</v>
      </c>
      <c r="N4701" s="63" t="s">
        <v>1719</v>
      </c>
    </row>
    <row r="4702" spans="1:14" x14ac:dyDescent="0.2">
      <c r="A4702" s="51">
        <v>4701</v>
      </c>
      <c r="B4702" s="54" t="s">
        <v>979</v>
      </c>
      <c r="C4702" s="47" t="s">
        <v>9639</v>
      </c>
      <c r="D4702" s="47" t="s">
        <v>4197</v>
      </c>
      <c r="E4702" s="47" t="s">
        <v>1719</v>
      </c>
      <c r="F4702" s="55" t="b">
        <v>1</v>
      </c>
      <c r="G4702" s="54" t="b">
        <v>1</v>
      </c>
      <c r="H4702" s="54" t="b">
        <v>1</v>
      </c>
      <c r="I4702" s="54" t="b">
        <v>1</v>
      </c>
      <c r="J4702" s="54" t="b">
        <v>1</v>
      </c>
      <c r="K4702" s="63" t="s">
        <v>979</v>
      </c>
      <c r="L4702" s="63" t="s">
        <v>9639</v>
      </c>
      <c r="M4702" s="63" t="s">
        <v>4197</v>
      </c>
      <c r="N4702" s="63" t="s">
        <v>1719</v>
      </c>
    </row>
    <row r="4703" spans="1:14" x14ac:dyDescent="0.2">
      <c r="A4703" s="51">
        <v>4702</v>
      </c>
      <c r="B4703" s="54" t="s">
        <v>981</v>
      </c>
      <c r="C4703" s="47" t="s">
        <v>9640</v>
      </c>
      <c r="D4703" s="47" t="s">
        <v>9641</v>
      </c>
      <c r="E4703" s="47" t="s">
        <v>2087</v>
      </c>
      <c r="F4703" s="55" t="b">
        <v>1</v>
      </c>
      <c r="G4703" s="54" t="b">
        <v>1</v>
      </c>
      <c r="H4703" s="54" t="b">
        <v>1</v>
      </c>
      <c r="I4703" s="54" t="b">
        <v>1</v>
      </c>
      <c r="J4703" s="54" t="b">
        <v>1</v>
      </c>
      <c r="K4703" s="63" t="s">
        <v>981</v>
      </c>
      <c r="L4703" s="63" t="s">
        <v>9640</v>
      </c>
      <c r="M4703" s="63" t="s">
        <v>9641</v>
      </c>
      <c r="N4703" s="63" t="s">
        <v>2087</v>
      </c>
    </row>
    <row r="4704" spans="1:14" x14ac:dyDescent="0.2">
      <c r="A4704" s="51">
        <v>4703</v>
      </c>
      <c r="B4704" s="54" t="s">
        <v>981</v>
      </c>
      <c r="C4704" s="47" t="s">
        <v>9642</v>
      </c>
      <c r="D4704" s="47" t="s">
        <v>9643</v>
      </c>
      <c r="E4704" s="47" t="s">
        <v>2087</v>
      </c>
      <c r="F4704" s="55" t="b">
        <v>1</v>
      </c>
      <c r="G4704" s="54" t="b">
        <v>1</v>
      </c>
      <c r="H4704" s="54" t="b">
        <v>1</v>
      </c>
      <c r="I4704" s="54" t="b">
        <v>1</v>
      </c>
      <c r="J4704" s="54" t="b">
        <v>1</v>
      </c>
      <c r="K4704" s="63" t="s">
        <v>981</v>
      </c>
      <c r="L4704" s="63" t="s">
        <v>9642</v>
      </c>
      <c r="M4704" s="63" t="s">
        <v>9643</v>
      </c>
      <c r="N4704" s="63" t="s">
        <v>2087</v>
      </c>
    </row>
    <row r="4705" spans="1:14" x14ac:dyDescent="0.2">
      <c r="A4705" s="51">
        <v>4704</v>
      </c>
      <c r="B4705" s="54" t="s">
        <v>981</v>
      </c>
      <c r="C4705" s="47" t="s">
        <v>9644</v>
      </c>
      <c r="D4705" s="47" t="s">
        <v>9645</v>
      </c>
      <c r="E4705" s="47" t="s">
        <v>2087</v>
      </c>
      <c r="F4705" s="55" t="b">
        <v>1</v>
      </c>
      <c r="G4705" s="54" t="b">
        <v>1</v>
      </c>
      <c r="H4705" s="54" t="b">
        <v>1</v>
      </c>
      <c r="I4705" s="54" t="b">
        <v>1</v>
      </c>
      <c r="J4705" s="54" t="b">
        <v>1</v>
      </c>
      <c r="K4705" s="63" t="s">
        <v>981</v>
      </c>
      <c r="L4705" s="63" t="s">
        <v>9644</v>
      </c>
      <c r="M4705" s="63" t="s">
        <v>9645</v>
      </c>
      <c r="N4705" s="63" t="s">
        <v>2087</v>
      </c>
    </row>
    <row r="4706" spans="1:14" x14ac:dyDescent="0.2">
      <c r="A4706" s="51">
        <v>4705</v>
      </c>
      <c r="B4706" s="54" t="s">
        <v>981</v>
      </c>
      <c r="C4706" s="47" t="s">
        <v>9646</v>
      </c>
      <c r="D4706" s="47" t="s">
        <v>5469</v>
      </c>
      <c r="E4706" s="47" t="s">
        <v>2087</v>
      </c>
      <c r="F4706" s="55" t="b">
        <v>1</v>
      </c>
      <c r="G4706" s="54" t="b">
        <v>1</v>
      </c>
      <c r="H4706" s="54" t="b">
        <v>1</v>
      </c>
      <c r="I4706" s="54" t="b">
        <v>1</v>
      </c>
      <c r="J4706" s="54" t="b">
        <v>1</v>
      </c>
      <c r="K4706" s="63" t="s">
        <v>981</v>
      </c>
      <c r="L4706" s="63" t="s">
        <v>9646</v>
      </c>
      <c r="M4706" s="63" t="s">
        <v>5469</v>
      </c>
      <c r="N4706" s="63" t="s">
        <v>2087</v>
      </c>
    </row>
    <row r="4707" spans="1:14" x14ac:dyDescent="0.2">
      <c r="A4707" s="51">
        <v>4706</v>
      </c>
      <c r="B4707" s="54" t="s">
        <v>981</v>
      </c>
      <c r="C4707" s="47" t="s">
        <v>9647</v>
      </c>
      <c r="D4707" s="47" t="s">
        <v>9648</v>
      </c>
      <c r="E4707" s="47" t="s">
        <v>2087</v>
      </c>
      <c r="F4707" s="55" t="b">
        <v>1</v>
      </c>
      <c r="G4707" s="54" t="b">
        <v>1</v>
      </c>
      <c r="H4707" s="54" t="b">
        <v>1</v>
      </c>
      <c r="I4707" s="54" t="b">
        <v>1</v>
      </c>
      <c r="J4707" s="54" t="b">
        <v>1</v>
      </c>
      <c r="K4707" s="63" t="s">
        <v>981</v>
      </c>
      <c r="L4707" s="63" t="s">
        <v>9647</v>
      </c>
      <c r="M4707" s="63" t="s">
        <v>9648</v>
      </c>
      <c r="N4707" s="63" t="s">
        <v>2087</v>
      </c>
    </row>
    <row r="4708" spans="1:14" x14ac:dyDescent="0.2">
      <c r="A4708" s="51">
        <v>4707</v>
      </c>
      <c r="B4708" s="54" t="s">
        <v>981</v>
      </c>
      <c r="C4708" s="47" t="s">
        <v>9649</v>
      </c>
      <c r="D4708" s="47" t="s">
        <v>9650</v>
      </c>
      <c r="E4708" s="47" t="s">
        <v>2087</v>
      </c>
      <c r="F4708" s="55" t="b">
        <v>1</v>
      </c>
      <c r="G4708" s="54" t="b">
        <v>1</v>
      </c>
      <c r="H4708" s="54" t="b">
        <v>1</v>
      </c>
      <c r="I4708" s="54" t="b">
        <v>1</v>
      </c>
      <c r="J4708" s="54" t="b">
        <v>1</v>
      </c>
      <c r="K4708" s="63" t="s">
        <v>981</v>
      </c>
      <c r="L4708" s="63" t="s">
        <v>9649</v>
      </c>
      <c r="M4708" s="63" t="s">
        <v>9650</v>
      </c>
      <c r="N4708" s="63" t="s">
        <v>2087</v>
      </c>
    </row>
    <row r="4709" spans="1:14" x14ac:dyDescent="0.2">
      <c r="A4709" s="51">
        <v>4708</v>
      </c>
      <c r="B4709" s="54" t="s">
        <v>981</v>
      </c>
      <c r="C4709" s="47" t="s">
        <v>9651</v>
      </c>
      <c r="D4709" s="47" t="s">
        <v>9652</v>
      </c>
      <c r="E4709" s="47" t="s">
        <v>2087</v>
      </c>
      <c r="F4709" s="55" t="b">
        <v>1</v>
      </c>
      <c r="G4709" s="54" t="b">
        <v>1</v>
      </c>
      <c r="H4709" s="54" t="b">
        <v>1</v>
      </c>
      <c r="I4709" s="54" t="b">
        <v>1</v>
      </c>
      <c r="J4709" s="54" t="b">
        <v>1</v>
      </c>
      <c r="K4709" s="63" t="s">
        <v>981</v>
      </c>
      <c r="L4709" s="63" t="s">
        <v>9651</v>
      </c>
      <c r="M4709" s="63" t="s">
        <v>9652</v>
      </c>
      <c r="N4709" s="63" t="s">
        <v>2087</v>
      </c>
    </row>
    <row r="4710" spans="1:14" x14ac:dyDescent="0.2">
      <c r="A4710" s="51">
        <v>4709</v>
      </c>
      <c r="B4710" s="54" t="s">
        <v>981</v>
      </c>
      <c r="C4710" s="47" t="s">
        <v>9653</v>
      </c>
      <c r="D4710" s="47" t="s">
        <v>9654</v>
      </c>
      <c r="E4710" s="47" t="s">
        <v>2087</v>
      </c>
      <c r="F4710" s="55" t="b">
        <v>1</v>
      </c>
      <c r="G4710" s="54" t="b">
        <v>1</v>
      </c>
      <c r="H4710" s="54" t="b">
        <v>1</v>
      </c>
      <c r="I4710" s="54" t="b">
        <v>1</v>
      </c>
      <c r="J4710" s="54" t="b">
        <v>1</v>
      </c>
      <c r="K4710" s="63" t="s">
        <v>981</v>
      </c>
      <c r="L4710" s="63" t="s">
        <v>9653</v>
      </c>
      <c r="M4710" s="63" t="s">
        <v>9654</v>
      </c>
      <c r="N4710" s="63" t="s">
        <v>2087</v>
      </c>
    </row>
    <row r="4711" spans="1:14" x14ac:dyDescent="0.2">
      <c r="A4711" s="51">
        <v>4710</v>
      </c>
      <c r="B4711" s="54" t="s">
        <v>981</v>
      </c>
      <c r="C4711" s="47" t="s">
        <v>9655</v>
      </c>
      <c r="D4711" s="47" t="s">
        <v>9656</v>
      </c>
      <c r="E4711" s="47" t="s">
        <v>2087</v>
      </c>
      <c r="F4711" s="55" t="b">
        <v>1</v>
      </c>
      <c r="G4711" s="54" t="b">
        <v>1</v>
      </c>
      <c r="H4711" s="54" t="b">
        <v>1</v>
      </c>
      <c r="I4711" s="54" t="b">
        <v>1</v>
      </c>
      <c r="J4711" s="54" t="b">
        <v>1</v>
      </c>
      <c r="K4711" s="63" t="s">
        <v>981</v>
      </c>
      <c r="L4711" s="63" t="s">
        <v>9655</v>
      </c>
      <c r="M4711" s="63" t="s">
        <v>9656</v>
      </c>
      <c r="N4711" s="63" t="s">
        <v>2087</v>
      </c>
    </row>
    <row r="4712" spans="1:14" x14ac:dyDescent="0.2">
      <c r="A4712" s="51">
        <v>4711</v>
      </c>
      <c r="B4712" s="54" t="s">
        <v>981</v>
      </c>
      <c r="C4712" s="47" t="s">
        <v>9657</v>
      </c>
      <c r="D4712" s="47" t="s">
        <v>9658</v>
      </c>
      <c r="E4712" s="47" t="s">
        <v>2087</v>
      </c>
      <c r="F4712" s="55" t="b">
        <v>1</v>
      </c>
      <c r="G4712" s="54" t="b">
        <v>1</v>
      </c>
      <c r="H4712" s="54" t="b">
        <v>1</v>
      </c>
      <c r="I4712" s="54" t="b">
        <v>1</v>
      </c>
      <c r="J4712" s="54" t="b">
        <v>1</v>
      </c>
      <c r="K4712" s="63" t="s">
        <v>981</v>
      </c>
      <c r="L4712" s="63" t="s">
        <v>9657</v>
      </c>
      <c r="M4712" s="63" t="s">
        <v>9658</v>
      </c>
      <c r="N4712" s="63" t="s">
        <v>2087</v>
      </c>
    </row>
    <row r="4713" spans="1:14" x14ac:dyDescent="0.2">
      <c r="A4713" s="51">
        <v>4712</v>
      </c>
      <c r="B4713" s="54" t="s">
        <v>981</v>
      </c>
      <c r="C4713" s="47" t="s">
        <v>9659</v>
      </c>
      <c r="D4713" s="47" t="s">
        <v>9660</v>
      </c>
      <c r="E4713" s="47" t="s">
        <v>2087</v>
      </c>
      <c r="F4713" s="55" t="b">
        <v>1</v>
      </c>
      <c r="G4713" s="54" t="b">
        <v>1</v>
      </c>
      <c r="H4713" s="54" t="b">
        <v>1</v>
      </c>
      <c r="I4713" s="54" t="b">
        <v>1</v>
      </c>
      <c r="J4713" s="54" t="b">
        <v>1</v>
      </c>
      <c r="K4713" s="63" t="s">
        <v>981</v>
      </c>
      <c r="L4713" s="63" t="s">
        <v>9659</v>
      </c>
      <c r="M4713" s="63" t="s">
        <v>9660</v>
      </c>
      <c r="N4713" s="63" t="s">
        <v>2087</v>
      </c>
    </row>
    <row r="4714" spans="1:14" x14ac:dyDescent="0.2">
      <c r="A4714" s="51">
        <v>4713</v>
      </c>
      <c r="B4714" s="54" t="s">
        <v>981</v>
      </c>
      <c r="C4714" s="47" t="s">
        <v>9661</v>
      </c>
      <c r="D4714" s="47" t="s">
        <v>9662</v>
      </c>
      <c r="E4714" s="47" t="s">
        <v>2087</v>
      </c>
      <c r="F4714" s="55" t="b">
        <v>1</v>
      </c>
      <c r="G4714" s="54" t="b">
        <v>1</v>
      </c>
      <c r="H4714" s="54" t="b">
        <v>1</v>
      </c>
      <c r="I4714" s="54" t="b">
        <v>1</v>
      </c>
      <c r="J4714" s="54" t="b">
        <v>1</v>
      </c>
      <c r="K4714" s="63" t="s">
        <v>981</v>
      </c>
      <c r="L4714" s="63" t="s">
        <v>9661</v>
      </c>
      <c r="M4714" s="63" t="s">
        <v>9662</v>
      </c>
      <c r="N4714" s="63" t="s">
        <v>2087</v>
      </c>
    </row>
    <row r="4715" spans="1:14" x14ac:dyDescent="0.2">
      <c r="A4715" s="51">
        <v>4714</v>
      </c>
      <c r="B4715" s="54" t="s">
        <v>981</v>
      </c>
      <c r="C4715" s="47" t="s">
        <v>9663</v>
      </c>
      <c r="D4715" s="47" t="s">
        <v>9664</v>
      </c>
      <c r="E4715" s="47" t="s">
        <v>2087</v>
      </c>
      <c r="F4715" s="55" t="b">
        <v>1</v>
      </c>
      <c r="G4715" s="54" t="b">
        <v>1</v>
      </c>
      <c r="H4715" s="54" t="b">
        <v>1</v>
      </c>
      <c r="I4715" s="54" t="b">
        <v>1</v>
      </c>
      <c r="J4715" s="54" t="b">
        <v>1</v>
      </c>
      <c r="K4715" s="63" t="s">
        <v>981</v>
      </c>
      <c r="L4715" s="63" t="s">
        <v>9663</v>
      </c>
      <c r="M4715" s="63" t="s">
        <v>9664</v>
      </c>
      <c r="N4715" s="63" t="s">
        <v>2087</v>
      </c>
    </row>
    <row r="4716" spans="1:14" x14ac:dyDescent="0.2">
      <c r="A4716" s="51">
        <v>4715</v>
      </c>
      <c r="B4716" s="54" t="s">
        <v>981</v>
      </c>
      <c r="C4716" s="47" t="s">
        <v>9665</v>
      </c>
      <c r="D4716" s="47" t="s">
        <v>9666</v>
      </c>
      <c r="E4716" s="47" t="s">
        <v>2087</v>
      </c>
      <c r="F4716" s="55" t="b">
        <v>1</v>
      </c>
      <c r="G4716" s="54" t="b">
        <v>1</v>
      </c>
      <c r="H4716" s="54" t="b">
        <v>1</v>
      </c>
      <c r="I4716" s="54" t="b">
        <v>1</v>
      </c>
      <c r="J4716" s="54" t="b">
        <v>1</v>
      </c>
      <c r="K4716" s="63" t="s">
        <v>981</v>
      </c>
      <c r="L4716" s="63" t="s">
        <v>9665</v>
      </c>
      <c r="M4716" s="63" t="s">
        <v>9666</v>
      </c>
      <c r="N4716" s="63" t="s">
        <v>2087</v>
      </c>
    </row>
    <row r="4717" spans="1:14" x14ac:dyDescent="0.2">
      <c r="A4717" s="51">
        <v>4716</v>
      </c>
      <c r="B4717" s="54" t="s">
        <v>981</v>
      </c>
      <c r="C4717" s="47" t="s">
        <v>9667</v>
      </c>
      <c r="D4717" s="47" t="s">
        <v>9668</v>
      </c>
      <c r="E4717" s="47" t="s">
        <v>2087</v>
      </c>
      <c r="F4717" s="55" t="b">
        <v>1</v>
      </c>
      <c r="G4717" s="54" t="b">
        <v>1</v>
      </c>
      <c r="H4717" s="54" t="b">
        <v>1</v>
      </c>
      <c r="I4717" s="54" t="b">
        <v>1</v>
      </c>
      <c r="J4717" s="54" t="b">
        <v>1</v>
      </c>
      <c r="K4717" s="63" t="s">
        <v>981</v>
      </c>
      <c r="L4717" s="63" t="s">
        <v>9667</v>
      </c>
      <c r="M4717" s="63" t="s">
        <v>9668</v>
      </c>
      <c r="N4717" s="63" t="s">
        <v>2087</v>
      </c>
    </row>
    <row r="4718" spans="1:14" x14ac:dyDescent="0.2">
      <c r="A4718" s="51">
        <v>4717</v>
      </c>
      <c r="B4718" s="54" t="s">
        <v>981</v>
      </c>
      <c r="C4718" s="47" t="s">
        <v>9669</v>
      </c>
      <c r="D4718" s="47" t="s">
        <v>9670</v>
      </c>
      <c r="E4718" s="47" t="s">
        <v>2087</v>
      </c>
      <c r="F4718" s="55" t="b">
        <v>1</v>
      </c>
      <c r="G4718" s="54" t="b">
        <v>1</v>
      </c>
      <c r="H4718" s="54" t="b">
        <v>1</v>
      </c>
      <c r="I4718" s="54" t="b">
        <v>1</v>
      </c>
      <c r="J4718" s="54" t="b">
        <v>1</v>
      </c>
      <c r="K4718" s="63" t="s">
        <v>981</v>
      </c>
      <c r="L4718" s="63" t="s">
        <v>9669</v>
      </c>
      <c r="M4718" s="63" t="s">
        <v>9670</v>
      </c>
      <c r="N4718" s="63" t="s">
        <v>2087</v>
      </c>
    </row>
    <row r="4719" spans="1:14" x14ac:dyDescent="0.2">
      <c r="A4719" s="51">
        <v>4718</v>
      </c>
      <c r="B4719" s="54" t="s">
        <v>981</v>
      </c>
      <c r="C4719" s="47" t="s">
        <v>9671</v>
      </c>
      <c r="D4719" s="47" t="s">
        <v>9672</v>
      </c>
      <c r="E4719" s="47" t="s">
        <v>2087</v>
      </c>
      <c r="F4719" s="55" t="b">
        <v>1</v>
      </c>
      <c r="G4719" s="54" t="b">
        <v>1</v>
      </c>
      <c r="H4719" s="54" t="b">
        <v>1</v>
      </c>
      <c r="I4719" s="54" t="b">
        <v>1</v>
      </c>
      <c r="J4719" s="54" t="b">
        <v>1</v>
      </c>
      <c r="K4719" s="63" t="s">
        <v>981</v>
      </c>
      <c r="L4719" s="63" t="s">
        <v>9671</v>
      </c>
      <c r="M4719" s="63" t="s">
        <v>9672</v>
      </c>
      <c r="N4719" s="63" t="s">
        <v>2087</v>
      </c>
    </row>
    <row r="4720" spans="1:14" x14ac:dyDescent="0.2">
      <c r="A4720" s="51">
        <v>4719</v>
      </c>
      <c r="B4720" s="54" t="s">
        <v>981</v>
      </c>
      <c r="C4720" s="47" t="s">
        <v>9673</v>
      </c>
      <c r="D4720" s="47" t="s">
        <v>9674</v>
      </c>
      <c r="E4720" s="47" t="s">
        <v>2087</v>
      </c>
      <c r="F4720" s="55" t="b">
        <v>1</v>
      </c>
      <c r="G4720" s="54" t="b">
        <v>1</v>
      </c>
      <c r="H4720" s="54" t="b">
        <v>1</v>
      </c>
      <c r="I4720" s="54" t="b">
        <v>1</v>
      </c>
      <c r="J4720" s="54" t="b">
        <v>1</v>
      </c>
      <c r="K4720" s="63" t="s">
        <v>981</v>
      </c>
      <c r="L4720" s="63" t="s">
        <v>9673</v>
      </c>
      <c r="M4720" s="63" t="s">
        <v>9674</v>
      </c>
      <c r="N4720" s="63" t="s">
        <v>2087</v>
      </c>
    </row>
    <row r="4721" spans="1:14" x14ac:dyDescent="0.2">
      <c r="A4721" s="51">
        <v>4720</v>
      </c>
      <c r="B4721" s="54" t="s">
        <v>983</v>
      </c>
      <c r="C4721" s="47" t="s">
        <v>9677</v>
      </c>
      <c r="D4721" s="47" t="s">
        <v>9678</v>
      </c>
      <c r="E4721" s="47" t="s">
        <v>1719</v>
      </c>
      <c r="F4721" s="55" t="b">
        <v>1</v>
      </c>
      <c r="G4721" s="54" t="b">
        <v>1</v>
      </c>
      <c r="H4721" s="54" t="b">
        <v>1</v>
      </c>
      <c r="I4721" s="54" t="b">
        <v>1</v>
      </c>
      <c r="J4721" s="54" t="b">
        <v>1</v>
      </c>
      <c r="K4721" s="63" t="s">
        <v>983</v>
      </c>
      <c r="L4721" s="63" t="s">
        <v>9677</v>
      </c>
      <c r="M4721" s="63" t="s">
        <v>9678</v>
      </c>
      <c r="N4721" s="63" t="s">
        <v>1719</v>
      </c>
    </row>
    <row r="4722" spans="1:14" x14ac:dyDescent="0.2">
      <c r="A4722" s="51">
        <v>4721</v>
      </c>
      <c r="G4722" s="65" t="b">
        <v>0</v>
      </c>
      <c r="H4722" s="65" t="b">
        <v>0</v>
      </c>
      <c r="I4722" s="65" t="b">
        <v>0</v>
      </c>
      <c r="J4722" s="65" t="b">
        <v>0</v>
      </c>
      <c r="K4722" s="63" t="s">
        <v>983</v>
      </c>
      <c r="L4722" s="63" t="s">
        <v>9677</v>
      </c>
      <c r="M4722" s="63" t="s">
        <v>9695</v>
      </c>
      <c r="N4722" s="63" t="s">
        <v>1719</v>
      </c>
    </row>
    <row r="4723" spans="1:14" x14ac:dyDescent="0.2">
      <c r="A4723" s="51">
        <v>4722</v>
      </c>
      <c r="G4723" s="65" t="b">
        <v>0</v>
      </c>
      <c r="H4723" s="65" t="b">
        <v>0</v>
      </c>
      <c r="I4723" s="65" t="b">
        <v>0</v>
      </c>
      <c r="J4723" s="65" t="b">
        <v>0</v>
      </c>
      <c r="K4723" s="63" t="s">
        <v>983</v>
      </c>
      <c r="L4723" s="63" t="s">
        <v>9677</v>
      </c>
      <c r="M4723" s="63" t="s">
        <v>9698</v>
      </c>
      <c r="N4723" s="63" t="s">
        <v>1719</v>
      </c>
    </row>
    <row r="4724" spans="1:14" x14ac:dyDescent="0.2">
      <c r="A4724" s="51">
        <v>4723</v>
      </c>
      <c r="G4724" s="65" t="b">
        <v>0</v>
      </c>
      <c r="H4724" s="65" t="b">
        <v>0</v>
      </c>
      <c r="I4724" s="65" t="b">
        <v>0</v>
      </c>
      <c r="J4724" s="65" t="b">
        <v>0</v>
      </c>
      <c r="K4724" s="63" t="s">
        <v>983</v>
      </c>
      <c r="L4724" s="63" t="s">
        <v>9677</v>
      </c>
      <c r="M4724" s="63" t="s">
        <v>9699</v>
      </c>
      <c r="N4724" s="63" t="s">
        <v>1719</v>
      </c>
    </row>
    <row r="4725" spans="1:14" x14ac:dyDescent="0.2">
      <c r="A4725" s="51">
        <v>4724</v>
      </c>
      <c r="G4725" s="65" t="b">
        <v>0</v>
      </c>
      <c r="H4725" s="65" t="b">
        <v>0</v>
      </c>
      <c r="I4725" s="65" t="b">
        <v>0</v>
      </c>
      <c r="J4725" s="65" t="b">
        <v>0</v>
      </c>
      <c r="K4725" s="63" t="s">
        <v>983</v>
      </c>
      <c r="L4725" s="63" t="s">
        <v>9677</v>
      </c>
      <c r="M4725" s="63" t="s">
        <v>9704</v>
      </c>
      <c r="N4725" s="63" t="s">
        <v>1719</v>
      </c>
    </row>
    <row r="4726" spans="1:14" x14ac:dyDescent="0.2">
      <c r="A4726" s="51">
        <v>4725</v>
      </c>
      <c r="G4726" s="65" t="b">
        <v>0</v>
      </c>
      <c r="H4726" s="65" t="b">
        <v>0</v>
      </c>
      <c r="I4726" s="65" t="b">
        <v>0</v>
      </c>
      <c r="J4726" s="65" t="b">
        <v>0</v>
      </c>
      <c r="K4726" s="63" t="s">
        <v>983</v>
      </c>
      <c r="L4726" s="63" t="s">
        <v>9677</v>
      </c>
      <c r="M4726" s="63" t="s">
        <v>9708</v>
      </c>
      <c r="N4726" s="63" t="s">
        <v>1719</v>
      </c>
    </row>
    <row r="4727" spans="1:14" x14ac:dyDescent="0.2">
      <c r="A4727" s="51">
        <v>4726</v>
      </c>
      <c r="G4727" s="65" t="b">
        <v>0</v>
      </c>
      <c r="H4727" s="65" t="b">
        <v>0</v>
      </c>
      <c r="I4727" s="65" t="b">
        <v>0</v>
      </c>
      <c r="J4727" s="65" t="b">
        <v>0</v>
      </c>
      <c r="K4727" s="63" t="s">
        <v>983</v>
      </c>
      <c r="L4727" s="63" t="s">
        <v>9677</v>
      </c>
      <c r="M4727" s="63" t="s">
        <v>9720</v>
      </c>
      <c r="N4727" s="63" t="s">
        <v>1719</v>
      </c>
    </row>
    <row r="4728" spans="1:14" x14ac:dyDescent="0.2">
      <c r="A4728" s="51">
        <v>4727</v>
      </c>
      <c r="G4728" s="65" t="b">
        <v>0</v>
      </c>
      <c r="H4728" s="65" t="b">
        <v>0</v>
      </c>
      <c r="I4728" s="65" t="b">
        <v>0</v>
      </c>
      <c r="J4728" s="65" t="b">
        <v>0</v>
      </c>
      <c r="K4728" s="63" t="s">
        <v>983</v>
      </c>
      <c r="L4728" s="63" t="s">
        <v>9677</v>
      </c>
      <c r="M4728" s="63" t="s">
        <v>9723</v>
      </c>
      <c r="N4728" s="63" t="s">
        <v>1719</v>
      </c>
    </row>
    <row r="4729" spans="1:14" x14ac:dyDescent="0.2">
      <c r="A4729" s="51">
        <v>4728</v>
      </c>
      <c r="G4729" s="65" t="b">
        <v>0</v>
      </c>
      <c r="H4729" s="65" t="b">
        <v>0</v>
      </c>
      <c r="I4729" s="65" t="b">
        <v>0</v>
      </c>
      <c r="J4729" s="65" t="b">
        <v>0</v>
      </c>
      <c r="K4729" s="63" t="s">
        <v>983</v>
      </c>
      <c r="L4729" s="63" t="s">
        <v>9677</v>
      </c>
      <c r="M4729" s="63" t="s">
        <v>9732</v>
      </c>
      <c r="N4729" s="63" t="s">
        <v>1719</v>
      </c>
    </row>
    <row r="4730" spans="1:14" x14ac:dyDescent="0.2">
      <c r="A4730" s="51">
        <v>4729</v>
      </c>
      <c r="G4730" s="65" t="b">
        <v>0</v>
      </c>
      <c r="H4730" s="65" t="b">
        <v>0</v>
      </c>
      <c r="I4730" s="65" t="b">
        <v>0</v>
      </c>
      <c r="J4730" s="65" t="b">
        <v>0</v>
      </c>
      <c r="K4730" s="63" t="s">
        <v>983</v>
      </c>
      <c r="L4730" s="63" t="s">
        <v>9677</v>
      </c>
      <c r="M4730" s="63" t="s">
        <v>9742</v>
      </c>
      <c r="N4730" s="63" t="s">
        <v>1719</v>
      </c>
    </row>
    <row r="4731" spans="1:14" x14ac:dyDescent="0.2">
      <c r="A4731" s="51">
        <v>4730</v>
      </c>
      <c r="B4731" s="54" t="s">
        <v>983</v>
      </c>
      <c r="C4731" s="47" t="s">
        <v>9679</v>
      </c>
      <c r="D4731" s="47" t="s">
        <v>9682</v>
      </c>
      <c r="E4731" s="47" t="s">
        <v>1719</v>
      </c>
      <c r="F4731" s="55" t="b">
        <v>1</v>
      </c>
      <c r="G4731" s="54" t="b">
        <v>1</v>
      </c>
      <c r="H4731" s="54" t="b">
        <v>1</v>
      </c>
      <c r="I4731" s="65" t="b">
        <v>0</v>
      </c>
      <c r="J4731" s="54" t="b">
        <v>1</v>
      </c>
      <c r="K4731" s="63" t="s">
        <v>983</v>
      </c>
      <c r="L4731" s="63" t="s">
        <v>9679</v>
      </c>
      <c r="M4731" s="63" t="s">
        <v>9680</v>
      </c>
      <c r="N4731" s="63" t="s">
        <v>1719</v>
      </c>
    </row>
    <row r="4732" spans="1:14" x14ac:dyDescent="0.2">
      <c r="A4732" s="51">
        <v>4731</v>
      </c>
      <c r="G4732" s="65" t="b">
        <v>0</v>
      </c>
      <c r="H4732" s="65" t="b">
        <v>0</v>
      </c>
      <c r="I4732" s="65" t="b">
        <v>0</v>
      </c>
      <c r="J4732" s="65" t="b">
        <v>0</v>
      </c>
      <c r="K4732" s="63" t="s">
        <v>983</v>
      </c>
      <c r="L4732" s="63" t="s">
        <v>9679</v>
      </c>
      <c r="M4732" s="63" t="s">
        <v>9681</v>
      </c>
      <c r="N4732" s="63" t="s">
        <v>1719</v>
      </c>
    </row>
    <row r="4733" spans="1:14" x14ac:dyDescent="0.2">
      <c r="A4733" s="51">
        <v>4732</v>
      </c>
      <c r="G4733" s="65" t="b">
        <v>0</v>
      </c>
      <c r="H4733" s="65" t="b">
        <v>0</v>
      </c>
      <c r="I4733" s="65" t="b">
        <v>0</v>
      </c>
      <c r="J4733" s="65" t="b">
        <v>0</v>
      </c>
      <c r="K4733" s="63" t="s">
        <v>983</v>
      </c>
      <c r="L4733" s="63" t="s">
        <v>9679</v>
      </c>
      <c r="M4733" s="63" t="s">
        <v>9682</v>
      </c>
      <c r="N4733" s="63" t="s">
        <v>1719</v>
      </c>
    </row>
    <row r="4734" spans="1:14" x14ac:dyDescent="0.2">
      <c r="A4734" s="51">
        <v>4733</v>
      </c>
      <c r="G4734" s="65" t="b">
        <v>0</v>
      </c>
      <c r="H4734" s="65" t="b">
        <v>0</v>
      </c>
      <c r="I4734" s="65" t="b">
        <v>0</v>
      </c>
      <c r="J4734" s="65" t="b">
        <v>0</v>
      </c>
      <c r="K4734" s="63" t="s">
        <v>983</v>
      </c>
      <c r="L4734" s="63" t="s">
        <v>9679</v>
      </c>
      <c r="M4734" s="63" t="s">
        <v>9683</v>
      </c>
      <c r="N4734" s="63" t="s">
        <v>1719</v>
      </c>
    </row>
    <row r="4735" spans="1:14" x14ac:dyDescent="0.2">
      <c r="A4735" s="51">
        <v>4734</v>
      </c>
      <c r="G4735" s="65" t="b">
        <v>0</v>
      </c>
      <c r="H4735" s="65" t="b">
        <v>0</v>
      </c>
      <c r="I4735" s="65" t="b">
        <v>0</v>
      </c>
      <c r="J4735" s="65" t="b">
        <v>0</v>
      </c>
      <c r="K4735" s="63" t="s">
        <v>983</v>
      </c>
      <c r="L4735" s="63" t="s">
        <v>9679</v>
      </c>
      <c r="M4735" s="63" t="s">
        <v>9684</v>
      </c>
      <c r="N4735" s="63" t="s">
        <v>1719</v>
      </c>
    </row>
    <row r="4736" spans="1:14" x14ac:dyDescent="0.2">
      <c r="A4736" s="51">
        <v>4735</v>
      </c>
      <c r="G4736" s="65" t="b">
        <v>0</v>
      </c>
      <c r="H4736" s="65" t="b">
        <v>0</v>
      </c>
      <c r="I4736" s="65" t="b">
        <v>0</v>
      </c>
      <c r="J4736" s="65" t="b">
        <v>0</v>
      </c>
      <c r="K4736" s="63" t="s">
        <v>983</v>
      </c>
      <c r="L4736" s="63" t="s">
        <v>9679</v>
      </c>
      <c r="M4736" s="63" t="s">
        <v>9685</v>
      </c>
      <c r="N4736" s="63" t="s">
        <v>1719</v>
      </c>
    </row>
    <row r="4737" spans="1:14" x14ac:dyDescent="0.2">
      <c r="A4737" s="51">
        <v>4736</v>
      </c>
      <c r="G4737" s="65" t="b">
        <v>0</v>
      </c>
      <c r="H4737" s="65" t="b">
        <v>0</v>
      </c>
      <c r="I4737" s="65" t="b">
        <v>0</v>
      </c>
      <c r="J4737" s="65" t="b">
        <v>0</v>
      </c>
      <c r="K4737" s="63" t="s">
        <v>983</v>
      </c>
      <c r="L4737" s="63" t="s">
        <v>9679</v>
      </c>
      <c r="M4737" s="63" t="s">
        <v>9686</v>
      </c>
      <c r="N4737" s="63" t="s">
        <v>1719</v>
      </c>
    </row>
    <row r="4738" spans="1:14" x14ac:dyDescent="0.2">
      <c r="A4738" s="51">
        <v>4737</v>
      </c>
      <c r="G4738" s="65" t="b">
        <v>0</v>
      </c>
      <c r="H4738" s="65" t="b">
        <v>0</v>
      </c>
      <c r="I4738" s="65" t="b">
        <v>0</v>
      </c>
      <c r="J4738" s="65" t="b">
        <v>0</v>
      </c>
      <c r="K4738" s="63" t="s">
        <v>983</v>
      </c>
      <c r="L4738" s="63" t="s">
        <v>9679</v>
      </c>
      <c r="M4738" s="63" t="s">
        <v>9735</v>
      </c>
      <c r="N4738" s="63" t="s">
        <v>1719</v>
      </c>
    </row>
    <row r="4739" spans="1:14" x14ac:dyDescent="0.2">
      <c r="A4739" s="51">
        <v>4738</v>
      </c>
      <c r="G4739" s="65" t="b">
        <v>0</v>
      </c>
      <c r="H4739" s="65" t="b">
        <v>0</v>
      </c>
      <c r="I4739" s="65" t="b">
        <v>0</v>
      </c>
      <c r="J4739" s="65" t="b">
        <v>0</v>
      </c>
      <c r="K4739" s="63" t="s">
        <v>983</v>
      </c>
      <c r="L4739" s="63" t="s">
        <v>9679</v>
      </c>
      <c r="M4739" s="63" t="s">
        <v>9738</v>
      </c>
      <c r="N4739" s="63" t="s">
        <v>1719</v>
      </c>
    </row>
    <row r="4740" spans="1:14" x14ac:dyDescent="0.2">
      <c r="A4740" s="51">
        <v>4739</v>
      </c>
      <c r="B4740" s="54" t="s">
        <v>983</v>
      </c>
      <c r="C4740" s="47" t="s">
        <v>9689</v>
      </c>
      <c r="D4740" s="47" t="s">
        <v>9690</v>
      </c>
      <c r="E4740" s="47" t="s">
        <v>1719</v>
      </c>
      <c r="F4740" s="55" t="b">
        <v>1</v>
      </c>
      <c r="G4740" s="54" t="b">
        <v>1</v>
      </c>
      <c r="H4740" s="54" t="b">
        <v>1</v>
      </c>
      <c r="I4740" s="54" t="b">
        <v>1</v>
      </c>
      <c r="J4740" s="54" t="b">
        <v>1</v>
      </c>
      <c r="K4740" s="63" t="s">
        <v>983</v>
      </c>
      <c r="L4740" s="63" t="s">
        <v>9689</v>
      </c>
      <c r="M4740" s="63" t="s">
        <v>9690</v>
      </c>
      <c r="N4740" s="63" t="s">
        <v>1719</v>
      </c>
    </row>
    <row r="4741" spans="1:14" x14ac:dyDescent="0.2">
      <c r="A4741" s="51">
        <v>4740</v>
      </c>
      <c r="G4741" s="65" t="b">
        <v>0</v>
      </c>
      <c r="H4741" s="65" t="b">
        <v>0</v>
      </c>
      <c r="I4741" s="65" t="b">
        <v>0</v>
      </c>
      <c r="J4741" s="65" t="b">
        <v>0</v>
      </c>
      <c r="K4741" s="63" t="s">
        <v>983</v>
      </c>
      <c r="L4741" s="63" t="s">
        <v>9689</v>
      </c>
      <c r="M4741" s="63" t="s">
        <v>9709</v>
      </c>
      <c r="N4741" s="63" t="s">
        <v>1719</v>
      </c>
    </row>
    <row r="4742" spans="1:14" x14ac:dyDescent="0.2">
      <c r="A4742" s="51">
        <v>4741</v>
      </c>
      <c r="G4742" s="65" t="b">
        <v>0</v>
      </c>
      <c r="H4742" s="65" t="b">
        <v>0</v>
      </c>
      <c r="I4742" s="65" t="b">
        <v>0</v>
      </c>
      <c r="J4742" s="65" t="b">
        <v>0</v>
      </c>
      <c r="K4742" s="63" t="s">
        <v>983</v>
      </c>
      <c r="L4742" s="63" t="s">
        <v>9689</v>
      </c>
      <c r="M4742" s="63" t="s">
        <v>9733</v>
      </c>
      <c r="N4742" s="63" t="s">
        <v>1719</v>
      </c>
    </row>
    <row r="4743" spans="1:14" x14ac:dyDescent="0.2">
      <c r="A4743" s="51">
        <v>4742</v>
      </c>
      <c r="G4743" s="65" t="b">
        <v>0</v>
      </c>
      <c r="H4743" s="65" t="b">
        <v>0</v>
      </c>
      <c r="I4743" s="65" t="b">
        <v>0</v>
      </c>
      <c r="J4743" s="65" t="b">
        <v>0</v>
      </c>
      <c r="K4743" s="63" t="s">
        <v>983</v>
      </c>
      <c r="L4743" s="63" t="s">
        <v>9689</v>
      </c>
      <c r="M4743" s="63" t="s">
        <v>9739</v>
      </c>
      <c r="N4743" s="63" t="s">
        <v>1719</v>
      </c>
    </row>
    <row r="4744" spans="1:14" x14ac:dyDescent="0.2">
      <c r="A4744" s="51">
        <v>4743</v>
      </c>
      <c r="B4744" s="54" t="s">
        <v>983</v>
      </c>
      <c r="C4744" s="47" t="s">
        <v>9716</v>
      </c>
      <c r="D4744" s="47" t="s">
        <v>9717</v>
      </c>
      <c r="E4744" s="47" t="s">
        <v>1719</v>
      </c>
      <c r="F4744" s="55" t="b">
        <v>1</v>
      </c>
      <c r="G4744" s="54" t="b">
        <v>1</v>
      </c>
      <c r="H4744" s="54" t="b">
        <v>1</v>
      </c>
      <c r="I4744" s="54" t="b">
        <v>1</v>
      </c>
      <c r="J4744" s="54" t="b">
        <v>1</v>
      </c>
      <c r="K4744" s="63" t="s">
        <v>983</v>
      </c>
      <c r="L4744" s="63" t="s">
        <v>9716</v>
      </c>
      <c r="M4744" s="63" t="s">
        <v>9717</v>
      </c>
      <c r="N4744" s="63" t="s">
        <v>1719</v>
      </c>
    </row>
    <row r="4745" spans="1:14" x14ac:dyDescent="0.2">
      <c r="A4745" s="51">
        <v>4744</v>
      </c>
      <c r="G4745" s="65" t="b">
        <v>0</v>
      </c>
      <c r="H4745" s="65" t="b">
        <v>0</v>
      </c>
      <c r="I4745" s="65" t="b">
        <v>0</v>
      </c>
      <c r="J4745" s="65" t="b">
        <v>0</v>
      </c>
      <c r="K4745" s="63" t="s">
        <v>983</v>
      </c>
      <c r="L4745" s="63" t="s">
        <v>9716</v>
      </c>
      <c r="M4745" s="63" t="s">
        <v>9734</v>
      </c>
      <c r="N4745" s="63" t="s">
        <v>1719</v>
      </c>
    </row>
    <row r="4746" spans="1:14" x14ac:dyDescent="0.2">
      <c r="A4746" s="51">
        <v>4745</v>
      </c>
      <c r="B4746" s="54" t="s">
        <v>983</v>
      </c>
      <c r="C4746" s="47" t="s">
        <v>9721</v>
      </c>
      <c r="D4746" s="47" t="s">
        <v>9722</v>
      </c>
      <c r="E4746" s="47" t="s">
        <v>1719</v>
      </c>
      <c r="F4746" s="55" t="b">
        <v>1</v>
      </c>
      <c r="G4746" s="54" t="b">
        <v>1</v>
      </c>
      <c r="H4746" s="54" t="b">
        <v>1</v>
      </c>
      <c r="I4746" s="54" t="b">
        <v>1</v>
      </c>
      <c r="J4746" s="54" t="b">
        <v>1</v>
      </c>
      <c r="K4746" s="63" t="s">
        <v>983</v>
      </c>
      <c r="L4746" s="63" t="s">
        <v>9721</v>
      </c>
      <c r="M4746" s="63" t="s">
        <v>9722</v>
      </c>
      <c r="N4746" s="63" t="s">
        <v>1719</v>
      </c>
    </row>
    <row r="4747" spans="1:14" x14ac:dyDescent="0.2">
      <c r="A4747" s="51">
        <v>4746</v>
      </c>
      <c r="G4747" s="65" t="b">
        <v>0</v>
      </c>
      <c r="H4747" s="65" t="b">
        <v>0</v>
      </c>
      <c r="I4747" s="65" t="b">
        <v>0</v>
      </c>
      <c r="J4747" s="65" t="b">
        <v>0</v>
      </c>
      <c r="K4747" s="63" t="s">
        <v>983</v>
      </c>
      <c r="L4747" s="63" t="s">
        <v>9721</v>
      </c>
      <c r="M4747" s="63" t="s">
        <v>9741</v>
      </c>
      <c r="N4747" s="63" t="s">
        <v>1719</v>
      </c>
    </row>
    <row r="4748" spans="1:14" x14ac:dyDescent="0.2">
      <c r="A4748" s="51">
        <v>4747</v>
      </c>
      <c r="B4748" s="54" t="s">
        <v>983</v>
      </c>
      <c r="C4748" s="47" t="s">
        <v>9700</v>
      </c>
      <c r="D4748" s="47" t="s">
        <v>9727</v>
      </c>
      <c r="E4748" s="47" t="s">
        <v>1719</v>
      </c>
      <c r="F4748" s="55" t="b">
        <v>1</v>
      </c>
      <c r="G4748" s="54" t="b">
        <v>1</v>
      </c>
      <c r="H4748" s="54" t="b">
        <v>1</v>
      </c>
      <c r="I4748" s="54" t="b">
        <v>1</v>
      </c>
      <c r="J4748" s="54" t="b">
        <v>1</v>
      </c>
      <c r="K4748" s="63" t="s">
        <v>983</v>
      </c>
      <c r="L4748" s="63" t="s">
        <v>9700</v>
      </c>
      <c r="M4748" s="63" t="s">
        <v>9727</v>
      </c>
      <c r="N4748" s="63" t="s">
        <v>1719</v>
      </c>
    </row>
    <row r="4749" spans="1:14" x14ac:dyDescent="0.2">
      <c r="A4749" s="51">
        <v>4748</v>
      </c>
      <c r="G4749" s="65" t="b">
        <v>0</v>
      </c>
      <c r="H4749" s="65" t="b">
        <v>0</v>
      </c>
      <c r="I4749" s="65" t="b">
        <v>0</v>
      </c>
      <c r="J4749" s="65" t="b">
        <v>0</v>
      </c>
      <c r="K4749" s="63" t="s">
        <v>983</v>
      </c>
      <c r="L4749" s="63" t="s">
        <v>9700</v>
      </c>
      <c r="M4749" s="63" t="s">
        <v>9702</v>
      </c>
      <c r="N4749" s="63" t="s">
        <v>1719</v>
      </c>
    </row>
    <row r="4750" spans="1:14" x14ac:dyDescent="0.2">
      <c r="A4750" s="51">
        <v>4749</v>
      </c>
      <c r="G4750" s="65" t="b">
        <v>0</v>
      </c>
      <c r="H4750" s="65" t="b">
        <v>0</v>
      </c>
      <c r="I4750" s="65" t="b">
        <v>0</v>
      </c>
      <c r="J4750" s="65" t="b">
        <v>0</v>
      </c>
      <c r="K4750" s="63" t="s">
        <v>983</v>
      </c>
      <c r="L4750" s="63" t="s">
        <v>9700</v>
      </c>
      <c r="M4750" s="63" t="s">
        <v>9703</v>
      </c>
      <c r="N4750" s="63" t="s">
        <v>1719</v>
      </c>
    </row>
    <row r="4751" spans="1:14" x14ac:dyDescent="0.2">
      <c r="A4751" s="51">
        <v>4750</v>
      </c>
      <c r="G4751" s="65" t="b">
        <v>0</v>
      </c>
      <c r="H4751" s="65" t="b">
        <v>0</v>
      </c>
      <c r="I4751" s="65" t="b">
        <v>0</v>
      </c>
      <c r="J4751" s="65" t="b">
        <v>0</v>
      </c>
      <c r="K4751" s="63" t="s">
        <v>983</v>
      </c>
      <c r="L4751" s="63" t="s">
        <v>9700</v>
      </c>
      <c r="M4751" s="63" t="s">
        <v>9706</v>
      </c>
      <c r="N4751" s="63" t="s">
        <v>1719</v>
      </c>
    </row>
    <row r="4752" spans="1:14" x14ac:dyDescent="0.2">
      <c r="A4752" s="51">
        <v>4751</v>
      </c>
      <c r="G4752" s="65" t="b">
        <v>0</v>
      </c>
      <c r="H4752" s="65" t="b">
        <v>0</v>
      </c>
      <c r="I4752" s="65" t="b">
        <v>0</v>
      </c>
      <c r="J4752" s="65" t="b">
        <v>0</v>
      </c>
      <c r="K4752" s="63" t="s">
        <v>983</v>
      </c>
      <c r="L4752" s="63" t="s">
        <v>9700</v>
      </c>
      <c r="M4752" s="63" t="s">
        <v>9718</v>
      </c>
      <c r="N4752" s="63" t="s">
        <v>1719</v>
      </c>
    </row>
    <row r="4753" spans="1:14" x14ac:dyDescent="0.2">
      <c r="A4753" s="51">
        <v>4752</v>
      </c>
      <c r="G4753" s="65" t="b">
        <v>0</v>
      </c>
      <c r="H4753" s="65" t="b">
        <v>0</v>
      </c>
      <c r="I4753" s="65" t="b">
        <v>0</v>
      </c>
      <c r="J4753" s="65" t="b">
        <v>0</v>
      </c>
      <c r="K4753" s="63" t="s">
        <v>983</v>
      </c>
      <c r="L4753" s="63" t="s">
        <v>9700</v>
      </c>
      <c r="M4753" s="63" t="s">
        <v>9725</v>
      </c>
      <c r="N4753" s="63" t="s">
        <v>1719</v>
      </c>
    </row>
    <row r="4754" spans="1:14" x14ac:dyDescent="0.2">
      <c r="A4754" s="51">
        <v>4753</v>
      </c>
      <c r="G4754" s="65" t="b">
        <v>0</v>
      </c>
      <c r="H4754" s="65" t="b">
        <v>0</v>
      </c>
      <c r="I4754" s="65" t="b">
        <v>0</v>
      </c>
      <c r="J4754" s="65" t="b">
        <v>0</v>
      </c>
      <c r="K4754" s="63" t="s">
        <v>983</v>
      </c>
      <c r="L4754" s="63" t="s">
        <v>9700</v>
      </c>
      <c r="M4754" s="63" t="s">
        <v>9701</v>
      </c>
      <c r="N4754" s="63" t="s">
        <v>1719</v>
      </c>
    </row>
    <row r="4755" spans="1:14" x14ac:dyDescent="0.2">
      <c r="A4755" s="51">
        <v>4754</v>
      </c>
      <c r="G4755" s="65" t="b">
        <v>0</v>
      </c>
      <c r="H4755" s="65" t="b">
        <v>0</v>
      </c>
      <c r="I4755" s="65" t="b">
        <v>0</v>
      </c>
      <c r="J4755" s="65" t="b">
        <v>0</v>
      </c>
      <c r="K4755" s="63" t="s">
        <v>983</v>
      </c>
      <c r="L4755" s="63" t="s">
        <v>9700</v>
      </c>
      <c r="M4755" s="63" t="s">
        <v>9730</v>
      </c>
      <c r="N4755" s="63" t="s">
        <v>1719</v>
      </c>
    </row>
    <row r="4756" spans="1:14" x14ac:dyDescent="0.2">
      <c r="A4756" s="51">
        <v>4755</v>
      </c>
      <c r="G4756" s="65" t="b">
        <v>0</v>
      </c>
      <c r="H4756" s="65" t="b">
        <v>0</v>
      </c>
      <c r="I4756" s="65" t="b">
        <v>0</v>
      </c>
      <c r="J4756" s="65" t="b">
        <v>0</v>
      </c>
      <c r="K4756" s="63" t="s">
        <v>983</v>
      </c>
      <c r="L4756" s="63" t="s">
        <v>9700</v>
      </c>
      <c r="M4756" s="63" t="s">
        <v>9744</v>
      </c>
      <c r="N4756" s="63" t="s">
        <v>1719</v>
      </c>
    </row>
    <row r="4757" spans="1:14" x14ac:dyDescent="0.2">
      <c r="A4757" s="51">
        <v>4756</v>
      </c>
      <c r="B4757" s="54" t="s">
        <v>983</v>
      </c>
      <c r="C4757" s="47" t="s">
        <v>9687</v>
      </c>
      <c r="D4757" s="47" t="s">
        <v>9710</v>
      </c>
      <c r="E4757" s="47" t="s">
        <v>1719</v>
      </c>
      <c r="F4757" s="55" t="b">
        <v>1</v>
      </c>
      <c r="G4757" s="54" t="b">
        <v>1</v>
      </c>
      <c r="H4757" s="54" t="b">
        <v>1</v>
      </c>
      <c r="I4757" s="54" t="b">
        <v>1</v>
      </c>
      <c r="J4757" s="54" t="b">
        <v>1</v>
      </c>
      <c r="K4757" s="63" t="s">
        <v>983</v>
      </c>
      <c r="L4757" s="63" t="s">
        <v>9687</v>
      </c>
      <c r="M4757" s="63" t="s">
        <v>9710</v>
      </c>
      <c r="N4757" s="63" t="s">
        <v>1719</v>
      </c>
    </row>
    <row r="4758" spans="1:14" x14ac:dyDescent="0.2">
      <c r="A4758" s="51">
        <v>4757</v>
      </c>
      <c r="G4758" s="65" t="b">
        <v>0</v>
      </c>
      <c r="H4758" s="65" t="b">
        <v>0</v>
      </c>
      <c r="I4758" s="65" t="b">
        <v>0</v>
      </c>
      <c r="J4758" s="65" t="b">
        <v>0</v>
      </c>
      <c r="K4758" s="63" t="s">
        <v>983</v>
      </c>
      <c r="L4758" s="63" t="s">
        <v>9687</v>
      </c>
      <c r="M4758" s="63" t="s">
        <v>9691</v>
      </c>
      <c r="N4758" s="63" t="s">
        <v>1719</v>
      </c>
    </row>
    <row r="4759" spans="1:14" x14ac:dyDescent="0.2">
      <c r="A4759" s="51">
        <v>4758</v>
      </c>
      <c r="G4759" s="65" t="b">
        <v>0</v>
      </c>
      <c r="H4759" s="65" t="b">
        <v>0</v>
      </c>
      <c r="I4759" s="65" t="b">
        <v>0</v>
      </c>
      <c r="J4759" s="65" t="b">
        <v>0</v>
      </c>
      <c r="K4759" s="63" t="s">
        <v>983</v>
      </c>
      <c r="L4759" s="63" t="s">
        <v>9687</v>
      </c>
      <c r="M4759" s="63" t="s">
        <v>9692</v>
      </c>
      <c r="N4759" s="63" t="s">
        <v>1719</v>
      </c>
    </row>
    <row r="4760" spans="1:14" x14ac:dyDescent="0.2">
      <c r="A4760" s="51">
        <v>4759</v>
      </c>
      <c r="G4760" s="65" t="b">
        <v>0</v>
      </c>
      <c r="H4760" s="65" t="b">
        <v>0</v>
      </c>
      <c r="I4760" s="65" t="b">
        <v>0</v>
      </c>
      <c r="J4760" s="65" t="b">
        <v>0</v>
      </c>
      <c r="K4760" s="63" t="s">
        <v>983</v>
      </c>
      <c r="L4760" s="63" t="s">
        <v>9687</v>
      </c>
      <c r="M4760" s="63" t="s">
        <v>9688</v>
      </c>
      <c r="N4760" s="63" t="s">
        <v>1719</v>
      </c>
    </row>
    <row r="4761" spans="1:14" x14ac:dyDescent="0.2">
      <c r="A4761" s="51">
        <v>4760</v>
      </c>
      <c r="G4761" s="65" t="b">
        <v>0</v>
      </c>
      <c r="H4761" s="65" t="b">
        <v>0</v>
      </c>
      <c r="I4761" s="65" t="b">
        <v>0</v>
      </c>
      <c r="J4761" s="65" t="b">
        <v>0</v>
      </c>
      <c r="K4761" s="63" t="s">
        <v>983</v>
      </c>
      <c r="L4761" s="63" t="s">
        <v>9687</v>
      </c>
      <c r="M4761" s="63" t="s">
        <v>9711</v>
      </c>
      <c r="N4761" s="63" t="s">
        <v>1719</v>
      </c>
    </row>
    <row r="4762" spans="1:14" x14ac:dyDescent="0.2">
      <c r="A4762" s="51">
        <v>4761</v>
      </c>
      <c r="G4762" s="65" t="b">
        <v>0</v>
      </c>
      <c r="H4762" s="65" t="b">
        <v>0</v>
      </c>
      <c r="I4762" s="65" t="b">
        <v>0</v>
      </c>
      <c r="J4762" s="65" t="b">
        <v>0</v>
      </c>
      <c r="K4762" s="63" t="s">
        <v>983</v>
      </c>
      <c r="L4762" s="63" t="s">
        <v>9687</v>
      </c>
      <c r="M4762" s="63" t="s">
        <v>9712</v>
      </c>
      <c r="N4762" s="63" t="s">
        <v>1719</v>
      </c>
    </row>
    <row r="4763" spans="1:14" x14ac:dyDescent="0.2">
      <c r="A4763" s="51">
        <v>4762</v>
      </c>
      <c r="G4763" s="65" t="b">
        <v>0</v>
      </c>
      <c r="H4763" s="65" t="b">
        <v>0</v>
      </c>
      <c r="I4763" s="65" t="b">
        <v>0</v>
      </c>
      <c r="J4763" s="65" t="b">
        <v>0</v>
      </c>
      <c r="K4763" s="63" t="s">
        <v>983</v>
      </c>
      <c r="L4763" s="63" t="s">
        <v>9687</v>
      </c>
      <c r="M4763" s="63" t="s">
        <v>9713</v>
      </c>
      <c r="N4763" s="63" t="s">
        <v>1719</v>
      </c>
    </row>
    <row r="4764" spans="1:14" x14ac:dyDescent="0.2">
      <c r="A4764" s="51">
        <v>4763</v>
      </c>
      <c r="G4764" s="65" t="b">
        <v>0</v>
      </c>
      <c r="H4764" s="65" t="b">
        <v>0</v>
      </c>
      <c r="I4764" s="65" t="b">
        <v>0</v>
      </c>
      <c r="J4764" s="65" t="b">
        <v>0</v>
      </c>
      <c r="K4764" s="63" t="s">
        <v>983</v>
      </c>
      <c r="L4764" s="63" t="s">
        <v>9687</v>
      </c>
      <c r="M4764" s="63" t="s">
        <v>9740</v>
      </c>
      <c r="N4764" s="63" t="s">
        <v>1719</v>
      </c>
    </row>
    <row r="4765" spans="1:14" x14ac:dyDescent="0.2">
      <c r="A4765" s="51">
        <v>4764</v>
      </c>
      <c r="B4765" s="54" t="s">
        <v>983</v>
      </c>
      <c r="C4765" s="47" t="s">
        <v>9675</v>
      </c>
      <c r="D4765" s="47" t="s">
        <v>9184</v>
      </c>
      <c r="E4765" s="47" t="s">
        <v>1719</v>
      </c>
      <c r="F4765" s="55" t="b">
        <v>1</v>
      </c>
      <c r="G4765" s="54" t="b">
        <v>1</v>
      </c>
      <c r="H4765" s="54" t="b">
        <v>1</v>
      </c>
      <c r="I4765" s="65" t="b">
        <v>0</v>
      </c>
      <c r="J4765" s="54" t="b">
        <v>1</v>
      </c>
      <c r="K4765" s="63" t="s">
        <v>983</v>
      </c>
      <c r="L4765" s="63" t="s">
        <v>9675</v>
      </c>
      <c r="M4765" s="63" t="s">
        <v>2732</v>
      </c>
      <c r="N4765" s="63" t="s">
        <v>1719</v>
      </c>
    </row>
    <row r="4766" spans="1:14" x14ac:dyDescent="0.2">
      <c r="A4766" s="51">
        <v>4765</v>
      </c>
      <c r="G4766" s="65" t="b">
        <v>0</v>
      </c>
      <c r="H4766" s="65" t="b">
        <v>0</v>
      </c>
      <c r="I4766" s="65" t="b">
        <v>0</v>
      </c>
      <c r="J4766" s="65" t="b">
        <v>0</v>
      </c>
      <c r="K4766" s="63" t="s">
        <v>983</v>
      </c>
      <c r="L4766" s="63" t="s">
        <v>9675</v>
      </c>
      <c r="M4766" s="63" t="s">
        <v>9714</v>
      </c>
      <c r="N4766" s="63" t="s">
        <v>1719</v>
      </c>
    </row>
    <row r="4767" spans="1:14" x14ac:dyDescent="0.2">
      <c r="A4767" s="51">
        <v>4766</v>
      </c>
      <c r="G4767" s="65" t="b">
        <v>0</v>
      </c>
      <c r="H4767" s="65" t="b">
        <v>0</v>
      </c>
      <c r="I4767" s="65" t="b">
        <v>0</v>
      </c>
      <c r="J4767" s="65" t="b">
        <v>0</v>
      </c>
      <c r="K4767" s="63" t="s">
        <v>983</v>
      </c>
      <c r="L4767" s="63" t="s">
        <v>9675</v>
      </c>
      <c r="M4767" s="63" t="s">
        <v>9715</v>
      </c>
      <c r="N4767" s="63" t="s">
        <v>1719</v>
      </c>
    </row>
    <row r="4768" spans="1:14" x14ac:dyDescent="0.2">
      <c r="A4768" s="51">
        <v>4767</v>
      </c>
      <c r="G4768" s="65" t="b">
        <v>0</v>
      </c>
      <c r="H4768" s="65" t="b">
        <v>0</v>
      </c>
      <c r="I4768" s="65" t="b">
        <v>0</v>
      </c>
      <c r="J4768" s="65" t="b">
        <v>0</v>
      </c>
      <c r="K4768" s="63" t="s">
        <v>983</v>
      </c>
      <c r="L4768" s="63" t="s">
        <v>9675</v>
      </c>
      <c r="M4768" s="63" t="s">
        <v>9719</v>
      </c>
      <c r="N4768" s="63" t="s">
        <v>1719</v>
      </c>
    </row>
    <row r="4769" spans="1:14" x14ac:dyDescent="0.2">
      <c r="A4769" s="51">
        <v>4768</v>
      </c>
      <c r="G4769" s="65" t="b">
        <v>0</v>
      </c>
      <c r="H4769" s="65" t="b">
        <v>0</v>
      </c>
      <c r="I4769" s="65" t="b">
        <v>0</v>
      </c>
      <c r="J4769" s="65" t="b">
        <v>0</v>
      </c>
      <c r="K4769" s="63" t="s">
        <v>983</v>
      </c>
      <c r="L4769" s="63" t="s">
        <v>9675</v>
      </c>
      <c r="M4769" s="63" t="s">
        <v>9724</v>
      </c>
      <c r="N4769" s="63" t="s">
        <v>1719</v>
      </c>
    </row>
    <row r="4770" spans="1:14" x14ac:dyDescent="0.2">
      <c r="A4770" s="51">
        <v>4769</v>
      </c>
      <c r="G4770" s="65" t="b">
        <v>0</v>
      </c>
      <c r="H4770" s="65" t="b">
        <v>0</v>
      </c>
      <c r="I4770" s="65" t="b">
        <v>0</v>
      </c>
      <c r="J4770" s="65" t="b">
        <v>0</v>
      </c>
      <c r="K4770" s="63" t="s">
        <v>983</v>
      </c>
      <c r="L4770" s="63" t="s">
        <v>9675</v>
      </c>
      <c r="M4770" s="63" t="s">
        <v>9726</v>
      </c>
      <c r="N4770" s="63" t="s">
        <v>1719</v>
      </c>
    </row>
    <row r="4771" spans="1:14" x14ac:dyDescent="0.2">
      <c r="A4771" s="51">
        <v>4770</v>
      </c>
      <c r="G4771" s="65" t="b">
        <v>0</v>
      </c>
      <c r="H4771" s="65" t="b">
        <v>0</v>
      </c>
      <c r="I4771" s="65" t="b">
        <v>0</v>
      </c>
      <c r="J4771" s="65" t="b">
        <v>0</v>
      </c>
      <c r="K4771" s="63" t="s">
        <v>983</v>
      </c>
      <c r="L4771" s="63" t="s">
        <v>9675</v>
      </c>
      <c r="M4771" s="63" t="s">
        <v>9676</v>
      </c>
      <c r="N4771" s="63" t="s">
        <v>1719</v>
      </c>
    </row>
    <row r="4772" spans="1:14" x14ac:dyDescent="0.2">
      <c r="A4772" s="51">
        <v>4771</v>
      </c>
      <c r="G4772" s="65" t="b">
        <v>0</v>
      </c>
      <c r="H4772" s="65" t="b">
        <v>0</v>
      </c>
      <c r="I4772" s="65" t="b">
        <v>0</v>
      </c>
      <c r="J4772" s="65" t="b">
        <v>0</v>
      </c>
      <c r="K4772" s="63" t="s">
        <v>983</v>
      </c>
      <c r="L4772" s="63" t="s">
        <v>9675</v>
      </c>
      <c r="M4772" s="63" t="s">
        <v>9731</v>
      </c>
      <c r="N4772" s="63" t="s">
        <v>1719</v>
      </c>
    </row>
    <row r="4773" spans="1:14" x14ac:dyDescent="0.2">
      <c r="A4773" s="51">
        <v>4772</v>
      </c>
      <c r="G4773" s="65" t="b">
        <v>0</v>
      </c>
      <c r="H4773" s="65" t="b">
        <v>0</v>
      </c>
      <c r="I4773" s="65" t="b">
        <v>0</v>
      </c>
      <c r="J4773" s="65" t="b">
        <v>0</v>
      </c>
      <c r="K4773" s="63" t="s">
        <v>983</v>
      </c>
      <c r="L4773" s="63" t="s">
        <v>9675</v>
      </c>
      <c r="M4773" s="63" t="s">
        <v>9745</v>
      </c>
      <c r="N4773" s="63" t="s">
        <v>1719</v>
      </c>
    </row>
    <row r="4774" spans="1:14" x14ac:dyDescent="0.2">
      <c r="A4774" s="51">
        <v>4773</v>
      </c>
      <c r="B4774" s="54" t="s">
        <v>983</v>
      </c>
      <c r="C4774" s="47" t="s">
        <v>9693</v>
      </c>
      <c r="D4774" s="47" t="s">
        <v>9737</v>
      </c>
      <c r="E4774" s="47" t="s">
        <v>1719</v>
      </c>
      <c r="F4774" s="55" t="b">
        <v>1</v>
      </c>
      <c r="G4774" s="54" t="b">
        <v>1</v>
      </c>
      <c r="H4774" s="54" t="b">
        <v>1</v>
      </c>
      <c r="I4774" s="54" t="b">
        <v>1</v>
      </c>
      <c r="J4774" s="54" t="b">
        <v>1</v>
      </c>
      <c r="K4774" s="63" t="s">
        <v>983</v>
      </c>
      <c r="L4774" s="63" t="s">
        <v>9693</v>
      </c>
      <c r="M4774" s="63" t="s">
        <v>9737</v>
      </c>
      <c r="N4774" s="63" t="s">
        <v>1719</v>
      </c>
    </row>
    <row r="4775" spans="1:14" x14ac:dyDescent="0.2">
      <c r="A4775" s="51">
        <v>4774</v>
      </c>
      <c r="G4775" s="65" t="b">
        <v>0</v>
      </c>
      <c r="H4775" s="65" t="b">
        <v>0</v>
      </c>
      <c r="I4775" s="65" t="b">
        <v>0</v>
      </c>
      <c r="J4775" s="65" t="b">
        <v>0</v>
      </c>
      <c r="K4775" s="63" t="s">
        <v>983</v>
      </c>
      <c r="L4775" s="63" t="s">
        <v>9693</v>
      </c>
      <c r="M4775" s="63" t="s">
        <v>9696</v>
      </c>
      <c r="N4775" s="63" t="s">
        <v>1719</v>
      </c>
    </row>
    <row r="4776" spans="1:14" x14ac:dyDescent="0.2">
      <c r="A4776" s="51">
        <v>4775</v>
      </c>
      <c r="G4776" s="65" t="b">
        <v>0</v>
      </c>
      <c r="H4776" s="65" t="b">
        <v>0</v>
      </c>
      <c r="I4776" s="65" t="b">
        <v>0</v>
      </c>
      <c r="J4776" s="65" t="b">
        <v>0</v>
      </c>
      <c r="K4776" s="63" t="s">
        <v>983</v>
      </c>
      <c r="L4776" s="63" t="s">
        <v>9693</v>
      </c>
      <c r="M4776" s="63" t="s">
        <v>9697</v>
      </c>
      <c r="N4776" s="63" t="s">
        <v>1719</v>
      </c>
    </row>
    <row r="4777" spans="1:14" x14ac:dyDescent="0.2">
      <c r="A4777" s="51">
        <v>4776</v>
      </c>
      <c r="G4777" s="65" t="b">
        <v>0</v>
      </c>
      <c r="H4777" s="65" t="b">
        <v>0</v>
      </c>
      <c r="I4777" s="65" t="b">
        <v>0</v>
      </c>
      <c r="J4777" s="65" t="b">
        <v>0</v>
      </c>
      <c r="K4777" s="63" t="s">
        <v>983</v>
      </c>
      <c r="L4777" s="63" t="s">
        <v>9693</v>
      </c>
      <c r="M4777" s="63" t="s">
        <v>9705</v>
      </c>
      <c r="N4777" s="63" t="s">
        <v>1719</v>
      </c>
    </row>
    <row r="4778" spans="1:14" x14ac:dyDescent="0.2">
      <c r="A4778" s="51">
        <v>4777</v>
      </c>
      <c r="G4778" s="65" t="b">
        <v>0</v>
      </c>
      <c r="H4778" s="65" t="b">
        <v>0</v>
      </c>
      <c r="I4778" s="65" t="b">
        <v>0</v>
      </c>
      <c r="J4778" s="65" t="b">
        <v>0</v>
      </c>
      <c r="K4778" s="63" t="s">
        <v>983</v>
      </c>
      <c r="L4778" s="63" t="s">
        <v>9693</v>
      </c>
      <c r="M4778" s="63" t="s">
        <v>9707</v>
      </c>
      <c r="N4778" s="63" t="s">
        <v>1719</v>
      </c>
    </row>
    <row r="4779" spans="1:14" x14ac:dyDescent="0.2">
      <c r="A4779" s="51">
        <v>4778</v>
      </c>
      <c r="G4779" s="65" t="b">
        <v>0</v>
      </c>
      <c r="H4779" s="65" t="b">
        <v>0</v>
      </c>
      <c r="I4779" s="65" t="b">
        <v>0</v>
      </c>
      <c r="J4779" s="65" t="b">
        <v>0</v>
      </c>
      <c r="K4779" s="63" t="s">
        <v>983</v>
      </c>
      <c r="L4779" s="63" t="s">
        <v>9693</v>
      </c>
      <c r="M4779" s="63" t="s">
        <v>9728</v>
      </c>
      <c r="N4779" s="63" t="s">
        <v>1719</v>
      </c>
    </row>
    <row r="4780" spans="1:14" x14ac:dyDescent="0.2">
      <c r="A4780" s="51">
        <v>4779</v>
      </c>
      <c r="G4780" s="65" t="b">
        <v>0</v>
      </c>
      <c r="H4780" s="65" t="b">
        <v>0</v>
      </c>
      <c r="I4780" s="65" t="b">
        <v>0</v>
      </c>
      <c r="J4780" s="65" t="b">
        <v>0</v>
      </c>
      <c r="K4780" s="63" t="s">
        <v>983</v>
      </c>
      <c r="L4780" s="63" t="s">
        <v>9693</v>
      </c>
      <c r="M4780" s="63" t="s">
        <v>9729</v>
      </c>
      <c r="N4780" s="63" t="s">
        <v>1719</v>
      </c>
    </row>
    <row r="4781" spans="1:14" x14ac:dyDescent="0.2">
      <c r="A4781" s="51">
        <v>4780</v>
      </c>
      <c r="G4781" s="65" t="b">
        <v>0</v>
      </c>
      <c r="H4781" s="65" t="b">
        <v>0</v>
      </c>
      <c r="I4781" s="65" t="b">
        <v>0</v>
      </c>
      <c r="J4781" s="65" t="b">
        <v>0</v>
      </c>
      <c r="K4781" s="63" t="s">
        <v>983</v>
      </c>
      <c r="L4781" s="63" t="s">
        <v>9693</v>
      </c>
      <c r="M4781" s="63" t="s">
        <v>9736</v>
      </c>
      <c r="N4781" s="63" t="s">
        <v>1719</v>
      </c>
    </row>
    <row r="4782" spans="1:14" x14ac:dyDescent="0.2">
      <c r="A4782" s="51">
        <v>4781</v>
      </c>
      <c r="G4782" s="65" t="b">
        <v>0</v>
      </c>
      <c r="H4782" s="65" t="b">
        <v>0</v>
      </c>
      <c r="I4782" s="65" t="b">
        <v>0</v>
      </c>
      <c r="J4782" s="65" t="b">
        <v>0</v>
      </c>
      <c r="K4782" s="63" t="s">
        <v>983</v>
      </c>
      <c r="L4782" s="63" t="s">
        <v>9693</v>
      </c>
      <c r="M4782" s="63" t="s">
        <v>9694</v>
      </c>
      <c r="N4782" s="63" t="s">
        <v>1719</v>
      </c>
    </row>
    <row r="4783" spans="1:14" x14ac:dyDescent="0.2">
      <c r="A4783" s="51">
        <v>4782</v>
      </c>
      <c r="G4783" s="65" t="b">
        <v>0</v>
      </c>
      <c r="H4783" s="65" t="b">
        <v>0</v>
      </c>
      <c r="I4783" s="65" t="b">
        <v>0</v>
      </c>
      <c r="J4783" s="65" t="b">
        <v>0</v>
      </c>
      <c r="K4783" s="63" t="s">
        <v>983</v>
      </c>
      <c r="L4783" s="63" t="s">
        <v>9693</v>
      </c>
      <c r="M4783" s="63" t="s">
        <v>9743</v>
      </c>
      <c r="N4783" s="63" t="s">
        <v>1719</v>
      </c>
    </row>
    <row r="4784" spans="1:14" x14ac:dyDescent="0.2">
      <c r="A4784" s="51">
        <v>4783</v>
      </c>
      <c r="B4784" s="54" t="s">
        <v>987</v>
      </c>
      <c r="C4784" s="47" t="s">
        <v>9754</v>
      </c>
      <c r="D4784" s="47" t="s">
        <v>13654</v>
      </c>
      <c r="E4784" s="47" t="s">
        <v>2113</v>
      </c>
      <c r="F4784" s="55" t="b">
        <v>1</v>
      </c>
      <c r="G4784" s="54" t="b">
        <v>1</v>
      </c>
      <c r="H4784" s="54" t="b">
        <v>1</v>
      </c>
      <c r="I4784" s="65" t="b">
        <v>0</v>
      </c>
      <c r="J4784" s="54" t="b">
        <v>1</v>
      </c>
      <c r="K4784" s="63" t="s">
        <v>987</v>
      </c>
      <c r="L4784" s="63" t="s">
        <v>9754</v>
      </c>
      <c r="M4784" s="63" t="s">
        <v>9755</v>
      </c>
      <c r="N4784" s="63" t="s">
        <v>2113</v>
      </c>
    </row>
    <row r="4785" spans="1:14" x14ac:dyDescent="0.2">
      <c r="A4785" s="51">
        <v>4784</v>
      </c>
      <c r="B4785" s="54" t="s">
        <v>987</v>
      </c>
      <c r="C4785" s="47" t="s">
        <v>9762</v>
      </c>
      <c r="D4785" s="47" t="s">
        <v>13655</v>
      </c>
      <c r="E4785" s="47" t="s">
        <v>2113</v>
      </c>
      <c r="F4785" s="55" t="b">
        <v>1</v>
      </c>
      <c r="G4785" s="54" t="b">
        <v>1</v>
      </c>
      <c r="H4785" s="54" t="b">
        <v>1</v>
      </c>
      <c r="I4785" s="65" t="b">
        <v>0</v>
      </c>
      <c r="J4785" s="54" t="b">
        <v>1</v>
      </c>
      <c r="K4785" s="63" t="s">
        <v>987</v>
      </c>
      <c r="L4785" s="63" t="s">
        <v>9762</v>
      </c>
      <c r="M4785" s="63" t="s">
        <v>9763</v>
      </c>
      <c r="N4785" s="63" t="s">
        <v>2113</v>
      </c>
    </row>
    <row r="4786" spans="1:14" x14ac:dyDescent="0.2">
      <c r="A4786" s="51">
        <v>4785</v>
      </c>
      <c r="B4786" s="54" t="s">
        <v>987</v>
      </c>
      <c r="C4786" s="47" t="s">
        <v>9746</v>
      </c>
      <c r="D4786" s="47" t="s">
        <v>9747</v>
      </c>
      <c r="E4786" s="47" t="s">
        <v>2113</v>
      </c>
      <c r="F4786" s="55" t="b">
        <v>1</v>
      </c>
      <c r="G4786" s="54" t="b">
        <v>1</v>
      </c>
      <c r="H4786" s="54" t="b">
        <v>1</v>
      </c>
      <c r="I4786" s="54" t="b">
        <v>1</v>
      </c>
      <c r="J4786" s="54" t="b">
        <v>1</v>
      </c>
      <c r="K4786" s="63" t="s">
        <v>987</v>
      </c>
      <c r="L4786" s="63" t="s">
        <v>9746</v>
      </c>
      <c r="M4786" s="63" t="s">
        <v>9747</v>
      </c>
      <c r="N4786" s="63" t="s">
        <v>2113</v>
      </c>
    </row>
    <row r="4787" spans="1:14" x14ac:dyDescent="0.2">
      <c r="A4787" s="51">
        <v>4786</v>
      </c>
      <c r="B4787" s="54" t="s">
        <v>987</v>
      </c>
      <c r="C4787" s="47" t="s">
        <v>9748</v>
      </c>
      <c r="D4787" s="47" t="s">
        <v>9749</v>
      </c>
      <c r="E4787" s="47" t="s">
        <v>2113</v>
      </c>
      <c r="F4787" s="55" t="b">
        <v>1</v>
      </c>
      <c r="G4787" s="54" t="b">
        <v>1</v>
      </c>
      <c r="H4787" s="54" t="b">
        <v>1</v>
      </c>
      <c r="I4787" s="54" t="b">
        <v>1</v>
      </c>
      <c r="J4787" s="54" t="b">
        <v>1</v>
      </c>
      <c r="K4787" s="63" t="s">
        <v>987</v>
      </c>
      <c r="L4787" s="63" t="s">
        <v>9748</v>
      </c>
      <c r="M4787" s="63" t="s">
        <v>9749</v>
      </c>
      <c r="N4787" s="63" t="s">
        <v>2113</v>
      </c>
    </row>
    <row r="4788" spans="1:14" x14ac:dyDescent="0.2">
      <c r="A4788" s="51">
        <v>4787</v>
      </c>
      <c r="B4788" s="54" t="s">
        <v>987</v>
      </c>
      <c r="C4788" s="47" t="s">
        <v>9764</v>
      </c>
      <c r="D4788" s="47" t="s">
        <v>9765</v>
      </c>
      <c r="E4788" s="47" t="s">
        <v>2113</v>
      </c>
      <c r="F4788" s="55" t="b">
        <v>1</v>
      </c>
      <c r="G4788" s="54" t="b">
        <v>1</v>
      </c>
      <c r="H4788" s="54" t="b">
        <v>1</v>
      </c>
      <c r="I4788" s="54" t="b">
        <v>1</v>
      </c>
      <c r="J4788" s="54" t="b">
        <v>1</v>
      </c>
      <c r="K4788" s="63" t="s">
        <v>987</v>
      </c>
      <c r="L4788" s="63" t="s">
        <v>9764</v>
      </c>
      <c r="M4788" s="63" t="s">
        <v>9765</v>
      </c>
      <c r="N4788" s="63" t="s">
        <v>2113</v>
      </c>
    </row>
    <row r="4789" spans="1:14" x14ac:dyDescent="0.2">
      <c r="A4789" s="51">
        <v>4788</v>
      </c>
      <c r="B4789" s="54" t="s">
        <v>987</v>
      </c>
      <c r="C4789" s="47" t="s">
        <v>9750</v>
      </c>
      <c r="D4789" s="47" t="s">
        <v>9751</v>
      </c>
      <c r="E4789" s="47" t="s">
        <v>2113</v>
      </c>
      <c r="F4789" s="55" t="b">
        <v>1</v>
      </c>
      <c r="G4789" s="54" t="b">
        <v>1</v>
      </c>
      <c r="H4789" s="54" t="b">
        <v>1</v>
      </c>
      <c r="I4789" s="54" t="b">
        <v>1</v>
      </c>
      <c r="J4789" s="54" t="b">
        <v>1</v>
      </c>
      <c r="K4789" s="63" t="s">
        <v>987</v>
      </c>
      <c r="L4789" s="63" t="s">
        <v>9750</v>
      </c>
      <c r="M4789" s="63" t="s">
        <v>9751</v>
      </c>
      <c r="N4789" s="63" t="s">
        <v>2113</v>
      </c>
    </row>
    <row r="4790" spans="1:14" x14ac:dyDescent="0.2">
      <c r="A4790" s="51">
        <v>4789</v>
      </c>
      <c r="B4790" s="54" t="s">
        <v>987</v>
      </c>
      <c r="C4790" s="47" t="s">
        <v>9752</v>
      </c>
      <c r="D4790" s="47" t="s">
        <v>9753</v>
      </c>
      <c r="E4790" s="47" t="s">
        <v>2113</v>
      </c>
      <c r="F4790" s="55" t="b">
        <v>1</v>
      </c>
      <c r="G4790" s="54" t="b">
        <v>1</v>
      </c>
      <c r="H4790" s="54" t="b">
        <v>1</v>
      </c>
      <c r="I4790" s="54" t="b">
        <v>1</v>
      </c>
      <c r="J4790" s="54" t="b">
        <v>1</v>
      </c>
      <c r="K4790" s="63" t="s">
        <v>987</v>
      </c>
      <c r="L4790" s="63" t="s">
        <v>9752</v>
      </c>
      <c r="M4790" s="63" t="s">
        <v>9753</v>
      </c>
      <c r="N4790" s="63" t="s">
        <v>2113</v>
      </c>
    </row>
    <row r="4791" spans="1:14" x14ac:dyDescent="0.2">
      <c r="A4791" s="51">
        <v>4790</v>
      </c>
      <c r="B4791" s="54" t="s">
        <v>987</v>
      </c>
      <c r="C4791" s="47" t="s">
        <v>9758</v>
      </c>
      <c r="D4791" s="47" t="s">
        <v>9759</v>
      </c>
      <c r="E4791" s="47" t="s">
        <v>2113</v>
      </c>
      <c r="F4791" s="55" t="b">
        <v>1</v>
      </c>
      <c r="G4791" s="54" t="b">
        <v>1</v>
      </c>
      <c r="H4791" s="54" t="b">
        <v>1</v>
      </c>
      <c r="I4791" s="54" t="b">
        <v>1</v>
      </c>
      <c r="J4791" s="54" t="b">
        <v>1</v>
      </c>
      <c r="K4791" s="63" t="s">
        <v>987</v>
      </c>
      <c r="L4791" s="63" t="s">
        <v>9758</v>
      </c>
      <c r="M4791" s="63" t="s">
        <v>9759</v>
      </c>
      <c r="N4791" s="63" t="s">
        <v>2113</v>
      </c>
    </row>
    <row r="4792" spans="1:14" x14ac:dyDescent="0.2">
      <c r="A4792" s="51">
        <v>4791</v>
      </c>
      <c r="B4792" s="54" t="s">
        <v>987</v>
      </c>
      <c r="C4792" s="47" t="s">
        <v>9756</v>
      </c>
      <c r="D4792" s="47" t="s">
        <v>9757</v>
      </c>
      <c r="E4792" s="47" t="s">
        <v>2113</v>
      </c>
      <c r="F4792" s="55" t="b">
        <v>1</v>
      </c>
      <c r="G4792" s="54" t="b">
        <v>1</v>
      </c>
      <c r="H4792" s="54" t="b">
        <v>1</v>
      </c>
      <c r="I4792" s="54" t="b">
        <v>1</v>
      </c>
      <c r="J4792" s="54" t="b">
        <v>1</v>
      </c>
      <c r="K4792" s="63" t="s">
        <v>987</v>
      </c>
      <c r="L4792" s="63" t="s">
        <v>9756</v>
      </c>
      <c r="M4792" s="63" t="s">
        <v>9757</v>
      </c>
      <c r="N4792" s="63" t="s">
        <v>2113</v>
      </c>
    </row>
    <row r="4793" spans="1:14" x14ac:dyDescent="0.2">
      <c r="A4793" s="51">
        <v>4792</v>
      </c>
      <c r="B4793" s="54" t="s">
        <v>987</v>
      </c>
      <c r="C4793" s="47" t="s">
        <v>9760</v>
      </c>
      <c r="D4793" s="47" t="s">
        <v>9761</v>
      </c>
      <c r="E4793" s="47" t="s">
        <v>2113</v>
      </c>
      <c r="F4793" s="55" t="b">
        <v>1</v>
      </c>
      <c r="G4793" s="54" t="b">
        <v>1</v>
      </c>
      <c r="H4793" s="54" t="b">
        <v>1</v>
      </c>
      <c r="I4793" s="54" t="b">
        <v>1</v>
      </c>
      <c r="J4793" s="54" t="b">
        <v>1</v>
      </c>
      <c r="K4793" s="63" t="s">
        <v>987</v>
      </c>
      <c r="L4793" s="63" t="s">
        <v>9760</v>
      </c>
      <c r="M4793" s="63" t="s">
        <v>9761</v>
      </c>
      <c r="N4793" s="63" t="s">
        <v>2113</v>
      </c>
    </row>
    <row r="4794" spans="1:14" x14ac:dyDescent="0.2">
      <c r="A4794" s="51">
        <v>4793</v>
      </c>
      <c r="B4794" s="54" t="s">
        <v>989</v>
      </c>
      <c r="C4794" s="47" t="s">
        <v>9768</v>
      </c>
      <c r="D4794" s="47" t="s">
        <v>9772</v>
      </c>
      <c r="E4794" s="48" t="s">
        <v>1719</v>
      </c>
      <c r="F4794" s="66" t="b">
        <v>0</v>
      </c>
      <c r="G4794" s="54" t="b">
        <v>1</v>
      </c>
      <c r="H4794" s="54" t="b">
        <v>1</v>
      </c>
      <c r="I4794" s="65" t="b">
        <v>0</v>
      </c>
      <c r="J4794" s="54" t="b">
        <v>1</v>
      </c>
      <c r="K4794" s="63" t="s">
        <v>989</v>
      </c>
      <c r="L4794" s="63" t="s">
        <v>9768</v>
      </c>
      <c r="M4794" s="63" t="s">
        <v>9769</v>
      </c>
      <c r="N4794" s="63" t="s">
        <v>1719</v>
      </c>
    </row>
    <row r="4795" spans="1:14" x14ac:dyDescent="0.2">
      <c r="A4795" s="51">
        <v>4794</v>
      </c>
      <c r="E4795" s="48"/>
      <c r="G4795" s="65" t="b">
        <v>0</v>
      </c>
      <c r="H4795" s="65" t="b">
        <v>0</v>
      </c>
      <c r="I4795" s="65" t="b">
        <v>0</v>
      </c>
      <c r="J4795" s="65" t="b">
        <v>0</v>
      </c>
      <c r="K4795" s="63" t="s">
        <v>989</v>
      </c>
      <c r="L4795" s="63" t="s">
        <v>9768</v>
      </c>
      <c r="M4795" s="63" t="s">
        <v>9772</v>
      </c>
      <c r="N4795" s="63" t="s">
        <v>1719</v>
      </c>
    </row>
    <row r="4796" spans="1:14" x14ac:dyDescent="0.2">
      <c r="A4796" s="51">
        <v>4795</v>
      </c>
      <c r="B4796" s="54" t="s">
        <v>989</v>
      </c>
      <c r="C4796" s="47" t="s">
        <v>9770</v>
      </c>
      <c r="D4796" s="47" t="s">
        <v>9771</v>
      </c>
      <c r="E4796" s="48" t="s">
        <v>1719</v>
      </c>
      <c r="F4796" s="66" t="b">
        <v>0</v>
      </c>
      <c r="G4796" s="54" t="b">
        <v>1</v>
      </c>
      <c r="H4796" s="54" t="b">
        <v>1</v>
      </c>
      <c r="I4796" s="54" t="b">
        <v>1</v>
      </c>
      <c r="J4796" s="54" t="b">
        <v>1</v>
      </c>
      <c r="K4796" s="63" t="s">
        <v>989</v>
      </c>
      <c r="L4796" s="63" t="s">
        <v>9770</v>
      </c>
      <c r="M4796" s="63" t="s">
        <v>9771</v>
      </c>
      <c r="N4796" s="63" t="s">
        <v>1719</v>
      </c>
    </row>
    <row r="4797" spans="1:14" x14ac:dyDescent="0.2">
      <c r="A4797" s="51">
        <v>4796</v>
      </c>
      <c r="B4797" s="54" t="s">
        <v>989</v>
      </c>
      <c r="C4797" s="47" t="s">
        <v>9773</v>
      </c>
      <c r="D4797" s="47" t="s">
        <v>9774</v>
      </c>
      <c r="E4797" s="48" t="s">
        <v>1719</v>
      </c>
      <c r="F4797" s="66" t="b">
        <v>0</v>
      </c>
      <c r="G4797" s="54" t="b">
        <v>1</v>
      </c>
      <c r="H4797" s="54" t="b">
        <v>1</v>
      </c>
      <c r="I4797" s="54" t="b">
        <v>1</v>
      </c>
      <c r="J4797" s="54" t="b">
        <v>1</v>
      </c>
      <c r="K4797" s="63" t="s">
        <v>989</v>
      </c>
      <c r="L4797" s="63" t="s">
        <v>9773</v>
      </c>
      <c r="M4797" s="63" t="s">
        <v>9774</v>
      </c>
      <c r="N4797" s="63" t="s">
        <v>1719</v>
      </c>
    </row>
    <row r="4798" spans="1:14" x14ac:dyDescent="0.2">
      <c r="A4798" s="51">
        <v>4797</v>
      </c>
      <c r="B4798" s="54" t="s">
        <v>989</v>
      </c>
      <c r="C4798" s="47" t="s">
        <v>9775</v>
      </c>
      <c r="D4798" s="47" t="s">
        <v>13656</v>
      </c>
      <c r="E4798" s="47" t="s">
        <v>9777</v>
      </c>
      <c r="F4798" s="55" t="b">
        <v>1</v>
      </c>
      <c r="G4798" s="54" t="b">
        <v>1</v>
      </c>
      <c r="H4798" s="54" t="b">
        <v>1</v>
      </c>
      <c r="I4798" s="65" t="b">
        <v>0</v>
      </c>
      <c r="J4798" s="54" t="b">
        <v>1</v>
      </c>
      <c r="K4798" s="63" t="s">
        <v>989</v>
      </c>
      <c r="L4798" s="63" t="s">
        <v>9775</v>
      </c>
      <c r="M4798" s="63" t="s">
        <v>9776</v>
      </c>
      <c r="N4798" s="63" t="s">
        <v>9777</v>
      </c>
    </row>
    <row r="4799" spans="1:14" x14ac:dyDescent="0.2">
      <c r="A4799" s="51">
        <v>4798</v>
      </c>
      <c r="B4799" s="54" t="s">
        <v>989</v>
      </c>
      <c r="C4799" s="47" t="s">
        <v>9780</v>
      </c>
      <c r="D4799" s="47" t="s">
        <v>13657</v>
      </c>
      <c r="E4799" s="47" t="s">
        <v>9777</v>
      </c>
      <c r="F4799" s="55" t="b">
        <v>1</v>
      </c>
      <c r="G4799" s="54" t="b">
        <v>1</v>
      </c>
      <c r="H4799" s="54" t="b">
        <v>1</v>
      </c>
      <c r="I4799" s="65" t="b">
        <v>0</v>
      </c>
      <c r="J4799" s="54" t="b">
        <v>1</v>
      </c>
      <c r="K4799" s="63" t="s">
        <v>989</v>
      </c>
      <c r="L4799" s="63" t="s">
        <v>9780</v>
      </c>
      <c r="M4799" s="63" t="s">
        <v>9781</v>
      </c>
      <c r="N4799" s="63" t="s">
        <v>9777</v>
      </c>
    </row>
    <row r="4800" spans="1:14" x14ac:dyDescent="0.2">
      <c r="A4800" s="51">
        <v>4799</v>
      </c>
      <c r="B4800" s="54" t="s">
        <v>989</v>
      </c>
      <c r="C4800" s="47" t="s">
        <v>9784</v>
      </c>
      <c r="D4800" s="47" t="s">
        <v>9783</v>
      </c>
      <c r="E4800" s="47" t="s">
        <v>9777</v>
      </c>
      <c r="F4800" s="55" t="b">
        <v>1</v>
      </c>
      <c r="G4800" s="54" t="b">
        <v>1</v>
      </c>
      <c r="H4800" s="54" t="b">
        <v>1</v>
      </c>
      <c r="I4800" s="65" t="b">
        <v>0</v>
      </c>
      <c r="J4800" s="54" t="b">
        <v>1</v>
      </c>
      <c r="K4800" s="63" t="s">
        <v>989</v>
      </c>
      <c r="L4800" s="63" t="s">
        <v>9784</v>
      </c>
      <c r="M4800" s="63" t="s">
        <v>9785</v>
      </c>
      <c r="N4800" s="63" t="s">
        <v>9777</v>
      </c>
    </row>
    <row r="4801" spans="1:14" x14ac:dyDescent="0.2">
      <c r="A4801" s="51">
        <v>4800</v>
      </c>
      <c r="B4801" s="54" t="s">
        <v>989</v>
      </c>
      <c r="C4801" s="47" t="s">
        <v>9919</v>
      </c>
      <c r="D4801" s="47" t="s">
        <v>9920</v>
      </c>
      <c r="E4801" s="48" t="s">
        <v>1719</v>
      </c>
      <c r="F4801" s="66" t="b">
        <v>0</v>
      </c>
      <c r="G4801" s="54" t="b">
        <v>1</v>
      </c>
      <c r="H4801" s="54" t="b">
        <v>1</v>
      </c>
      <c r="I4801" s="54" t="b">
        <v>1</v>
      </c>
      <c r="J4801" s="54" t="b">
        <v>1</v>
      </c>
      <c r="K4801" s="63" t="s">
        <v>989</v>
      </c>
      <c r="L4801" s="63" t="s">
        <v>9919</v>
      </c>
      <c r="M4801" s="63" t="s">
        <v>9920</v>
      </c>
      <c r="N4801" s="63" t="s">
        <v>1719</v>
      </c>
    </row>
    <row r="4802" spans="1:14" x14ac:dyDescent="0.2">
      <c r="A4802" s="51">
        <v>4801</v>
      </c>
      <c r="B4802" s="54" t="s">
        <v>989</v>
      </c>
      <c r="C4802" s="47" t="s">
        <v>9790</v>
      </c>
      <c r="D4802" s="47" t="s">
        <v>9791</v>
      </c>
      <c r="E4802" s="48" t="s">
        <v>1719</v>
      </c>
      <c r="F4802" s="66" t="b">
        <v>0</v>
      </c>
      <c r="G4802" s="54" t="b">
        <v>1</v>
      </c>
      <c r="H4802" s="54" t="b">
        <v>1</v>
      </c>
      <c r="I4802" s="54" t="b">
        <v>1</v>
      </c>
      <c r="J4802" s="54" t="b">
        <v>1</v>
      </c>
      <c r="K4802" s="63" t="s">
        <v>989</v>
      </c>
      <c r="L4802" s="63" t="s">
        <v>9790</v>
      </c>
      <c r="M4802" s="63" t="s">
        <v>9791</v>
      </c>
      <c r="N4802" s="63" t="s">
        <v>1719</v>
      </c>
    </row>
    <row r="4803" spans="1:14" x14ac:dyDescent="0.2">
      <c r="A4803" s="51">
        <v>4802</v>
      </c>
      <c r="E4803" s="48"/>
      <c r="G4803" s="65" t="b">
        <v>0</v>
      </c>
      <c r="H4803" s="65" t="b">
        <v>0</v>
      </c>
      <c r="I4803" s="65" t="b">
        <v>0</v>
      </c>
      <c r="J4803" s="65" t="b">
        <v>0</v>
      </c>
      <c r="K4803" s="63" t="s">
        <v>989</v>
      </c>
      <c r="L4803" s="63" t="s">
        <v>9790</v>
      </c>
      <c r="M4803" s="63" t="s">
        <v>9907</v>
      </c>
      <c r="N4803" s="63" t="s">
        <v>1719</v>
      </c>
    </row>
    <row r="4804" spans="1:14" x14ac:dyDescent="0.2">
      <c r="A4804" s="51">
        <v>4803</v>
      </c>
      <c r="B4804" s="54" t="s">
        <v>989</v>
      </c>
      <c r="C4804" s="47" t="s">
        <v>9786</v>
      </c>
      <c r="D4804" s="47" t="s">
        <v>9787</v>
      </c>
      <c r="E4804" s="48" t="s">
        <v>1719</v>
      </c>
      <c r="F4804" s="66" t="b">
        <v>0</v>
      </c>
      <c r="G4804" s="54" t="b">
        <v>1</v>
      </c>
      <c r="H4804" s="54" t="b">
        <v>1</v>
      </c>
      <c r="I4804" s="54" t="b">
        <v>1</v>
      </c>
      <c r="J4804" s="54" t="b">
        <v>1</v>
      </c>
      <c r="K4804" s="63" t="s">
        <v>989</v>
      </c>
      <c r="L4804" s="63" t="s">
        <v>9786</v>
      </c>
      <c r="M4804" s="63" t="s">
        <v>9787</v>
      </c>
      <c r="N4804" s="63" t="s">
        <v>1719</v>
      </c>
    </row>
    <row r="4805" spans="1:14" x14ac:dyDescent="0.2">
      <c r="A4805" s="51">
        <v>4804</v>
      </c>
      <c r="B4805" s="54" t="s">
        <v>989</v>
      </c>
      <c r="C4805" s="47" t="s">
        <v>9792</v>
      </c>
      <c r="D4805" s="47" t="s">
        <v>9901</v>
      </c>
      <c r="E4805" s="48" t="s">
        <v>1719</v>
      </c>
      <c r="F4805" s="66" t="b">
        <v>0</v>
      </c>
      <c r="G4805" s="54" t="b">
        <v>1</v>
      </c>
      <c r="H4805" s="54" t="b">
        <v>1</v>
      </c>
      <c r="I4805" s="65" t="b">
        <v>0</v>
      </c>
      <c r="J4805" s="54" t="b">
        <v>1</v>
      </c>
      <c r="K4805" s="63" t="s">
        <v>989</v>
      </c>
      <c r="L4805" s="63" t="s">
        <v>9792</v>
      </c>
      <c r="M4805" s="63" t="s">
        <v>9793</v>
      </c>
      <c r="N4805" s="63" t="s">
        <v>1719</v>
      </c>
    </row>
    <row r="4806" spans="1:14" x14ac:dyDescent="0.2">
      <c r="A4806" s="51">
        <v>4805</v>
      </c>
      <c r="E4806" s="48"/>
      <c r="G4806" s="65" t="b">
        <v>0</v>
      </c>
      <c r="H4806" s="65" t="b">
        <v>0</v>
      </c>
      <c r="I4806" s="65" t="b">
        <v>0</v>
      </c>
      <c r="J4806" s="65" t="b">
        <v>0</v>
      </c>
      <c r="K4806" s="63" t="s">
        <v>989</v>
      </c>
      <c r="L4806" s="63" t="s">
        <v>9792</v>
      </c>
      <c r="M4806" s="63" t="s">
        <v>9901</v>
      </c>
      <c r="N4806" s="63" t="s">
        <v>1719</v>
      </c>
    </row>
    <row r="4807" spans="1:14" x14ac:dyDescent="0.2">
      <c r="A4807" s="51">
        <v>4806</v>
      </c>
      <c r="B4807" s="54" t="s">
        <v>989</v>
      </c>
      <c r="C4807" s="47" t="s">
        <v>9794</v>
      </c>
      <c r="D4807" s="47" t="s">
        <v>9795</v>
      </c>
      <c r="E4807" s="48" t="s">
        <v>1719</v>
      </c>
      <c r="F4807" s="66" t="b">
        <v>0</v>
      </c>
      <c r="G4807" s="54" t="b">
        <v>1</v>
      </c>
      <c r="H4807" s="54" t="b">
        <v>1</v>
      </c>
      <c r="I4807" s="54" t="b">
        <v>1</v>
      </c>
      <c r="J4807" s="54" t="b">
        <v>1</v>
      </c>
      <c r="K4807" s="63" t="s">
        <v>989</v>
      </c>
      <c r="L4807" s="63" t="s">
        <v>9794</v>
      </c>
      <c r="M4807" s="63" t="s">
        <v>9795</v>
      </c>
      <c r="N4807" s="63" t="s">
        <v>1719</v>
      </c>
    </row>
    <row r="4808" spans="1:14" x14ac:dyDescent="0.2">
      <c r="A4808" s="51">
        <v>4807</v>
      </c>
      <c r="B4808" s="54" t="s">
        <v>989</v>
      </c>
      <c r="C4808" s="47" t="s">
        <v>9766</v>
      </c>
      <c r="D4808" s="47" t="s">
        <v>9767</v>
      </c>
      <c r="E4808" s="48" t="s">
        <v>1719</v>
      </c>
      <c r="F4808" s="66" t="b">
        <v>0</v>
      </c>
      <c r="G4808" s="54" t="b">
        <v>1</v>
      </c>
      <c r="H4808" s="54" t="b">
        <v>1</v>
      </c>
      <c r="I4808" s="54" t="b">
        <v>1</v>
      </c>
      <c r="J4808" s="54" t="b">
        <v>1</v>
      </c>
      <c r="K4808" s="63" t="s">
        <v>989</v>
      </c>
      <c r="L4808" s="63" t="s">
        <v>9766</v>
      </c>
      <c r="M4808" s="63" t="s">
        <v>9767</v>
      </c>
      <c r="N4808" s="63" t="s">
        <v>1719</v>
      </c>
    </row>
    <row r="4809" spans="1:14" x14ac:dyDescent="0.2">
      <c r="A4809" s="51">
        <v>4808</v>
      </c>
      <c r="E4809" s="48"/>
      <c r="G4809" s="65" t="b">
        <v>0</v>
      </c>
      <c r="H4809" s="65" t="b">
        <v>0</v>
      </c>
      <c r="I4809" s="65" t="b">
        <v>0</v>
      </c>
      <c r="J4809" s="65" t="b">
        <v>0</v>
      </c>
      <c r="K4809" s="63" t="s">
        <v>989</v>
      </c>
      <c r="L4809" s="63" t="s">
        <v>9766</v>
      </c>
      <c r="M4809" s="63" t="s">
        <v>9912</v>
      </c>
      <c r="N4809" s="63" t="s">
        <v>1719</v>
      </c>
    </row>
    <row r="4810" spans="1:14" x14ac:dyDescent="0.2">
      <c r="A4810" s="51">
        <v>4809</v>
      </c>
      <c r="B4810" s="54" t="s">
        <v>989</v>
      </c>
      <c r="C4810" s="47" t="s">
        <v>9819</v>
      </c>
      <c r="D4810" s="47" t="s">
        <v>9820</v>
      </c>
      <c r="E4810" s="48" t="s">
        <v>1719</v>
      </c>
      <c r="F4810" s="66" t="b">
        <v>0</v>
      </c>
      <c r="G4810" s="54" t="b">
        <v>1</v>
      </c>
      <c r="H4810" s="54" t="b">
        <v>1</v>
      </c>
      <c r="I4810" s="54" t="b">
        <v>1</v>
      </c>
      <c r="J4810" s="54" t="b">
        <v>1</v>
      </c>
      <c r="K4810" s="63" t="s">
        <v>989</v>
      </c>
      <c r="L4810" s="63" t="s">
        <v>9819</v>
      </c>
      <c r="M4810" s="63" t="s">
        <v>9820</v>
      </c>
      <c r="N4810" s="63" t="s">
        <v>1719</v>
      </c>
    </row>
    <row r="4811" spans="1:14" x14ac:dyDescent="0.2">
      <c r="A4811" s="51">
        <v>4810</v>
      </c>
      <c r="B4811" s="54" t="s">
        <v>989</v>
      </c>
      <c r="C4811" s="47" t="s">
        <v>9798</v>
      </c>
      <c r="D4811" s="47" t="s">
        <v>9799</v>
      </c>
      <c r="E4811" s="47" t="s">
        <v>9777</v>
      </c>
      <c r="F4811" s="55" t="b">
        <v>1</v>
      </c>
      <c r="G4811" s="54" t="b">
        <v>1</v>
      </c>
      <c r="H4811" s="54" t="b">
        <v>1</v>
      </c>
      <c r="I4811" s="54" t="b">
        <v>1</v>
      </c>
      <c r="J4811" s="54" t="b">
        <v>1</v>
      </c>
      <c r="K4811" s="63" t="s">
        <v>989</v>
      </c>
      <c r="L4811" s="63" t="s">
        <v>9798</v>
      </c>
      <c r="M4811" s="63" t="s">
        <v>9799</v>
      </c>
      <c r="N4811" s="63" t="s">
        <v>9777</v>
      </c>
    </row>
    <row r="4812" spans="1:14" x14ac:dyDescent="0.2">
      <c r="A4812" s="51">
        <v>4811</v>
      </c>
      <c r="B4812" s="54" t="s">
        <v>989</v>
      </c>
      <c r="C4812" s="47" t="s">
        <v>9817</v>
      </c>
      <c r="D4812" s="47" t="s">
        <v>9818</v>
      </c>
      <c r="E4812" s="48" t="s">
        <v>1719</v>
      </c>
      <c r="F4812" s="66" t="b">
        <v>0</v>
      </c>
      <c r="G4812" s="54" t="b">
        <v>1</v>
      </c>
      <c r="H4812" s="54" t="b">
        <v>1</v>
      </c>
      <c r="I4812" s="54" t="b">
        <v>1</v>
      </c>
      <c r="J4812" s="54" t="b">
        <v>1</v>
      </c>
      <c r="K4812" s="63" t="s">
        <v>989</v>
      </c>
      <c r="L4812" s="63" t="s">
        <v>9817</v>
      </c>
      <c r="M4812" s="63" t="s">
        <v>9818</v>
      </c>
      <c r="N4812" s="63" t="s">
        <v>1719</v>
      </c>
    </row>
    <row r="4813" spans="1:14" x14ac:dyDescent="0.2">
      <c r="A4813" s="51">
        <v>4812</v>
      </c>
      <c r="B4813" s="54" t="s">
        <v>989</v>
      </c>
      <c r="C4813" s="47" t="s">
        <v>9810</v>
      </c>
      <c r="D4813" s="47" t="s">
        <v>9811</v>
      </c>
      <c r="E4813" s="47" t="s">
        <v>8770</v>
      </c>
      <c r="F4813" s="55" t="b">
        <v>1</v>
      </c>
      <c r="G4813" s="54" t="b">
        <v>1</v>
      </c>
      <c r="H4813" s="54" t="b">
        <v>1</v>
      </c>
      <c r="I4813" s="54" t="b">
        <v>1</v>
      </c>
      <c r="J4813" s="65" t="b">
        <v>0</v>
      </c>
      <c r="K4813" s="63" t="s">
        <v>989</v>
      </c>
      <c r="L4813" s="63" t="s">
        <v>9810</v>
      </c>
      <c r="M4813" s="63" t="s">
        <v>9811</v>
      </c>
      <c r="N4813" s="63" t="s">
        <v>9812</v>
      </c>
    </row>
    <row r="4814" spans="1:14" x14ac:dyDescent="0.2">
      <c r="A4814" s="51">
        <v>4813</v>
      </c>
      <c r="B4814" s="54" t="s">
        <v>989</v>
      </c>
      <c r="C4814" s="47" t="s">
        <v>9804</v>
      </c>
      <c r="D4814" s="47" t="s">
        <v>13663</v>
      </c>
      <c r="E4814" s="47" t="s">
        <v>9777</v>
      </c>
      <c r="F4814" s="55" t="b">
        <v>1</v>
      </c>
      <c r="G4814" s="54" t="b">
        <v>1</v>
      </c>
      <c r="H4814" s="54" t="b">
        <v>1</v>
      </c>
      <c r="I4814" s="65" t="b">
        <v>0</v>
      </c>
      <c r="J4814" s="54" t="b">
        <v>1</v>
      </c>
      <c r="K4814" s="63" t="s">
        <v>989</v>
      </c>
      <c r="L4814" s="63" t="s">
        <v>9804</v>
      </c>
      <c r="M4814" s="63" t="s">
        <v>9805</v>
      </c>
      <c r="N4814" s="63" t="s">
        <v>9777</v>
      </c>
    </row>
    <row r="4815" spans="1:14" x14ac:dyDescent="0.2">
      <c r="A4815" s="51">
        <v>4814</v>
      </c>
      <c r="B4815" s="54" t="s">
        <v>989</v>
      </c>
      <c r="C4815" s="47" t="s">
        <v>9806</v>
      </c>
      <c r="D4815" s="47" t="s">
        <v>13662</v>
      </c>
      <c r="E4815" s="47" t="s">
        <v>9777</v>
      </c>
      <c r="F4815" s="55" t="b">
        <v>1</v>
      </c>
      <c r="G4815" s="54" t="b">
        <v>1</v>
      </c>
      <c r="H4815" s="54" t="b">
        <v>1</v>
      </c>
      <c r="I4815" s="65" t="b">
        <v>0</v>
      </c>
      <c r="J4815" s="54" t="b">
        <v>1</v>
      </c>
      <c r="K4815" s="63" t="s">
        <v>989</v>
      </c>
      <c r="L4815" s="63" t="s">
        <v>9806</v>
      </c>
      <c r="M4815" s="63" t="s">
        <v>9807</v>
      </c>
      <c r="N4815" s="63" t="s">
        <v>9777</v>
      </c>
    </row>
    <row r="4816" spans="1:14" x14ac:dyDescent="0.2">
      <c r="A4816" s="51">
        <v>4815</v>
      </c>
      <c r="B4816" s="54" t="s">
        <v>989</v>
      </c>
      <c r="C4816" s="47" t="s">
        <v>9796</v>
      </c>
      <c r="D4816" s="47" t="s">
        <v>13661</v>
      </c>
      <c r="E4816" s="47" t="s">
        <v>9777</v>
      </c>
      <c r="F4816" s="55" t="b">
        <v>1</v>
      </c>
      <c r="G4816" s="54" t="b">
        <v>1</v>
      </c>
      <c r="H4816" s="54" t="b">
        <v>1</v>
      </c>
      <c r="I4816" s="65" t="b">
        <v>0</v>
      </c>
      <c r="J4816" s="54" t="b">
        <v>1</v>
      </c>
      <c r="K4816" s="63" t="s">
        <v>989</v>
      </c>
      <c r="L4816" s="63" t="s">
        <v>9796</v>
      </c>
      <c r="M4816" s="63" t="s">
        <v>9797</v>
      </c>
      <c r="N4816" s="63" t="s">
        <v>9777</v>
      </c>
    </row>
    <row r="4817" spans="1:14" x14ac:dyDescent="0.2">
      <c r="A4817" s="51">
        <v>4816</v>
      </c>
      <c r="B4817" s="54" t="s">
        <v>989</v>
      </c>
      <c r="C4817" s="47" t="s">
        <v>9821</v>
      </c>
      <c r="D4817" s="47" t="s">
        <v>2050</v>
      </c>
      <c r="E4817" s="48" t="s">
        <v>1719</v>
      </c>
      <c r="F4817" s="66" t="b">
        <v>0</v>
      </c>
      <c r="G4817" s="54" t="b">
        <v>1</v>
      </c>
      <c r="H4817" s="54" t="b">
        <v>1</v>
      </c>
      <c r="I4817" s="54" t="b">
        <v>1</v>
      </c>
      <c r="J4817" s="54" t="b">
        <v>1</v>
      </c>
      <c r="K4817" s="63" t="s">
        <v>989</v>
      </c>
      <c r="L4817" s="63" t="s">
        <v>9821</v>
      </c>
      <c r="M4817" s="63" t="s">
        <v>2050</v>
      </c>
      <c r="N4817" s="63" t="s">
        <v>1719</v>
      </c>
    </row>
    <row r="4818" spans="1:14" x14ac:dyDescent="0.2">
      <c r="A4818" s="51">
        <v>4817</v>
      </c>
      <c r="B4818" s="54" t="s">
        <v>989</v>
      </c>
      <c r="C4818" s="47" t="s">
        <v>9813</v>
      </c>
      <c r="D4818" s="47" t="s">
        <v>9814</v>
      </c>
      <c r="E4818" s="48" t="s">
        <v>1719</v>
      </c>
      <c r="F4818" s="66" t="b">
        <v>0</v>
      </c>
      <c r="G4818" s="54" t="b">
        <v>1</v>
      </c>
      <c r="H4818" s="54" t="b">
        <v>1</v>
      </c>
      <c r="I4818" s="54" t="b">
        <v>1</v>
      </c>
      <c r="J4818" s="54" t="b">
        <v>1</v>
      </c>
      <c r="K4818" s="63" t="s">
        <v>989</v>
      </c>
      <c r="L4818" s="63" t="s">
        <v>9813</v>
      </c>
      <c r="M4818" s="63" t="s">
        <v>9814</v>
      </c>
      <c r="N4818" s="63" t="s">
        <v>1719</v>
      </c>
    </row>
    <row r="4819" spans="1:14" x14ac:dyDescent="0.2">
      <c r="A4819" s="51">
        <v>4818</v>
      </c>
      <c r="B4819" s="54" t="s">
        <v>989</v>
      </c>
      <c r="C4819" s="47" t="s">
        <v>9801</v>
      </c>
      <c r="D4819" s="47" t="s">
        <v>9803</v>
      </c>
      <c r="E4819" s="48" t="s">
        <v>1719</v>
      </c>
      <c r="F4819" s="66" t="b">
        <v>0</v>
      </c>
      <c r="G4819" s="54" t="b">
        <v>1</v>
      </c>
      <c r="H4819" s="54" t="b">
        <v>1</v>
      </c>
      <c r="I4819" s="54" t="b">
        <v>1</v>
      </c>
      <c r="J4819" s="54" t="b">
        <v>1</v>
      </c>
      <c r="K4819" s="63" t="s">
        <v>989</v>
      </c>
      <c r="L4819" s="63" t="s">
        <v>9801</v>
      </c>
      <c r="M4819" s="63" t="s">
        <v>9803</v>
      </c>
      <c r="N4819" s="63" t="s">
        <v>1719</v>
      </c>
    </row>
    <row r="4820" spans="1:14" x14ac:dyDescent="0.2">
      <c r="A4820" s="51">
        <v>4819</v>
      </c>
      <c r="E4820" s="48"/>
      <c r="G4820" s="65" t="b">
        <v>0</v>
      </c>
      <c r="H4820" s="65" t="b">
        <v>0</v>
      </c>
      <c r="I4820" s="65" t="b">
        <v>0</v>
      </c>
      <c r="J4820" s="65" t="b">
        <v>0</v>
      </c>
      <c r="K4820" s="63" t="s">
        <v>989</v>
      </c>
      <c r="L4820" s="63" t="s">
        <v>9801</v>
      </c>
      <c r="M4820" s="63" t="s">
        <v>9802</v>
      </c>
      <c r="N4820" s="63" t="s">
        <v>1719</v>
      </c>
    </row>
    <row r="4821" spans="1:14" x14ac:dyDescent="0.2">
      <c r="A4821" s="51">
        <v>4820</v>
      </c>
      <c r="B4821" s="54" t="s">
        <v>989</v>
      </c>
      <c r="C4821" s="47" t="s">
        <v>9808</v>
      </c>
      <c r="D4821" s="47" t="s">
        <v>13664</v>
      </c>
      <c r="E4821" s="47" t="s">
        <v>9777</v>
      </c>
      <c r="F4821" s="55" t="b">
        <v>1</v>
      </c>
      <c r="G4821" s="54" t="b">
        <v>1</v>
      </c>
      <c r="H4821" s="54" t="b">
        <v>1</v>
      </c>
      <c r="I4821" s="65" t="b">
        <v>0</v>
      </c>
      <c r="J4821" s="54" t="b">
        <v>1</v>
      </c>
      <c r="K4821" s="63" t="s">
        <v>989</v>
      </c>
      <c r="L4821" s="63" t="s">
        <v>9808</v>
      </c>
      <c r="M4821" s="63" t="s">
        <v>9809</v>
      </c>
      <c r="N4821" s="63" t="s">
        <v>9777</v>
      </c>
    </row>
    <row r="4822" spans="1:14" x14ac:dyDescent="0.2">
      <c r="A4822" s="51">
        <v>4821</v>
      </c>
      <c r="G4822" s="65" t="b">
        <v>0</v>
      </c>
      <c r="H4822" s="65" t="b">
        <v>0</v>
      </c>
      <c r="I4822" s="65" t="b">
        <v>0</v>
      </c>
      <c r="J4822" s="65" t="b">
        <v>0</v>
      </c>
      <c r="K4822" s="63" t="s">
        <v>989</v>
      </c>
      <c r="L4822" s="63" t="s">
        <v>9808</v>
      </c>
      <c r="M4822" s="63" t="s">
        <v>9908</v>
      </c>
      <c r="N4822" s="63" t="s">
        <v>9777</v>
      </c>
    </row>
    <row r="4823" spans="1:14" x14ac:dyDescent="0.2">
      <c r="A4823" s="51">
        <v>4822</v>
      </c>
      <c r="B4823" s="54" t="s">
        <v>989</v>
      </c>
      <c r="C4823" s="47" t="s">
        <v>9815</v>
      </c>
      <c r="D4823" s="47" t="s">
        <v>9816</v>
      </c>
      <c r="E4823" s="48" t="s">
        <v>1719</v>
      </c>
      <c r="F4823" s="66" t="b">
        <v>0</v>
      </c>
      <c r="G4823" s="54" t="b">
        <v>1</v>
      </c>
      <c r="H4823" s="54" t="b">
        <v>1</v>
      </c>
      <c r="I4823" s="54" t="b">
        <v>1</v>
      </c>
      <c r="J4823" s="54" t="b">
        <v>1</v>
      </c>
      <c r="K4823" s="63" t="s">
        <v>989</v>
      </c>
      <c r="L4823" s="63" t="s">
        <v>9815</v>
      </c>
      <c r="M4823" s="63" t="s">
        <v>9816</v>
      </c>
      <c r="N4823" s="63" t="s">
        <v>1719</v>
      </c>
    </row>
    <row r="4824" spans="1:14" x14ac:dyDescent="0.2">
      <c r="A4824" s="51">
        <v>4823</v>
      </c>
      <c r="B4824" s="54" t="s">
        <v>989</v>
      </c>
      <c r="C4824" s="47" t="s">
        <v>9824</v>
      </c>
      <c r="D4824" s="47" t="s">
        <v>9825</v>
      </c>
      <c r="E4824" s="47" t="s">
        <v>9777</v>
      </c>
      <c r="F4824" s="55" t="b">
        <v>1</v>
      </c>
      <c r="G4824" s="54" t="b">
        <v>1</v>
      </c>
      <c r="H4824" s="54" t="b">
        <v>1</v>
      </c>
      <c r="I4824" s="54" t="b">
        <v>1</v>
      </c>
      <c r="J4824" s="54" t="b">
        <v>1</v>
      </c>
      <c r="K4824" s="63" t="s">
        <v>989</v>
      </c>
      <c r="L4824" s="63" t="s">
        <v>9824</v>
      </c>
      <c r="M4824" s="63" t="s">
        <v>9825</v>
      </c>
      <c r="N4824" s="63" t="s">
        <v>9777</v>
      </c>
    </row>
    <row r="4825" spans="1:14" x14ac:dyDescent="0.2">
      <c r="A4825" s="51">
        <v>4824</v>
      </c>
      <c r="B4825" s="54" t="s">
        <v>989</v>
      </c>
      <c r="C4825" s="47" t="s">
        <v>9826</v>
      </c>
      <c r="D4825" s="47" t="s">
        <v>9827</v>
      </c>
      <c r="E4825" s="47" t="s">
        <v>9777</v>
      </c>
      <c r="F4825" s="55" t="b">
        <v>1</v>
      </c>
      <c r="G4825" s="54" t="b">
        <v>1</v>
      </c>
      <c r="H4825" s="54" t="b">
        <v>1</v>
      </c>
      <c r="I4825" s="54" t="b">
        <v>1</v>
      </c>
      <c r="J4825" s="54" t="b">
        <v>1</v>
      </c>
      <c r="K4825" s="63" t="s">
        <v>989</v>
      </c>
      <c r="L4825" s="63" t="s">
        <v>9826</v>
      </c>
      <c r="M4825" s="63" t="s">
        <v>9827</v>
      </c>
      <c r="N4825" s="63" t="s">
        <v>9777</v>
      </c>
    </row>
    <row r="4826" spans="1:14" x14ac:dyDescent="0.2">
      <c r="A4826" s="51">
        <v>4825</v>
      </c>
      <c r="G4826" s="65" t="b">
        <v>0</v>
      </c>
      <c r="H4826" s="65" t="b">
        <v>0</v>
      </c>
      <c r="I4826" s="65" t="b">
        <v>0</v>
      </c>
      <c r="J4826" s="65" t="b">
        <v>0</v>
      </c>
      <c r="K4826" s="63" t="s">
        <v>989</v>
      </c>
      <c r="L4826" s="63" t="s">
        <v>9826</v>
      </c>
      <c r="M4826" s="63" t="s">
        <v>9909</v>
      </c>
      <c r="N4826" s="63" t="s">
        <v>9777</v>
      </c>
    </row>
    <row r="4827" spans="1:14" x14ac:dyDescent="0.2">
      <c r="A4827" s="51">
        <v>4826</v>
      </c>
      <c r="B4827" s="54" t="s">
        <v>989</v>
      </c>
      <c r="C4827" s="47" t="s">
        <v>9846</v>
      </c>
      <c r="D4827" s="47" t="s">
        <v>9847</v>
      </c>
      <c r="E4827" s="48" t="s">
        <v>1719</v>
      </c>
      <c r="F4827" s="66" t="b">
        <v>0</v>
      </c>
      <c r="G4827" s="54" t="b">
        <v>1</v>
      </c>
      <c r="H4827" s="54" t="b">
        <v>1</v>
      </c>
      <c r="I4827" s="54" t="b">
        <v>1</v>
      </c>
      <c r="J4827" s="54" t="b">
        <v>1</v>
      </c>
      <c r="K4827" s="63" t="s">
        <v>989</v>
      </c>
      <c r="L4827" s="63" t="s">
        <v>9846</v>
      </c>
      <c r="M4827" s="63" t="s">
        <v>9847</v>
      </c>
      <c r="N4827" s="63" t="s">
        <v>1719</v>
      </c>
    </row>
    <row r="4828" spans="1:14" x14ac:dyDescent="0.2">
      <c r="A4828" s="51">
        <v>4827</v>
      </c>
      <c r="B4828" s="54" t="s">
        <v>989</v>
      </c>
      <c r="C4828" s="47" t="s">
        <v>9830</v>
      </c>
      <c r="D4828" s="47" t="s">
        <v>13665</v>
      </c>
      <c r="E4828" s="48" t="s">
        <v>1719</v>
      </c>
      <c r="F4828" s="66" t="b">
        <v>0</v>
      </c>
      <c r="G4828" s="54" t="b">
        <v>1</v>
      </c>
      <c r="H4828" s="54" t="b">
        <v>1</v>
      </c>
      <c r="I4828" s="65" t="b">
        <v>0</v>
      </c>
      <c r="J4828" s="54" t="b">
        <v>1</v>
      </c>
      <c r="K4828" s="63" t="s">
        <v>989</v>
      </c>
      <c r="L4828" s="63" t="s">
        <v>9830</v>
      </c>
      <c r="M4828" s="63" t="s">
        <v>9831</v>
      </c>
      <c r="N4828" s="63" t="s">
        <v>1719</v>
      </c>
    </row>
    <row r="4829" spans="1:14" x14ac:dyDescent="0.2">
      <c r="A4829" s="51">
        <v>4828</v>
      </c>
      <c r="E4829" s="48"/>
      <c r="G4829" s="65" t="b">
        <v>0</v>
      </c>
      <c r="H4829" s="65" t="b">
        <v>0</v>
      </c>
      <c r="I4829" s="65" t="b">
        <v>0</v>
      </c>
      <c r="J4829" s="65" t="b">
        <v>0</v>
      </c>
      <c r="K4829" s="63" t="s">
        <v>989</v>
      </c>
      <c r="L4829" s="63" t="s">
        <v>9830</v>
      </c>
      <c r="M4829" s="63" t="s">
        <v>9910</v>
      </c>
      <c r="N4829" s="63" t="s">
        <v>1719</v>
      </c>
    </row>
    <row r="4830" spans="1:14" x14ac:dyDescent="0.2">
      <c r="A4830" s="51">
        <v>4829</v>
      </c>
      <c r="B4830" s="54" t="s">
        <v>989</v>
      </c>
      <c r="C4830" s="47" t="s">
        <v>9832</v>
      </c>
      <c r="D4830" s="47" t="s">
        <v>7791</v>
      </c>
      <c r="E4830" s="48" t="s">
        <v>1719</v>
      </c>
      <c r="F4830" s="66" t="b">
        <v>0</v>
      </c>
      <c r="G4830" s="54" t="b">
        <v>1</v>
      </c>
      <c r="H4830" s="54" t="b">
        <v>1</v>
      </c>
      <c r="I4830" s="54" t="b">
        <v>1</v>
      </c>
      <c r="J4830" s="54" t="b">
        <v>1</v>
      </c>
      <c r="K4830" s="63" t="s">
        <v>989</v>
      </c>
      <c r="L4830" s="63" t="s">
        <v>9832</v>
      </c>
      <c r="M4830" s="63" t="s">
        <v>7791</v>
      </c>
      <c r="N4830" s="63" t="s">
        <v>1719</v>
      </c>
    </row>
    <row r="4831" spans="1:14" x14ac:dyDescent="0.2">
      <c r="A4831" s="51">
        <v>4830</v>
      </c>
      <c r="B4831" s="54" t="s">
        <v>989</v>
      </c>
      <c r="C4831" s="47" t="s">
        <v>9833</v>
      </c>
      <c r="D4831" s="47" t="s">
        <v>9834</v>
      </c>
      <c r="E4831" s="48" t="s">
        <v>1719</v>
      </c>
      <c r="F4831" s="66" t="b">
        <v>0</v>
      </c>
      <c r="G4831" s="54" t="b">
        <v>1</v>
      </c>
      <c r="H4831" s="54" t="b">
        <v>1</v>
      </c>
      <c r="I4831" s="54" t="b">
        <v>1</v>
      </c>
      <c r="J4831" s="54" t="b">
        <v>1</v>
      </c>
      <c r="K4831" s="63" t="s">
        <v>989</v>
      </c>
      <c r="L4831" s="63" t="s">
        <v>9833</v>
      </c>
      <c r="M4831" s="63" t="s">
        <v>9834</v>
      </c>
      <c r="N4831" s="63" t="s">
        <v>1719</v>
      </c>
    </row>
    <row r="4832" spans="1:14" x14ac:dyDescent="0.2">
      <c r="A4832" s="51">
        <v>4831</v>
      </c>
      <c r="B4832" s="54" t="s">
        <v>989</v>
      </c>
      <c r="C4832" s="47" t="s">
        <v>9836</v>
      </c>
      <c r="D4832" s="47" t="s">
        <v>9837</v>
      </c>
      <c r="E4832" s="48" t="s">
        <v>1719</v>
      </c>
      <c r="F4832" s="66" t="b">
        <v>0</v>
      </c>
      <c r="G4832" s="54" t="b">
        <v>1</v>
      </c>
      <c r="H4832" s="54" t="b">
        <v>1</v>
      </c>
      <c r="I4832" s="54" t="b">
        <v>1</v>
      </c>
      <c r="J4832" s="54" t="b">
        <v>1</v>
      </c>
      <c r="K4832" s="63" t="s">
        <v>989</v>
      </c>
      <c r="L4832" s="63" t="s">
        <v>9836</v>
      </c>
      <c r="M4832" s="63" t="s">
        <v>9837</v>
      </c>
      <c r="N4832" s="63" t="s">
        <v>1719</v>
      </c>
    </row>
    <row r="4833" spans="1:14" x14ac:dyDescent="0.2">
      <c r="A4833" s="51">
        <v>4832</v>
      </c>
      <c r="B4833" s="54" t="s">
        <v>989</v>
      </c>
      <c r="C4833" s="47" t="s">
        <v>9838</v>
      </c>
      <c r="D4833" s="47" t="s">
        <v>9839</v>
      </c>
      <c r="E4833" s="48" t="s">
        <v>1719</v>
      </c>
      <c r="F4833" s="66" t="b">
        <v>0</v>
      </c>
      <c r="G4833" s="54" t="b">
        <v>1</v>
      </c>
      <c r="H4833" s="54" t="b">
        <v>1</v>
      </c>
      <c r="I4833" s="54" t="b">
        <v>1</v>
      </c>
      <c r="J4833" s="54" t="b">
        <v>1</v>
      </c>
      <c r="K4833" s="63" t="s">
        <v>989</v>
      </c>
      <c r="L4833" s="63" t="s">
        <v>9838</v>
      </c>
      <c r="M4833" s="63" t="s">
        <v>9839</v>
      </c>
      <c r="N4833" s="63" t="s">
        <v>1719</v>
      </c>
    </row>
    <row r="4834" spans="1:14" x14ac:dyDescent="0.2">
      <c r="A4834" s="51">
        <v>4833</v>
      </c>
      <c r="B4834" s="54" t="s">
        <v>989</v>
      </c>
      <c r="C4834" s="47" t="s">
        <v>9840</v>
      </c>
      <c r="D4834" s="47" t="s">
        <v>13659</v>
      </c>
      <c r="E4834" s="47" t="s">
        <v>9777</v>
      </c>
      <c r="F4834" s="55" t="b">
        <v>1</v>
      </c>
      <c r="G4834" s="54" t="b">
        <v>1</v>
      </c>
      <c r="H4834" s="54" t="b">
        <v>1</v>
      </c>
      <c r="I4834" s="65" t="b">
        <v>0</v>
      </c>
      <c r="J4834" s="54" t="b">
        <v>1</v>
      </c>
      <c r="K4834" s="63" t="s">
        <v>989</v>
      </c>
      <c r="L4834" s="63" t="s">
        <v>9840</v>
      </c>
      <c r="M4834" s="63" t="s">
        <v>9841</v>
      </c>
      <c r="N4834" s="63" t="s">
        <v>9777</v>
      </c>
    </row>
    <row r="4835" spans="1:14" x14ac:dyDescent="0.2">
      <c r="A4835" s="51">
        <v>4834</v>
      </c>
      <c r="G4835" s="65" t="b">
        <v>0</v>
      </c>
      <c r="H4835" s="65" t="b">
        <v>0</v>
      </c>
      <c r="I4835" s="65" t="b">
        <v>0</v>
      </c>
      <c r="J4835" s="65" t="b">
        <v>0</v>
      </c>
      <c r="K4835" s="63" t="s">
        <v>989</v>
      </c>
      <c r="L4835" s="63" t="s">
        <v>9840</v>
      </c>
      <c r="M4835" s="63" t="s">
        <v>9911</v>
      </c>
      <c r="N4835" s="63" t="s">
        <v>9777</v>
      </c>
    </row>
    <row r="4836" spans="1:14" x14ac:dyDescent="0.2">
      <c r="A4836" s="51">
        <v>4835</v>
      </c>
      <c r="B4836" s="54" t="s">
        <v>989</v>
      </c>
      <c r="C4836" s="47" t="s">
        <v>9842</v>
      </c>
      <c r="D4836" s="47" t="s">
        <v>9843</v>
      </c>
      <c r="E4836" s="48" t="s">
        <v>1719</v>
      </c>
      <c r="F4836" s="66" t="b">
        <v>0</v>
      </c>
      <c r="G4836" s="54" t="b">
        <v>1</v>
      </c>
      <c r="H4836" s="54" t="b">
        <v>1</v>
      </c>
      <c r="I4836" s="54" t="b">
        <v>1</v>
      </c>
      <c r="J4836" s="54" t="b">
        <v>1</v>
      </c>
      <c r="K4836" s="63" t="s">
        <v>989</v>
      </c>
      <c r="L4836" s="63" t="s">
        <v>9842</v>
      </c>
      <c r="M4836" s="63" t="s">
        <v>9843</v>
      </c>
      <c r="N4836" s="63" t="s">
        <v>1719</v>
      </c>
    </row>
    <row r="4837" spans="1:14" x14ac:dyDescent="0.2">
      <c r="A4837" s="51">
        <v>4836</v>
      </c>
      <c r="B4837" s="54" t="s">
        <v>989</v>
      </c>
      <c r="C4837" s="47" t="s">
        <v>9849</v>
      </c>
      <c r="D4837" s="47" t="s">
        <v>13666</v>
      </c>
      <c r="E4837" s="48" t="s">
        <v>1719</v>
      </c>
      <c r="F4837" s="66" t="b">
        <v>0</v>
      </c>
      <c r="G4837" s="54" t="b">
        <v>1</v>
      </c>
      <c r="H4837" s="54" t="b">
        <v>1</v>
      </c>
      <c r="I4837" s="65" t="b">
        <v>0</v>
      </c>
      <c r="J4837" s="54" t="b">
        <v>1</v>
      </c>
      <c r="K4837" s="63" t="s">
        <v>989</v>
      </c>
      <c r="L4837" s="63" t="s">
        <v>9849</v>
      </c>
      <c r="M4837" s="63" t="s">
        <v>9850</v>
      </c>
      <c r="N4837" s="63" t="s">
        <v>1719</v>
      </c>
    </row>
    <row r="4838" spans="1:14" x14ac:dyDescent="0.2">
      <c r="A4838" s="51">
        <v>4837</v>
      </c>
      <c r="E4838" s="48"/>
      <c r="G4838" s="65" t="b">
        <v>0</v>
      </c>
      <c r="H4838" s="65" t="b">
        <v>0</v>
      </c>
      <c r="I4838" s="65" t="b">
        <v>0</v>
      </c>
      <c r="J4838" s="65" t="b">
        <v>0</v>
      </c>
      <c r="K4838" s="63" t="s">
        <v>989</v>
      </c>
      <c r="L4838" s="63" t="s">
        <v>9849</v>
      </c>
      <c r="M4838" s="63" t="s">
        <v>9914</v>
      </c>
      <c r="N4838" s="63" t="s">
        <v>1719</v>
      </c>
    </row>
    <row r="4839" spans="1:14" x14ac:dyDescent="0.2">
      <c r="A4839" s="51">
        <v>4838</v>
      </c>
      <c r="B4839" s="54" t="s">
        <v>989</v>
      </c>
      <c r="C4839" s="47" t="s">
        <v>9848</v>
      </c>
      <c r="D4839" s="47" t="s">
        <v>7795</v>
      </c>
      <c r="E4839" s="48" t="s">
        <v>1719</v>
      </c>
      <c r="F4839" s="66" t="b">
        <v>0</v>
      </c>
      <c r="G4839" s="54" t="b">
        <v>1</v>
      </c>
      <c r="H4839" s="54" t="b">
        <v>1</v>
      </c>
      <c r="I4839" s="54" t="b">
        <v>1</v>
      </c>
      <c r="J4839" s="54" t="b">
        <v>1</v>
      </c>
      <c r="K4839" s="63" t="s">
        <v>989</v>
      </c>
      <c r="L4839" s="63" t="s">
        <v>9848</v>
      </c>
      <c r="M4839" s="63" t="s">
        <v>7795</v>
      </c>
      <c r="N4839" s="63" t="s">
        <v>1719</v>
      </c>
    </row>
    <row r="4840" spans="1:14" x14ac:dyDescent="0.2">
      <c r="A4840" s="51">
        <v>4839</v>
      </c>
      <c r="B4840" s="54" t="s">
        <v>989</v>
      </c>
      <c r="C4840" s="47" t="s">
        <v>9844</v>
      </c>
      <c r="D4840" s="47" t="s">
        <v>2060</v>
      </c>
      <c r="E4840" s="48" t="s">
        <v>1719</v>
      </c>
      <c r="F4840" s="66" t="b">
        <v>0</v>
      </c>
      <c r="G4840" s="54" t="b">
        <v>1</v>
      </c>
      <c r="H4840" s="54" t="b">
        <v>1</v>
      </c>
      <c r="I4840" s="54" t="b">
        <v>1</v>
      </c>
      <c r="J4840" s="54" t="b">
        <v>1</v>
      </c>
      <c r="K4840" s="63" t="s">
        <v>989</v>
      </c>
      <c r="L4840" s="63" t="s">
        <v>9844</v>
      </c>
      <c r="M4840" s="63" t="s">
        <v>2060</v>
      </c>
      <c r="N4840" s="63" t="s">
        <v>1719</v>
      </c>
    </row>
    <row r="4841" spans="1:14" x14ac:dyDescent="0.2">
      <c r="A4841" s="51">
        <v>4840</v>
      </c>
      <c r="B4841" s="54" t="s">
        <v>989</v>
      </c>
      <c r="C4841" s="47" t="s">
        <v>9851</v>
      </c>
      <c r="D4841" s="47" t="s">
        <v>9852</v>
      </c>
      <c r="E4841" s="48" t="s">
        <v>1719</v>
      </c>
      <c r="F4841" s="66" t="b">
        <v>0</v>
      </c>
      <c r="G4841" s="54" t="b">
        <v>1</v>
      </c>
      <c r="H4841" s="54" t="b">
        <v>1</v>
      </c>
      <c r="I4841" s="54" t="b">
        <v>1</v>
      </c>
      <c r="J4841" s="54" t="b">
        <v>1</v>
      </c>
      <c r="K4841" s="63" t="s">
        <v>989</v>
      </c>
      <c r="L4841" s="63" t="s">
        <v>9851</v>
      </c>
      <c r="M4841" s="63" t="s">
        <v>9852</v>
      </c>
      <c r="N4841" s="63" t="s">
        <v>1719</v>
      </c>
    </row>
    <row r="4842" spans="1:14" x14ac:dyDescent="0.2">
      <c r="A4842" s="51">
        <v>4841</v>
      </c>
      <c r="E4842" s="48"/>
      <c r="G4842" s="65" t="b">
        <v>0</v>
      </c>
      <c r="H4842" s="65" t="b">
        <v>0</v>
      </c>
      <c r="I4842" s="65" t="b">
        <v>0</v>
      </c>
      <c r="J4842" s="65" t="b">
        <v>0</v>
      </c>
      <c r="K4842" s="63" t="s">
        <v>989</v>
      </c>
      <c r="L4842" s="63" t="s">
        <v>9851</v>
      </c>
      <c r="M4842" s="63" t="s">
        <v>9913</v>
      </c>
      <c r="N4842" s="63" t="s">
        <v>1719</v>
      </c>
    </row>
    <row r="4843" spans="1:14" x14ac:dyDescent="0.2">
      <c r="A4843" s="51">
        <v>4842</v>
      </c>
      <c r="B4843" s="54" t="s">
        <v>989</v>
      </c>
      <c r="C4843" s="47" t="s">
        <v>9853</v>
      </c>
      <c r="D4843" s="47" t="s">
        <v>9854</v>
      </c>
      <c r="E4843" s="48" t="s">
        <v>1719</v>
      </c>
      <c r="F4843" s="66" t="b">
        <v>0</v>
      </c>
      <c r="G4843" s="54" t="b">
        <v>1</v>
      </c>
      <c r="H4843" s="54" t="b">
        <v>1</v>
      </c>
      <c r="I4843" s="54" t="b">
        <v>1</v>
      </c>
      <c r="J4843" s="54" t="b">
        <v>1</v>
      </c>
      <c r="K4843" s="63" t="s">
        <v>989</v>
      </c>
      <c r="L4843" s="63" t="s">
        <v>9853</v>
      </c>
      <c r="M4843" s="63" t="s">
        <v>9854</v>
      </c>
      <c r="N4843" s="63" t="s">
        <v>1719</v>
      </c>
    </row>
    <row r="4844" spans="1:14" x14ac:dyDescent="0.2">
      <c r="A4844" s="51">
        <v>4843</v>
      </c>
      <c r="B4844" s="54" t="s">
        <v>989</v>
      </c>
      <c r="C4844" s="47" t="s">
        <v>9863</v>
      </c>
      <c r="D4844" s="47" t="s">
        <v>9864</v>
      </c>
      <c r="E4844" s="48" t="s">
        <v>1719</v>
      </c>
      <c r="F4844" s="66" t="b">
        <v>0</v>
      </c>
      <c r="G4844" s="54" t="b">
        <v>1</v>
      </c>
      <c r="H4844" s="54" t="b">
        <v>1</v>
      </c>
      <c r="I4844" s="54" t="b">
        <v>1</v>
      </c>
      <c r="J4844" s="54" t="b">
        <v>1</v>
      </c>
      <c r="K4844" s="63" t="s">
        <v>989</v>
      </c>
      <c r="L4844" s="63" t="s">
        <v>9863</v>
      </c>
      <c r="M4844" s="63" t="s">
        <v>9864</v>
      </c>
      <c r="N4844" s="63" t="s">
        <v>1719</v>
      </c>
    </row>
    <row r="4845" spans="1:14" x14ac:dyDescent="0.2">
      <c r="A4845" s="51">
        <v>4844</v>
      </c>
      <c r="B4845" s="54" t="s">
        <v>989</v>
      </c>
      <c r="C4845" s="47" t="s">
        <v>9861</v>
      </c>
      <c r="D4845" s="47" t="s">
        <v>9860</v>
      </c>
      <c r="E4845" s="47" t="s">
        <v>9777</v>
      </c>
      <c r="F4845" s="55" t="b">
        <v>1</v>
      </c>
      <c r="G4845" s="54" t="b">
        <v>1</v>
      </c>
      <c r="H4845" s="54" t="b">
        <v>1</v>
      </c>
      <c r="I4845" s="65" t="b">
        <v>0</v>
      </c>
      <c r="J4845" s="54" t="b">
        <v>1</v>
      </c>
      <c r="K4845" s="63" t="s">
        <v>989</v>
      </c>
      <c r="L4845" s="63" t="s">
        <v>9861</v>
      </c>
      <c r="M4845" s="63" t="s">
        <v>9862</v>
      </c>
      <c r="N4845" s="63" t="s">
        <v>9777</v>
      </c>
    </row>
    <row r="4846" spans="1:14" x14ac:dyDescent="0.2">
      <c r="A4846" s="51">
        <v>4845</v>
      </c>
      <c r="B4846" s="54" t="s">
        <v>989</v>
      </c>
      <c r="C4846" s="47" t="s">
        <v>9855</v>
      </c>
      <c r="D4846" s="47" t="s">
        <v>9854</v>
      </c>
      <c r="E4846" s="47" t="s">
        <v>9777</v>
      </c>
      <c r="F4846" s="55" t="b">
        <v>1</v>
      </c>
      <c r="G4846" s="54" t="b">
        <v>1</v>
      </c>
      <c r="H4846" s="54" t="b">
        <v>1</v>
      </c>
      <c r="I4846" s="65" t="b">
        <v>0</v>
      </c>
      <c r="J4846" s="54" t="b">
        <v>1</v>
      </c>
      <c r="K4846" s="63" t="s">
        <v>989</v>
      </c>
      <c r="L4846" s="63" t="s">
        <v>9855</v>
      </c>
      <c r="M4846" s="63" t="s">
        <v>9856</v>
      </c>
      <c r="N4846" s="63" t="s">
        <v>9777</v>
      </c>
    </row>
    <row r="4847" spans="1:14" x14ac:dyDescent="0.2">
      <c r="A4847" s="51">
        <v>4846</v>
      </c>
      <c r="B4847" s="54" t="s">
        <v>989</v>
      </c>
      <c r="C4847" s="47" t="s">
        <v>9857</v>
      </c>
      <c r="D4847" s="47" t="s">
        <v>9858</v>
      </c>
      <c r="E4847" s="47" t="s">
        <v>8770</v>
      </c>
      <c r="F4847" s="55" t="b">
        <v>1</v>
      </c>
      <c r="G4847" s="54" t="b">
        <v>1</v>
      </c>
      <c r="H4847" s="54" t="b">
        <v>1</v>
      </c>
      <c r="I4847" s="54" t="b">
        <v>1</v>
      </c>
      <c r="J4847" s="65" t="b">
        <v>0</v>
      </c>
      <c r="K4847" s="63" t="s">
        <v>989</v>
      </c>
      <c r="L4847" s="63" t="s">
        <v>9857</v>
      </c>
      <c r="M4847" s="63" t="s">
        <v>9858</v>
      </c>
      <c r="N4847" s="63" t="s">
        <v>9812</v>
      </c>
    </row>
    <row r="4848" spans="1:14" x14ac:dyDescent="0.2">
      <c r="A4848" s="51">
        <v>4847</v>
      </c>
      <c r="B4848" s="54" t="s">
        <v>989</v>
      </c>
      <c r="C4848" s="47" t="s">
        <v>9859</v>
      </c>
      <c r="D4848" s="47" t="s">
        <v>9860</v>
      </c>
      <c r="E4848" s="48" t="s">
        <v>1719</v>
      </c>
      <c r="F4848" s="66" t="b">
        <v>0</v>
      </c>
      <c r="G4848" s="54" t="b">
        <v>1</v>
      </c>
      <c r="H4848" s="54" t="b">
        <v>1</v>
      </c>
      <c r="I4848" s="54" t="b">
        <v>1</v>
      </c>
      <c r="J4848" s="54" t="b">
        <v>1</v>
      </c>
      <c r="K4848" s="63" t="s">
        <v>989</v>
      </c>
      <c r="L4848" s="63" t="s">
        <v>9859</v>
      </c>
      <c r="M4848" s="63" t="s">
        <v>9860</v>
      </c>
      <c r="N4848" s="63" t="s">
        <v>1719</v>
      </c>
    </row>
    <row r="4849" spans="1:14" x14ac:dyDescent="0.2">
      <c r="A4849" s="51">
        <v>4848</v>
      </c>
      <c r="B4849" s="54" t="s">
        <v>989</v>
      </c>
      <c r="C4849" s="47" t="s">
        <v>9865</v>
      </c>
      <c r="D4849" s="47" t="s">
        <v>9869</v>
      </c>
      <c r="E4849" s="48" t="s">
        <v>1719</v>
      </c>
      <c r="F4849" s="66" t="b">
        <v>0</v>
      </c>
      <c r="G4849" s="54" t="b">
        <v>1</v>
      </c>
      <c r="H4849" s="54" t="b">
        <v>1</v>
      </c>
      <c r="I4849" s="65" t="b">
        <v>0</v>
      </c>
      <c r="J4849" s="54" t="b">
        <v>1</v>
      </c>
      <c r="K4849" s="63" t="s">
        <v>989</v>
      </c>
      <c r="L4849" s="63" t="s">
        <v>9865</v>
      </c>
      <c r="M4849" s="63" t="s">
        <v>9866</v>
      </c>
      <c r="N4849" s="63" t="s">
        <v>1719</v>
      </c>
    </row>
    <row r="4850" spans="1:14" x14ac:dyDescent="0.2">
      <c r="A4850" s="51">
        <v>4849</v>
      </c>
      <c r="E4850" s="48"/>
      <c r="G4850" s="65" t="b">
        <v>0</v>
      </c>
      <c r="H4850" s="65" t="b">
        <v>0</v>
      </c>
      <c r="I4850" s="65" t="b">
        <v>0</v>
      </c>
      <c r="J4850" s="65" t="b">
        <v>0</v>
      </c>
      <c r="K4850" s="63" t="s">
        <v>989</v>
      </c>
      <c r="L4850" s="63" t="s">
        <v>9865</v>
      </c>
      <c r="M4850" s="63" t="s">
        <v>9869</v>
      </c>
      <c r="N4850" s="63" t="s">
        <v>1719</v>
      </c>
    </row>
    <row r="4851" spans="1:14" x14ac:dyDescent="0.2">
      <c r="A4851" s="51">
        <v>4850</v>
      </c>
      <c r="B4851" s="54" t="s">
        <v>989</v>
      </c>
      <c r="C4851" s="47" t="s">
        <v>9867</v>
      </c>
      <c r="D4851" s="47" t="s">
        <v>13667</v>
      </c>
      <c r="E4851" s="47" t="s">
        <v>9777</v>
      </c>
      <c r="F4851" s="55" t="b">
        <v>1</v>
      </c>
      <c r="G4851" s="54" t="b">
        <v>1</v>
      </c>
      <c r="H4851" s="54" t="b">
        <v>1</v>
      </c>
      <c r="I4851" s="65" t="b">
        <v>0</v>
      </c>
      <c r="J4851" s="54" t="b">
        <v>1</v>
      </c>
      <c r="K4851" s="63" t="s">
        <v>989</v>
      </c>
      <c r="L4851" s="63" t="s">
        <v>9867</v>
      </c>
      <c r="M4851" s="63" t="s">
        <v>9868</v>
      </c>
      <c r="N4851" s="63" t="s">
        <v>9777</v>
      </c>
    </row>
    <row r="4852" spans="1:14" x14ac:dyDescent="0.2">
      <c r="A4852" s="51">
        <v>4851</v>
      </c>
      <c r="G4852" s="65" t="b">
        <v>0</v>
      </c>
      <c r="H4852" s="65" t="b">
        <v>0</v>
      </c>
      <c r="I4852" s="65" t="b">
        <v>0</v>
      </c>
      <c r="J4852" s="65" t="b">
        <v>0</v>
      </c>
      <c r="K4852" s="63" t="s">
        <v>989</v>
      </c>
      <c r="L4852" s="63" t="s">
        <v>9867</v>
      </c>
      <c r="M4852" s="63" t="s">
        <v>9870</v>
      </c>
      <c r="N4852" s="63" t="s">
        <v>9777</v>
      </c>
    </row>
    <row r="4853" spans="1:14" x14ac:dyDescent="0.2">
      <c r="A4853" s="51">
        <v>4852</v>
      </c>
      <c r="B4853" s="54" t="s">
        <v>989</v>
      </c>
      <c r="C4853" s="47" t="s">
        <v>9782</v>
      </c>
      <c r="D4853" s="47" t="s">
        <v>9783</v>
      </c>
      <c r="E4853" s="48" t="s">
        <v>1719</v>
      </c>
      <c r="F4853" s="66" t="b">
        <v>0</v>
      </c>
      <c r="G4853" s="54" t="b">
        <v>1</v>
      </c>
      <c r="H4853" s="54" t="b">
        <v>1</v>
      </c>
      <c r="I4853" s="54" t="b">
        <v>1</v>
      </c>
      <c r="J4853" s="54" t="b">
        <v>1</v>
      </c>
      <c r="K4853" s="63" t="s">
        <v>989</v>
      </c>
      <c r="L4853" s="63" t="s">
        <v>9782</v>
      </c>
      <c r="M4853" s="63" t="s">
        <v>9783</v>
      </c>
      <c r="N4853" s="63" t="s">
        <v>1719</v>
      </c>
    </row>
    <row r="4854" spans="1:14" x14ac:dyDescent="0.2">
      <c r="A4854" s="51">
        <v>4853</v>
      </c>
      <c r="B4854" s="54" t="s">
        <v>989</v>
      </c>
      <c r="C4854" s="47" t="s">
        <v>9871</v>
      </c>
      <c r="D4854" s="47" t="s">
        <v>9872</v>
      </c>
      <c r="E4854" s="48" t="s">
        <v>1719</v>
      </c>
      <c r="F4854" s="66" t="b">
        <v>0</v>
      </c>
      <c r="G4854" s="54" t="b">
        <v>1</v>
      </c>
      <c r="H4854" s="54" t="b">
        <v>1</v>
      </c>
      <c r="I4854" s="54" t="b">
        <v>1</v>
      </c>
      <c r="J4854" s="54" t="b">
        <v>1</v>
      </c>
      <c r="K4854" s="63" t="s">
        <v>989</v>
      </c>
      <c r="L4854" s="63" t="s">
        <v>9871</v>
      </c>
      <c r="M4854" s="63" t="s">
        <v>9872</v>
      </c>
      <c r="N4854" s="63" t="s">
        <v>1719</v>
      </c>
    </row>
    <row r="4855" spans="1:14" x14ac:dyDescent="0.2">
      <c r="A4855" s="51">
        <v>4854</v>
      </c>
      <c r="E4855" s="48"/>
      <c r="G4855" s="65" t="b">
        <v>0</v>
      </c>
      <c r="H4855" s="65" t="b">
        <v>0</v>
      </c>
      <c r="I4855" s="65" t="b">
        <v>0</v>
      </c>
      <c r="J4855" s="65" t="b">
        <v>0</v>
      </c>
      <c r="K4855" s="63" t="s">
        <v>989</v>
      </c>
      <c r="L4855" s="63" t="s">
        <v>9871</v>
      </c>
      <c r="M4855" s="63" t="s">
        <v>9915</v>
      </c>
      <c r="N4855" s="63" t="s">
        <v>1719</v>
      </c>
    </row>
    <row r="4856" spans="1:14" x14ac:dyDescent="0.2">
      <c r="A4856" s="51">
        <v>4855</v>
      </c>
      <c r="B4856" s="54" t="s">
        <v>989</v>
      </c>
      <c r="C4856" s="47" t="s">
        <v>9873</v>
      </c>
      <c r="D4856" s="47" t="s">
        <v>9874</v>
      </c>
      <c r="E4856" s="48" t="s">
        <v>1719</v>
      </c>
      <c r="F4856" s="66" t="b">
        <v>0</v>
      </c>
      <c r="G4856" s="54" t="b">
        <v>1</v>
      </c>
      <c r="H4856" s="54" t="b">
        <v>1</v>
      </c>
      <c r="I4856" s="54" t="b">
        <v>1</v>
      </c>
      <c r="J4856" s="54" t="b">
        <v>1</v>
      </c>
      <c r="K4856" s="63" t="s">
        <v>989</v>
      </c>
      <c r="L4856" s="63" t="s">
        <v>9873</v>
      </c>
      <c r="M4856" s="63" t="s">
        <v>9874</v>
      </c>
      <c r="N4856" s="63" t="s">
        <v>1719</v>
      </c>
    </row>
    <row r="4857" spans="1:14" x14ac:dyDescent="0.2">
      <c r="A4857" s="51">
        <v>4856</v>
      </c>
      <c r="B4857" s="54" t="s">
        <v>989</v>
      </c>
      <c r="C4857" s="47" t="s">
        <v>9788</v>
      </c>
      <c r="D4857" s="47" t="s">
        <v>13658</v>
      </c>
      <c r="E4857" s="48" t="s">
        <v>1719</v>
      </c>
      <c r="F4857" s="66" t="b">
        <v>0</v>
      </c>
      <c r="G4857" s="54" t="b">
        <v>1</v>
      </c>
      <c r="H4857" s="54" t="b">
        <v>1</v>
      </c>
      <c r="I4857" s="65" t="b">
        <v>0</v>
      </c>
      <c r="J4857" s="54" t="b">
        <v>1</v>
      </c>
      <c r="K4857" s="63" t="s">
        <v>989</v>
      </c>
      <c r="L4857" s="63" t="s">
        <v>9788</v>
      </c>
      <c r="M4857" s="63" t="s">
        <v>9789</v>
      </c>
      <c r="N4857" s="63" t="s">
        <v>1719</v>
      </c>
    </row>
    <row r="4858" spans="1:14" x14ac:dyDescent="0.2">
      <c r="A4858" s="51">
        <v>4857</v>
      </c>
      <c r="E4858" s="48"/>
      <c r="G4858" s="65" t="b">
        <v>0</v>
      </c>
      <c r="H4858" s="65" t="b">
        <v>0</v>
      </c>
      <c r="I4858" s="65" t="b">
        <v>0</v>
      </c>
      <c r="J4858" s="65" t="b">
        <v>0</v>
      </c>
      <c r="K4858" s="63" t="s">
        <v>989</v>
      </c>
      <c r="L4858" s="63" t="s">
        <v>9788</v>
      </c>
      <c r="M4858" s="63" t="s">
        <v>9906</v>
      </c>
      <c r="N4858" s="63" t="s">
        <v>1719</v>
      </c>
    </row>
    <row r="4859" spans="1:14" x14ac:dyDescent="0.2">
      <c r="A4859" s="51">
        <v>4858</v>
      </c>
      <c r="B4859" s="54" t="s">
        <v>989</v>
      </c>
      <c r="C4859" s="47" t="s">
        <v>9876</v>
      </c>
      <c r="D4859" s="47" t="s">
        <v>9877</v>
      </c>
      <c r="E4859" s="48" t="s">
        <v>1719</v>
      </c>
      <c r="F4859" s="66" t="b">
        <v>0</v>
      </c>
      <c r="G4859" s="54" t="b">
        <v>1</v>
      </c>
      <c r="H4859" s="54" t="b">
        <v>1</v>
      </c>
      <c r="I4859" s="54" t="b">
        <v>1</v>
      </c>
      <c r="J4859" s="54" t="b">
        <v>1</v>
      </c>
      <c r="K4859" s="63" t="s">
        <v>989</v>
      </c>
      <c r="L4859" s="63" t="s">
        <v>9876</v>
      </c>
      <c r="M4859" s="63" t="s">
        <v>9877</v>
      </c>
      <c r="N4859" s="63" t="s">
        <v>1719</v>
      </c>
    </row>
    <row r="4860" spans="1:14" x14ac:dyDescent="0.2">
      <c r="A4860" s="51">
        <v>4859</v>
      </c>
      <c r="E4860" s="48"/>
      <c r="G4860" s="65" t="b">
        <v>0</v>
      </c>
      <c r="H4860" s="65" t="b">
        <v>0</v>
      </c>
      <c r="I4860" s="65" t="b">
        <v>0</v>
      </c>
      <c r="J4860" s="65" t="b">
        <v>0</v>
      </c>
      <c r="K4860" s="63" t="s">
        <v>989</v>
      </c>
      <c r="L4860" s="63" t="s">
        <v>9876</v>
      </c>
      <c r="M4860" s="63" t="s">
        <v>9916</v>
      </c>
      <c r="N4860" s="63" t="s">
        <v>1719</v>
      </c>
    </row>
    <row r="4861" spans="1:14" x14ac:dyDescent="0.2">
      <c r="A4861" s="51">
        <v>4860</v>
      </c>
      <c r="B4861" s="54" t="s">
        <v>989</v>
      </c>
      <c r="C4861" s="47" t="s">
        <v>9822</v>
      </c>
      <c r="D4861" s="47" t="s">
        <v>13660</v>
      </c>
      <c r="E4861" s="47" t="s">
        <v>9777</v>
      </c>
      <c r="F4861" s="55" t="b">
        <v>1</v>
      </c>
      <c r="G4861" s="54" t="b">
        <v>1</v>
      </c>
      <c r="H4861" s="54" t="b">
        <v>1</v>
      </c>
      <c r="I4861" s="65" t="b">
        <v>0</v>
      </c>
      <c r="J4861" s="54" t="b">
        <v>1</v>
      </c>
      <c r="K4861" s="63" t="s">
        <v>989</v>
      </c>
      <c r="L4861" s="63" t="s">
        <v>9822</v>
      </c>
      <c r="M4861" s="63" t="s">
        <v>9823</v>
      </c>
      <c r="N4861" s="63" t="s">
        <v>9777</v>
      </c>
    </row>
    <row r="4862" spans="1:14" x14ac:dyDescent="0.2">
      <c r="A4862" s="51">
        <v>4861</v>
      </c>
      <c r="G4862" s="65" t="b">
        <v>0</v>
      </c>
      <c r="H4862" s="65" t="b">
        <v>0</v>
      </c>
      <c r="I4862" s="65" t="b">
        <v>0</v>
      </c>
      <c r="J4862" s="65" t="b">
        <v>0</v>
      </c>
      <c r="K4862" s="63" t="s">
        <v>989</v>
      </c>
      <c r="L4862" s="63" t="s">
        <v>9822</v>
      </c>
      <c r="M4862" s="63" t="s">
        <v>9875</v>
      </c>
      <c r="N4862" s="63" t="s">
        <v>9777</v>
      </c>
    </row>
    <row r="4863" spans="1:14" x14ac:dyDescent="0.2">
      <c r="A4863" s="51">
        <v>4862</v>
      </c>
      <c r="B4863" s="54" t="s">
        <v>989</v>
      </c>
      <c r="C4863" s="47" t="s">
        <v>9845</v>
      </c>
      <c r="D4863" s="47" t="s">
        <v>2060</v>
      </c>
      <c r="E4863" s="47" t="s">
        <v>9777</v>
      </c>
      <c r="F4863" s="55" t="b">
        <v>1</v>
      </c>
      <c r="G4863" s="54" t="b">
        <v>1</v>
      </c>
      <c r="H4863" s="54" t="b">
        <v>1</v>
      </c>
      <c r="I4863" s="54" t="b">
        <v>1</v>
      </c>
      <c r="J4863" s="54" t="b">
        <v>1</v>
      </c>
      <c r="K4863" s="63" t="s">
        <v>989</v>
      </c>
      <c r="L4863" s="63" t="s">
        <v>9845</v>
      </c>
      <c r="M4863" s="63" t="s">
        <v>2060</v>
      </c>
      <c r="N4863" s="63" t="s">
        <v>9777</v>
      </c>
    </row>
    <row r="4864" spans="1:14" x14ac:dyDescent="0.2">
      <c r="A4864" s="51">
        <v>4863</v>
      </c>
      <c r="B4864" s="54" t="s">
        <v>989</v>
      </c>
      <c r="C4864" s="47" t="s">
        <v>9800</v>
      </c>
      <c r="D4864" s="47" t="s">
        <v>9799</v>
      </c>
      <c r="E4864" s="48" t="s">
        <v>1719</v>
      </c>
      <c r="F4864" s="66" t="b">
        <v>0</v>
      </c>
      <c r="G4864" s="54" t="b">
        <v>1</v>
      </c>
      <c r="H4864" s="54" t="b">
        <v>1</v>
      </c>
      <c r="I4864" s="54" t="b">
        <v>1</v>
      </c>
      <c r="J4864" s="54" t="b">
        <v>1</v>
      </c>
      <c r="K4864" s="63" t="s">
        <v>989</v>
      </c>
      <c r="L4864" s="63" t="s">
        <v>9800</v>
      </c>
      <c r="M4864" s="63" t="s">
        <v>9799</v>
      </c>
      <c r="N4864" s="63" t="s">
        <v>1719</v>
      </c>
    </row>
    <row r="4865" spans="1:14" x14ac:dyDescent="0.2">
      <c r="A4865" s="51">
        <v>4864</v>
      </c>
      <c r="B4865" s="54" t="s">
        <v>989</v>
      </c>
      <c r="C4865" s="47" t="s">
        <v>9878</v>
      </c>
      <c r="D4865" s="47" t="s">
        <v>9879</v>
      </c>
      <c r="E4865" s="48" t="s">
        <v>1719</v>
      </c>
      <c r="F4865" s="66" t="b">
        <v>0</v>
      </c>
      <c r="G4865" s="54" t="b">
        <v>1</v>
      </c>
      <c r="H4865" s="54" t="b">
        <v>1</v>
      </c>
      <c r="I4865" s="54" t="b">
        <v>1</v>
      </c>
      <c r="J4865" s="54" t="b">
        <v>1</v>
      </c>
      <c r="K4865" s="63" t="s">
        <v>989</v>
      </c>
      <c r="L4865" s="63" t="s">
        <v>9878</v>
      </c>
      <c r="M4865" s="63" t="s">
        <v>9879</v>
      </c>
      <c r="N4865" s="63" t="s">
        <v>1719</v>
      </c>
    </row>
    <row r="4866" spans="1:14" x14ac:dyDescent="0.2">
      <c r="A4866" s="51">
        <v>4865</v>
      </c>
      <c r="B4866" s="54" t="s">
        <v>989</v>
      </c>
      <c r="C4866" s="47" t="s">
        <v>9884</v>
      </c>
      <c r="D4866" s="47" t="s">
        <v>9885</v>
      </c>
      <c r="E4866" s="48" t="s">
        <v>1719</v>
      </c>
      <c r="F4866" s="66" t="b">
        <v>0</v>
      </c>
      <c r="G4866" s="54" t="b">
        <v>1</v>
      </c>
      <c r="H4866" s="54" t="b">
        <v>1</v>
      </c>
      <c r="I4866" s="54" t="b">
        <v>1</v>
      </c>
      <c r="J4866" s="54" t="b">
        <v>1</v>
      </c>
      <c r="K4866" s="63" t="s">
        <v>989</v>
      </c>
      <c r="L4866" s="63" t="s">
        <v>9884</v>
      </c>
      <c r="M4866" s="63" t="s">
        <v>9885</v>
      </c>
      <c r="N4866" s="63" t="s">
        <v>1719</v>
      </c>
    </row>
    <row r="4867" spans="1:14" x14ac:dyDescent="0.2">
      <c r="A4867" s="51">
        <v>4866</v>
      </c>
      <c r="B4867" s="54" t="s">
        <v>989</v>
      </c>
      <c r="C4867" s="47" t="s">
        <v>9882</v>
      </c>
      <c r="D4867" s="47" t="s">
        <v>9883</v>
      </c>
      <c r="E4867" s="48" t="s">
        <v>1719</v>
      </c>
      <c r="F4867" s="66" t="b">
        <v>0</v>
      </c>
      <c r="G4867" s="54" t="b">
        <v>1</v>
      </c>
      <c r="H4867" s="54" t="b">
        <v>1</v>
      </c>
      <c r="I4867" s="54" t="b">
        <v>1</v>
      </c>
      <c r="J4867" s="54" t="b">
        <v>1</v>
      </c>
      <c r="K4867" s="63" t="s">
        <v>989</v>
      </c>
      <c r="L4867" s="63" t="s">
        <v>9882</v>
      </c>
      <c r="M4867" s="63" t="s">
        <v>9883</v>
      </c>
      <c r="N4867" s="63" t="s">
        <v>1719</v>
      </c>
    </row>
    <row r="4868" spans="1:14" x14ac:dyDescent="0.2">
      <c r="A4868" s="51">
        <v>4867</v>
      </c>
      <c r="B4868" s="54" t="s">
        <v>989</v>
      </c>
      <c r="C4868" s="47" t="s">
        <v>9886</v>
      </c>
      <c r="D4868" s="47" t="s">
        <v>9887</v>
      </c>
      <c r="E4868" s="48" t="s">
        <v>1719</v>
      </c>
      <c r="F4868" s="66" t="b">
        <v>0</v>
      </c>
      <c r="G4868" s="54" t="b">
        <v>1</v>
      </c>
      <c r="H4868" s="54" t="b">
        <v>1</v>
      </c>
      <c r="I4868" s="54" t="b">
        <v>1</v>
      </c>
      <c r="J4868" s="54" t="b">
        <v>1</v>
      </c>
      <c r="K4868" s="63" t="s">
        <v>989</v>
      </c>
      <c r="L4868" s="63" t="s">
        <v>9886</v>
      </c>
      <c r="M4868" s="63" t="s">
        <v>9887</v>
      </c>
      <c r="N4868" s="63" t="s">
        <v>1719</v>
      </c>
    </row>
    <row r="4869" spans="1:14" x14ac:dyDescent="0.2">
      <c r="A4869" s="51">
        <v>4868</v>
      </c>
      <c r="B4869" s="54" t="s">
        <v>989</v>
      </c>
      <c r="C4869" s="47" t="s">
        <v>9828</v>
      </c>
      <c r="D4869" s="47" t="s">
        <v>9835</v>
      </c>
      <c r="E4869" s="48" t="s">
        <v>1719</v>
      </c>
      <c r="F4869" s="66" t="b">
        <v>0</v>
      </c>
      <c r="G4869" s="54" t="b">
        <v>1</v>
      </c>
      <c r="H4869" s="54" t="b">
        <v>1</v>
      </c>
      <c r="I4869" s="65" t="b">
        <v>0</v>
      </c>
      <c r="J4869" s="54" t="b">
        <v>1</v>
      </c>
      <c r="K4869" s="63" t="s">
        <v>989</v>
      </c>
      <c r="L4869" s="63" t="s">
        <v>9828</v>
      </c>
      <c r="M4869" s="63" t="s">
        <v>9829</v>
      </c>
      <c r="N4869" s="63" t="s">
        <v>1719</v>
      </c>
    </row>
    <row r="4870" spans="1:14" x14ac:dyDescent="0.2">
      <c r="A4870" s="51">
        <v>4869</v>
      </c>
      <c r="E4870" s="48"/>
      <c r="G4870" s="65" t="b">
        <v>0</v>
      </c>
      <c r="H4870" s="65" t="b">
        <v>0</v>
      </c>
      <c r="I4870" s="65" t="b">
        <v>0</v>
      </c>
      <c r="J4870" s="65" t="b">
        <v>0</v>
      </c>
      <c r="K4870" s="63" t="s">
        <v>989</v>
      </c>
      <c r="L4870" s="63" t="s">
        <v>9828</v>
      </c>
      <c r="M4870" s="63" t="s">
        <v>9835</v>
      </c>
      <c r="N4870" s="63" t="s">
        <v>1719</v>
      </c>
    </row>
    <row r="4871" spans="1:14" x14ac:dyDescent="0.2">
      <c r="A4871" s="51">
        <v>4870</v>
      </c>
      <c r="B4871" s="54" t="s">
        <v>989</v>
      </c>
      <c r="C4871" s="47" t="s">
        <v>9888</v>
      </c>
      <c r="D4871" s="47" t="s">
        <v>9889</v>
      </c>
      <c r="E4871" s="48" t="s">
        <v>1719</v>
      </c>
      <c r="F4871" s="66" t="b">
        <v>0</v>
      </c>
      <c r="G4871" s="54" t="b">
        <v>1</v>
      </c>
      <c r="H4871" s="54" t="b">
        <v>1</v>
      </c>
      <c r="I4871" s="54" t="b">
        <v>1</v>
      </c>
      <c r="J4871" s="54" t="b">
        <v>1</v>
      </c>
      <c r="K4871" s="63" t="s">
        <v>989</v>
      </c>
      <c r="L4871" s="63" t="s">
        <v>9888</v>
      </c>
      <c r="M4871" s="63" t="s">
        <v>9889</v>
      </c>
      <c r="N4871" s="63" t="s">
        <v>1719</v>
      </c>
    </row>
    <row r="4872" spans="1:14" x14ac:dyDescent="0.2">
      <c r="A4872" s="51">
        <v>4871</v>
      </c>
      <c r="E4872" s="48"/>
      <c r="G4872" s="65" t="b">
        <v>0</v>
      </c>
      <c r="H4872" s="65" t="b">
        <v>0</v>
      </c>
      <c r="I4872" s="65" t="b">
        <v>0</v>
      </c>
      <c r="J4872" s="65" t="b">
        <v>0</v>
      </c>
      <c r="K4872" s="63" t="s">
        <v>989</v>
      </c>
      <c r="L4872" s="63" t="s">
        <v>9888</v>
      </c>
      <c r="M4872" s="63" t="s">
        <v>9917</v>
      </c>
      <c r="N4872" s="63" t="s">
        <v>1719</v>
      </c>
    </row>
    <row r="4873" spans="1:14" x14ac:dyDescent="0.2">
      <c r="A4873" s="51">
        <v>4872</v>
      </c>
      <c r="B4873" s="54" t="s">
        <v>989</v>
      </c>
      <c r="C4873" s="47" t="s">
        <v>9890</v>
      </c>
      <c r="D4873" s="47" t="s">
        <v>9891</v>
      </c>
      <c r="E4873" s="48" t="s">
        <v>1719</v>
      </c>
      <c r="F4873" s="66" t="b">
        <v>0</v>
      </c>
      <c r="G4873" s="54" t="b">
        <v>1</v>
      </c>
      <c r="H4873" s="54" t="b">
        <v>1</v>
      </c>
      <c r="I4873" s="54" t="b">
        <v>1</v>
      </c>
      <c r="J4873" s="54" t="b">
        <v>1</v>
      </c>
      <c r="K4873" s="63" t="s">
        <v>989</v>
      </c>
      <c r="L4873" s="63" t="s">
        <v>9890</v>
      </c>
      <c r="M4873" s="63" t="s">
        <v>9891</v>
      </c>
      <c r="N4873" s="63" t="s">
        <v>1719</v>
      </c>
    </row>
    <row r="4874" spans="1:14" x14ac:dyDescent="0.2">
      <c r="A4874" s="51">
        <v>4873</v>
      </c>
      <c r="B4874" s="54" t="s">
        <v>989</v>
      </c>
      <c r="C4874" s="47" t="s">
        <v>9880</v>
      </c>
      <c r="D4874" s="47" t="s">
        <v>9881</v>
      </c>
      <c r="E4874" s="48" t="s">
        <v>1719</v>
      </c>
      <c r="F4874" s="66" t="b">
        <v>0</v>
      </c>
      <c r="G4874" s="54" t="b">
        <v>1</v>
      </c>
      <c r="H4874" s="54" t="b">
        <v>1</v>
      </c>
      <c r="I4874" s="54" t="b">
        <v>1</v>
      </c>
      <c r="J4874" s="54" t="b">
        <v>1</v>
      </c>
      <c r="K4874" s="63" t="s">
        <v>989</v>
      </c>
      <c r="L4874" s="63" t="s">
        <v>9880</v>
      </c>
      <c r="M4874" s="63" t="s">
        <v>9881</v>
      </c>
      <c r="N4874" s="63" t="s">
        <v>1719</v>
      </c>
    </row>
    <row r="4875" spans="1:14" x14ac:dyDescent="0.2">
      <c r="A4875" s="51">
        <v>4874</v>
      </c>
      <c r="B4875" s="54" t="s">
        <v>989</v>
      </c>
      <c r="C4875" s="47" t="s">
        <v>9892</v>
      </c>
      <c r="D4875" s="47" t="s">
        <v>2587</v>
      </c>
      <c r="E4875" s="48" t="s">
        <v>1719</v>
      </c>
      <c r="F4875" s="66" t="b">
        <v>0</v>
      </c>
      <c r="G4875" s="54" t="b">
        <v>1</v>
      </c>
      <c r="H4875" s="54" t="b">
        <v>1</v>
      </c>
      <c r="I4875" s="54" t="b">
        <v>1</v>
      </c>
      <c r="J4875" s="54" t="b">
        <v>1</v>
      </c>
      <c r="K4875" s="63" t="s">
        <v>989</v>
      </c>
      <c r="L4875" s="63" t="s">
        <v>9892</v>
      </c>
      <c r="M4875" s="63" t="s">
        <v>2587</v>
      </c>
      <c r="N4875" s="63" t="s">
        <v>1719</v>
      </c>
    </row>
    <row r="4876" spans="1:14" x14ac:dyDescent="0.2">
      <c r="A4876" s="51">
        <v>4875</v>
      </c>
      <c r="B4876" s="54" t="s">
        <v>989</v>
      </c>
      <c r="C4876" s="47" t="s">
        <v>9893</v>
      </c>
      <c r="D4876" s="47" t="s">
        <v>9894</v>
      </c>
      <c r="E4876" s="48" t="s">
        <v>1719</v>
      </c>
      <c r="F4876" s="66" t="b">
        <v>0</v>
      </c>
      <c r="G4876" s="54" t="b">
        <v>1</v>
      </c>
      <c r="H4876" s="54" t="b">
        <v>1</v>
      </c>
      <c r="I4876" s="54" t="b">
        <v>1</v>
      </c>
      <c r="J4876" s="54" t="b">
        <v>1</v>
      </c>
      <c r="K4876" s="63" t="s">
        <v>989</v>
      </c>
      <c r="L4876" s="63" t="s">
        <v>9893</v>
      </c>
      <c r="M4876" s="63" t="s">
        <v>9894</v>
      </c>
      <c r="N4876" s="63" t="s">
        <v>1719</v>
      </c>
    </row>
    <row r="4877" spans="1:14" x14ac:dyDescent="0.2">
      <c r="A4877" s="51">
        <v>4876</v>
      </c>
      <c r="E4877" s="48"/>
      <c r="G4877" s="65" t="b">
        <v>0</v>
      </c>
      <c r="H4877" s="65" t="b">
        <v>0</v>
      </c>
      <c r="I4877" s="65" t="b">
        <v>0</v>
      </c>
      <c r="J4877" s="65" t="b">
        <v>0</v>
      </c>
      <c r="K4877" s="63" t="s">
        <v>989</v>
      </c>
      <c r="L4877" s="63" t="s">
        <v>9893</v>
      </c>
      <c r="M4877" s="63" t="s">
        <v>9900</v>
      </c>
      <c r="N4877" s="63" t="s">
        <v>1719</v>
      </c>
    </row>
    <row r="4878" spans="1:14" x14ac:dyDescent="0.2">
      <c r="A4878" s="51">
        <v>4877</v>
      </c>
      <c r="B4878" s="54" t="s">
        <v>989</v>
      </c>
      <c r="C4878" s="47" t="s">
        <v>9898</v>
      </c>
      <c r="D4878" s="47" t="s">
        <v>9899</v>
      </c>
      <c r="E4878" s="48" t="s">
        <v>1719</v>
      </c>
      <c r="F4878" s="66" t="b">
        <v>0</v>
      </c>
      <c r="G4878" s="54" t="b">
        <v>1</v>
      </c>
      <c r="H4878" s="54" t="b">
        <v>1</v>
      </c>
      <c r="I4878" s="54" t="b">
        <v>1</v>
      </c>
      <c r="J4878" s="54" t="b">
        <v>1</v>
      </c>
      <c r="K4878" s="63" t="s">
        <v>989</v>
      </c>
      <c r="L4878" s="63" t="s">
        <v>9898</v>
      </c>
      <c r="M4878" s="63" t="s">
        <v>9899</v>
      </c>
      <c r="N4878" s="63" t="s">
        <v>1719</v>
      </c>
    </row>
    <row r="4879" spans="1:14" x14ac:dyDescent="0.2">
      <c r="A4879" s="51">
        <v>4878</v>
      </c>
      <c r="B4879" s="54" t="s">
        <v>989</v>
      </c>
      <c r="C4879" s="47" t="s">
        <v>9895</v>
      </c>
      <c r="D4879" s="47" t="s">
        <v>9894</v>
      </c>
      <c r="E4879" s="47" t="s">
        <v>9777</v>
      </c>
      <c r="F4879" s="55" t="b">
        <v>1</v>
      </c>
      <c r="G4879" s="54" t="b">
        <v>1</v>
      </c>
      <c r="H4879" s="54" t="b">
        <v>1</v>
      </c>
      <c r="I4879" s="65" t="b">
        <v>0</v>
      </c>
      <c r="J4879" s="54" t="b">
        <v>1</v>
      </c>
      <c r="K4879" s="63" t="s">
        <v>989</v>
      </c>
      <c r="L4879" s="63" t="s">
        <v>9895</v>
      </c>
      <c r="M4879" s="63" t="s">
        <v>9896</v>
      </c>
      <c r="N4879" s="63" t="s">
        <v>9777</v>
      </c>
    </row>
    <row r="4880" spans="1:14" x14ac:dyDescent="0.2">
      <c r="A4880" s="51">
        <v>4879</v>
      </c>
      <c r="G4880" s="65" t="b">
        <v>0</v>
      </c>
      <c r="H4880" s="65" t="b">
        <v>0</v>
      </c>
      <c r="I4880" s="65" t="b">
        <v>0</v>
      </c>
      <c r="J4880" s="65" t="b">
        <v>0</v>
      </c>
      <c r="K4880" s="63" t="s">
        <v>989</v>
      </c>
      <c r="L4880" s="63" t="s">
        <v>9895</v>
      </c>
      <c r="M4880" s="63" t="s">
        <v>9897</v>
      </c>
      <c r="N4880" s="63" t="s">
        <v>9777</v>
      </c>
    </row>
    <row r="4881" spans="1:14" x14ac:dyDescent="0.2">
      <c r="A4881" s="51">
        <v>4880</v>
      </c>
      <c r="B4881" s="54" t="s">
        <v>989</v>
      </c>
      <c r="C4881" s="47" t="s">
        <v>9778</v>
      </c>
      <c r="D4881" s="47" t="s">
        <v>9918</v>
      </c>
      <c r="E4881" s="48" t="s">
        <v>1719</v>
      </c>
      <c r="F4881" s="66" t="b">
        <v>0</v>
      </c>
      <c r="G4881" s="54" t="b">
        <v>1</v>
      </c>
      <c r="H4881" s="54" t="b">
        <v>1</v>
      </c>
      <c r="I4881" s="65" t="b">
        <v>0</v>
      </c>
      <c r="J4881" s="54" t="b">
        <v>1</v>
      </c>
      <c r="K4881" s="63" t="s">
        <v>989</v>
      </c>
      <c r="L4881" s="63" t="s">
        <v>9778</v>
      </c>
      <c r="M4881" s="63" t="s">
        <v>9779</v>
      </c>
      <c r="N4881" s="63" t="s">
        <v>1719</v>
      </c>
    </row>
    <row r="4882" spans="1:14" x14ac:dyDescent="0.2">
      <c r="A4882" s="51">
        <v>4881</v>
      </c>
      <c r="E4882" s="48"/>
      <c r="G4882" s="65" t="b">
        <v>0</v>
      </c>
      <c r="H4882" s="65" t="b">
        <v>0</v>
      </c>
      <c r="I4882" s="65" t="b">
        <v>0</v>
      </c>
      <c r="J4882" s="65" t="b">
        <v>0</v>
      </c>
      <c r="K4882" s="63" t="s">
        <v>989</v>
      </c>
      <c r="L4882" s="63" t="s">
        <v>9778</v>
      </c>
      <c r="M4882" s="63" t="s">
        <v>9918</v>
      </c>
      <c r="N4882" s="63" t="s">
        <v>1719</v>
      </c>
    </row>
    <row r="4883" spans="1:14" x14ac:dyDescent="0.2">
      <c r="A4883" s="51">
        <v>4882</v>
      </c>
      <c r="B4883" s="54" t="s">
        <v>989</v>
      </c>
      <c r="C4883" s="47" t="s">
        <v>9904</v>
      </c>
      <c r="D4883" s="47" t="s">
        <v>9905</v>
      </c>
      <c r="E4883" s="48" t="s">
        <v>1719</v>
      </c>
      <c r="F4883" s="66" t="b">
        <v>0</v>
      </c>
      <c r="G4883" s="54" t="b">
        <v>1</v>
      </c>
      <c r="H4883" s="54" t="b">
        <v>1</v>
      </c>
      <c r="I4883" s="54" t="b">
        <v>1</v>
      </c>
      <c r="J4883" s="54" t="b">
        <v>1</v>
      </c>
      <c r="K4883" s="63" t="s">
        <v>989</v>
      </c>
      <c r="L4883" s="63" t="s">
        <v>9904</v>
      </c>
      <c r="M4883" s="63" t="s">
        <v>9905</v>
      </c>
      <c r="N4883" s="63" t="s">
        <v>1719</v>
      </c>
    </row>
    <row r="4884" spans="1:14" x14ac:dyDescent="0.2">
      <c r="A4884" s="51">
        <v>4883</v>
      </c>
      <c r="B4884" s="54" t="s">
        <v>989</v>
      </c>
      <c r="C4884" s="47" t="s">
        <v>9902</v>
      </c>
      <c r="D4884" s="47" t="s">
        <v>9903</v>
      </c>
      <c r="E4884" s="48" t="s">
        <v>1719</v>
      </c>
      <c r="F4884" s="66" t="b">
        <v>0</v>
      </c>
      <c r="G4884" s="54" t="b">
        <v>1</v>
      </c>
      <c r="H4884" s="54" t="b">
        <v>1</v>
      </c>
      <c r="I4884" s="54" t="b">
        <v>1</v>
      </c>
      <c r="J4884" s="54" t="b">
        <v>1</v>
      </c>
      <c r="K4884" s="63" t="s">
        <v>989</v>
      </c>
      <c r="L4884" s="63" t="s">
        <v>9902</v>
      </c>
      <c r="M4884" s="63" t="s">
        <v>9903</v>
      </c>
      <c r="N4884" s="63" t="s">
        <v>1719</v>
      </c>
    </row>
    <row r="4885" spans="1:14" x14ac:dyDescent="0.2">
      <c r="A4885" s="51">
        <v>4884</v>
      </c>
      <c r="B4885" s="54" t="s">
        <v>994</v>
      </c>
      <c r="C4885" s="47" t="s">
        <v>9931</v>
      </c>
      <c r="D4885" s="47" t="s">
        <v>4197</v>
      </c>
      <c r="E4885" s="47" t="s">
        <v>1719</v>
      </c>
      <c r="F4885" s="55" t="b">
        <v>1</v>
      </c>
      <c r="G4885" s="54" t="b">
        <v>1</v>
      </c>
      <c r="H4885" s="54" t="b">
        <v>1</v>
      </c>
      <c r="I4885" s="65" t="b">
        <v>0</v>
      </c>
      <c r="J4885" s="54" t="b">
        <v>1</v>
      </c>
      <c r="K4885" s="63" t="s">
        <v>994</v>
      </c>
      <c r="L4885" s="63" t="s">
        <v>9931</v>
      </c>
      <c r="M4885" s="63" t="s">
        <v>9932</v>
      </c>
      <c r="N4885" s="63" t="s">
        <v>1719</v>
      </c>
    </row>
    <row r="4886" spans="1:14" x14ac:dyDescent="0.2">
      <c r="A4886" s="51">
        <v>4885</v>
      </c>
      <c r="G4886" s="65" t="b">
        <v>0</v>
      </c>
      <c r="H4886" s="65" t="b">
        <v>0</v>
      </c>
      <c r="I4886" s="65" t="b">
        <v>0</v>
      </c>
      <c r="J4886" s="65" t="b">
        <v>0</v>
      </c>
      <c r="K4886" s="63" t="s">
        <v>994</v>
      </c>
      <c r="L4886" s="63" t="s">
        <v>9931</v>
      </c>
      <c r="M4886" s="63" t="s">
        <v>9975</v>
      </c>
      <c r="N4886" s="63" t="s">
        <v>1719</v>
      </c>
    </row>
    <row r="4887" spans="1:14" x14ac:dyDescent="0.2">
      <c r="A4887" s="51">
        <v>4886</v>
      </c>
      <c r="B4887" s="54" t="s">
        <v>994</v>
      </c>
      <c r="C4887" s="47" t="s">
        <v>9962</v>
      </c>
      <c r="D4887" s="47" t="s">
        <v>13671</v>
      </c>
      <c r="E4887" s="48" t="s">
        <v>1790</v>
      </c>
      <c r="F4887" s="66" t="b">
        <v>0</v>
      </c>
      <c r="G4887" s="54" t="b">
        <v>1</v>
      </c>
      <c r="H4887" s="54" t="b">
        <v>1</v>
      </c>
      <c r="I4887" s="65" t="b">
        <v>0</v>
      </c>
      <c r="J4887" s="54" t="b">
        <v>1</v>
      </c>
      <c r="K4887" s="63" t="s">
        <v>994</v>
      </c>
      <c r="L4887" s="63" t="s">
        <v>9962</v>
      </c>
      <c r="M4887" s="63" t="s">
        <v>9963</v>
      </c>
      <c r="N4887" s="63" t="s">
        <v>1790</v>
      </c>
    </row>
    <row r="4888" spans="1:14" x14ac:dyDescent="0.2">
      <c r="A4888" s="51">
        <v>4887</v>
      </c>
      <c r="E4888" s="48"/>
      <c r="G4888" s="65" t="b">
        <v>0</v>
      </c>
      <c r="H4888" s="65" t="b">
        <v>0</v>
      </c>
      <c r="I4888" s="65" t="b">
        <v>0</v>
      </c>
      <c r="J4888" s="65" t="b">
        <v>0</v>
      </c>
      <c r="K4888" s="63" t="s">
        <v>994</v>
      </c>
      <c r="L4888" s="63" t="s">
        <v>9962</v>
      </c>
      <c r="M4888" s="63" t="s">
        <v>9964</v>
      </c>
      <c r="N4888" s="63" t="s">
        <v>1790</v>
      </c>
    </row>
    <row r="4889" spans="1:14" x14ac:dyDescent="0.2">
      <c r="A4889" s="51">
        <v>4888</v>
      </c>
      <c r="B4889" s="54" t="s">
        <v>994</v>
      </c>
      <c r="C4889" s="47" t="s">
        <v>9937</v>
      </c>
      <c r="D4889" s="47" t="s">
        <v>9938</v>
      </c>
      <c r="E4889" s="48" t="s">
        <v>1790</v>
      </c>
      <c r="F4889" s="66" t="b">
        <v>0</v>
      </c>
      <c r="G4889" s="54" t="b">
        <v>1</v>
      </c>
      <c r="H4889" s="54" t="b">
        <v>1</v>
      </c>
      <c r="I4889" s="54" t="b">
        <v>1</v>
      </c>
      <c r="J4889" s="54" t="b">
        <v>1</v>
      </c>
      <c r="K4889" s="63" t="s">
        <v>994</v>
      </c>
      <c r="L4889" s="63" t="s">
        <v>9937</v>
      </c>
      <c r="M4889" s="63" t="s">
        <v>9938</v>
      </c>
      <c r="N4889" s="63" t="s">
        <v>1790</v>
      </c>
    </row>
    <row r="4890" spans="1:14" x14ac:dyDescent="0.2">
      <c r="A4890" s="51">
        <v>4889</v>
      </c>
      <c r="E4890" s="48"/>
      <c r="G4890" s="65" t="b">
        <v>0</v>
      </c>
      <c r="H4890" s="65" t="b">
        <v>0</v>
      </c>
      <c r="I4890" s="65" t="b">
        <v>0</v>
      </c>
      <c r="J4890" s="65" t="b">
        <v>0</v>
      </c>
      <c r="K4890" s="63" t="s">
        <v>994</v>
      </c>
      <c r="L4890" s="63" t="s">
        <v>9937</v>
      </c>
      <c r="M4890" s="63" t="s">
        <v>9944</v>
      </c>
      <c r="N4890" s="63" t="s">
        <v>1790</v>
      </c>
    </row>
    <row r="4891" spans="1:14" x14ac:dyDescent="0.2">
      <c r="A4891" s="51">
        <v>4890</v>
      </c>
      <c r="B4891" s="54" t="s">
        <v>994</v>
      </c>
      <c r="C4891" s="47" t="s">
        <v>9945</v>
      </c>
      <c r="D4891" s="47" t="s">
        <v>13675</v>
      </c>
      <c r="E4891" s="48" t="s">
        <v>1790</v>
      </c>
      <c r="F4891" s="66" t="b">
        <v>0</v>
      </c>
      <c r="G4891" s="54" t="b">
        <v>1</v>
      </c>
      <c r="H4891" s="54" t="b">
        <v>1</v>
      </c>
      <c r="I4891" s="65" t="b">
        <v>0</v>
      </c>
      <c r="J4891" s="54" t="b">
        <v>1</v>
      </c>
      <c r="K4891" s="63" t="s">
        <v>994</v>
      </c>
      <c r="L4891" s="63" t="s">
        <v>9945</v>
      </c>
      <c r="M4891" s="63" t="s">
        <v>9946</v>
      </c>
      <c r="N4891" s="63" t="s">
        <v>1790</v>
      </c>
    </row>
    <row r="4892" spans="1:14" x14ac:dyDescent="0.2">
      <c r="A4892" s="51">
        <v>4891</v>
      </c>
      <c r="E4892" s="48"/>
      <c r="G4892" s="65" t="b">
        <v>0</v>
      </c>
      <c r="H4892" s="65" t="b">
        <v>0</v>
      </c>
      <c r="I4892" s="65" t="b">
        <v>0</v>
      </c>
      <c r="J4892" s="65" t="b">
        <v>0</v>
      </c>
      <c r="K4892" s="63" t="s">
        <v>994</v>
      </c>
      <c r="L4892" s="63" t="s">
        <v>9945</v>
      </c>
      <c r="M4892" s="63" t="s">
        <v>9947</v>
      </c>
      <c r="N4892" s="63" t="s">
        <v>1790</v>
      </c>
    </row>
    <row r="4893" spans="1:14" x14ac:dyDescent="0.2">
      <c r="A4893" s="51">
        <v>4892</v>
      </c>
      <c r="B4893" s="54" t="s">
        <v>994</v>
      </c>
      <c r="C4893" s="47" t="s">
        <v>9965</v>
      </c>
      <c r="D4893" s="47" t="s">
        <v>2720</v>
      </c>
      <c r="E4893" s="47" t="s">
        <v>1719</v>
      </c>
      <c r="F4893" s="55" t="b">
        <v>1</v>
      </c>
      <c r="G4893" s="54" t="b">
        <v>1</v>
      </c>
      <c r="H4893" s="54" t="b">
        <v>1</v>
      </c>
      <c r="I4893" s="65" t="b">
        <v>0</v>
      </c>
      <c r="J4893" s="54" t="b">
        <v>1</v>
      </c>
      <c r="K4893" s="63" t="s">
        <v>994</v>
      </c>
      <c r="L4893" s="63" t="s">
        <v>9965</v>
      </c>
      <c r="M4893" s="63" t="s">
        <v>9966</v>
      </c>
      <c r="N4893" s="63" t="s">
        <v>1719</v>
      </c>
    </row>
    <row r="4894" spans="1:14" x14ac:dyDescent="0.2">
      <c r="A4894" s="51">
        <v>4893</v>
      </c>
      <c r="G4894" s="65" t="b">
        <v>0</v>
      </c>
      <c r="H4894" s="65" t="b">
        <v>0</v>
      </c>
      <c r="I4894" s="65" t="b">
        <v>0</v>
      </c>
      <c r="J4894" s="65" t="b">
        <v>0</v>
      </c>
      <c r="K4894" s="63" t="s">
        <v>994</v>
      </c>
      <c r="L4894" s="63" t="s">
        <v>9965</v>
      </c>
      <c r="M4894" s="63" t="s">
        <v>9970</v>
      </c>
      <c r="N4894" s="63" t="s">
        <v>1719</v>
      </c>
    </row>
    <row r="4895" spans="1:14" x14ac:dyDescent="0.2">
      <c r="A4895" s="51">
        <v>4894</v>
      </c>
      <c r="B4895" s="54" t="s">
        <v>994</v>
      </c>
      <c r="C4895" s="47" t="s">
        <v>9948</v>
      </c>
      <c r="D4895" s="47" t="s">
        <v>13676</v>
      </c>
      <c r="E4895" s="48" t="s">
        <v>1790</v>
      </c>
      <c r="F4895" s="66" t="b">
        <v>0</v>
      </c>
      <c r="G4895" s="54" t="b">
        <v>1</v>
      </c>
      <c r="H4895" s="54" t="b">
        <v>1</v>
      </c>
      <c r="I4895" s="65" t="b">
        <v>0</v>
      </c>
      <c r="J4895" s="54" t="b">
        <v>1</v>
      </c>
      <c r="K4895" s="63" t="s">
        <v>994</v>
      </c>
      <c r="L4895" s="63" t="s">
        <v>9948</v>
      </c>
      <c r="M4895" s="63" t="s">
        <v>9949</v>
      </c>
      <c r="N4895" s="63" t="s">
        <v>1790</v>
      </c>
    </row>
    <row r="4896" spans="1:14" x14ac:dyDescent="0.2">
      <c r="A4896" s="51">
        <v>4895</v>
      </c>
      <c r="E4896" s="48"/>
      <c r="G4896" s="65" t="b">
        <v>0</v>
      </c>
      <c r="H4896" s="65" t="b">
        <v>0</v>
      </c>
      <c r="I4896" s="65" t="b">
        <v>0</v>
      </c>
      <c r="J4896" s="65" t="b">
        <v>0</v>
      </c>
      <c r="K4896" s="63" t="s">
        <v>994</v>
      </c>
      <c r="L4896" s="63" t="s">
        <v>9948</v>
      </c>
      <c r="M4896" s="63" t="s">
        <v>9967</v>
      </c>
      <c r="N4896" s="63" t="s">
        <v>1790</v>
      </c>
    </row>
    <row r="4897" spans="1:14" x14ac:dyDescent="0.2">
      <c r="A4897" s="51">
        <v>4896</v>
      </c>
      <c r="B4897" s="54" t="s">
        <v>994</v>
      </c>
      <c r="C4897" s="47" t="s">
        <v>9979</v>
      </c>
      <c r="D4897" s="47" t="s">
        <v>13681</v>
      </c>
      <c r="E4897" s="48" t="s">
        <v>1790</v>
      </c>
      <c r="F4897" s="66" t="b">
        <v>0</v>
      </c>
      <c r="G4897" s="54" t="b">
        <v>1</v>
      </c>
      <c r="H4897" s="54" t="b">
        <v>1</v>
      </c>
      <c r="I4897" s="65" t="b">
        <v>0</v>
      </c>
      <c r="J4897" s="54" t="b">
        <v>1</v>
      </c>
      <c r="K4897" s="63" t="s">
        <v>994</v>
      </c>
      <c r="L4897" s="63" t="s">
        <v>9979</v>
      </c>
      <c r="M4897" s="63" t="s">
        <v>9980</v>
      </c>
      <c r="N4897" s="63" t="s">
        <v>1790</v>
      </c>
    </row>
    <row r="4898" spans="1:14" x14ac:dyDescent="0.2">
      <c r="A4898" s="51">
        <v>4897</v>
      </c>
      <c r="E4898" s="48"/>
      <c r="G4898" s="65" t="b">
        <v>0</v>
      </c>
      <c r="H4898" s="65" t="b">
        <v>0</v>
      </c>
      <c r="I4898" s="65" t="b">
        <v>0</v>
      </c>
      <c r="J4898" s="65" t="b">
        <v>0</v>
      </c>
      <c r="K4898" s="63" t="s">
        <v>994</v>
      </c>
      <c r="L4898" s="63" t="s">
        <v>9979</v>
      </c>
      <c r="M4898" s="63" t="s">
        <v>9983</v>
      </c>
      <c r="N4898" s="63" t="s">
        <v>1790</v>
      </c>
    </row>
    <row r="4899" spans="1:14" x14ac:dyDescent="0.2">
      <c r="A4899" s="51">
        <v>4898</v>
      </c>
      <c r="B4899" s="54" t="s">
        <v>994</v>
      </c>
      <c r="C4899" s="47" t="s">
        <v>9988</v>
      </c>
      <c r="D4899" s="47" t="s">
        <v>13686</v>
      </c>
      <c r="E4899" s="48" t="s">
        <v>1790</v>
      </c>
      <c r="F4899" s="66" t="b">
        <v>0</v>
      </c>
      <c r="G4899" s="54" t="b">
        <v>1</v>
      </c>
      <c r="H4899" s="54" t="b">
        <v>1</v>
      </c>
      <c r="I4899" s="65" t="b">
        <v>0</v>
      </c>
      <c r="J4899" s="54" t="b">
        <v>1</v>
      </c>
      <c r="K4899" s="63" t="s">
        <v>994</v>
      </c>
      <c r="L4899" s="63" t="s">
        <v>9988</v>
      </c>
      <c r="M4899" s="63" t="s">
        <v>9989</v>
      </c>
      <c r="N4899" s="63" t="s">
        <v>1790</v>
      </c>
    </row>
    <row r="4900" spans="1:14" x14ac:dyDescent="0.2">
      <c r="A4900" s="51">
        <v>4899</v>
      </c>
      <c r="E4900" s="48"/>
      <c r="G4900" s="65" t="b">
        <v>0</v>
      </c>
      <c r="H4900" s="65" t="b">
        <v>0</v>
      </c>
      <c r="I4900" s="65" t="b">
        <v>0</v>
      </c>
      <c r="J4900" s="65" t="b">
        <v>0</v>
      </c>
      <c r="K4900" s="63" t="s">
        <v>994</v>
      </c>
      <c r="L4900" s="63" t="s">
        <v>9988</v>
      </c>
      <c r="M4900" s="63" t="s">
        <v>9990</v>
      </c>
      <c r="N4900" s="63" t="s">
        <v>1790</v>
      </c>
    </row>
    <row r="4901" spans="1:14" x14ac:dyDescent="0.2">
      <c r="A4901" s="51">
        <v>4900</v>
      </c>
      <c r="B4901" s="54" t="s">
        <v>994</v>
      </c>
      <c r="C4901" s="47" t="s">
        <v>9935</v>
      </c>
      <c r="D4901" s="47" t="s">
        <v>2736</v>
      </c>
      <c r="E4901" s="47" t="s">
        <v>1719</v>
      </c>
      <c r="F4901" s="55" t="b">
        <v>1</v>
      </c>
      <c r="G4901" s="54" t="b">
        <v>1</v>
      </c>
      <c r="H4901" s="54" t="b">
        <v>1</v>
      </c>
      <c r="I4901" s="65" t="b">
        <v>0</v>
      </c>
      <c r="J4901" s="54" t="b">
        <v>1</v>
      </c>
      <c r="K4901" s="63" t="s">
        <v>994</v>
      </c>
      <c r="L4901" s="63" t="s">
        <v>9935</v>
      </c>
      <c r="M4901" s="63" t="s">
        <v>9936</v>
      </c>
      <c r="N4901" s="63" t="s">
        <v>1719</v>
      </c>
    </row>
    <row r="4902" spans="1:14" x14ac:dyDescent="0.2">
      <c r="A4902" s="51">
        <v>4901</v>
      </c>
      <c r="G4902" s="65" t="b">
        <v>0</v>
      </c>
      <c r="H4902" s="65" t="b">
        <v>0</v>
      </c>
      <c r="I4902" s="65" t="b">
        <v>0</v>
      </c>
      <c r="J4902" s="65" t="b">
        <v>0</v>
      </c>
      <c r="K4902" s="63" t="s">
        <v>994</v>
      </c>
      <c r="L4902" s="63" t="s">
        <v>9935</v>
      </c>
      <c r="M4902" s="63" t="s">
        <v>10004</v>
      </c>
      <c r="N4902" s="63" t="s">
        <v>1719</v>
      </c>
    </row>
    <row r="4903" spans="1:14" x14ac:dyDescent="0.2">
      <c r="A4903" s="51">
        <v>4902</v>
      </c>
      <c r="B4903" s="54" t="s">
        <v>994</v>
      </c>
      <c r="C4903" s="47" t="s">
        <v>9939</v>
      </c>
      <c r="D4903" s="47" t="s">
        <v>13672</v>
      </c>
      <c r="E4903" s="48" t="s">
        <v>1790</v>
      </c>
      <c r="F4903" s="66" t="b">
        <v>0</v>
      </c>
      <c r="G4903" s="54" t="b">
        <v>1</v>
      </c>
      <c r="H4903" s="54" t="b">
        <v>1</v>
      </c>
      <c r="I4903" s="65" t="b">
        <v>0</v>
      </c>
      <c r="J4903" s="54" t="b">
        <v>1</v>
      </c>
      <c r="K4903" s="63" t="s">
        <v>994</v>
      </c>
      <c r="L4903" s="63" t="s">
        <v>9939</v>
      </c>
      <c r="M4903" s="63" t="s">
        <v>9940</v>
      </c>
      <c r="N4903" s="63" t="s">
        <v>1790</v>
      </c>
    </row>
    <row r="4904" spans="1:14" x14ac:dyDescent="0.2">
      <c r="A4904" s="51">
        <v>4903</v>
      </c>
      <c r="E4904" s="48"/>
      <c r="G4904" s="65" t="b">
        <v>0</v>
      </c>
      <c r="H4904" s="65" t="b">
        <v>0</v>
      </c>
      <c r="I4904" s="65" t="b">
        <v>0</v>
      </c>
      <c r="J4904" s="65" t="b">
        <v>0</v>
      </c>
      <c r="K4904" s="63" t="s">
        <v>994</v>
      </c>
      <c r="L4904" s="63" t="s">
        <v>9939</v>
      </c>
      <c r="M4904" s="63" t="s">
        <v>9961</v>
      </c>
      <c r="N4904" s="63" t="s">
        <v>1790</v>
      </c>
    </row>
    <row r="4905" spans="1:14" x14ac:dyDescent="0.2">
      <c r="A4905" s="51">
        <v>4904</v>
      </c>
      <c r="B4905" s="54" t="s">
        <v>994</v>
      </c>
      <c r="C4905" s="47" t="s">
        <v>9981</v>
      </c>
      <c r="D4905" s="47" t="s">
        <v>13682</v>
      </c>
      <c r="E4905" s="48" t="s">
        <v>1790</v>
      </c>
      <c r="F4905" s="66" t="b">
        <v>0</v>
      </c>
      <c r="G4905" s="54" t="b">
        <v>1</v>
      </c>
      <c r="H4905" s="54" t="b">
        <v>1</v>
      </c>
      <c r="I4905" s="65" t="b">
        <v>0</v>
      </c>
      <c r="J4905" s="54" t="b">
        <v>1</v>
      </c>
      <c r="K4905" s="63" t="s">
        <v>994</v>
      </c>
      <c r="L4905" s="63" t="s">
        <v>9981</v>
      </c>
      <c r="M4905" s="63" t="s">
        <v>9982</v>
      </c>
      <c r="N4905" s="63" t="s">
        <v>1790</v>
      </c>
    </row>
    <row r="4906" spans="1:14" x14ac:dyDescent="0.2">
      <c r="A4906" s="51">
        <v>4905</v>
      </c>
      <c r="E4906" s="48"/>
      <c r="G4906" s="65" t="b">
        <v>0</v>
      </c>
      <c r="H4906" s="65" t="b">
        <v>0</v>
      </c>
      <c r="I4906" s="65" t="b">
        <v>0</v>
      </c>
      <c r="J4906" s="65" t="b">
        <v>0</v>
      </c>
      <c r="K4906" s="63" t="s">
        <v>994</v>
      </c>
      <c r="L4906" s="63" t="s">
        <v>9981</v>
      </c>
      <c r="M4906" s="63" t="s">
        <v>9984</v>
      </c>
      <c r="N4906" s="63" t="s">
        <v>1790</v>
      </c>
    </row>
    <row r="4907" spans="1:14" x14ac:dyDescent="0.2">
      <c r="A4907" s="51">
        <v>4906</v>
      </c>
      <c r="B4907" s="54" t="s">
        <v>994</v>
      </c>
      <c r="C4907" s="47" t="s">
        <v>9921</v>
      </c>
      <c r="D4907" s="47" t="s">
        <v>13673</v>
      </c>
      <c r="E4907" s="48" t="s">
        <v>1790</v>
      </c>
      <c r="F4907" s="66" t="b">
        <v>0</v>
      </c>
      <c r="G4907" s="54" t="b">
        <v>1</v>
      </c>
      <c r="H4907" s="54" t="b">
        <v>1</v>
      </c>
      <c r="I4907" s="65" t="b">
        <v>0</v>
      </c>
      <c r="J4907" s="54" t="b">
        <v>1</v>
      </c>
      <c r="K4907" s="63" t="s">
        <v>994</v>
      </c>
      <c r="L4907" s="63" t="s">
        <v>9921</v>
      </c>
      <c r="M4907" s="63" t="s">
        <v>9922</v>
      </c>
      <c r="N4907" s="63" t="s">
        <v>1790</v>
      </c>
    </row>
    <row r="4908" spans="1:14" x14ac:dyDescent="0.2">
      <c r="A4908" s="51">
        <v>4907</v>
      </c>
      <c r="E4908" s="48"/>
      <c r="G4908" s="65" t="b">
        <v>0</v>
      </c>
      <c r="H4908" s="65" t="b">
        <v>0</v>
      </c>
      <c r="I4908" s="65" t="b">
        <v>0</v>
      </c>
      <c r="J4908" s="65" t="b">
        <v>0</v>
      </c>
      <c r="K4908" s="63" t="s">
        <v>994</v>
      </c>
      <c r="L4908" s="63" t="s">
        <v>9921</v>
      </c>
      <c r="M4908" s="63" t="s">
        <v>9941</v>
      </c>
      <c r="N4908" s="63" t="s">
        <v>1790</v>
      </c>
    </row>
    <row r="4909" spans="1:14" x14ac:dyDescent="0.2">
      <c r="A4909" s="51">
        <v>4908</v>
      </c>
      <c r="B4909" s="54" t="s">
        <v>994</v>
      </c>
      <c r="C4909" s="47" t="s">
        <v>10005</v>
      </c>
      <c r="D4909" s="47" t="s">
        <v>6831</v>
      </c>
      <c r="E4909" s="47" t="s">
        <v>1719</v>
      </c>
      <c r="F4909" s="55" t="b">
        <v>1</v>
      </c>
      <c r="G4909" s="54" t="b">
        <v>1</v>
      </c>
      <c r="H4909" s="54" t="b">
        <v>1</v>
      </c>
      <c r="I4909" s="65" t="b">
        <v>0</v>
      </c>
      <c r="J4909" s="54" t="b">
        <v>1</v>
      </c>
      <c r="K4909" s="63" t="s">
        <v>994</v>
      </c>
      <c r="L4909" s="63" t="s">
        <v>10005</v>
      </c>
      <c r="M4909" s="63" t="s">
        <v>10006</v>
      </c>
      <c r="N4909" s="63" t="s">
        <v>1719</v>
      </c>
    </row>
    <row r="4910" spans="1:14" x14ac:dyDescent="0.2">
      <c r="A4910" s="51">
        <v>4909</v>
      </c>
      <c r="G4910" s="65" t="b">
        <v>0</v>
      </c>
      <c r="H4910" s="65" t="b">
        <v>0</v>
      </c>
      <c r="I4910" s="65" t="b">
        <v>0</v>
      </c>
      <c r="J4910" s="65" t="b">
        <v>0</v>
      </c>
      <c r="K4910" s="63" t="s">
        <v>994</v>
      </c>
      <c r="L4910" s="63" t="s">
        <v>10005</v>
      </c>
      <c r="M4910" s="63" t="s">
        <v>10014</v>
      </c>
      <c r="N4910" s="63" t="s">
        <v>1719</v>
      </c>
    </row>
    <row r="4911" spans="1:14" x14ac:dyDescent="0.2">
      <c r="A4911" s="51">
        <v>4910</v>
      </c>
      <c r="B4911" s="54" t="s">
        <v>994</v>
      </c>
      <c r="C4911" s="47" t="s">
        <v>10017</v>
      </c>
      <c r="D4911" s="47" t="s">
        <v>13674</v>
      </c>
      <c r="E4911" s="48" t="s">
        <v>1790</v>
      </c>
      <c r="F4911" s="66" t="b">
        <v>0</v>
      </c>
      <c r="G4911" s="54" t="b">
        <v>1</v>
      </c>
      <c r="H4911" s="54" t="b">
        <v>1</v>
      </c>
      <c r="I4911" s="65" t="b">
        <v>0</v>
      </c>
      <c r="J4911" s="54" t="b">
        <v>1</v>
      </c>
      <c r="K4911" s="63" t="s">
        <v>994</v>
      </c>
      <c r="L4911" s="63" t="s">
        <v>10017</v>
      </c>
      <c r="M4911" s="63" t="s">
        <v>10018</v>
      </c>
      <c r="N4911" s="63" t="s">
        <v>1790</v>
      </c>
    </row>
    <row r="4912" spans="1:14" x14ac:dyDescent="0.2">
      <c r="A4912" s="51">
        <v>4911</v>
      </c>
      <c r="E4912" s="48"/>
      <c r="G4912" s="65" t="b">
        <v>0</v>
      </c>
      <c r="H4912" s="65" t="b">
        <v>0</v>
      </c>
      <c r="I4912" s="65" t="b">
        <v>0</v>
      </c>
      <c r="J4912" s="65" t="b">
        <v>0</v>
      </c>
      <c r="K4912" s="63" t="s">
        <v>994</v>
      </c>
      <c r="L4912" s="63" t="s">
        <v>10017</v>
      </c>
      <c r="M4912" s="63" t="s">
        <v>10019</v>
      </c>
      <c r="N4912" s="63" t="s">
        <v>1790</v>
      </c>
    </row>
    <row r="4913" spans="1:14" x14ac:dyDescent="0.2">
      <c r="A4913" s="51">
        <v>4912</v>
      </c>
      <c r="B4913" s="54" t="s">
        <v>994</v>
      </c>
      <c r="C4913" s="47" t="s">
        <v>9952</v>
      </c>
      <c r="D4913" s="47" t="s">
        <v>13678</v>
      </c>
      <c r="E4913" s="48" t="s">
        <v>1790</v>
      </c>
      <c r="F4913" s="66" t="b">
        <v>0</v>
      </c>
      <c r="G4913" s="54" t="b">
        <v>1</v>
      </c>
      <c r="H4913" s="54" t="b">
        <v>1</v>
      </c>
      <c r="I4913" s="65" t="b">
        <v>0</v>
      </c>
      <c r="J4913" s="54" t="b">
        <v>1</v>
      </c>
      <c r="K4913" s="63" t="s">
        <v>994</v>
      </c>
      <c r="L4913" s="63" t="s">
        <v>9952</v>
      </c>
      <c r="M4913" s="63" t="s">
        <v>9953</v>
      </c>
      <c r="N4913" s="63" t="s">
        <v>1790</v>
      </c>
    </row>
    <row r="4914" spans="1:14" x14ac:dyDescent="0.2">
      <c r="A4914" s="51">
        <v>4913</v>
      </c>
      <c r="E4914" s="48"/>
      <c r="G4914" s="65" t="b">
        <v>0</v>
      </c>
      <c r="H4914" s="65" t="b">
        <v>0</v>
      </c>
      <c r="I4914" s="65" t="b">
        <v>0</v>
      </c>
      <c r="J4914" s="65" t="b">
        <v>0</v>
      </c>
      <c r="K4914" s="63" t="s">
        <v>994</v>
      </c>
      <c r="L4914" s="63" t="s">
        <v>9952</v>
      </c>
      <c r="M4914" s="63" t="s">
        <v>9956</v>
      </c>
      <c r="N4914" s="63" t="s">
        <v>1790</v>
      </c>
    </row>
    <row r="4915" spans="1:14" x14ac:dyDescent="0.2">
      <c r="A4915" s="51">
        <v>4914</v>
      </c>
      <c r="B4915" s="54" t="s">
        <v>994</v>
      </c>
      <c r="C4915" s="47" t="s">
        <v>9968</v>
      </c>
      <c r="D4915" s="47" t="s">
        <v>13680</v>
      </c>
      <c r="E4915" s="48" t="s">
        <v>1790</v>
      </c>
      <c r="F4915" s="66" t="b">
        <v>0</v>
      </c>
      <c r="G4915" s="54" t="b">
        <v>1</v>
      </c>
      <c r="H4915" s="54" t="b">
        <v>1</v>
      </c>
      <c r="I4915" s="65" t="b">
        <v>0</v>
      </c>
      <c r="J4915" s="54" t="b">
        <v>1</v>
      </c>
      <c r="K4915" s="63" t="s">
        <v>994</v>
      </c>
      <c r="L4915" s="63" t="s">
        <v>9968</v>
      </c>
      <c r="M4915" s="63" t="s">
        <v>9969</v>
      </c>
      <c r="N4915" s="63" t="s">
        <v>1790</v>
      </c>
    </row>
    <row r="4916" spans="1:14" x14ac:dyDescent="0.2">
      <c r="A4916" s="51">
        <v>4915</v>
      </c>
      <c r="E4916" s="48"/>
      <c r="G4916" s="65" t="b">
        <v>0</v>
      </c>
      <c r="H4916" s="65" t="b">
        <v>0</v>
      </c>
      <c r="I4916" s="65" t="b">
        <v>0</v>
      </c>
      <c r="J4916" s="65" t="b">
        <v>0</v>
      </c>
      <c r="K4916" s="63" t="s">
        <v>994</v>
      </c>
      <c r="L4916" s="63" t="s">
        <v>9968</v>
      </c>
      <c r="M4916" s="63" t="s">
        <v>9973</v>
      </c>
      <c r="N4916" s="63" t="s">
        <v>1790</v>
      </c>
    </row>
    <row r="4917" spans="1:14" x14ac:dyDescent="0.2">
      <c r="A4917" s="51">
        <v>4916</v>
      </c>
      <c r="B4917" s="54" t="s">
        <v>994</v>
      </c>
      <c r="C4917" s="47" t="s">
        <v>10009</v>
      </c>
      <c r="D4917" s="47" t="s">
        <v>13692</v>
      </c>
      <c r="E4917" s="48" t="s">
        <v>1790</v>
      </c>
      <c r="F4917" s="66" t="b">
        <v>0</v>
      </c>
      <c r="G4917" s="54" t="b">
        <v>1</v>
      </c>
      <c r="H4917" s="54" t="b">
        <v>1</v>
      </c>
      <c r="I4917" s="65" t="b">
        <v>0</v>
      </c>
      <c r="J4917" s="54" t="b">
        <v>1</v>
      </c>
      <c r="K4917" s="63" t="s">
        <v>994</v>
      </c>
      <c r="L4917" s="63" t="s">
        <v>10009</v>
      </c>
      <c r="M4917" s="63" t="s">
        <v>10010</v>
      </c>
      <c r="N4917" s="63" t="s">
        <v>1790</v>
      </c>
    </row>
    <row r="4918" spans="1:14" x14ac:dyDescent="0.2">
      <c r="A4918" s="51">
        <v>4917</v>
      </c>
      <c r="E4918" s="48"/>
      <c r="G4918" s="65" t="b">
        <v>0</v>
      </c>
      <c r="H4918" s="65" t="b">
        <v>0</v>
      </c>
      <c r="I4918" s="65" t="b">
        <v>0</v>
      </c>
      <c r="J4918" s="65" t="b">
        <v>0</v>
      </c>
      <c r="K4918" s="63" t="s">
        <v>994</v>
      </c>
      <c r="L4918" s="63" t="s">
        <v>10009</v>
      </c>
      <c r="M4918" s="63" t="s">
        <v>10011</v>
      </c>
      <c r="N4918" s="63" t="s">
        <v>1790</v>
      </c>
    </row>
    <row r="4919" spans="1:14" x14ac:dyDescent="0.2">
      <c r="A4919" s="51">
        <v>4918</v>
      </c>
      <c r="B4919" s="54" t="s">
        <v>994</v>
      </c>
      <c r="C4919" s="47" t="s">
        <v>9976</v>
      </c>
      <c r="D4919" s="47" t="s">
        <v>13684</v>
      </c>
      <c r="E4919" s="48" t="s">
        <v>1790</v>
      </c>
      <c r="F4919" s="66" t="b">
        <v>0</v>
      </c>
      <c r="G4919" s="54" t="b">
        <v>1</v>
      </c>
      <c r="H4919" s="54" t="b">
        <v>1</v>
      </c>
      <c r="I4919" s="65" t="b">
        <v>0</v>
      </c>
      <c r="J4919" s="54" t="b">
        <v>1</v>
      </c>
      <c r="K4919" s="63" t="s">
        <v>994</v>
      </c>
      <c r="L4919" s="63" t="s">
        <v>9976</v>
      </c>
      <c r="M4919" s="63" t="s">
        <v>9977</v>
      </c>
      <c r="N4919" s="63" t="s">
        <v>1790</v>
      </c>
    </row>
    <row r="4920" spans="1:14" x14ac:dyDescent="0.2">
      <c r="A4920" s="51">
        <v>4919</v>
      </c>
      <c r="E4920" s="48"/>
      <c r="G4920" s="65" t="b">
        <v>0</v>
      </c>
      <c r="H4920" s="65" t="b">
        <v>0</v>
      </c>
      <c r="I4920" s="65" t="b">
        <v>0</v>
      </c>
      <c r="J4920" s="65" t="b">
        <v>0</v>
      </c>
      <c r="K4920" s="63" t="s">
        <v>994</v>
      </c>
      <c r="L4920" s="63" t="s">
        <v>9976</v>
      </c>
      <c r="M4920" s="63" t="s">
        <v>9978</v>
      </c>
      <c r="N4920" s="63" t="s">
        <v>1790</v>
      </c>
    </row>
    <row r="4921" spans="1:14" x14ac:dyDescent="0.2">
      <c r="A4921" s="51">
        <v>4920</v>
      </c>
      <c r="B4921" s="54" t="s">
        <v>994</v>
      </c>
      <c r="C4921" s="47" t="s">
        <v>9954</v>
      </c>
      <c r="D4921" s="47" t="s">
        <v>4191</v>
      </c>
      <c r="E4921" s="47" t="s">
        <v>1719</v>
      </c>
      <c r="F4921" s="55" t="b">
        <v>1</v>
      </c>
      <c r="G4921" s="54" t="b">
        <v>1</v>
      </c>
      <c r="H4921" s="54" t="b">
        <v>1</v>
      </c>
      <c r="I4921" s="65" t="b">
        <v>0</v>
      </c>
      <c r="J4921" s="54" t="b">
        <v>1</v>
      </c>
      <c r="K4921" s="63" t="s">
        <v>994</v>
      </c>
      <c r="L4921" s="63" t="s">
        <v>9954</v>
      </c>
      <c r="M4921" s="63" t="s">
        <v>9955</v>
      </c>
      <c r="N4921" s="63" t="s">
        <v>1719</v>
      </c>
    </row>
    <row r="4922" spans="1:14" x14ac:dyDescent="0.2">
      <c r="A4922" s="51">
        <v>4921</v>
      </c>
      <c r="G4922" s="65" t="b">
        <v>0</v>
      </c>
      <c r="H4922" s="65" t="b">
        <v>0</v>
      </c>
      <c r="I4922" s="65" t="b">
        <v>0</v>
      </c>
      <c r="J4922" s="65" t="b">
        <v>0</v>
      </c>
      <c r="K4922" s="63" t="s">
        <v>994</v>
      </c>
      <c r="L4922" s="63" t="s">
        <v>9954</v>
      </c>
      <c r="M4922" s="63" t="s">
        <v>9991</v>
      </c>
      <c r="N4922" s="63" t="s">
        <v>1719</v>
      </c>
    </row>
    <row r="4923" spans="1:14" x14ac:dyDescent="0.2">
      <c r="A4923" s="51">
        <v>4922</v>
      </c>
      <c r="B4923" s="54" t="s">
        <v>994</v>
      </c>
      <c r="C4923" s="47" t="s">
        <v>9971</v>
      </c>
      <c r="D4923" s="47" t="s">
        <v>13670</v>
      </c>
      <c r="E4923" s="48" t="s">
        <v>1790</v>
      </c>
      <c r="F4923" s="66" t="b">
        <v>0</v>
      </c>
      <c r="G4923" s="54" t="b">
        <v>1</v>
      </c>
      <c r="H4923" s="54" t="b">
        <v>1</v>
      </c>
      <c r="I4923" s="65" t="b">
        <v>0</v>
      </c>
      <c r="J4923" s="54" t="b">
        <v>1</v>
      </c>
      <c r="K4923" s="63" t="s">
        <v>994</v>
      </c>
      <c r="L4923" s="63" t="s">
        <v>9971</v>
      </c>
      <c r="M4923" s="63" t="s">
        <v>9972</v>
      </c>
      <c r="N4923" s="63" t="s">
        <v>1790</v>
      </c>
    </row>
    <row r="4924" spans="1:14" x14ac:dyDescent="0.2">
      <c r="A4924" s="51">
        <v>4923</v>
      </c>
      <c r="E4924" s="48"/>
      <c r="G4924" s="65" t="b">
        <v>0</v>
      </c>
      <c r="H4924" s="65" t="b">
        <v>0</v>
      </c>
      <c r="I4924" s="65" t="b">
        <v>0</v>
      </c>
      <c r="J4924" s="65" t="b">
        <v>0</v>
      </c>
      <c r="K4924" s="63" t="s">
        <v>994</v>
      </c>
      <c r="L4924" s="63" t="s">
        <v>9971</v>
      </c>
      <c r="M4924" s="63" t="s">
        <v>9974</v>
      </c>
      <c r="N4924" s="63" t="s">
        <v>1790</v>
      </c>
    </row>
    <row r="4925" spans="1:14" x14ac:dyDescent="0.2">
      <c r="A4925" s="51">
        <v>4924</v>
      </c>
      <c r="B4925" s="54" t="s">
        <v>994</v>
      </c>
      <c r="C4925" s="47" t="s">
        <v>9923</v>
      </c>
      <c r="D4925" s="47" t="s">
        <v>13668</v>
      </c>
      <c r="E4925" s="48" t="s">
        <v>1790</v>
      </c>
      <c r="F4925" s="66" t="b">
        <v>0</v>
      </c>
      <c r="G4925" s="54" t="b">
        <v>1</v>
      </c>
      <c r="H4925" s="54" t="b">
        <v>1</v>
      </c>
      <c r="I4925" s="65" t="b">
        <v>0</v>
      </c>
      <c r="J4925" s="54" t="b">
        <v>1</v>
      </c>
      <c r="K4925" s="63" t="s">
        <v>994</v>
      </c>
      <c r="L4925" s="63" t="s">
        <v>9923</v>
      </c>
      <c r="M4925" s="63" t="s">
        <v>9924</v>
      </c>
      <c r="N4925" s="63" t="s">
        <v>1790</v>
      </c>
    </row>
    <row r="4926" spans="1:14" x14ac:dyDescent="0.2">
      <c r="A4926" s="51">
        <v>4925</v>
      </c>
      <c r="E4926" s="48"/>
      <c r="G4926" s="65" t="b">
        <v>0</v>
      </c>
      <c r="H4926" s="65" t="b">
        <v>0</v>
      </c>
      <c r="I4926" s="65" t="b">
        <v>0</v>
      </c>
      <c r="J4926" s="65" t="b">
        <v>0</v>
      </c>
      <c r="K4926" s="63" t="s">
        <v>994</v>
      </c>
      <c r="L4926" s="63" t="s">
        <v>9923</v>
      </c>
      <c r="M4926" s="63" t="s">
        <v>9925</v>
      </c>
      <c r="N4926" s="63" t="s">
        <v>1790</v>
      </c>
    </row>
    <row r="4927" spans="1:14" x14ac:dyDescent="0.2">
      <c r="A4927" s="51">
        <v>4926</v>
      </c>
      <c r="B4927" s="54" t="s">
        <v>994</v>
      </c>
      <c r="C4927" s="47" t="s">
        <v>10001</v>
      </c>
      <c r="D4927" s="47" t="s">
        <v>13690</v>
      </c>
      <c r="E4927" s="48" t="s">
        <v>1790</v>
      </c>
      <c r="F4927" s="66" t="b">
        <v>0</v>
      </c>
      <c r="G4927" s="54" t="b">
        <v>1</v>
      </c>
      <c r="H4927" s="54" t="b">
        <v>1</v>
      </c>
      <c r="I4927" s="65" t="b">
        <v>0</v>
      </c>
      <c r="J4927" s="54" t="b">
        <v>1</v>
      </c>
      <c r="K4927" s="63" t="s">
        <v>994</v>
      </c>
      <c r="L4927" s="63" t="s">
        <v>10001</v>
      </c>
      <c r="M4927" s="63" t="s">
        <v>10002</v>
      </c>
      <c r="N4927" s="63" t="s">
        <v>1790</v>
      </c>
    </row>
    <row r="4928" spans="1:14" x14ac:dyDescent="0.2">
      <c r="A4928" s="51">
        <v>4927</v>
      </c>
      <c r="E4928" s="48"/>
      <c r="G4928" s="65" t="b">
        <v>0</v>
      </c>
      <c r="H4928" s="65" t="b">
        <v>0</v>
      </c>
      <c r="I4928" s="65" t="b">
        <v>0</v>
      </c>
      <c r="J4928" s="65" t="b">
        <v>0</v>
      </c>
      <c r="K4928" s="63" t="s">
        <v>994</v>
      </c>
      <c r="L4928" s="63" t="s">
        <v>10001</v>
      </c>
      <c r="M4928" s="63" t="s">
        <v>10003</v>
      </c>
      <c r="N4928" s="63" t="s">
        <v>1790</v>
      </c>
    </row>
    <row r="4929" spans="1:14" x14ac:dyDescent="0.2">
      <c r="A4929" s="51">
        <v>4928</v>
      </c>
      <c r="B4929" s="54" t="s">
        <v>994</v>
      </c>
      <c r="C4929" s="47" t="s">
        <v>10012</v>
      </c>
      <c r="D4929" s="47" t="s">
        <v>13685</v>
      </c>
      <c r="E4929" s="47" t="s">
        <v>1719</v>
      </c>
      <c r="F4929" s="55" t="b">
        <v>1</v>
      </c>
      <c r="G4929" s="54" t="b">
        <v>1</v>
      </c>
      <c r="H4929" s="54" t="b">
        <v>1</v>
      </c>
      <c r="I4929" s="65" t="b">
        <v>0</v>
      </c>
      <c r="J4929" s="54" t="b">
        <v>1</v>
      </c>
      <c r="K4929" s="63" t="s">
        <v>994</v>
      </c>
      <c r="L4929" s="63" t="s">
        <v>10012</v>
      </c>
      <c r="M4929" s="63" t="s">
        <v>10013</v>
      </c>
      <c r="N4929" s="63" t="s">
        <v>1719</v>
      </c>
    </row>
    <row r="4930" spans="1:14" x14ac:dyDescent="0.2">
      <c r="A4930" s="51">
        <v>4929</v>
      </c>
      <c r="G4930" s="65" t="b">
        <v>0</v>
      </c>
      <c r="H4930" s="65" t="b">
        <v>0</v>
      </c>
      <c r="I4930" s="65" t="b">
        <v>0</v>
      </c>
      <c r="J4930" s="65" t="b">
        <v>0</v>
      </c>
      <c r="K4930" s="63" t="s">
        <v>994</v>
      </c>
      <c r="L4930" s="63" t="s">
        <v>10012</v>
      </c>
      <c r="M4930" s="63" t="s">
        <v>10016</v>
      </c>
      <c r="N4930" s="63" t="s">
        <v>1719</v>
      </c>
    </row>
    <row r="4931" spans="1:14" x14ac:dyDescent="0.2">
      <c r="A4931" s="51">
        <v>4930</v>
      </c>
      <c r="B4931" s="54" t="s">
        <v>994</v>
      </c>
      <c r="C4931" s="47" t="s">
        <v>9957</v>
      </c>
      <c r="D4931" s="47" t="s">
        <v>13679</v>
      </c>
      <c r="E4931" s="48" t="s">
        <v>1790</v>
      </c>
      <c r="F4931" s="66" t="b">
        <v>0</v>
      </c>
      <c r="G4931" s="54" t="b">
        <v>1</v>
      </c>
      <c r="H4931" s="54" t="b">
        <v>1</v>
      </c>
      <c r="I4931" s="65" t="b">
        <v>0</v>
      </c>
      <c r="J4931" s="54" t="b">
        <v>1</v>
      </c>
      <c r="K4931" s="63" t="s">
        <v>994</v>
      </c>
      <c r="L4931" s="63" t="s">
        <v>9957</v>
      </c>
      <c r="M4931" s="63" t="s">
        <v>9958</v>
      </c>
      <c r="N4931" s="63" t="s">
        <v>1790</v>
      </c>
    </row>
    <row r="4932" spans="1:14" x14ac:dyDescent="0.2">
      <c r="A4932" s="51">
        <v>4931</v>
      </c>
      <c r="E4932" s="48"/>
      <c r="G4932" s="65" t="b">
        <v>0</v>
      </c>
      <c r="H4932" s="65" t="b">
        <v>0</v>
      </c>
      <c r="I4932" s="65" t="b">
        <v>0</v>
      </c>
      <c r="J4932" s="65" t="b">
        <v>0</v>
      </c>
      <c r="K4932" s="63" t="s">
        <v>994</v>
      </c>
      <c r="L4932" s="63" t="s">
        <v>9957</v>
      </c>
      <c r="M4932" s="63" t="s">
        <v>9959</v>
      </c>
      <c r="N4932" s="63" t="s">
        <v>1790</v>
      </c>
    </row>
    <row r="4933" spans="1:14" x14ac:dyDescent="0.2">
      <c r="A4933" s="51">
        <v>4932</v>
      </c>
      <c r="B4933" s="54" t="s">
        <v>994</v>
      </c>
      <c r="C4933" s="47" t="s">
        <v>9993</v>
      </c>
      <c r="D4933" s="47" t="s">
        <v>13688</v>
      </c>
      <c r="E4933" s="48" t="s">
        <v>1790</v>
      </c>
      <c r="F4933" s="66" t="b">
        <v>0</v>
      </c>
      <c r="G4933" s="54" t="b">
        <v>1</v>
      </c>
      <c r="H4933" s="54" t="b">
        <v>1</v>
      </c>
      <c r="I4933" s="65" t="b">
        <v>0</v>
      </c>
      <c r="J4933" s="54" t="b">
        <v>1</v>
      </c>
      <c r="K4933" s="63" t="s">
        <v>994</v>
      </c>
      <c r="L4933" s="63" t="s">
        <v>9993</v>
      </c>
      <c r="M4933" s="63" t="s">
        <v>9995</v>
      </c>
      <c r="N4933" s="63" t="s">
        <v>1790</v>
      </c>
    </row>
    <row r="4934" spans="1:14" x14ac:dyDescent="0.2">
      <c r="A4934" s="51">
        <v>4933</v>
      </c>
      <c r="E4934" s="48"/>
      <c r="G4934" s="65" t="b">
        <v>0</v>
      </c>
      <c r="H4934" s="65" t="b">
        <v>0</v>
      </c>
      <c r="I4934" s="65" t="b">
        <v>0</v>
      </c>
      <c r="J4934" s="65" t="b">
        <v>0</v>
      </c>
      <c r="K4934" s="63" t="s">
        <v>994</v>
      </c>
      <c r="L4934" s="63" t="s">
        <v>9993</v>
      </c>
      <c r="M4934" s="63" t="s">
        <v>9994</v>
      </c>
      <c r="N4934" s="63" t="s">
        <v>1790</v>
      </c>
    </row>
    <row r="4935" spans="1:14" x14ac:dyDescent="0.2">
      <c r="A4935" s="51">
        <v>4934</v>
      </c>
      <c r="B4935" s="54" t="s">
        <v>994</v>
      </c>
      <c r="C4935" s="47" t="s">
        <v>10007</v>
      </c>
      <c r="D4935" s="47" t="s">
        <v>4193</v>
      </c>
      <c r="E4935" s="47" t="s">
        <v>1719</v>
      </c>
      <c r="F4935" s="55" t="b">
        <v>1</v>
      </c>
      <c r="G4935" s="54" t="b">
        <v>1</v>
      </c>
      <c r="H4935" s="54" t="b">
        <v>1</v>
      </c>
      <c r="I4935" s="65" t="b">
        <v>0</v>
      </c>
      <c r="J4935" s="54" t="b">
        <v>1</v>
      </c>
      <c r="K4935" s="63" t="s">
        <v>994</v>
      </c>
      <c r="L4935" s="63" t="s">
        <v>10007</v>
      </c>
      <c r="M4935" s="63" t="s">
        <v>10008</v>
      </c>
      <c r="N4935" s="63" t="s">
        <v>1719</v>
      </c>
    </row>
    <row r="4936" spans="1:14" x14ac:dyDescent="0.2">
      <c r="A4936" s="51">
        <v>4935</v>
      </c>
      <c r="G4936" s="65" t="b">
        <v>0</v>
      </c>
      <c r="H4936" s="65" t="b">
        <v>0</v>
      </c>
      <c r="I4936" s="65" t="b">
        <v>0</v>
      </c>
      <c r="J4936" s="65" t="b">
        <v>0</v>
      </c>
      <c r="K4936" s="63" t="s">
        <v>994</v>
      </c>
      <c r="L4936" s="63" t="s">
        <v>10007</v>
      </c>
      <c r="M4936" s="63" t="s">
        <v>10015</v>
      </c>
      <c r="N4936" s="63" t="s">
        <v>1719</v>
      </c>
    </row>
    <row r="4937" spans="1:14" x14ac:dyDescent="0.2">
      <c r="A4937" s="51">
        <v>4936</v>
      </c>
      <c r="B4937" s="54" t="s">
        <v>994</v>
      </c>
      <c r="C4937" s="47" t="s">
        <v>9926</v>
      </c>
      <c r="D4937" s="47" t="s">
        <v>13669</v>
      </c>
      <c r="E4937" s="48" t="s">
        <v>1790</v>
      </c>
      <c r="F4937" s="66" t="b">
        <v>0</v>
      </c>
      <c r="G4937" s="54" t="b">
        <v>1</v>
      </c>
      <c r="H4937" s="54" t="b">
        <v>1</v>
      </c>
      <c r="I4937" s="65" t="b">
        <v>0</v>
      </c>
      <c r="J4937" s="54" t="b">
        <v>1</v>
      </c>
      <c r="K4937" s="63" t="s">
        <v>994</v>
      </c>
      <c r="L4937" s="63" t="s">
        <v>9926</v>
      </c>
      <c r="M4937" s="63" t="s">
        <v>9927</v>
      </c>
      <c r="N4937" s="63" t="s">
        <v>1790</v>
      </c>
    </row>
    <row r="4938" spans="1:14" x14ac:dyDescent="0.2">
      <c r="A4938" s="51">
        <v>4937</v>
      </c>
      <c r="E4938" s="48"/>
      <c r="G4938" s="65" t="b">
        <v>0</v>
      </c>
      <c r="H4938" s="65" t="b">
        <v>0</v>
      </c>
      <c r="I4938" s="65" t="b">
        <v>0</v>
      </c>
      <c r="J4938" s="65" t="b">
        <v>0</v>
      </c>
      <c r="K4938" s="63" t="s">
        <v>994</v>
      </c>
      <c r="L4938" s="63" t="s">
        <v>9926</v>
      </c>
      <c r="M4938" s="63" t="s">
        <v>9928</v>
      </c>
      <c r="N4938" s="63" t="s">
        <v>1790</v>
      </c>
    </row>
    <row r="4939" spans="1:14" x14ac:dyDescent="0.2">
      <c r="A4939" s="51">
        <v>4938</v>
      </c>
      <c r="B4939" s="54" t="s">
        <v>994</v>
      </c>
      <c r="C4939" s="47" t="s">
        <v>9996</v>
      </c>
      <c r="D4939" s="47" t="s">
        <v>13687</v>
      </c>
      <c r="E4939" s="48" t="s">
        <v>1790</v>
      </c>
      <c r="F4939" s="66" t="b">
        <v>0</v>
      </c>
      <c r="G4939" s="54" t="b">
        <v>1</v>
      </c>
      <c r="H4939" s="54" t="b">
        <v>1</v>
      </c>
      <c r="I4939" s="65" t="b">
        <v>0</v>
      </c>
      <c r="J4939" s="54" t="b">
        <v>1</v>
      </c>
      <c r="K4939" s="63" t="s">
        <v>994</v>
      </c>
      <c r="L4939" s="63" t="s">
        <v>9996</v>
      </c>
      <c r="M4939" s="63" t="s">
        <v>9997</v>
      </c>
      <c r="N4939" s="63" t="s">
        <v>1790</v>
      </c>
    </row>
    <row r="4940" spans="1:14" x14ac:dyDescent="0.2">
      <c r="A4940" s="51">
        <v>4939</v>
      </c>
      <c r="E4940" s="48"/>
      <c r="G4940" s="65" t="b">
        <v>0</v>
      </c>
      <c r="H4940" s="65" t="b">
        <v>0</v>
      </c>
      <c r="I4940" s="65" t="b">
        <v>0</v>
      </c>
      <c r="J4940" s="65" t="b">
        <v>0</v>
      </c>
      <c r="K4940" s="63" t="s">
        <v>994</v>
      </c>
      <c r="L4940" s="63" t="s">
        <v>9996</v>
      </c>
      <c r="M4940" s="63" t="s">
        <v>9998</v>
      </c>
      <c r="N4940" s="63" t="s">
        <v>1790</v>
      </c>
    </row>
    <row r="4941" spans="1:14" x14ac:dyDescent="0.2">
      <c r="A4941" s="51">
        <v>4940</v>
      </c>
      <c r="B4941" s="54" t="s">
        <v>994</v>
      </c>
      <c r="C4941" s="47" t="s">
        <v>10020</v>
      </c>
      <c r="D4941" s="47" t="s">
        <v>13691</v>
      </c>
      <c r="E4941" s="47" t="s">
        <v>1719</v>
      </c>
      <c r="F4941" s="55" t="b">
        <v>1</v>
      </c>
      <c r="G4941" s="54" t="b">
        <v>1</v>
      </c>
      <c r="H4941" s="54" t="b">
        <v>1</v>
      </c>
      <c r="I4941" s="65" t="b">
        <v>0</v>
      </c>
      <c r="J4941" s="54" t="b">
        <v>1</v>
      </c>
      <c r="K4941" s="63" t="s">
        <v>994</v>
      </c>
      <c r="L4941" s="63" t="s">
        <v>10020</v>
      </c>
      <c r="M4941" s="63" t="s">
        <v>10021</v>
      </c>
      <c r="N4941" s="63" t="s">
        <v>1719</v>
      </c>
    </row>
    <row r="4942" spans="1:14" x14ac:dyDescent="0.2">
      <c r="A4942" s="51">
        <v>4941</v>
      </c>
      <c r="G4942" s="65" t="b">
        <v>0</v>
      </c>
      <c r="H4942" s="65" t="b">
        <v>0</v>
      </c>
      <c r="I4942" s="65" t="b">
        <v>0</v>
      </c>
      <c r="J4942" s="65" t="b">
        <v>0</v>
      </c>
      <c r="K4942" s="63" t="s">
        <v>994</v>
      </c>
      <c r="L4942" s="63" t="s">
        <v>10020</v>
      </c>
      <c r="M4942" s="63" t="s">
        <v>10022</v>
      </c>
      <c r="N4942" s="63" t="s">
        <v>1719</v>
      </c>
    </row>
    <row r="4943" spans="1:14" x14ac:dyDescent="0.2">
      <c r="A4943" s="51">
        <v>4942</v>
      </c>
      <c r="B4943" s="54" t="s">
        <v>994</v>
      </c>
      <c r="C4943" s="47" t="s">
        <v>9929</v>
      </c>
      <c r="D4943" s="47" t="s">
        <v>9930</v>
      </c>
      <c r="E4943" s="48" t="s">
        <v>1790</v>
      </c>
      <c r="F4943" s="66" t="b">
        <v>0</v>
      </c>
      <c r="G4943" s="54" t="b">
        <v>1</v>
      </c>
      <c r="H4943" s="54" t="b">
        <v>1</v>
      </c>
      <c r="I4943" s="54" t="b">
        <v>1</v>
      </c>
      <c r="J4943" s="54" t="b">
        <v>1</v>
      </c>
      <c r="K4943" s="63" t="s">
        <v>994</v>
      </c>
      <c r="L4943" s="63" t="s">
        <v>9929</v>
      </c>
      <c r="M4943" s="63" t="s">
        <v>9930</v>
      </c>
      <c r="N4943" s="63" t="s">
        <v>1790</v>
      </c>
    </row>
    <row r="4944" spans="1:14" x14ac:dyDescent="0.2">
      <c r="A4944" s="51">
        <v>4943</v>
      </c>
      <c r="E4944" s="48"/>
      <c r="G4944" s="65" t="b">
        <v>0</v>
      </c>
      <c r="H4944" s="65" t="b">
        <v>0</v>
      </c>
      <c r="I4944" s="65" t="b">
        <v>0</v>
      </c>
      <c r="J4944" s="65" t="b">
        <v>0</v>
      </c>
      <c r="K4944" s="63" t="s">
        <v>994</v>
      </c>
      <c r="L4944" s="63" t="s">
        <v>9929</v>
      </c>
      <c r="M4944" s="63" t="s">
        <v>9992</v>
      </c>
      <c r="N4944" s="63" t="s">
        <v>1790</v>
      </c>
    </row>
    <row r="4945" spans="1:14" x14ac:dyDescent="0.2">
      <c r="A4945" s="51">
        <v>4944</v>
      </c>
      <c r="B4945" s="54" t="s">
        <v>994</v>
      </c>
      <c r="C4945" s="47" t="s">
        <v>9985</v>
      </c>
      <c r="D4945" s="47" t="s">
        <v>13683</v>
      </c>
      <c r="E4945" s="48" t="s">
        <v>1790</v>
      </c>
      <c r="F4945" s="66" t="b">
        <v>0</v>
      </c>
      <c r="G4945" s="54" t="b">
        <v>1</v>
      </c>
      <c r="H4945" s="54" t="b">
        <v>1</v>
      </c>
      <c r="I4945" s="65" t="b">
        <v>0</v>
      </c>
      <c r="J4945" s="54" t="b">
        <v>1</v>
      </c>
      <c r="K4945" s="63" t="s">
        <v>994</v>
      </c>
      <c r="L4945" s="63" t="s">
        <v>9985</v>
      </c>
      <c r="M4945" s="63" t="s">
        <v>9986</v>
      </c>
      <c r="N4945" s="63" t="s">
        <v>1790</v>
      </c>
    </row>
    <row r="4946" spans="1:14" x14ac:dyDescent="0.2">
      <c r="A4946" s="51">
        <v>4945</v>
      </c>
      <c r="E4946" s="48"/>
      <c r="G4946" s="65" t="b">
        <v>0</v>
      </c>
      <c r="H4946" s="65" t="b">
        <v>0</v>
      </c>
      <c r="I4946" s="65" t="b">
        <v>0</v>
      </c>
      <c r="J4946" s="65" t="b">
        <v>0</v>
      </c>
      <c r="K4946" s="63" t="s">
        <v>994</v>
      </c>
      <c r="L4946" s="63" t="s">
        <v>9985</v>
      </c>
      <c r="M4946" s="63" t="s">
        <v>9987</v>
      </c>
      <c r="N4946" s="63" t="s">
        <v>1790</v>
      </c>
    </row>
    <row r="4947" spans="1:14" x14ac:dyDescent="0.2">
      <c r="A4947" s="51">
        <v>4946</v>
      </c>
      <c r="B4947" s="54" t="s">
        <v>994</v>
      </c>
      <c r="C4947" s="47" t="s">
        <v>9933</v>
      </c>
      <c r="D4947" s="47" t="s">
        <v>13689</v>
      </c>
      <c r="E4947" s="47" t="s">
        <v>1719</v>
      </c>
      <c r="F4947" s="55" t="b">
        <v>1</v>
      </c>
      <c r="G4947" s="54" t="b">
        <v>1</v>
      </c>
      <c r="H4947" s="54" t="b">
        <v>1</v>
      </c>
      <c r="I4947" s="65" t="b">
        <v>0</v>
      </c>
      <c r="J4947" s="54" t="b">
        <v>1</v>
      </c>
      <c r="K4947" s="63" t="s">
        <v>994</v>
      </c>
      <c r="L4947" s="63" t="s">
        <v>9933</v>
      </c>
      <c r="M4947" s="63" t="s">
        <v>9934</v>
      </c>
      <c r="N4947" s="63" t="s">
        <v>1719</v>
      </c>
    </row>
    <row r="4948" spans="1:14" x14ac:dyDescent="0.2">
      <c r="A4948" s="51">
        <v>4947</v>
      </c>
      <c r="G4948" s="65" t="b">
        <v>0</v>
      </c>
      <c r="H4948" s="65" t="b">
        <v>0</v>
      </c>
      <c r="I4948" s="65" t="b">
        <v>0</v>
      </c>
      <c r="J4948" s="65" t="b">
        <v>0</v>
      </c>
      <c r="K4948" s="63" t="s">
        <v>994</v>
      </c>
      <c r="L4948" s="63" t="s">
        <v>9933</v>
      </c>
      <c r="M4948" s="63" t="s">
        <v>10000</v>
      </c>
      <c r="N4948" s="63" t="s">
        <v>1719</v>
      </c>
    </row>
    <row r="4949" spans="1:14" x14ac:dyDescent="0.2">
      <c r="A4949" s="51">
        <v>4948</v>
      </c>
      <c r="B4949" s="54" t="s">
        <v>994</v>
      </c>
      <c r="C4949" s="47" t="s">
        <v>9942</v>
      </c>
      <c r="D4949" s="47" t="s">
        <v>9999</v>
      </c>
      <c r="E4949" s="48" t="s">
        <v>1790</v>
      </c>
      <c r="F4949" s="66" t="b">
        <v>0</v>
      </c>
      <c r="G4949" s="54" t="b">
        <v>1</v>
      </c>
      <c r="H4949" s="54" t="b">
        <v>1</v>
      </c>
      <c r="I4949" s="54" t="b">
        <v>1</v>
      </c>
      <c r="J4949" s="54" t="b">
        <v>1</v>
      </c>
      <c r="K4949" s="63" t="s">
        <v>994</v>
      </c>
      <c r="L4949" s="63" t="s">
        <v>9942</v>
      </c>
      <c r="M4949" s="63" t="s">
        <v>9999</v>
      </c>
      <c r="N4949" s="63" t="s">
        <v>1790</v>
      </c>
    </row>
    <row r="4950" spans="1:14" x14ac:dyDescent="0.2">
      <c r="A4950" s="51">
        <v>4949</v>
      </c>
      <c r="E4950" s="48"/>
      <c r="G4950" s="65" t="b">
        <v>0</v>
      </c>
      <c r="H4950" s="65" t="b">
        <v>0</v>
      </c>
      <c r="I4950" s="65" t="b">
        <v>0</v>
      </c>
      <c r="J4950" s="65" t="b">
        <v>0</v>
      </c>
      <c r="K4950" s="63" t="s">
        <v>994</v>
      </c>
      <c r="L4950" s="63" t="s">
        <v>9942</v>
      </c>
      <c r="M4950" s="63" t="s">
        <v>9943</v>
      </c>
      <c r="N4950" s="63" t="s">
        <v>1790</v>
      </c>
    </row>
    <row r="4951" spans="1:14" x14ac:dyDescent="0.2">
      <c r="A4951" s="51">
        <v>4950</v>
      </c>
      <c r="B4951" s="54" t="s">
        <v>994</v>
      </c>
      <c r="C4951" s="47" t="s">
        <v>9950</v>
      </c>
      <c r="D4951" s="47" t="s">
        <v>13677</v>
      </c>
      <c r="E4951" s="48" t="s">
        <v>1790</v>
      </c>
      <c r="F4951" s="66" t="b">
        <v>0</v>
      </c>
      <c r="G4951" s="54" t="b">
        <v>1</v>
      </c>
      <c r="H4951" s="54" t="b">
        <v>1</v>
      </c>
      <c r="I4951" s="65" t="b">
        <v>0</v>
      </c>
      <c r="J4951" s="54" t="b">
        <v>1</v>
      </c>
      <c r="K4951" s="63" t="s">
        <v>994</v>
      </c>
      <c r="L4951" s="63" t="s">
        <v>9950</v>
      </c>
      <c r="M4951" s="63" t="s">
        <v>9951</v>
      </c>
      <c r="N4951" s="63" t="s">
        <v>1790</v>
      </c>
    </row>
    <row r="4952" spans="1:14" x14ac:dyDescent="0.2">
      <c r="A4952" s="51">
        <v>4951</v>
      </c>
      <c r="E4952" s="48"/>
      <c r="G4952" s="65" t="b">
        <v>0</v>
      </c>
      <c r="H4952" s="65" t="b">
        <v>0</v>
      </c>
      <c r="I4952" s="65" t="b">
        <v>0</v>
      </c>
      <c r="J4952" s="65" t="b">
        <v>0</v>
      </c>
      <c r="K4952" s="63" t="s">
        <v>994</v>
      </c>
      <c r="L4952" s="63" t="s">
        <v>9950</v>
      </c>
      <c r="M4952" s="63" t="s">
        <v>9960</v>
      </c>
      <c r="N4952" s="63" t="s">
        <v>1790</v>
      </c>
    </row>
    <row r="4953" spans="1:14" x14ac:dyDescent="0.2">
      <c r="A4953" s="51">
        <v>4952</v>
      </c>
      <c r="B4953" s="54" t="s">
        <v>996</v>
      </c>
      <c r="C4953" s="47" t="s">
        <v>10039</v>
      </c>
      <c r="D4953" s="47" t="s">
        <v>13701</v>
      </c>
      <c r="E4953" s="47" t="s">
        <v>2113</v>
      </c>
      <c r="F4953" s="55" t="b">
        <v>1</v>
      </c>
      <c r="G4953" s="54" t="b">
        <v>1</v>
      </c>
      <c r="H4953" s="54" t="b">
        <v>1</v>
      </c>
      <c r="I4953" s="65" t="b">
        <v>0</v>
      </c>
      <c r="J4953" s="54" t="b">
        <v>1</v>
      </c>
      <c r="K4953" s="63" t="s">
        <v>996</v>
      </c>
      <c r="L4953" s="63" t="s">
        <v>10039</v>
      </c>
      <c r="M4953" s="63" t="s">
        <v>10040</v>
      </c>
      <c r="N4953" s="63" t="s">
        <v>2113</v>
      </c>
    </row>
    <row r="4954" spans="1:14" x14ac:dyDescent="0.2">
      <c r="A4954" s="51">
        <v>4953</v>
      </c>
      <c r="G4954" s="65" t="b">
        <v>0</v>
      </c>
      <c r="H4954" s="65" t="b">
        <v>0</v>
      </c>
      <c r="I4954" s="65" t="b">
        <v>0</v>
      </c>
      <c r="J4954" s="65" t="b">
        <v>0</v>
      </c>
      <c r="K4954" s="63" t="s">
        <v>996</v>
      </c>
      <c r="L4954" s="63" t="s">
        <v>10039</v>
      </c>
      <c r="M4954" s="63" t="s">
        <v>10071</v>
      </c>
      <c r="N4954" s="63" t="s">
        <v>2113</v>
      </c>
    </row>
    <row r="4955" spans="1:14" x14ac:dyDescent="0.2">
      <c r="A4955" s="51">
        <v>4954</v>
      </c>
      <c r="B4955" s="54" t="s">
        <v>996</v>
      </c>
      <c r="C4955" s="47" t="s">
        <v>10041</v>
      </c>
      <c r="D4955" s="47" t="s">
        <v>10065</v>
      </c>
      <c r="E4955" s="47" t="s">
        <v>2113</v>
      </c>
      <c r="F4955" s="55" t="b">
        <v>1</v>
      </c>
      <c r="G4955" s="54" t="b">
        <v>1</v>
      </c>
      <c r="H4955" s="54" t="b">
        <v>1</v>
      </c>
      <c r="I4955" s="54" t="b">
        <v>1</v>
      </c>
      <c r="J4955" s="54" t="b">
        <v>1</v>
      </c>
      <c r="K4955" s="63" t="s">
        <v>996</v>
      </c>
      <c r="L4955" s="63" t="s">
        <v>10041</v>
      </c>
      <c r="M4955" s="63" t="s">
        <v>10065</v>
      </c>
      <c r="N4955" s="63" t="s">
        <v>2113</v>
      </c>
    </row>
    <row r="4956" spans="1:14" x14ac:dyDescent="0.2">
      <c r="A4956" s="51">
        <v>4955</v>
      </c>
      <c r="G4956" s="65" t="b">
        <v>0</v>
      </c>
      <c r="H4956" s="65" t="b">
        <v>0</v>
      </c>
      <c r="I4956" s="65" t="b">
        <v>0</v>
      </c>
      <c r="J4956" s="65" t="b">
        <v>0</v>
      </c>
      <c r="K4956" s="63" t="s">
        <v>996</v>
      </c>
      <c r="L4956" s="63" t="s">
        <v>10041</v>
      </c>
      <c r="M4956" s="63" t="s">
        <v>10042</v>
      </c>
      <c r="N4956" s="63" t="s">
        <v>2113</v>
      </c>
    </row>
    <row r="4957" spans="1:14" x14ac:dyDescent="0.2">
      <c r="A4957" s="51">
        <v>4956</v>
      </c>
      <c r="B4957" s="54" t="s">
        <v>996</v>
      </c>
      <c r="C4957" s="47" t="s">
        <v>10055</v>
      </c>
      <c r="D4957" s="47" t="s">
        <v>13699</v>
      </c>
      <c r="E4957" s="47" t="s">
        <v>2113</v>
      </c>
      <c r="F4957" s="55" t="b">
        <v>1</v>
      </c>
      <c r="G4957" s="54" t="b">
        <v>1</v>
      </c>
      <c r="H4957" s="54" t="b">
        <v>1</v>
      </c>
      <c r="I4957" s="65" t="b">
        <v>0</v>
      </c>
      <c r="J4957" s="54" t="b">
        <v>1</v>
      </c>
      <c r="K4957" s="63" t="s">
        <v>996</v>
      </c>
      <c r="L4957" s="63" t="s">
        <v>10055</v>
      </c>
      <c r="M4957" s="63" t="s">
        <v>10056</v>
      </c>
      <c r="N4957" s="63" t="s">
        <v>2113</v>
      </c>
    </row>
    <row r="4958" spans="1:14" x14ac:dyDescent="0.2">
      <c r="A4958" s="51">
        <v>4957</v>
      </c>
      <c r="G4958" s="65" t="b">
        <v>0</v>
      </c>
      <c r="H4958" s="65" t="b">
        <v>0</v>
      </c>
      <c r="I4958" s="65" t="b">
        <v>0</v>
      </c>
      <c r="J4958" s="65" t="b">
        <v>0</v>
      </c>
      <c r="K4958" s="63" t="s">
        <v>996</v>
      </c>
      <c r="L4958" s="63" t="s">
        <v>10055</v>
      </c>
      <c r="M4958" s="63" t="s">
        <v>10063</v>
      </c>
      <c r="N4958" s="63" t="s">
        <v>2113</v>
      </c>
    </row>
    <row r="4959" spans="1:14" x14ac:dyDescent="0.2">
      <c r="A4959" s="51">
        <v>4958</v>
      </c>
      <c r="B4959" s="54" t="s">
        <v>996</v>
      </c>
      <c r="C4959" s="47" t="s">
        <v>10047</v>
      </c>
      <c r="D4959" s="47" t="s">
        <v>10048</v>
      </c>
      <c r="E4959" s="47" t="s">
        <v>2113</v>
      </c>
      <c r="F4959" s="55" t="b">
        <v>1</v>
      </c>
      <c r="G4959" s="54" t="b">
        <v>1</v>
      </c>
      <c r="H4959" s="54" t="b">
        <v>1</v>
      </c>
      <c r="I4959" s="54" t="b">
        <v>1</v>
      </c>
      <c r="J4959" s="54" t="b">
        <v>1</v>
      </c>
      <c r="K4959" s="63" t="s">
        <v>996</v>
      </c>
      <c r="L4959" s="63" t="s">
        <v>10047</v>
      </c>
      <c r="M4959" s="63" t="s">
        <v>10048</v>
      </c>
      <c r="N4959" s="63" t="s">
        <v>2113</v>
      </c>
    </row>
    <row r="4960" spans="1:14" x14ac:dyDescent="0.2">
      <c r="A4960" s="51">
        <v>4959</v>
      </c>
      <c r="G4960" s="65" t="b">
        <v>0</v>
      </c>
      <c r="H4960" s="65" t="b">
        <v>0</v>
      </c>
      <c r="I4960" s="65" t="b">
        <v>0</v>
      </c>
      <c r="J4960" s="65" t="b">
        <v>0</v>
      </c>
      <c r="K4960" s="63" t="s">
        <v>996</v>
      </c>
      <c r="L4960" s="63" t="s">
        <v>10047</v>
      </c>
      <c r="M4960" s="63" t="s">
        <v>10067</v>
      </c>
      <c r="N4960" s="63" t="s">
        <v>2113</v>
      </c>
    </row>
    <row r="4961" spans="1:14" x14ac:dyDescent="0.2">
      <c r="A4961" s="51">
        <v>4960</v>
      </c>
      <c r="B4961" s="54" t="s">
        <v>996</v>
      </c>
      <c r="C4961" s="47" t="s">
        <v>10045</v>
      </c>
      <c r="D4961" s="47" t="s">
        <v>10046</v>
      </c>
      <c r="E4961" s="47" t="s">
        <v>2113</v>
      </c>
      <c r="F4961" s="55" t="b">
        <v>1</v>
      </c>
      <c r="G4961" s="54" t="b">
        <v>1</v>
      </c>
      <c r="H4961" s="54" t="b">
        <v>1</v>
      </c>
      <c r="I4961" s="54" t="b">
        <v>1</v>
      </c>
      <c r="J4961" s="54" t="b">
        <v>1</v>
      </c>
      <c r="K4961" s="63" t="s">
        <v>996</v>
      </c>
      <c r="L4961" s="63" t="s">
        <v>10045</v>
      </c>
      <c r="M4961" s="63" t="s">
        <v>10046</v>
      </c>
      <c r="N4961" s="63" t="s">
        <v>2113</v>
      </c>
    </row>
    <row r="4962" spans="1:14" x14ac:dyDescent="0.2">
      <c r="A4962" s="51">
        <v>4961</v>
      </c>
      <c r="G4962" s="65" t="b">
        <v>0</v>
      </c>
      <c r="H4962" s="65" t="b">
        <v>0</v>
      </c>
      <c r="I4962" s="65" t="b">
        <v>0</v>
      </c>
      <c r="J4962" s="65" t="b">
        <v>0</v>
      </c>
      <c r="K4962" s="63" t="s">
        <v>996</v>
      </c>
      <c r="L4962" s="63" t="s">
        <v>10045</v>
      </c>
      <c r="M4962" s="63" t="s">
        <v>10069</v>
      </c>
      <c r="N4962" s="63" t="s">
        <v>2113</v>
      </c>
    </row>
    <row r="4963" spans="1:14" x14ac:dyDescent="0.2">
      <c r="A4963" s="51">
        <v>4962</v>
      </c>
      <c r="B4963" s="54" t="s">
        <v>996</v>
      </c>
      <c r="C4963" s="47" t="s">
        <v>10029</v>
      </c>
      <c r="D4963" s="47" t="s">
        <v>13693</v>
      </c>
      <c r="E4963" s="47" t="s">
        <v>2113</v>
      </c>
      <c r="F4963" s="55" t="b">
        <v>1</v>
      </c>
      <c r="G4963" s="54" t="b">
        <v>1</v>
      </c>
      <c r="H4963" s="54" t="b">
        <v>1</v>
      </c>
      <c r="I4963" s="65" t="b">
        <v>0</v>
      </c>
      <c r="J4963" s="54" t="b">
        <v>1</v>
      </c>
      <c r="K4963" s="63" t="s">
        <v>996</v>
      </c>
      <c r="L4963" s="63" t="s">
        <v>10029</v>
      </c>
      <c r="M4963" s="63" t="s">
        <v>10030</v>
      </c>
      <c r="N4963" s="63" t="s">
        <v>2113</v>
      </c>
    </row>
    <row r="4964" spans="1:14" x14ac:dyDescent="0.2">
      <c r="A4964" s="51">
        <v>4963</v>
      </c>
      <c r="G4964" s="65" t="b">
        <v>0</v>
      </c>
      <c r="H4964" s="65" t="b">
        <v>0</v>
      </c>
      <c r="I4964" s="65" t="b">
        <v>0</v>
      </c>
      <c r="J4964" s="65" t="b">
        <v>0</v>
      </c>
      <c r="K4964" s="63" t="s">
        <v>996</v>
      </c>
      <c r="L4964" s="63" t="s">
        <v>10029</v>
      </c>
      <c r="M4964" s="63" t="s">
        <v>10043</v>
      </c>
      <c r="N4964" s="63" t="s">
        <v>2113</v>
      </c>
    </row>
    <row r="4965" spans="1:14" x14ac:dyDescent="0.2">
      <c r="A4965" s="51">
        <v>4964</v>
      </c>
      <c r="B4965" s="54" t="s">
        <v>996</v>
      </c>
      <c r="C4965" s="47" t="s">
        <v>10025</v>
      </c>
      <c r="D4965" s="47" t="s">
        <v>10026</v>
      </c>
      <c r="E4965" s="47" t="s">
        <v>2113</v>
      </c>
      <c r="F4965" s="55" t="b">
        <v>1</v>
      </c>
      <c r="G4965" s="54" t="b">
        <v>1</v>
      </c>
      <c r="H4965" s="54" t="b">
        <v>1</v>
      </c>
      <c r="I4965" s="54" t="b">
        <v>1</v>
      </c>
      <c r="J4965" s="54" t="b">
        <v>1</v>
      </c>
      <c r="K4965" s="63" t="s">
        <v>996</v>
      </c>
      <c r="L4965" s="63" t="s">
        <v>10025</v>
      </c>
      <c r="M4965" s="63" t="s">
        <v>10026</v>
      </c>
      <c r="N4965" s="63" t="s">
        <v>2113</v>
      </c>
    </row>
    <row r="4966" spans="1:14" x14ac:dyDescent="0.2">
      <c r="A4966" s="51">
        <v>4965</v>
      </c>
      <c r="G4966" s="65" t="b">
        <v>0</v>
      </c>
      <c r="H4966" s="65" t="b">
        <v>0</v>
      </c>
      <c r="I4966" s="65" t="b">
        <v>0</v>
      </c>
      <c r="J4966" s="65" t="b">
        <v>0</v>
      </c>
      <c r="K4966" s="63" t="s">
        <v>996</v>
      </c>
      <c r="L4966" s="63" t="s">
        <v>10025</v>
      </c>
      <c r="M4966" s="63" t="s">
        <v>10044</v>
      </c>
      <c r="N4966" s="63" t="s">
        <v>2113</v>
      </c>
    </row>
    <row r="4967" spans="1:14" x14ac:dyDescent="0.2">
      <c r="A4967" s="51">
        <v>4966</v>
      </c>
      <c r="B4967" s="54" t="s">
        <v>996</v>
      </c>
      <c r="C4967" s="47" t="s">
        <v>10051</v>
      </c>
      <c r="D4967" s="47" t="s">
        <v>10053</v>
      </c>
      <c r="E4967" s="47" t="s">
        <v>2113</v>
      </c>
      <c r="F4967" s="55" t="b">
        <v>1</v>
      </c>
      <c r="G4967" s="54" t="b">
        <v>1</v>
      </c>
      <c r="H4967" s="54" t="b">
        <v>1</v>
      </c>
      <c r="I4967" s="65" t="b">
        <v>0</v>
      </c>
      <c r="J4967" s="54" t="b">
        <v>1</v>
      </c>
      <c r="K4967" s="63" t="s">
        <v>996</v>
      </c>
      <c r="L4967" s="63" t="s">
        <v>10051</v>
      </c>
      <c r="M4967" s="63" t="s">
        <v>10052</v>
      </c>
      <c r="N4967" s="63" t="s">
        <v>2113</v>
      </c>
    </row>
    <row r="4968" spans="1:14" x14ac:dyDescent="0.2">
      <c r="A4968" s="51">
        <v>4967</v>
      </c>
      <c r="G4968" s="65" t="b">
        <v>0</v>
      </c>
      <c r="H4968" s="65" t="b">
        <v>0</v>
      </c>
      <c r="I4968" s="65" t="b">
        <v>0</v>
      </c>
      <c r="J4968" s="65" t="b">
        <v>0</v>
      </c>
      <c r="K4968" s="63" t="s">
        <v>996</v>
      </c>
      <c r="L4968" s="63" t="s">
        <v>10051</v>
      </c>
      <c r="M4968" s="63" t="s">
        <v>10053</v>
      </c>
      <c r="N4968" s="63" t="s">
        <v>2113</v>
      </c>
    </row>
    <row r="4969" spans="1:14" x14ac:dyDescent="0.2">
      <c r="A4969" s="51">
        <v>4968</v>
      </c>
      <c r="B4969" s="54" t="s">
        <v>996</v>
      </c>
      <c r="C4969" s="47" t="s">
        <v>10027</v>
      </c>
      <c r="D4969" s="47" t="s">
        <v>10028</v>
      </c>
      <c r="E4969" s="47" t="s">
        <v>2113</v>
      </c>
      <c r="F4969" s="55" t="b">
        <v>1</v>
      </c>
      <c r="G4969" s="54" t="b">
        <v>1</v>
      </c>
      <c r="H4969" s="54" t="b">
        <v>1</v>
      </c>
      <c r="I4969" s="54" t="b">
        <v>1</v>
      </c>
      <c r="J4969" s="54" t="b">
        <v>1</v>
      </c>
      <c r="K4969" s="63" t="s">
        <v>996</v>
      </c>
      <c r="L4969" s="63" t="s">
        <v>10027</v>
      </c>
      <c r="M4969" s="63" t="s">
        <v>10028</v>
      </c>
      <c r="N4969" s="63" t="s">
        <v>2113</v>
      </c>
    </row>
    <row r="4970" spans="1:14" x14ac:dyDescent="0.2">
      <c r="A4970" s="51">
        <v>4969</v>
      </c>
      <c r="G4970" s="65" t="b">
        <v>0</v>
      </c>
      <c r="H4970" s="65" t="b">
        <v>0</v>
      </c>
      <c r="I4970" s="65" t="b">
        <v>0</v>
      </c>
      <c r="J4970" s="65" t="b">
        <v>0</v>
      </c>
      <c r="K4970" s="63" t="s">
        <v>996</v>
      </c>
      <c r="L4970" s="63" t="s">
        <v>10027</v>
      </c>
      <c r="M4970" s="63" t="s">
        <v>10054</v>
      </c>
      <c r="N4970" s="63" t="s">
        <v>2113</v>
      </c>
    </row>
    <row r="4971" spans="1:14" x14ac:dyDescent="0.2">
      <c r="A4971" s="51">
        <v>4970</v>
      </c>
      <c r="B4971" s="54" t="s">
        <v>996</v>
      </c>
      <c r="C4971" s="47" t="s">
        <v>10057</v>
      </c>
      <c r="D4971" s="47" t="s">
        <v>13700</v>
      </c>
      <c r="E4971" s="47" t="s">
        <v>2113</v>
      </c>
      <c r="F4971" s="55" t="b">
        <v>1</v>
      </c>
      <c r="G4971" s="54" t="b">
        <v>1</v>
      </c>
      <c r="H4971" s="54" t="b">
        <v>1</v>
      </c>
      <c r="I4971" s="65" t="b">
        <v>0</v>
      </c>
      <c r="J4971" s="54" t="b">
        <v>1</v>
      </c>
      <c r="K4971" s="63" t="s">
        <v>996</v>
      </c>
      <c r="L4971" s="63" t="s">
        <v>10057</v>
      </c>
      <c r="M4971" s="63" t="s">
        <v>10058</v>
      </c>
      <c r="N4971" s="63" t="s">
        <v>2113</v>
      </c>
    </row>
    <row r="4972" spans="1:14" x14ac:dyDescent="0.2">
      <c r="A4972" s="51">
        <v>4971</v>
      </c>
      <c r="G4972" s="65" t="b">
        <v>0</v>
      </c>
      <c r="H4972" s="65" t="b">
        <v>0</v>
      </c>
      <c r="I4972" s="65" t="b">
        <v>0</v>
      </c>
      <c r="J4972" s="65" t="b">
        <v>0</v>
      </c>
      <c r="K4972" s="63" t="s">
        <v>996</v>
      </c>
      <c r="L4972" s="63" t="s">
        <v>10057</v>
      </c>
      <c r="M4972" s="63" t="s">
        <v>10064</v>
      </c>
      <c r="N4972" s="63" t="s">
        <v>2113</v>
      </c>
    </row>
    <row r="4973" spans="1:14" x14ac:dyDescent="0.2">
      <c r="A4973" s="51">
        <v>4972</v>
      </c>
      <c r="B4973" s="54" t="s">
        <v>996</v>
      </c>
      <c r="C4973" s="47" t="s">
        <v>10049</v>
      </c>
      <c r="D4973" s="47" t="s">
        <v>10050</v>
      </c>
      <c r="E4973" s="47" t="s">
        <v>2113</v>
      </c>
      <c r="F4973" s="55" t="b">
        <v>1</v>
      </c>
      <c r="G4973" s="54" t="b">
        <v>1</v>
      </c>
      <c r="H4973" s="54" t="b">
        <v>1</v>
      </c>
      <c r="I4973" s="54" t="b">
        <v>1</v>
      </c>
      <c r="J4973" s="54" t="b">
        <v>1</v>
      </c>
      <c r="K4973" s="63" t="s">
        <v>996</v>
      </c>
      <c r="L4973" s="63" t="s">
        <v>10049</v>
      </c>
      <c r="M4973" s="63" t="s">
        <v>10050</v>
      </c>
      <c r="N4973" s="63" t="s">
        <v>2113</v>
      </c>
    </row>
    <row r="4974" spans="1:14" x14ac:dyDescent="0.2">
      <c r="A4974" s="51">
        <v>4973</v>
      </c>
      <c r="G4974" s="65" t="b">
        <v>0</v>
      </c>
      <c r="H4974" s="65" t="b">
        <v>0</v>
      </c>
      <c r="I4974" s="65" t="b">
        <v>0</v>
      </c>
      <c r="J4974" s="65" t="b">
        <v>0</v>
      </c>
      <c r="K4974" s="63" t="s">
        <v>996</v>
      </c>
      <c r="L4974" s="63" t="s">
        <v>10049</v>
      </c>
      <c r="M4974" s="63" t="s">
        <v>10068</v>
      </c>
      <c r="N4974" s="63" t="s">
        <v>2113</v>
      </c>
    </row>
    <row r="4975" spans="1:14" x14ac:dyDescent="0.2">
      <c r="A4975" s="51">
        <v>4974</v>
      </c>
      <c r="B4975" s="54" t="s">
        <v>996</v>
      </c>
      <c r="C4975" s="47" t="s">
        <v>13696</v>
      </c>
      <c r="D4975" s="47" t="s">
        <v>13697</v>
      </c>
      <c r="E4975" s="47" t="s">
        <v>2113</v>
      </c>
      <c r="F4975" s="55" t="b">
        <v>1</v>
      </c>
      <c r="G4975" s="65" t="b">
        <v>0</v>
      </c>
      <c r="H4975" s="65" t="b">
        <v>0</v>
      </c>
      <c r="I4975" s="65" t="b">
        <v>0</v>
      </c>
      <c r="J4975" s="65" t="b">
        <v>0</v>
      </c>
    </row>
    <row r="4976" spans="1:14" x14ac:dyDescent="0.2">
      <c r="A4976" s="51">
        <v>4975</v>
      </c>
      <c r="B4976" s="54" t="s">
        <v>996</v>
      </c>
      <c r="C4976" s="47" t="s">
        <v>10035</v>
      </c>
      <c r="D4976" s="47" t="s">
        <v>10036</v>
      </c>
      <c r="E4976" s="47" t="s">
        <v>2113</v>
      </c>
      <c r="F4976" s="55" t="b">
        <v>1</v>
      </c>
      <c r="G4976" s="54" t="b">
        <v>1</v>
      </c>
      <c r="H4976" s="54" t="b">
        <v>1</v>
      </c>
      <c r="I4976" s="54" t="b">
        <v>1</v>
      </c>
      <c r="J4976" s="54" t="b">
        <v>1</v>
      </c>
      <c r="K4976" s="63" t="s">
        <v>996</v>
      </c>
      <c r="L4976" s="63" t="s">
        <v>10035</v>
      </c>
      <c r="M4976" s="63" t="s">
        <v>10036</v>
      </c>
      <c r="N4976" s="63" t="s">
        <v>2113</v>
      </c>
    </row>
    <row r="4977" spans="1:14" x14ac:dyDescent="0.2">
      <c r="A4977" s="51">
        <v>4976</v>
      </c>
      <c r="G4977" s="65" t="b">
        <v>0</v>
      </c>
      <c r="H4977" s="65" t="b">
        <v>0</v>
      </c>
      <c r="I4977" s="65" t="b">
        <v>0</v>
      </c>
      <c r="J4977" s="65" t="b">
        <v>0</v>
      </c>
      <c r="K4977" s="63" t="s">
        <v>996</v>
      </c>
      <c r="L4977" s="63" t="s">
        <v>10035</v>
      </c>
      <c r="M4977" s="63" t="s">
        <v>10038</v>
      </c>
      <c r="N4977" s="63" t="s">
        <v>2113</v>
      </c>
    </row>
    <row r="4978" spans="1:14" x14ac:dyDescent="0.2">
      <c r="A4978" s="51">
        <v>4977</v>
      </c>
      <c r="B4978" s="54" t="s">
        <v>996</v>
      </c>
      <c r="C4978" s="47" t="s">
        <v>10037</v>
      </c>
      <c r="D4978" s="47" t="s">
        <v>13695</v>
      </c>
      <c r="E4978" s="47" t="s">
        <v>2113</v>
      </c>
      <c r="F4978" s="55" t="b">
        <v>1</v>
      </c>
      <c r="G4978" s="54" t="b">
        <v>1</v>
      </c>
      <c r="H4978" s="54" t="b">
        <v>1</v>
      </c>
      <c r="I4978" s="65" t="b">
        <v>0</v>
      </c>
      <c r="J4978" s="54" t="b">
        <v>1</v>
      </c>
      <c r="K4978" s="63" t="s">
        <v>996</v>
      </c>
      <c r="L4978" s="63" t="s">
        <v>10037</v>
      </c>
      <c r="M4978" s="63" t="s">
        <v>2373</v>
      </c>
      <c r="N4978" s="63" t="s">
        <v>2113</v>
      </c>
    </row>
    <row r="4979" spans="1:14" x14ac:dyDescent="0.2">
      <c r="A4979" s="51">
        <v>4978</v>
      </c>
      <c r="G4979" s="65" t="b">
        <v>0</v>
      </c>
      <c r="H4979" s="65" t="b">
        <v>0</v>
      </c>
      <c r="I4979" s="65" t="b">
        <v>0</v>
      </c>
      <c r="J4979" s="65" t="b">
        <v>0</v>
      </c>
      <c r="K4979" s="63" t="s">
        <v>996</v>
      </c>
      <c r="L4979" s="63" t="s">
        <v>10037</v>
      </c>
      <c r="M4979" s="63" t="s">
        <v>4193</v>
      </c>
      <c r="N4979" s="63" t="s">
        <v>2113</v>
      </c>
    </row>
    <row r="4980" spans="1:14" x14ac:dyDescent="0.2">
      <c r="A4980" s="51">
        <v>4979</v>
      </c>
      <c r="B4980" s="54" t="s">
        <v>996</v>
      </c>
      <c r="C4980" s="47" t="s">
        <v>10031</v>
      </c>
      <c r="D4980" s="47" t="s">
        <v>13698</v>
      </c>
      <c r="E4980" s="47" t="s">
        <v>2113</v>
      </c>
      <c r="F4980" s="55" t="b">
        <v>1</v>
      </c>
      <c r="G4980" s="54" t="b">
        <v>1</v>
      </c>
      <c r="H4980" s="54" t="b">
        <v>1</v>
      </c>
      <c r="I4980" s="65" t="b">
        <v>0</v>
      </c>
      <c r="J4980" s="54" t="b">
        <v>1</v>
      </c>
      <c r="K4980" s="63" t="s">
        <v>996</v>
      </c>
      <c r="L4980" s="63" t="s">
        <v>10031</v>
      </c>
      <c r="M4980" s="63" t="s">
        <v>10032</v>
      </c>
      <c r="N4980" s="63" t="s">
        <v>2113</v>
      </c>
    </row>
    <row r="4981" spans="1:14" x14ac:dyDescent="0.2">
      <c r="A4981" s="51">
        <v>4980</v>
      </c>
      <c r="G4981" s="65" t="b">
        <v>0</v>
      </c>
      <c r="H4981" s="65" t="b">
        <v>0</v>
      </c>
      <c r="I4981" s="65" t="b">
        <v>0</v>
      </c>
      <c r="J4981" s="65" t="b">
        <v>0</v>
      </c>
      <c r="K4981" s="63" t="s">
        <v>996</v>
      </c>
      <c r="L4981" s="63" t="s">
        <v>10031</v>
      </c>
      <c r="M4981" s="63" t="s">
        <v>10060</v>
      </c>
      <c r="N4981" s="63" t="s">
        <v>2113</v>
      </c>
    </row>
    <row r="4982" spans="1:14" x14ac:dyDescent="0.2">
      <c r="A4982" s="51">
        <v>4981</v>
      </c>
      <c r="B4982" s="54" t="s">
        <v>996</v>
      </c>
      <c r="C4982" s="47" t="s">
        <v>10033</v>
      </c>
      <c r="D4982" s="47" t="s">
        <v>13694</v>
      </c>
      <c r="E4982" s="47" t="s">
        <v>2113</v>
      </c>
      <c r="F4982" s="55" t="b">
        <v>1</v>
      </c>
      <c r="G4982" s="54" t="b">
        <v>1</v>
      </c>
      <c r="H4982" s="54" t="b">
        <v>1</v>
      </c>
      <c r="I4982" s="65" t="b">
        <v>0</v>
      </c>
      <c r="J4982" s="54" t="b">
        <v>1</v>
      </c>
      <c r="K4982" s="63" t="s">
        <v>996</v>
      </c>
      <c r="L4982" s="63" t="s">
        <v>10033</v>
      </c>
      <c r="M4982" s="63" t="s">
        <v>10034</v>
      </c>
      <c r="N4982" s="63" t="s">
        <v>2113</v>
      </c>
    </row>
    <row r="4983" spans="1:14" x14ac:dyDescent="0.2">
      <c r="A4983" s="51">
        <v>4982</v>
      </c>
      <c r="G4983" s="65" t="b">
        <v>0</v>
      </c>
      <c r="H4983" s="65" t="b">
        <v>0</v>
      </c>
      <c r="I4983" s="65" t="b">
        <v>0</v>
      </c>
      <c r="J4983" s="65" t="b">
        <v>0</v>
      </c>
      <c r="K4983" s="63" t="s">
        <v>996</v>
      </c>
      <c r="L4983" s="63" t="s">
        <v>10033</v>
      </c>
      <c r="M4983" s="63" t="s">
        <v>10070</v>
      </c>
      <c r="N4983" s="63" t="s">
        <v>2113</v>
      </c>
    </row>
    <row r="4984" spans="1:14" x14ac:dyDescent="0.2">
      <c r="A4984" s="51">
        <v>4983</v>
      </c>
      <c r="B4984" s="54" t="s">
        <v>996</v>
      </c>
      <c r="C4984" s="47" t="s">
        <v>10023</v>
      </c>
      <c r="D4984" s="47" t="s">
        <v>4002</v>
      </c>
      <c r="E4984" s="47" t="s">
        <v>2113</v>
      </c>
      <c r="F4984" s="55" t="b">
        <v>1</v>
      </c>
      <c r="G4984" s="54" t="b">
        <v>1</v>
      </c>
      <c r="H4984" s="54" t="b">
        <v>1</v>
      </c>
      <c r="I4984" s="65" t="b">
        <v>0</v>
      </c>
      <c r="J4984" s="54" t="b">
        <v>1</v>
      </c>
      <c r="K4984" s="63" t="s">
        <v>996</v>
      </c>
      <c r="L4984" s="63" t="s">
        <v>10023</v>
      </c>
      <c r="M4984" s="63" t="s">
        <v>10024</v>
      </c>
      <c r="N4984" s="63" t="s">
        <v>2113</v>
      </c>
    </row>
    <row r="4985" spans="1:14" x14ac:dyDescent="0.2">
      <c r="A4985" s="51">
        <v>4984</v>
      </c>
      <c r="G4985" s="65" t="b">
        <v>0</v>
      </c>
      <c r="H4985" s="65" t="b">
        <v>0</v>
      </c>
      <c r="I4985" s="65" t="b">
        <v>0</v>
      </c>
      <c r="J4985" s="65" t="b">
        <v>0</v>
      </c>
      <c r="K4985" s="63" t="s">
        <v>996</v>
      </c>
      <c r="L4985" s="63" t="s">
        <v>10023</v>
      </c>
      <c r="M4985" s="63" t="s">
        <v>10059</v>
      </c>
      <c r="N4985" s="63" t="s">
        <v>2113</v>
      </c>
    </row>
    <row r="4986" spans="1:14" x14ac:dyDescent="0.2">
      <c r="A4986" s="51">
        <v>4985</v>
      </c>
      <c r="B4986" s="54" t="s">
        <v>996</v>
      </c>
      <c r="C4986" s="47" t="s">
        <v>10061</v>
      </c>
      <c r="D4986" s="47" t="s">
        <v>10066</v>
      </c>
      <c r="E4986" s="47" t="s">
        <v>2113</v>
      </c>
      <c r="F4986" s="55" t="b">
        <v>1</v>
      </c>
      <c r="G4986" s="54" t="b">
        <v>1</v>
      </c>
      <c r="H4986" s="54" t="b">
        <v>1</v>
      </c>
      <c r="I4986" s="54" t="b">
        <v>1</v>
      </c>
      <c r="J4986" s="54" t="b">
        <v>1</v>
      </c>
      <c r="K4986" s="63" t="s">
        <v>996</v>
      </c>
      <c r="L4986" s="63" t="s">
        <v>10061</v>
      </c>
      <c r="M4986" s="63" t="s">
        <v>10066</v>
      </c>
      <c r="N4986" s="63" t="s">
        <v>2113</v>
      </c>
    </row>
    <row r="4987" spans="1:14" x14ac:dyDescent="0.2">
      <c r="A4987" s="51">
        <v>4986</v>
      </c>
      <c r="G4987" s="65" t="b">
        <v>0</v>
      </c>
      <c r="H4987" s="65" t="b">
        <v>0</v>
      </c>
      <c r="I4987" s="65" t="b">
        <v>0</v>
      </c>
      <c r="J4987" s="65" t="b">
        <v>0</v>
      </c>
      <c r="K4987" s="63" t="s">
        <v>996</v>
      </c>
      <c r="L4987" s="63" t="s">
        <v>10061</v>
      </c>
      <c r="M4987" s="63" t="s">
        <v>10062</v>
      </c>
      <c r="N4987" s="63" t="s">
        <v>2113</v>
      </c>
    </row>
    <row r="4988" spans="1:14" x14ac:dyDescent="0.2">
      <c r="A4988" s="51">
        <v>4987</v>
      </c>
      <c r="B4988" s="54" t="s">
        <v>998</v>
      </c>
      <c r="C4988" s="47" t="s">
        <v>10072</v>
      </c>
      <c r="D4988" s="47" t="s">
        <v>10073</v>
      </c>
      <c r="E4988" s="47" t="s">
        <v>1790</v>
      </c>
      <c r="F4988" s="55" t="b">
        <v>1</v>
      </c>
      <c r="G4988" s="54" t="b">
        <v>1</v>
      </c>
      <c r="H4988" s="54" t="b">
        <v>1</v>
      </c>
      <c r="I4988" s="54" t="b">
        <v>1</v>
      </c>
      <c r="J4988" s="54" t="b">
        <v>1</v>
      </c>
      <c r="K4988" s="63" t="s">
        <v>998</v>
      </c>
      <c r="L4988" s="63" t="s">
        <v>10072</v>
      </c>
      <c r="M4988" s="63" t="s">
        <v>10073</v>
      </c>
      <c r="N4988" s="63" t="s">
        <v>1790</v>
      </c>
    </row>
    <row r="4989" spans="1:14" x14ac:dyDescent="0.2">
      <c r="A4989" s="51">
        <v>4988</v>
      </c>
      <c r="B4989" s="54" t="s">
        <v>998</v>
      </c>
      <c r="C4989" s="47" t="s">
        <v>10074</v>
      </c>
      <c r="D4989" s="47" t="s">
        <v>10075</v>
      </c>
      <c r="E4989" s="47" t="s">
        <v>1790</v>
      </c>
      <c r="F4989" s="55" t="b">
        <v>1</v>
      </c>
      <c r="G4989" s="54" t="b">
        <v>1</v>
      </c>
      <c r="H4989" s="54" t="b">
        <v>1</v>
      </c>
      <c r="I4989" s="54" t="b">
        <v>1</v>
      </c>
      <c r="J4989" s="54" t="b">
        <v>1</v>
      </c>
      <c r="K4989" s="63" t="s">
        <v>998</v>
      </c>
      <c r="L4989" s="63" t="s">
        <v>10074</v>
      </c>
      <c r="M4989" s="63" t="s">
        <v>10075</v>
      </c>
      <c r="N4989" s="63" t="s">
        <v>1790</v>
      </c>
    </row>
    <row r="4990" spans="1:14" x14ac:dyDescent="0.2">
      <c r="A4990" s="51">
        <v>4989</v>
      </c>
      <c r="B4990" s="54" t="s">
        <v>998</v>
      </c>
      <c r="C4990" s="47" t="s">
        <v>10076</v>
      </c>
      <c r="D4990" s="47" t="s">
        <v>10077</v>
      </c>
      <c r="E4990" s="47" t="s">
        <v>1790</v>
      </c>
      <c r="F4990" s="55" t="b">
        <v>1</v>
      </c>
      <c r="G4990" s="54" t="b">
        <v>1</v>
      </c>
      <c r="H4990" s="54" t="b">
        <v>1</v>
      </c>
      <c r="I4990" s="54" t="b">
        <v>1</v>
      </c>
      <c r="J4990" s="54" t="b">
        <v>1</v>
      </c>
      <c r="K4990" s="63" t="s">
        <v>998</v>
      </c>
      <c r="L4990" s="63" t="s">
        <v>10076</v>
      </c>
      <c r="M4990" s="63" t="s">
        <v>10077</v>
      </c>
      <c r="N4990" s="63" t="s">
        <v>1790</v>
      </c>
    </row>
    <row r="4991" spans="1:14" x14ac:dyDescent="0.2">
      <c r="A4991" s="51">
        <v>4990</v>
      </c>
      <c r="B4991" s="54" t="s">
        <v>998</v>
      </c>
      <c r="C4991" s="47" t="s">
        <v>10078</v>
      </c>
      <c r="D4991" s="47" t="s">
        <v>10079</v>
      </c>
      <c r="E4991" s="47" t="s">
        <v>1790</v>
      </c>
      <c r="F4991" s="55" t="b">
        <v>1</v>
      </c>
      <c r="G4991" s="54" t="b">
        <v>1</v>
      </c>
      <c r="H4991" s="54" t="b">
        <v>1</v>
      </c>
      <c r="I4991" s="54" t="b">
        <v>1</v>
      </c>
      <c r="J4991" s="54" t="b">
        <v>1</v>
      </c>
      <c r="K4991" s="63" t="s">
        <v>998</v>
      </c>
      <c r="L4991" s="63" t="s">
        <v>10078</v>
      </c>
      <c r="M4991" s="63" t="s">
        <v>10079</v>
      </c>
      <c r="N4991" s="63" t="s">
        <v>1790</v>
      </c>
    </row>
    <row r="4992" spans="1:14" x14ac:dyDescent="0.2">
      <c r="A4992" s="51">
        <v>4991</v>
      </c>
      <c r="B4992" s="54" t="s">
        <v>998</v>
      </c>
      <c r="C4992" s="47" t="s">
        <v>10080</v>
      </c>
      <c r="D4992" s="47" t="s">
        <v>10081</v>
      </c>
      <c r="E4992" s="47" t="s">
        <v>1790</v>
      </c>
      <c r="F4992" s="55" t="b">
        <v>1</v>
      </c>
      <c r="G4992" s="54" t="b">
        <v>1</v>
      </c>
      <c r="H4992" s="54" t="b">
        <v>1</v>
      </c>
      <c r="I4992" s="54" t="b">
        <v>1</v>
      </c>
      <c r="J4992" s="54" t="b">
        <v>1</v>
      </c>
      <c r="K4992" s="63" t="s">
        <v>998</v>
      </c>
      <c r="L4992" s="63" t="s">
        <v>10080</v>
      </c>
      <c r="M4992" s="63" t="s">
        <v>10081</v>
      </c>
      <c r="N4992" s="63" t="s">
        <v>1790</v>
      </c>
    </row>
    <row r="4993" spans="1:14" x14ac:dyDescent="0.2">
      <c r="A4993" s="51">
        <v>4992</v>
      </c>
      <c r="B4993" s="54" t="s">
        <v>998</v>
      </c>
      <c r="C4993" s="47" t="s">
        <v>10084</v>
      </c>
      <c r="D4993" s="47" t="s">
        <v>10085</v>
      </c>
      <c r="E4993" s="47" t="s">
        <v>1790</v>
      </c>
      <c r="F4993" s="55" t="b">
        <v>1</v>
      </c>
      <c r="G4993" s="54" t="b">
        <v>1</v>
      </c>
      <c r="H4993" s="54" t="b">
        <v>1</v>
      </c>
      <c r="I4993" s="54" t="b">
        <v>1</v>
      </c>
      <c r="J4993" s="54" t="b">
        <v>1</v>
      </c>
      <c r="K4993" s="63" t="s">
        <v>998</v>
      </c>
      <c r="L4993" s="63" t="s">
        <v>10084</v>
      </c>
      <c r="M4993" s="63" t="s">
        <v>10085</v>
      </c>
      <c r="N4993" s="63" t="s">
        <v>1790</v>
      </c>
    </row>
    <row r="4994" spans="1:14" x14ac:dyDescent="0.2">
      <c r="A4994" s="51">
        <v>4993</v>
      </c>
      <c r="B4994" s="54" t="s">
        <v>998</v>
      </c>
      <c r="C4994" s="47" t="s">
        <v>10082</v>
      </c>
      <c r="D4994" s="47" t="s">
        <v>10083</v>
      </c>
      <c r="E4994" s="47" t="s">
        <v>1790</v>
      </c>
      <c r="F4994" s="55" t="b">
        <v>1</v>
      </c>
      <c r="G4994" s="54" t="b">
        <v>1</v>
      </c>
      <c r="H4994" s="54" t="b">
        <v>1</v>
      </c>
      <c r="I4994" s="54" t="b">
        <v>1</v>
      </c>
      <c r="J4994" s="54" t="b">
        <v>1</v>
      </c>
      <c r="K4994" s="63" t="s">
        <v>998</v>
      </c>
      <c r="L4994" s="63" t="s">
        <v>10082</v>
      </c>
      <c r="M4994" s="63" t="s">
        <v>10083</v>
      </c>
      <c r="N4994" s="63" t="s">
        <v>1790</v>
      </c>
    </row>
    <row r="4995" spans="1:14" x14ac:dyDescent="0.2">
      <c r="A4995" s="51">
        <v>4994</v>
      </c>
      <c r="B4995" s="54" t="s">
        <v>998</v>
      </c>
      <c r="C4995" s="47" t="s">
        <v>10086</v>
      </c>
      <c r="D4995" s="47" t="s">
        <v>10087</v>
      </c>
      <c r="E4995" s="47" t="s">
        <v>1790</v>
      </c>
      <c r="F4995" s="55" t="b">
        <v>1</v>
      </c>
      <c r="G4995" s="54" t="b">
        <v>1</v>
      </c>
      <c r="H4995" s="54" t="b">
        <v>1</v>
      </c>
      <c r="I4995" s="54" t="b">
        <v>1</v>
      </c>
      <c r="J4995" s="54" t="b">
        <v>1</v>
      </c>
      <c r="K4995" s="63" t="s">
        <v>998</v>
      </c>
      <c r="L4995" s="63" t="s">
        <v>10086</v>
      </c>
      <c r="M4995" s="63" t="s">
        <v>10087</v>
      </c>
      <c r="N4995" s="63" t="s">
        <v>1790</v>
      </c>
    </row>
    <row r="4996" spans="1:14" x14ac:dyDescent="0.2">
      <c r="A4996" s="51">
        <v>4995</v>
      </c>
      <c r="B4996" s="54" t="s">
        <v>998</v>
      </c>
      <c r="C4996" s="47" t="s">
        <v>10088</v>
      </c>
      <c r="D4996" s="47" t="s">
        <v>10089</v>
      </c>
      <c r="E4996" s="47" t="s">
        <v>1790</v>
      </c>
      <c r="F4996" s="55" t="b">
        <v>1</v>
      </c>
      <c r="G4996" s="54" t="b">
        <v>1</v>
      </c>
      <c r="H4996" s="54" t="b">
        <v>1</v>
      </c>
      <c r="I4996" s="54" t="b">
        <v>1</v>
      </c>
      <c r="J4996" s="54" t="b">
        <v>1</v>
      </c>
      <c r="K4996" s="63" t="s">
        <v>998</v>
      </c>
      <c r="L4996" s="63" t="s">
        <v>10088</v>
      </c>
      <c r="M4996" s="63" t="s">
        <v>10089</v>
      </c>
      <c r="N4996" s="63" t="s">
        <v>1790</v>
      </c>
    </row>
    <row r="4997" spans="1:14" x14ac:dyDescent="0.2">
      <c r="A4997" s="51">
        <v>4996</v>
      </c>
      <c r="B4997" s="54" t="s">
        <v>998</v>
      </c>
      <c r="C4997" s="47" t="s">
        <v>10090</v>
      </c>
      <c r="D4997" s="47" t="s">
        <v>10091</v>
      </c>
      <c r="E4997" s="47" t="s">
        <v>1790</v>
      </c>
      <c r="F4997" s="55" t="b">
        <v>1</v>
      </c>
      <c r="G4997" s="54" t="b">
        <v>1</v>
      </c>
      <c r="H4997" s="54" t="b">
        <v>1</v>
      </c>
      <c r="I4997" s="54" t="b">
        <v>1</v>
      </c>
      <c r="J4997" s="54" t="b">
        <v>1</v>
      </c>
      <c r="K4997" s="63" t="s">
        <v>998</v>
      </c>
      <c r="L4997" s="63" t="s">
        <v>10090</v>
      </c>
      <c r="M4997" s="63" t="s">
        <v>10091</v>
      </c>
      <c r="N4997" s="63" t="s">
        <v>1790</v>
      </c>
    </row>
    <row r="4998" spans="1:14" x14ac:dyDescent="0.2">
      <c r="A4998" s="51">
        <v>4997</v>
      </c>
      <c r="B4998" s="54" t="s">
        <v>1003</v>
      </c>
      <c r="C4998" s="47" t="s">
        <v>10092</v>
      </c>
      <c r="D4998" s="47" t="s">
        <v>10093</v>
      </c>
      <c r="E4998" s="47" t="s">
        <v>1790</v>
      </c>
      <c r="F4998" s="55" t="b">
        <v>1</v>
      </c>
      <c r="G4998" s="54" t="b">
        <v>1</v>
      </c>
      <c r="H4998" s="54" t="b">
        <v>1</v>
      </c>
      <c r="I4998" s="54" t="b">
        <v>1</v>
      </c>
      <c r="J4998" s="54" t="b">
        <v>1</v>
      </c>
      <c r="K4998" s="63" t="s">
        <v>1003</v>
      </c>
      <c r="L4998" s="63" t="s">
        <v>10092</v>
      </c>
      <c r="M4998" s="63" t="s">
        <v>10093</v>
      </c>
      <c r="N4998" s="63" t="s">
        <v>1790</v>
      </c>
    </row>
    <row r="4999" spans="1:14" x14ac:dyDescent="0.2">
      <c r="A4999" s="51">
        <v>4998</v>
      </c>
      <c r="B4999" s="54" t="s">
        <v>1003</v>
      </c>
      <c r="C4999" s="47" t="s">
        <v>10094</v>
      </c>
      <c r="D4999" s="47" t="s">
        <v>10095</v>
      </c>
      <c r="E4999" s="47" t="s">
        <v>1790</v>
      </c>
      <c r="F4999" s="55" t="b">
        <v>1</v>
      </c>
      <c r="G4999" s="54" t="b">
        <v>1</v>
      </c>
      <c r="H4999" s="54" t="b">
        <v>1</v>
      </c>
      <c r="I4999" s="54" t="b">
        <v>1</v>
      </c>
      <c r="J4999" s="54" t="b">
        <v>1</v>
      </c>
      <c r="K4999" s="63" t="s">
        <v>1003</v>
      </c>
      <c r="L4999" s="63" t="s">
        <v>10094</v>
      </c>
      <c r="M4999" s="63" t="s">
        <v>10095</v>
      </c>
      <c r="N4999" s="63" t="s">
        <v>1790</v>
      </c>
    </row>
    <row r="5000" spans="1:14" x14ac:dyDescent="0.2">
      <c r="A5000" s="51">
        <v>4999</v>
      </c>
      <c r="B5000" s="54" t="s">
        <v>1003</v>
      </c>
      <c r="C5000" s="47" t="s">
        <v>10096</v>
      </c>
      <c r="D5000" s="47" t="s">
        <v>10097</v>
      </c>
      <c r="E5000" s="47" t="s">
        <v>1790</v>
      </c>
      <c r="F5000" s="55" t="b">
        <v>1</v>
      </c>
      <c r="G5000" s="54" t="b">
        <v>1</v>
      </c>
      <c r="H5000" s="54" t="b">
        <v>1</v>
      </c>
      <c r="I5000" s="54" t="b">
        <v>1</v>
      </c>
      <c r="J5000" s="54" t="b">
        <v>1</v>
      </c>
      <c r="K5000" s="63" t="s">
        <v>1003</v>
      </c>
      <c r="L5000" s="63" t="s">
        <v>10096</v>
      </c>
      <c r="M5000" s="63" t="s">
        <v>10097</v>
      </c>
      <c r="N5000" s="63" t="s">
        <v>1790</v>
      </c>
    </row>
    <row r="5001" spans="1:14" x14ac:dyDescent="0.2">
      <c r="A5001" s="51">
        <v>5000</v>
      </c>
      <c r="B5001" s="54" t="s">
        <v>1003</v>
      </c>
      <c r="C5001" s="47" t="s">
        <v>10098</v>
      </c>
      <c r="D5001" s="47" t="s">
        <v>10099</v>
      </c>
      <c r="E5001" s="47" t="s">
        <v>1790</v>
      </c>
      <c r="F5001" s="55" t="b">
        <v>1</v>
      </c>
      <c r="G5001" s="54" t="b">
        <v>1</v>
      </c>
      <c r="H5001" s="54" t="b">
        <v>1</v>
      </c>
      <c r="I5001" s="54" t="b">
        <v>1</v>
      </c>
      <c r="J5001" s="54" t="b">
        <v>1</v>
      </c>
      <c r="K5001" s="63" t="s">
        <v>1003</v>
      </c>
      <c r="L5001" s="63" t="s">
        <v>10098</v>
      </c>
      <c r="M5001" s="63" t="s">
        <v>10099</v>
      </c>
      <c r="N5001" s="63" t="s">
        <v>1790</v>
      </c>
    </row>
    <row r="5002" spans="1:14" x14ac:dyDescent="0.2">
      <c r="A5002" s="51">
        <v>5001</v>
      </c>
      <c r="B5002" s="54" t="s">
        <v>1005</v>
      </c>
      <c r="C5002" s="47" t="s">
        <v>10122</v>
      </c>
      <c r="D5002" s="47" t="s">
        <v>13716</v>
      </c>
      <c r="E5002" s="47" t="s">
        <v>1788</v>
      </c>
      <c r="F5002" s="55" t="b">
        <v>1</v>
      </c>
      <c r="G5002" s="54" t="b">
        <v>1</v>
      </c>
      <c r="H5002" s="54" t="b">
        <v>1</v>
      </c>
      <c r="I5002" s="65" t="b">
        <v>0</v>
      </c>
      <c r="J5002" s="54" t="b">
        <v>1</v>
      </c>
      <c r="K5002" s="63" t="s">
        <v>1005</v>
      </c>
      <c r="L5002" s="63" t="s">
        <v>10122</v>
      </c>
      <c r="M5002" s="63" t="s">
        <v>10123</v>
      </c>
      <c r="N5002" s="63" t="s">
        <v>1788</v>
      </c>
    </row>
    <row r="5003" spans="1:14" x14ac:dyDescent="0.2">
      <c r="A5003" s="51">
        <v>5002</v>
      </c>
      <c r="B5003" s="54" t="s">
        <v>1005</v>
      </c>
      <c r="C5003" s="47" t="s">
        <v>10130</v>
      </c>
      <c r="D5003" s="47" t="s">
        <v>13719</v>
      </c>
      <c r="E5003" s="47" t="s">
        <v>1788</v>
      </c>
      <c r="F5003" s="55" t="b">
        <v>1</v>
      </c>
      <c r="G5003" s="54" t="b">
        <v>1</v>
      </c>
      <c r="H5003" s="54" t="b">
        <v>1</v>
      </c>
      <c r="I5003" s="65" t="b">
        <v>0</v>
      </c>
      <c r="J5003" s="54" t="b">
        <v>1</v>
      </c>
      <c r="K5003" s="63" t="s">
        <v>1005</v>
      </c>
      <c r="L5003" s="63" t="s">
        <v>10130</v>
      </c>
      <c r="M5003" s="63" t="s">
        <v>10131</v>
      </c>
      <c r="N5003" s="63" t="s">
        <v>1788</v>
      </c>
    </row>
    <row r="5004" spans="1:14" x14ac:dyDescent="0.2">
      <c r="A5004" s="51">
        <v>5003</v>
      </c>
      <c r="B5004" s="54" t="s">
        <v>1005</v>
      </c>
      <c r="C5004" s="47" t="s">
        <v>10118</v>
      </c>
      <c r="D5004" s="47" t="s">
        <v>13711</v>
      </c>
      <c r="E5004" s="47" t="s">
        <v>1788</v>
      </c>
      <c r="F5004" s="55" t="b">
        <v>1</v>
      </c>
      <c r="G5004" s="54" t="b">
        <v>1</v>
      </c>
      <c r="H5004" s="54" t="b">
        <v>1</v>
      </c>
      <c r="I5004" s="65" t="b">
        <v>0</v>
      </c>
      <c r="J5004" s="54" t="b">
        <v>1</v>
      </c>
      <c r="K5004" s="63" t="s">
        <v>1005</v>
      </c>
      <c r="L5004" s="63" t="s">
        <v>10118</v>
      </c>
      <c r="M5004" s="63" t="s">
        <v>10119</v>
      </c>
      <c r="N5004" s="63" t="s">
        <v>1788</v>
      </c>
    </row>
    <row r="5005" spans="1:14" x14ac:dyDescent="0.2">
      <c r="A5005" s="51">
        <v>5004</v>
      </c>
      <c r="B5005" s="54" t="s">
        <v>1005</v>
      </c>
      <c r="C5005" s="47" t="s">
        <v>10126</v>
      </c>
      <c r="D5005" s="47" t="s">
        <v>13717</v>
      </c>
      <c r="E5005" s="47" t="s">
        <v>1788</v>
      </c>
      <c r="F5005" s="55" t="b">
        <v>1</v>
      </c>
      <c r="G5005" s="54" t="b">
        <v>1</v>
      </c>
      <c r="H5005" s="54" t="b">
        <v>1</v>
      </c>
      <c r="I5005" s="65" t="b">
        <v>0</v>
      </c>
      <c r="J5005" s="54" t="b">
        <v>1</v>
      </c>
      <c r="K5005" s="63" t="s">
        <v>1005</v>
      </c>
      <c r="L5005" s="63" t="s">
        <v>10126</v>
      </c>
      <c r="M5005" s="63" t="s">
        <v>10127</v>
      </c>
      <c r="N5005" s="63" t="s">
        <v>1788</v>
      </c>
    </row>
    <row r="5006" spans="1:14" x14ac:dyDescent="0.2">
      <c r="A5006" s="51">
        <v>5005</v>
      </c>
      <c r="B5006" s="54" t="s">
        <v>1005</v>
      </c>
      <c r="C5006" s="47" t="s">
        <v>10124</v>
      </c>
      <c r="D5006" s="47" t="s">
        <v>13715</v>
      </c>
      <c r="E5006" s="47" t="s">
        <v>1788</v>
      </c>
      <c r="F5006" s="55" t="b">
        <v>1</v>
      </c>
      <c r="G5006" s="54" t="b">
        <v>1</v>
      </c>
      <c r="H5006" s="54" t="b">
        <v>1</v>
      </c>
      <c r="I5006" s="65" t="b">
        <v>0</v>
      </c>
      <c r="J5006" s="54" t="b">
        <v>1</v>
      </c>
      <c r="K5006" s="63" t="s">
        <v>1005</v>
      </c>
      <c r="L5006" s="63" t="s">
        <v>10124</v>
      </c>
      <c r="M5006" s="63" t="s">
        <v>10125</v>
      </c>
      <c r="N5006" s="63" t="s">
        <v>1788</v>
      </c>
    </row>
    <row r="5007" spans="1:14" x14ac:dyDescent="0.2">
      <c r="A5007" s="51">
        <v>5006</v>
      </c>
      <c r="B5007" s="54" t="s">
        <v>1005</v>
      </c>
      <c r="C5007" s="47" t="s">
        <v>10140</v>
      </c>
      <c r="D5007" s="47" t="s">
        <v>13713</v>
      </c>
      <c r="E5007" s="47" t="s">
        <v>1788</v>
      </c>
      <c r="F5007" s="55" t="b">
        <v>1</v>
      </c>
      <c r="G5007" s="54" t="b">
        <v>1</v>
      </c>
      <c r="H5007" s="54" t="b">
        <v>1</v>
      </c>
      <c r="I5007" s="65" t="b">
        <v>0</v>
      </c>
      <c r="J5007" s="54" t="b">
        <v>1</v>
      </c>
      <c r="K5007" s="63" t="s">
        <v>1005</v>
      </c>
      <c r="L5007" s="63" t="s">
        <v>10140</v>
      </c>
      <c r="M5007" s="63" t="s">
        <v>10141</v>
      </c>
      <c r="N5007" s="63" t="s">
        <v>1788</v>
      </c>
    </row>
    <row r="5008" spans="1:14" x14ac:dyDescent="0.2">
      <c r="A5008" s="51">
        <v>5007</v>
      </c>
      <c r="B5008" s="54" t="s">
        <v>1005</v>
      </c>
      <c r="C5008" s="47" t="s">
        <v>10112</v>
      </c>
      <c r="D5008" s="47" t="s">
        <v>13708</v>
      </c>
      <c r="E5008" s="47" t="s">
        <v>1788</v>
      </c>
      <c r="F5008" s="55" t="b">
        <v>1</v>
      </c>
      <c r="G5008" s="54" t="b">
        <v>1</v>
      </c>
      <c r="H5008" s="54" t="b">
        <v>1</v>
      </c>
      <c r="I5008" s="65" t="b">
        <v>0</v>
      </c>
      <c r="J5008" s="54" t="b">
        <v>1</v>
      </c>
      <c r="K5008" s="63" t="s">
        <v>1005</v>
      </c>
      <c r="L5008" s="63" t="s">
        <v>10112</v>
      </c>
      <c r="M5008" s="63" t="s">
        <v>10113</v>
      </c>
      <c r="N5008" s="63" t="s">
        <v>1788</v>
      </c>
    </row>
    <row r="5009" spans="1:14" x14ac:dyDescent="0.2">
      <c r="A5009" s="51">
        <v>5008</v>
      </c>
      <c r="B5009" s="54" t="s">
        <v>1005</v>
      </c>
      <c r="C5009" s="47" t="s">
        <v>10116</v>
      </c>
      <c r="D5009" s="47" t="s">
        <v>13710</v>
      </c>
      <c r="E5009" s="47" t="s">
        <v>1788</v>
      </c>
      <c r="F5009" s="55" t="b">
        <v>1</v>
      </c>
      <c r="G5009" s="54" t="b">
        <v>1</v>
      </c>
      <c r="H5009" s="54" t="b">
        <v>1</v>
      </c>
      <c r="I5009" s="65" t="b">
        <v>0</v>
      </c>
      <c r="J5009" s="54" t="b">
        <v>1</v>
      </c>
      <c r="K5009" s="63" t="s">
        <v>1005</v>
      </c>
      <c r="L5009" s="63" t="s">
        <v>10116</v>
      </c>
      <c r="M5009" s="63" t="s">
        <v>10117</v>
      </c>
      <c r="N5009" s="63" t="s">
        <v>1788</v>
      </c>
    </row>
    <row r="5010" spans="1:14" x14ac:dyDescent="0.2">
      <c r="A5010" s="51">
        <v>5009</v>
      </c>
      <c r="B5010" s="54" t="s">
        <v>1005</v>
      </c>
      <c r="C5010" s="47" t="s">
        <v>10114</v>
      </c>
      <c r="D5010" s="47" t="s">
        <v>13709</v>
      </c>
      <c r="E5010" s="47" t="s">
        <v>1788</v>
      </c>
      <c r="F5010" s="55" t="b">
        <v>1</v>
      </c>
      <c r="G5010" s="54" t="b">
        <v>1</v>
      </c>
      <c r="H5010" s="54" t="b">
        <v>1</v>
      </c>
      <c r="I5010" s="65" t="b">
        <v>0</v>
      </c>
      <c r="J5010" s="54" t="b">
        <v>1</v>
      </c>
      <c r="K5010" s="63" t="s">
        <v>1005</v>
      </c>
      <c r="L5010" s="63" t="s">
        <v>10114</v>
      </c>
      <c r="M5010" s="63" t="s">
        <v>10115</v>
      </c>
      <c r="N5010" s="63" t="s">
        <v>1788</v>
      </c>
    </row>
    <row r="5011" spans="1:14" x14ac:dyDescent="0.2">
      <c r="A5011" s="51">
        <v>5010</v>
      </c>
      <c r="B5011" s="54" t="s">
        <v>1005</v>
      </c>
      <c r="C5011" s="47" t="s">
        <v>10104</v>
      </c>
      <c r="D5011" s="47" t="s">
        <v>13705</v>
      </c>
      <c r="E5011" s="47" t="s">
        <v>1788</v>
      </c>
      <c r="F5011" s="55" t="b">
        <v>1</v>
      </c>
      <c r="G5011" s="54" t="b">
        <v>1</v>
      </c>
      <c r="H5011" s="54" t="b">
        <v>1</v>
      </c>
      <c r="I5011" s="65" t="b">
        <v>0</v>
      </c>
      <c r="J5011" s="54" t="b">
        <v>1</v>
      </c>
      <c r="K5011" s="63" t="s">
        <v>1005</v>
      </c>
      <c r="L5011" s="63" t="s">
        <v>10104</v>
      </c>
      <c r="M5011" s="63" t="s">
        <v>10105</v>
      </c>
      <c r="N5011" s="63" t="s">
        <v>1788</v>
      </c>
    </row>
    <row r="5012" spans="1:14" x14ac:dyDescent="0.2">
      <c r="A5012" s="51">
        <v>5011</v>
      </c>
      <c r="B5012" s="54" t="s">
        <v>1005</v>
      </c>
      <c r="C5012" s="47" t="s">
        <v>10100</v>
      </c>
      <c r="D5012" s="47" t="s">
        <v>13702</v>
      </c>
      <c r="E5012" s="47" t="s">
        <v>1788</v>
      </c>
      <c r="F5012" s="55" t="b">
        <v>1</v>
      </c>
      <c r="G5012" s="54" t="b">
        <v>1</v>
      </c>
      <c r="H5012" s="54" t="b">
        <v>1</v>
      </c>
      <c r="I5012" s="65" t="b">
        <v>0</v>
      </c>
      <c r="J5012" s="54" t="b">
        <v>1</v>
      </c>
      <c r="K5012" s="63" t="s">
        <v>1005</v>
      </c>
      <c r="L5012" s="63" t="s">
        <v>10100</v>
      </c>
      <c r="M5012" s="63" t="s">
        <v>10101</v>
      </c>
      <c r="N5012" s="63" t="s">
        <v>1788</v>
      </c>
    </row>
    <row r="5013" spans="1:14" x14ac:dyDescent="0.2">
      <c r="A5013" s="51">
        <v>5012</v>
      </c>
      <c r="B5013" s="54" t="s">
        <v>1005</v>
      </c>
      <c r="C5013" s="47" t="s">
        <v>10120</v>
      </c>
      <c r="D5013" s="47" t="s">
        <v>13714</v>
      </c>
      <c r="E5013" s="47" t="s">
        <v>1788</v>
      </c>
      <c r="F5013" s="55" t="b">
        <v>1</v>
      </c>
      <c r="G5013" s="54" t="b">
        <v>1</v>
      </c>
      <c r="H5013" s="54" t="b">
        <v>1</v>
      </c>
      <c r="I5013" s="65" t="b">
        <v>0</v>
      </c>
      <c r="J5013" s="54" t="b">
        <v>1</v>
      </c>
      <c r="K5013" s="63" t="s">
        <v>1005</v>
      </c>
      <c r="L5013" s="63" t="s">
        <v>10120</v>
      </c>
      <c r="M5013" s="63" t="s">
        <v>10121</v>
      </c>
      <c r="N5013" s="63" t="s">
        <v>1788</v>
      </c>
    </row>
    <row r="5014" spans="1:14" x14ac:dyDescent="0.2">
      <c r="A5014" s="51">
        <v>5013</v>
      </c>
      <c r="B5014" s="54" t="s">
        <v>1005</v>
      </c>
      <c r="C5014" s="47" t="s">
        <v>10108</v>
      </c>
      <c r="D5014" s="47" t="s">
        <v>13706</v>
      </c>
      <c r="E5014" s="47" t="s">
        <v>1788</v>
      </c>
      <c r="F5014" s="55" t="b">
        <v>1</v>
      </c>
      <c r="G5014" s="54" t="b">
        <v>1</v>
      </c>
      <c r="H5014" s="54" t="b">
        <v>1</v>
      </c>
      <c r="I5014" s="65" t="b">
        <v>0</v>
      </c>
      <c r="J5014" s="54" t="b">
        <v>1</v>
      </c>
      <c r="K5014" s="63" t="s">
        <v>1005</v>
      </c>
      <c r="L5014" s="63" t="s">
        <v>10108</v>
      </c>
      <c r="M5014" s="63" t="s">
        <v>10109</v>
      </c>
      <c r="N5014" s="63" t="s">
        <v>1788</v>
      </c>
    </row>
    <row r="5015" spans="1:14" x14ac:dyDescent="0.2">
      <c r="A5015" s="51">
        <v>5014</v>
      </c>
      <c r="B5015" s="54" t="s">
        <v>1005</v>
      </c>
      <c r="C5015" s="47" t="s">
        <v>10136</v>
      </c>
      <c r="D5015" s="47" t="s">
        <v>13722</v>
      </c>
      <c r="E5015" s="47" t="s">
        <v>1788</v>
      </c>
      <c r="F5015" s="55" t="b">
        <v>1</v>
      </c>
      <c r="G5015" s="54" t="b">
        <v>1</v>
      </c>
      <c r="H5015" s="54" t="b">
        <v>1</v>
      </c>
      <c r="I5015" s="65" t="b">
        <v>0</v>
      </c>
      <c r="J5015" s="54" t="b">
        <v>1</v>
      </c>
      <c r="K5015" s="63" t="s">
        <v>1005</v>
      </c>
      <c r="L5015" s="63" t="s">
        <v>10136</v>
      </c>
      <c r="M5015" s="63" t="s">
        <v>10137</v>
      </c>
      <c r="N5015" s="63" t="s">
        <v>1788</v>
      </c>
    </row>
    <row r="5016" spans="1:14" x14ac:dyDescent="0.2">
      <c r="A5016" s="51">
        <v>5015</v>
      </c>
      <c r="B5016" s="54" t="s">
        <v>1005</v>
      </c>
      <c r="C5016" s="47" t="s">
        <v>10128</v>
      </c>
      <c r="D5016" s="47" t="s">
        <v>13718</v>
      </c>
      <c r="E5016" s="47" t="s">
        <v>1788</v>
      </c>
      <c r="F5016" s="55" t="b">
        <v>1</v>
      </c>
      <c r="G5016" s="54" t="b">
        <v>1</v>
      </c>
      <c r="H5016" s="54" t="b">
        <v>1</v>
      </c>
      <c r="I5016" s="65" t="b">
        <v>0</v>
      </c>
      <c r="J5016" s="54" t="b">
        <v>1</v>
      </c>
      <c r="K5016" s="63" t="s">
        <v>1005</v>
      </c>
      <c r="L5016" s="63" t="s">
        <v>10128</v>
      </c>
      <c r="M5016" s="63" t="s">
        <v>10129</v>
      </c>
      <c r="N5016" s="63" t="s">
        <v>1788</v>
      </c>
    </row>
    <row r="5017" spans="1:14" x14ac:dyDescent="0.2">
      <c r="A5017" s="51">
        <v>5016</v>
      </c>
      <c r="B5017" s="54" t="s">
        <v>1005</v>
      </c>
      <c r="C5017" s="47" t="s">
        <v>10138</v>
      </c>
      <c r="D5017" s="47" t="s">
        <v>13712</v>
      </c>
      <c r="E5017" s="47" t="s">
        <v>1788</v>
      </c>
      <c r="F5017" s="55" t="b">
        <v>1</v>
      </c>
      <c r="G5017" s="54" t="b">
        <v>1</v>
      </c>
      <c r="H5017" s="54" t="b">
        <v>1</v>
      </c>
      <c r="I5017" s="65" t="b">
        <v>0</v>
      </c>
      <c r="J5017" s="54" t="b">
        <v>1</v>
      </c>
      <c r="K5017" s="63" t="s">
        <v>1005</v>
      </c>
      <c r="L5017" s="63" t="s">
        <v>10138</v>
      </c>
      <c r="M5017" s="63" t="s">
        <v>10139</v>
      </c>
      <c r="N5017" s="63" t="s">
        <v>1788</v>
      </c>
    </row>
    <row r="5018" spans="1:14" x14ac:dyDescent="0.2">
      <c r="A5018" s="51">
        <v>5017</v>
      </c>
      <c r="B5018" s="54" t="s">
        <v>1005</v>
      </c>
      <c r="C5018" s="47" t="s">
        <v>10134</v>
      </c>
      <c r="D5018" s="47" t="s">
        <v>13721</v>
      </c>
      <c r="E5018" s="47" t="s">
        <v>1788</v>
      </c>
      <c r="F5018" s="55" t="b">
        <v>1</v>
      </c>
      <c r="G5018" s="54" t="b">
        <v>1</v>
      </c>
      <c r="H5018" s="54" t="b">
        <v>1</v>
      </c>
      <c r="I5018" s="65" t="b">
        <v>0</v>
      </c>
      <c r="J5018" s="54" t="b">
        <v>1</v>
      </c>
      <c r="K5018" s="63" t="s">
        <v>1005</v>
      </c>
      <c r="L5018" s="63" t="s">
        <v>10134</v>
      </c>
      <c r="M5018" s="63" t="s">
        <v>10135</v>
      </c>
      <c r="N5018" s="63" t="s">
        <v>1788</v>
      </c>
    </row>
    <row r="5019" spans="1:14" x14ac:dyDescent="0.2">
      <c r="A5019" s="51">
        <v>5018</v>
      </c>
      <c r="B5019" s="54" t="s">
        <v>1005</v>
      </c>
      <c r="C5019" s="47" t="s">
        <v>10102</v>
      </c>
      <c r="D5019" s="47" t="s">
        <v>13703</v>
      </c>
      <c r="E5019" s="47" t="s">
        <v>1788</v>
      </c>
      <c r="F5019" s="55" t="b">
        <v>1</v>
      </c>
      <c r="G5019" s="54" t="b">
        <v>1</v>
      </c>
      <c r="H5019" s="54" t="b">
        <v>1</v>
      </c>
      <c r="I5019" s="65" t="b">
        <v>0</v>
      </c>
      <c r="J5019" s="54" t="b">
        <v>1</v>
      </c>
      <c r="K5019" s="63" t="s">
        <v>1005</v>
      </c>
      <c r="L5019" s="63" t="s">
        <v>10102</v>
      </c>
      <c r="M5019" s="63" t="s">
        <v>10103</v>
      </c>
      <c r="N5019" s="63" t="s">
        <v>1788</v>
      </c>
    </row>
    <row r="5020" spans="1:14" x14ac:dyDescent="0.2">
      <c r="A5020" s="51">
        <v>5019</v>
      </c>
      <c r="B5020" s="54" t="s">
        <v>1005</v>
      </c>
      <c r="C5020" s="47" t="s">
        <v>10106</v>
      </c>
      <c r="D5020" s="47" t="s">
        <v>13704</v>
      </c>
      <c r="E5020" s="47" t="s">
        <v>1788</v>
      </c>
      <c r="F5020" s="55" t="b">
        <v>1</v>
      </c>
      <c r="G5020" s="54" t="b">
        <v>1</v>
      </c>
      <c r="H5020" s="54" t="b">
        <v>1</v>
      </c>
      <c r="I5020" s="65" t="b">
        <v>0</v>
      </c>
      <c r="J5020" s="54" t="b">
        <v>1</v>
      </c>
      <c r="K5020" s="63" t="s">
        <v>1005</v>
      </c>
      <c r="L5020" s="63" t="s">
        <v>10106</v>
      </c>
      <c r="M5020" s="63" t="s">
        <v>10107</v>
      </c>
      <c r="N5020" s="63" t="s">
        <v>1788</v>
      </c>
    </row>
    <row r="5021" spans="1:14" x14ac:dyDescent="0.2">
      <c r="A5021" s="51">
        <v>5020</v>
      </c>
      <c r="B5021" s="54" t="s">
        <v>1005</v>
      </c>
      <c r="C5021" s="47" t="s">
        <v>10132</v>
      </c>
      <c r="D5021" s="47" t="s">
        <v>13720</v>
      </c>
      <c r="E5021" s="47" t="s">
        <v>1788</v>
      </c>
      <c r="F5021" s="55" t="b">
        <v>1</v>
      </c>
      <c r="G5021" s="54" t="b">
        <v>1</v>
      </c>
      <c r="H5021" s="54" t="b">
        <v>1</v>
      </c>
      <c r="I5021" s="65" t="b">
        <v>0</v>
      </c>
      <c r="J5021" s="54" t="b">
        <v>1</v>
      </c>
      <c r="K5021" s="63" t="s">
        <v>1005</v>
      </c>
      <c r="L5021" s="63" t="s">
        <v>10132</v>
      </c>
      <c r="M5021" s="63" t="s">
        <v>10133</v>
      </c>
      <c r="N5021" s="63" t="s">
        <v>1788</v>
      </c>
    </row>
    <row r="5022" spans="1:14" x14ac:dyDescent="0.2">
      <c r="A5022" s="51">
        <v>5021</v>
      </c>
      <c r="B5022" s="54" t="s">
        <v>1005</v>
      </c>
      <c r="C5022" s="47" t="s">
        <v>10110</v>
      </c>
      <c r="D5022" s="47" t="s">
        <v>13707</v>
      </c>
      <c r="E5022" s="47" t="s">
        <v>1788</v>
      </c>
      <c r="F5022" s="55" t="b">
        <v>1</v>
      </c>
      <c r="G5022" s="54" t="b">
        <v>1</v>
      </c>
      <c r="H5022" s="54" t="b">
        <v>1</v>
      </c>
      <c r="I5022" s="65" t="b">
        <v>0</v>
      </c>
      <c r="J5022" s="54" t="b">
        <v>1</v>
      </c>
      <c r="K5022" s="63" t="s">
        <v>1005</v>
      </c>
      <c r="L5022" s="63" t="s">
        <v>10110</v>
      </c>
      <c r="M5022" s="63" t="s">
        <v>10111</v>
      </c>
      <c r="N5022" s="63" t="s">
        <v>1788</v>
      </c>
    </row>
    <row r="5023" spans="1:14" x14ac:dyDescent="0.2">
      <c r="A5023" s="51">
        <v>5022</v>
      </c>
      <c r="B5023" s="54" t="s">
        <v>1007</v>
      </c>
      <c r="C5023" s="47" t="s">
        <v>10142</v>
      </c>
      <c r="D5023" s="47" t="s">
        <v>10143</v>
      </c>
      <c r="E5023" s="47" t="s">
        <v>2681</v>
      </c>
      <c r="F5023" s="55" t="b">
        <v>1</v>
      </c>
      <c r="G5023" s="54" t="b">
        <v>1</v>
      </c>
      <c r="H5023" s="54" t="b">
        <v>1</v>
      </c>
      <c r="I5023" s="54" t="b">
        <v>1</v>
      </c>
      <c r="J5023" s="54" t="b">
        <v>1</v>
      </c>
      <c r="K5023" s="63" t="s">
        <v>1007</v>
      </c>
      <c r="L5023" s="63" t="s">
        <v>10142</v>
      </c>
      <c r="M5023" s="63" t="s">
        <v>10143</v>
      </c>
      <c r="N5023" s="63" t="s">
        <v>2681</v>
      </c>
    </row>
    <row r="5024" spans="1:14" x14ac:dyDescent="0.2">
      <c r="A5024" s="51">
        <v>5023</v>
      </c>
      <c r="B5024" s="54" t="s">
        <v>1007</v>
      </c>
      <c r="C5024" s="47" t="s">
        <v>10146</v>
      </c>
      <c r="D5024" s="47" t="s">
        <v>10147</v>
      </c>
      <c r="E5024" s="47" t="s">
        <v>2681</v>
      </c>
      <c r="F5024" s="55" t="b">
        <v>1</v>
      </c>
      <c r="G5024" s="54" t="b">
        <v>1</v>
      </c>
      <c r="H5024" s="54" t="b">
        <v>1</v>
      </c>
      <c r="I5024" s="54" t="b">
        <v>1</v>
      </c>
      <c r="J5024" s="54" t="b">
        <v>1</v>
      </c>
      <c r="K5024" s="63" t="s">
        <v>1007</v>
      </c>
      <c r="L5024" s="63" t="s">
        <v>10146</v>
      </c>
      <c r="M5024" s="63" t="s">
        <v>10147</v>
      </c>
      <c r="N5024" s="63" t="s">
        <v>2681</v>
      </c>
    </row>
    <row r="5025" spans="1:14" x14ac:dyDescent="0.2">
      <c r="A5025" s="51">
        <v>5024</v>
      </c>
      <c r="B5025" s="54" t="s">
        <v>1007</v>
      </c>
      <c r="C5025" s="47" t="s">
        <v>10144</v>
      </c>
      <c r="D5025" s="47" t="s">
        <v>10145</v>
      </c>
      <c r="E5025" s="47" t="s">
        <v>2681</v>
      </c>
      <c r="F5025" s="55" t="b">
        <v>1</v>
      </c>
      <c r="G5025" s="54" t="b">
        <v>1</v>
      </c>
      <c r="H5025" s="54" t="b">
        <v>1</v>
      </c>
      <c r="I5025" s="54" t="b">
        <v>1</v>
      </c>
      <c r="J5025" s="54" t="b">
        <v>1</v>
      </c>
      <c r="K5025" s="63" t="s">
        <v>1007</v>
      </c>
      <c r="L5025" s="63" t="s">
        <v>10144</v>
      </c>
      <c r="M5025" s="63" t="s">
        <v>10145</v>
      </c>
      <c r="N5025" s="63" t="s">
        <v>2681</v>
      </c>
    </row>
    <row r="5026" spans="1:14" x14ac:dyDescent="0.2">
      <c r="A5026" s="51">
        <v>5025</v>
      </c>
      <c r="B5026" s="54" t="s">
        <v>1007</v>
      </c>
      <c r="C5026" s="47" t="s">
        <v>10152</v>
      </c>
      <c r="D5026" s="47" t="s">
        <v>10153</v>
      </c>
      <c r="E5026" s="47" t="s">
        <v>2681</v>
      </c>
      <c r="F5026" s="55" t="b">
        <v>1</v>
      </c>
      <c r="G5026" s="54" t="b">
        <v>1</v>
      </c>
      <c r="H5026" s="54" t="b">
        <v>1</v>
      </c>
      <c r="I5026" s="54" t="b">
        <v>1</v>
      </c>
      <c r="J5026" s="54" t="b">
        <v>1</v>
      </c>
      <c r="K5026" s="63" t="s">
        <v>1007</v>
      </c>
      <c r="L5026" s="63" t="s">
        <v>10152</v>
      </c>
      <c r="M5026" s="63" t="s">
        <v>10153</v>
      </c>
      <c r="N5026" s="63" t="s">
        <v>2681</v>
      </c>
    </row>
    <row r="5027" spans="1:14" x14ac:dyDescent="0.2">
      <c r="A5027" s="51">
        <v>5026</v>
      </c>
      <c r="G5027" s="65" t="b">
        <v>0</v>
      </c>
      <c r="H5027" s="65" t="b">
        <v>0</v>
      </c>
      <c r="I5027" s="65" t="b">
        <v>0</v>
      </c>
      <c r="J5027" s="65" t="b">
        <v>0</v>
      </c>
      <c r="K5027" s="63" t="s">
        <v>1007</v>
      </c>
      <c r="L5027" s="63" t="s">
        <v>10152</v>
      </c>
      <c r="M5027" s="63" t="s">
        <v>10154</v>
      </c>
      <c r="N5027" s="63" t="s">
        <v>2681</v>
      </c>
    </row>
    <row r="5028" spans="1:14" x14ac:dyDescent="0.2">
      <c r="A5028" s="51">
        <v>5027</v>
      </c>
      <c r="B5028" s="54" t="s">
        <v>1007</v>
      </c>
      <c r="C5028" s="47" t="s">
        <v>10148</v>
      </c>
      <c r="D5028" s="47" t="s">
        <v>10149</v>
      </c>
      <c r="E5028" s="47" t="s">
        <v>2681</v>
      </c>
      <c r="F5028" s="55" t="b">
        <v>1</v>
      </c>
      <c r="G5028" s="54" t="b">
        <v>1</v>
      </c>
      <c r="H5028" s="54" t="b">
        <v>1</v>
      </c>
      <c r="I5028" s="54" t="b">
        <v>1</v>
      </c>
      <c r="J5028" s="54" t="b">
        <v>1</v>
      </c>
      <c r="K5028" s="63" t="s">
        <v>1007</v>
      </c>
      <c r="L5028" s="63" t="s">
        <v>10148</v>
      </c>
      <c r="M5028" s="63" t="s">
        <v>10149</v>
      </c>
      <c r="N5028" s="63" t="s">
        <v>2681</v>
      </c>
    </row>
    <row r="5029" spans="1:14" x14ac:dyDescent="0.2">
      <c r="A5029" s="51">
        <v>5028</v>
      </c>
      <c r="B5029" s="54" t="s">
        <v>1007</v>
      </c>
      <c r="C5029" s="47" t="s">
        <v>10150</v>
      </c>
      <c r="D5029" s="47" t="s">
        <v>10151</v>
      </c>
      <c r="E5029" s="47" t="s">
        <v>2681</v>
      </c>
      <c r="F5029" s="55" t="b">
        <v>1</v>
      </c>
      <c r="G5029" s="54" t="b">
        <v>1</v>
      </c>
      <c r="H5029" s="54" t="b">
        <v>1</v>
      </c>
      <c r="I5029" s="54" t="b">
        <v>1</v>
      </c>
      <c r="J5029" s="54" t="b">
        <v>1</v>
      </c>
      <c r="K5029" s="63" t="s">
        <v>1007</v>
      </c>
      <c r="L5029" s="63" t="s">
        <v>10150</v>
      </c>
      <c r="M5029" s="63" t="s">
        <v>10151</v>
      </c>
      <c r="N5029" s="63" t="s">
        <v>2681</v>
      </c>
    </row>
    <row r="5030" spans="1:14" x14ac:dyDescent="0.2">
      <c r="A5030" s="51">
        <v>5029</v>
      </c>
      <c r="B5030" s="54" t="s">
        <v>1007</v>
      </c>
      <c r="C5030" s="47" t="s">
        <v>10155</v>
      </c>
      <c r="D5030" s="47" t="s">
        <v>10157</v>
      </c>
      <c r="E5030" s="47" t="s">
        <v>2681</v>
      </c>
      <c r="F5030" s="55" t="b">
        <v>1</v>
      </c>
      <c r="G5030" s="54" t="b">
        <v>1</v>
      </c>
      <c r="H5030" s="54" t="b">
        <v>1</v>
      </c>
      <c r="I5030" s="65" t="b">
        <v>0</v>
      </c>
      <c r="J5030" s="54" t="b">
        <v>1</v>
      </c>
      <c r="K5030" s="63" t="s">
        <v>1007</v>
      </c>
      <c r="L5030" s="63" t="s">
        <v>10155</v>
      </c>
      <c r="M5030" s="63" t="s">
        <v>10156</v>
      </c>
      <c r="N5030" s="63" t="s">
        <v>2681</v>
      </c>
    </row>
    <row r="5031" spans="1:14" x14ac:dyDescent="0.2">
      <c r="A5031" s="51">
        <v>5030</v>
      </c>
      <c r="G5031" s="65" t="b">
        <v>0</v>
      </c>
      <c r="H5031" s="65" t="b">
        <v>0</v>
      </c>
      <c r="I5031" s="65" t="b">
        <v>0</v>
      </c>
      <c r="J5031" s="65" t="b">
        <v>0</v>
      </c>
      <c r="K5031" s="63" t="s">
        <v>1007</v>
      </c>
      <c r="L5031" s="63" t="s">
        <v>10155</v>
      </c>
      <c r="M5031" s="63" t="s">
        <v>10157</v>
      </c>
      <c r="N5031" s="63" t="s">
        <v>2681</v>
      </c>
    </row>
    <row r="5032" spans="1:14" x14ac:dyDescent="0.2">
      <c r="A5032" s="51">
        <v>5031</v>
      </c>
      <c r="B5032" s="54" t="s">
        <v>1007</v>
      </c>
      <c r="C5032" s="47" t="s">
        <v>10158</v>
      </c>
      <c r="D5032" s="47" t="s">
        <v>10159</v>
      </c>
      <c r="E5032" s="47" t="s">
        <v>2681</v>
      </c>
      <c r="F5032" s="55" t="b">
        <v>1</v>
      </c>
      <c r="G5032" s="54" t="b">
        <v>1</v>
      </c>
      <c r="H5032" s="54" t="b">
        <v>1</v>
      </c>
      <c r="I5032" s="54" t="b">
        <v>1</v>
      </c>
      <c r="J5032" s="54" t="b">
        <v>1</v>
      </c>
      <c r="K5032" s="63" t="s">
        <v>1007</v>
      </c>
      <c r="L5032" s="63" t="s">
        <v>10158</v>
      </c>
      <c r="M5032" s="63" t="s">
        <v>10159</v>
      </c>
      <c r="N5032" s="63" t="s">
        <v>2681</v>
      </c>
    </row>
    <row r="5033" spans="1:14" x14ac:dyDescent="0.2">
      <c r="A5033" s="51">
        <v>5032</v>
      </c>
      <c r="B5033" s="54" t="s">
        <v>1007</v>
      </c>
      <c r="C5033" s="47" t="s">
        <v>10160</v>
      </c>
      <c r="D5033" s="47" t="s">
        <v>10161</v>
      </c>
      <c r="E5033" s="47" t="s">
        <v>2681</v>
      </c>
      <c r="F5033" s="55" t="b">
        <v>1</v>
      </c>
      <c r="G5033" s="54" t="b">
        <v>1</v>
      </c>
      <c r="H5033" s="54" t="b">
        <v>1</v>
      </c>
      <c r="I5033" s="54" t="b">
        <v>1</v>
      </c>
      <c r="J5033" s="54" t="b">
        <v>1</v>
      </c>
      <c r="K5033" s="63" t="s">
        <v>1007</v>
      </c>
      <c r="L5033" s="63" t="s">
        <v>10160</v>
      </c>
      <c r="M5033" s="63" t="s">
        <v>10161</v>
      </c>
      <c r="N5033" s="63" t="s">
        <v>2681</v>
      </c>
    </row>
    <row r="5034" spans="1:14" x14ac:dyDescent="0.2">
      <c r="A5034" s="51">
        <v>5033</v>
      </c>
      <c r="B5034" s="54" t="s">
        <v>1007</v>
      </c>
      <c r="C5034" s="47" t="s">
        <v>10162</v>
      </c>
      <c r="D5034" s="47" t="s">
        <v>10163</v>
      </c>
      <c r="E5034" s="47" t="s">
        <v>2681</v>
      </c>
      <c r="F5034" s="55" t="b">
        <v>1</v>
      </c>
      <c r="G5034" s="54" t="b">
        <v>1</v>
      </c>
      <c r="H5034" s="54" t="b">
        <v>1</v>
      </c>
      <c r="I5034" s="54" t="b">
        <v>1</v>
      </c>
      <c r="J5034" s="54" t="b">
        <v>1</v>
      </c>
      <c r="K5034" s="63" t="s">
        <v>1007</v>
      </c>
      <c r="L5034" s="63" t="s">
        <v>10162</v>
      </c>
      <c r="M5034" s="63" t="s">
        <v>10163</v>
      </c>
      <c r="N5034" s="63" t="s">
        <v>2681</v>
      </c>
    </row>
    <row r="5035" spans="1:14" x14ac:dyDescent="0.2">
      <c r="A5035" s="51">
        <v>5034</v>
      </c>
      <c r="G5035" s="65" t="b">
        <v>0</v>
      </c>
      <c r="H5035" s="65" t="b">
        <v>0</v>
      </c>
      <c r="I5035" s="65" t="b">
        <v>0</v>
      </c>
      <c r="J5035" s="65" t="b">
        <v>0</v>
      </c>
      <c r="K5035" s="63" t="s">
        <v>1007</v>
      </c>
      <c r="L5035" s="63" t="s">
        <v>10162</v>
      </c>
      <c r="M5035" s="63" t="s">
        <v>10164</v>
      </c>
      <c r="N5035" s="63" t="s">
        <v>2681</v>
      </c>
    </row>
    <row r="5036" spans="1:14" x14ac:dyDescent="0.2">
      <c r="A5036" s="51">
        <v>5035</v>
      </c>
      <c r="G5036" s="65" t="b">
        <v>0</v>
      </c>
      <c r="H5036" s="65" t="b">
        <v>0</v>
      </c>
      <c r="I5036" s="65" t="b">
        <v>0</v>
      </c>
      <c r="J5036" s="65" t="b">
        <v>0</v>
      </c>
      <c r="K5036" s="63" t="s">
        <v>1007</v>
      </c>
      <c r="L5036" s="63" t="s">
        <v>10162</v>
      </c>
      <c r="M5036" s="63" t="s">
        <v>10165</v>
      </c>
      <c r="N5036" s="63" t="s">
        <v>2681</v>
      </c>
    </row>
    <row r="5037" spans="1:14" x14ac:dyDescent="0.2">
      <c r="A5037" s="51">
        <v>5036</v>
      </c>
      <c r="G5037" s="65" t="b">
        <v>0</v>
      </c>
      <c r="H5037" s="65" t="b">
        <v>0</v>
      </c>
      <c r="I5037" s="65" t="b">
        <v>0</v>
      </c>
      <c r="J5037" s="65" t="b">
        <v>0</v>
      </c>
      <c r="K5037" s="63" t="s">
        <v>1007</v>
      </c>
      <c r="L5037" s="63" t="s">
        <v>10162</v>
      </c>
      <c r="M5037" s="63" t="s">
        <v>10166</v>
      </c>
      <c r="N5037" s="63" t="s">
        <v>2681</v>
      </c>
    </row>
    <row r="5038" spans="1:14" x14ac:dyDescent="0.2">
      <c r="A5038" s="51">
        <v>5037</v>
      </c>
      <c r="B5038" s="54" t="s">
        <v>1007</v>
      </c>
      <c r="C5038" s="47" t="s">
        <v>10167</v>
      </c>
      <c r="D5038" s="47" t="s">
        <v>4386</v>
      </c>
      <c r="E5038" s="47" t="s">
        <v>2681</v>
      </c>
      <c r="F5038" s="55" t="b">
        <v>1</v>
      </c>
      <c r="G5038" s="54" t="b">
        <v>1</v>
      </c>
      <c r="H5038" s="54" t="b">
        <v>1</v>
      </c>
      <c r="I5038" s="54" t="b">
        <v>1</v>
      </c>
      <c r="J5038" s="54" t="b">
        <v>1</v>
      </c>
      <c r="K5038" s="63" t="s">
        <v>1007</v>
      </c>
      <c r="L5038" s="63" t="s">
        <v>10167</v>
      </c>
      <c r="M5038" s="63" t="s">
        <v>4386</v>
      </c>
      <c r="N5038" s="63" t="s">
        <v>2681</v>
      </c>
    </row>
    <row r="5039" spans="1:14" x14ac:dyDescent="0.2">
      <c r="A5039" s="51">
        <v>5038</v>
      </c>
      <c r="B5039" s="54" t="s">
        <v>1007</v>
      </c>
      <c r="C5039" s="47" t="s">
        <v>10168</v>
      </c>
      <c r="D5039" s="47" t="s">
        <v>10169</v>
      </c>
      <c r="E5039" s="47" t="s">
        <v>2681</v>
      </c>
      <c r="F5039" s="55" t="b">
        <v>1</v>
      </c>
      <c r="G5039" s="54" t="b">
        <v>1</v>
      </c>
      <c r="H5039" s="54" t="b">
        <v>1</v>
      </c>
      <c r="I5039" s="54" t="b">
        <v>1</v>
      </c>
      <c r="J5039" s="54" t="b">
        <v>1</v>
      </c>
      <c r="K5039" s="63" t="s">
        <v>1007</v>
      </c>
      <c r="L5039" s="63" t="s">
        <v>10168</v>
      </c>
      <c r="M5039" s="63" t="s">
        <v>10169</v>
      </c>
      <c r="N5039" s="63" t="s">
        <v>2681</v>
      </c>
    </row>
    <row r="5040" spans="1:14" x14ac:dyDescent="0.2">
      <c r="A5040" s="51">
        <v>5039</v>
      </c>
      <c r="B5040" s="54" t="s">
        <v>1007</v>
      </c>
      <c r="C5040" s="47" t="s">
        <v>10170</v>
      </c>
      <c r="D5040" s="47" t="s">
        <v>10171</v>
      </c>
      <c r="E5040" s="47" t="s">
        <v>2681</v>
      </c>
      <c r="F5040" s="55" t="b">
        <v>1</v>
      </c>
      <c r="G5040" s="54" t="b">
        <v>1</v>
      </c>
      <c r="H5040" s="54" t="b">
        <v>1</v>
      </c>
      <c r="I5040" s="54" t="b">
        <v>1</v>
      </c>
      <c r="J5040" s="54" t="b">
        <v>1</v>
      </c>
      <c r="K5040" s="63" t="s">
        <v>1007</v>
      </c>
      <c r="L5040" s="63" t="s">
        <v>10170</v>
      </c>
      <c r="M5040" s="63" t="s">
        <v>10171</v>
      </c>
      <c r="N5040" s="63" t="s">
        <v>2681</v>
      </c>
    </row>
    <row r="5041" spans="1:14" x14ac:dyDescent="0.2">
      <c r="A5041" s="51">
        <v>5040</v>
      </c>
      <c r="B5041" s="54" t="s">
        <v>1007</v>
      </c>
      <c r="C5041" s="47" t="s">
        <v>10172</v>
      </c>
      <c r="D5041" s="47" t="s">
        <v>10173</v>
      </c>
      <c r="E5041" s="47" t="s">
        <v>2681</v>
      </c>
      <c r="F5041" s="55" t="b">
        <v>1</v>
      </c>
      <c r="G5041" s="54" t="b">
        <v>1</v>
      </c>
      <c r="H5041" s="54" t="b">
        <v>1</v>
      </c>
      <c r="I5041" s="54" t="b">
        <v>1</v>
      </c>
      <c r="J5041" s="54" t="b">
        <v>1</v>
      </c>
      <c r="K5041" s="63" t="s">
        <v>1007</v>
      </c>
      <c r="L5041" s="63" t="s">
        <v>10172</v>
      </c>
      <c r="M5041" s="63" t="s">
        <v>10173</v>
      </c>
      <c r="N5041" s="63" t="s">
        <v>2681</v>
      </c>
    </row>
    <row r="5042" spans="1:14" x14ac:dyDescent="0.2">
      <c r="A5042" s="51">
        <v>5041</v>
      </c>
      <c r="B5042" s="54" t="s">
        <v>1007</v>
      </c>
      <c r="C5042" s="47" t="s">
        <v>10174</v>
      </c>
      <c r="D5042" s="47" t="s">
        <v>10175</v>
      </c>
      <c r="E5042" s="47" t="s">
        <v>2681</v>
      </c>
      <c r="F5042" s="55" t="b">
        <v>1</v>
      </c>
      <c r="G5042" s="54" t="b">
        <v>1</v>
      </c>
      <c r="H5042" s="54" t="b">
        <v>1</v>
      </c>
      <c r="I5042" s="54" t="b">
        <v>1</v>
      </c>
      <c r="J5042" s="54" t="b">
        <v>1</v>
      </c>
      <c r="K5042" s="63" t="s">
        <v>1007</v>
      </c>
      <c r="L5042" s="63" t="s">
        <v>10174</v>
      </c>
      <c r="M5042" s="63" t="s">
        <v>10175</v>
      </c>
      <c r="N5042" s="63" t="s">
        <v>2681</v>
      </c>
    </row>
    <row r="5043" spans="1:14" x14ac:dyDescent="0.2">
      <c r="A5043" s="51">
        <v>5042</v>
      </c>
      <c r="B5043" s="54" t="s">
        <v>1007</v>
      </c>
      <c r="C5043" s="47" t="s">
        <v>10176</v>
      </c>
      <c r="D5043" s="47" t="s">
        <v>10177</v>
      </c>
      <c r="E5043" s="47" t="s">
        <v>2681</v>
      </c>
      <c r="F5043" s="55" t="b">
        <v>1</v>
      </c>
      <c r="G5043" s="54" t="b">
        <v>1</v>
      </c>
      <c r="H5043" s="54" t="b">
        <v>1</v>
      </c>
      <c r="I5043" s="54" t="b">
        <v>1</v>
      </c>
      <c r="J5043" s="54" t="b">
        <v>1</v>
      </c>
      <c r="K5043" s="63" t="s">
        <v>1007</v>
      </c>
      <c r="L5043" s="63" t="s">
        <v>10176</v>
      </c>
      <c r="M5043" s="63" t="s">
        <v>10177</v>
      </c>
      <c r="N5043" s="63" t="s">
        <v>2681</v>
      </c>
    </row>
    <row r="5044" spans="1:14" x14ac:dyDescent="0.2">
      <c r="A5044" s="51">
        <v>5043</v>
      </c>
      <c r="B5044" s="54" t="s">
        <v>1007</v>
      </c>
      <c r="C5044" s="47" t="s">
        <v>10178</v>
      </c>
      <c r="D5044" s="47" t="s">
        <v>10179</v>
      </c>
      <c r="E5044" s="47" t="s">
        <v>2681</v>
      </c>
      <c r="F5044" s="55" t="b">
        <v>1</v>
      </c>
      <c r="G5044" s="54" t="b">
        <v>1</v>
      </c>
      <c r="H5044" s="54" t="b">
        <v>1</v>
      </c>
      <c r="I5044" s="54" t="b">
        <v>1</v>
      </c>
      <c r="J5044" s="54" t="b">
        <v>1</v>
      </c>
      <c r="K5044" s="63" t="s">
        <v>1007</v>
      </c>
      <c r="L5044" s="63" t="s">
        <v>10178</v>
      </c>
      <c r="M5044" s="63" t="s">
        <v>10179</v>
      </c>
      <c r="N5044" s="63" t="s">
        <v>2681</v>
      </c>
    </row>
    <row r="5045" spans="1:14" x14ac:dyDescent="0.2">
      <c r="A5045" s="51">
        <v>5044</v>
      </c>
      <c r="B5045" s="54" t="s">
        <v>1007</v>
      </c>
      <c r="C5045" s="47" t="s">
        <v>10182</v>
      </c>
      <c r="D5045" s="47" t="s">
        <v>10183</v>
      </c>
      <c r="E5045" s="47" t="s">
        <v>2681</v>
      </c>
      <c r="F5045" s="55" t="b">
        <v>1</v>
      </c>
      <c r="G5045" s="54" t="b">
        <v>1</v>
      </c>
      <c r="H5045" s="54" t="b">
        <v>1</v>
      </c>
      <c r="I5045" s="54" t="b">
        <v>1</v>
      </c>
      <c r="J5045" s="54" t="b">
        <v>1</v>
      </c>
      <c r="K5045" s="63" t="s">
        <v>1007</v>
      </c>
      <c r="L5045" s="63" t="s">
        <v>10182</v>
      </c>
      <c r="M5045" s="63" t="s">
        <v>10183</v>
      </c>
      <c r="N5045" s="63" t="s">
        <v>2681</v>
      </c>
    </row>
    <row r="5046" spans="1:14" x14ac:dyDescent="0.2">
      <c r="A5046" s="51">
        <v>5045</v>
      </c>
      <c r="B5046" s="54" t="s">
        <v>1007</v>
      </c>
      <c r="C5046" s="47" t="s">
        <v>10180</v>
      </c>
      <c r="D5046" s="47" t="s">
        <v>10181</v>
      </c>
      <c r="E5046" s="47" t="s">
        <v>2681</v>
      </c>
      <c r="F5046" s="55" t="b">
        <v>1</v>
      </c>
      <c r="G5046" s="54" t="b">
        <v>1</v>
      </c>
      <c r="H5046" s="54" t="b">
        <v>1</v>
      </c>
      <c r="I5046" s="54" t="b">
        <v>1</v>
      </c>
      <c r="J5046" s="54" t="b">
        <v>1</v>
      </c>
      <c r="K5046" s="63" t="s">
        <v>1007</v>
      </c>
      <c r="L5046" s="63" t="s">
        <v>10180</v>
      </c>
      <c r="M5046" s="63" t="s">
        <v>10181</v>
      </c>
      <c r="N5046" s="63" t="s">
        <v>2681</v>
      </c>
    </row>
    <row r="5047" spans="1:14" x14ac:dyDescent="0.2">
      <c r="A5047" s="51">
        <v>5046</v>
      </c>
      <c r="B5047" s="54" t="s">
        <v>1007</v>
      </c>
      <c r="C5047" s="47" t="s">
        <v>10184</v>
      </c>
      <c r="D5047" s="47" t="s">
        <v>10185</v>
      </c>
      <c r="E5047" s="47" t="s">
        <v>2681</v>
      </c>
      <c r="F5047" s="55" t="b">
        <v>1</v>
      </c>
      <c r="G5047" s="54" t="b">
        <v>1</v>
      </c>
      <c r="H5047" s="54" t="b">
        <v>1</v>
      </c>
      <c r="I5047" s="54" t="b">
        <v>1</v>
      </c>
      <c r="J5047" s="54" t="b">
        <v>1</v>
      </c>
      <c r="K5047" s="63" t="s">
        <v>1007</v>
      </c>
      <c r="L5047" s="63" t="s">
        <v>10184</v>
      </c>
      <c r="M5047" s="63" t="s">
        <v>10185</v>
      </c>
      <c r="N5047" s="63" t="s">
        <v>2681</v>
      </c>
    </row>
    <row r="5048" spans="1:14" x14ac:dyDescent="0.2">
      <c r="A5048" s="51">
        <v>5047</v>
      </c>
      <c r="B5048" s="54" t="s">
        <v>1007</v>
      </c>
      <c r="C5048" s="47" t="s">
        <v>10186</v>
      </c>
      <c r="D5048" s="47" t="s">
        <v>10187</v>
      </c>
      <c r="E5048" s="47" t="s">
        <v>2681</v>
      </c>
      <c r="F5048" s="55" t="b">
        <v>1</v>
      </c>
      <c r="G5048" s="54" t="b">
        <v>1</v>
      </c>
      <c r="H5048" s="54" t="b">
        <v>1</v>
      </c>
      <c r="I5048" s="54" t="b">
        <v>1</v>
      </c>
      <c r="J5048" s="54" t="b">
        <v>1</v>
      </c>
      <c r="K5048" s="63" t="s">
        <v>1007</v>
      </c>
      <c r="L5048" s="63" t="s">
        <v>10186</v>
      </c>
      <c r="M5048" s="63" t="s">
        <v>10187</v>
      </c>
      <c r="N5048" s="63" t="s">
        <v>2681</v>
      </c>
    </row>
    <row r="5049" spans="1:14" x14ac:dyDescent="0.2">
      <c r="A5049" s="51">
        <v>5048</v>
      </c>
      <c r="B5049" s="54" t="s">
        <v>1007</v>
      </c>
      <c r="C5049" s="47" t="s">
        <v>10188</v>
      </c>
      <c r="D5049" s="47" t="s">
        <v>10189</v>
      </c>
      <c r="E5049" s="47" t="s">
        <v>2681</v>
      </c>
      <c r="F5049" s="55" t="b">
        <v>1</v>
      </c>
      <c r="G5049" s="54" t="b">
        <v>1</v>
      </c>
      <c r="H5049" s="54" t="b">
        <v>1</v>
      </c>
      <c r="I5049" s="54" t="b">
        <v>1</v>
      </c>
      <c r="J5049" s="54" t="b">
        <v>1</v>
      </c>
      <c r="K5049" s="63" t="s">
        <v>1007</v>
      </c>
      <c r="L5049" s="63" t="s">
        <v>10188</v>
      </c>
      <c r="M5049" s="63" t="s">
        <v>10189</v>
      </c>
      <c r="N5049" s="63" t="s">
        <v>2681</v>
      </c>
    </row>
    <row r="5050" spans="1:14" x14ac:dyDescent="0.2">
      <c r="A5050" s="51">
        <v>5049</v>
      </c>
      <c r="B5050" s="54" t="s">
        <v>1007</v>
      </c>
      <c r="C5050" s="47" t="s">
        <v>10192</v>
      </c>
      <c r="D5050" s="47" t="s">
        <v>10193</v>
      </c>
      <c r="E5050" s="47" t="s">
        <v>2681</v>
      </c>
      <c r="F5050" s="55" t="b">
        <v>1</v>
      </c>
      <c r="G5050" s="54" t="b">
        <v>1</v>
      </c>
      <c r="H5050" s="54" t="b">
        <v>1</v>
      </c>
      <c r="I5050" s="54" t="b">
        <v>1</v>
      </c>
      <c r="J5050" s="54" t="b">
        <v>1</v>
      </c>
      <c r="K5050" s="63" t="s">
        <v>1007</v>
      </c>
      <c r="L5050" s="63" t="s">
        <v>10192</v>
      </c>
      <c r="M5050" s="63" t="s">
        <v>10193</v>
      </c>
      <c r="N5050" s="63" t="s">
        <v>2681</v>
      </c>
    </row>
    <row r="5051" spans="1:14" x14ac:dyDescent="0.2">
      <c r="A5051" s="51">
        <v>5050</v>
      </c>
      <c r="B5051" s="54" t="s">
        <v>1007</v>
      </c>
      <c r="C5051" s="47" t="s">
        <v>10190</v>
      </c>
      <c r="D5051" s="47" t="s">
        <v>10191</v>
      </c>
      <c r="E5051" s="47" t="s">
        <v>2681</v>
      </c>
      <c r="F5051" s="55" t="b">
        <v>1</v>
      </c>
      <c r="G5051" s="54" t="b">
        <v>1</v>
      </c>
      <c r="H5051" s="54" t="b">
        <v>1</v>
      </c>
      <c r="I5051" s="54" t="b">
        <v>1</v>
      </c>
      <c r="J5051" s="54" t="b">
        <v>1</v>
      </c>
      <c r="K5051" s="63" t="s">
        <v>1007</v>
      </c>
      <c r="L5051" s="63" t="s">
        <v>10190</v>
      </c>
      <c r="M5051" s="63" t="s">
        <v>10191</v>
      </c>
      <c r="N5051" s="63" t="s">
        <v>2681</v>
      </c>
    </row>
    <row r="5052" spans="1:14" x14ac:dyDescent="0.2">
      <c r="A5052" s="51">
        <v>5051</v>
      </c>
      <c r="G5052" s="65" t="b">
        <v>0</v>
      </c>
      <c r="H5052" s="65" t="b">
        <v>0</v>
      </c>
      <c r="I5052" s="65" t="b">
        <v>0</v>
      </c>
      <c r="J5052" s="65" t="b">
        <v>0</v>
      </c>
      <c r="K5052" s="63" t="s">
        <v>1007</v>
      </c>
      <c r="L5052" s="63" t="s">
        <v>10190</v>
      </c>
      <c r="M5052" s="63" t="s">
        <v>10194</v>
      </c>
      <c r="N5052" s="63" t="s">
        <v>2681</v>
      </c>
    </row>
    <row r="5053" spans="1:14" x14ac:dyDescent="0.2">
      <c r="A5053" s="51">
        <v>5052</v>
      </c>
      <c r="B5053" s="54" t="s">
        <v>1007</v>
      </c>
      <c r="C5053" s="47" t="s">
        <v>10195</v>
      </c>
      <c r="D5053" s="47" t="s">
        <v>10196</v>
      </c>
      <c r="E5053" s="47" t="s">
        <v>2681</v>
      </c>
      <c r="F5053" s="55" t="b">
        <v>1</v>
      </c>
      <c r="G5053" s="54" t="b">
        <v>1</v>
      </c>
      <c r="H5053" s="54" t="b">
        <v>1</v>
      </c>
      <c r="I5053" s="54" t="b">
        <v>1</v>
      </c>
      <c r="J5053" s="54" t="b">
        <v>1</v>
      </c>
      <c r="K5053" s="63" t="s">
        <v>1007</v>
      </c>
      <c r="L5053" s="63" t="s">
        <v>10195</v>
      </c>
      <c r="M5053" s="63" t="s">
        <v>10196</v>
      </c>
      <c r="N5053" s="63" t="s">
        <v>2681</v>
      </c>
    </row>
    <row r="5054" spans="1:14" x14ac:dyDescent="0.2">
      <c r="A5054" s="51">
        <v>5053</v>
      </c>
      <c r="B5054" s="54" t="s">
        <v>1007</v>
      </c>
      <c r="C5054" s="47" t="s">
        <v>10197</v>
      </c>
      <c r="D5054" s="47" t="s">
        <v>10198</v>
      </c>
      <c r="E5054" s="47" t="s">
        <v>2681</v>
      </c>
      <c r="F5054" s="55" t="b">
        <v>1</v>
      </c>
      <c r="G5054" s="54" t="b">
        <v>1</v>
      </c>
      <c r="H5054" s="54" t="b">
        <v>1</v>
      </c>
      <c r="I5054" s="54" t="b">
        <v>1</v>
      </c>
      <c r="J5054" s="54" t="b">
        <v>1</v>
      </c>
      <c r="K5054" s="63" t="s">
        <v>1007</v>
      </c>
      <c r="L5054" s="63" t="s">
        <v>10197</v>
      </c>
      <c r="M5054" s="63" t="s">
        <v>10198</v>
      </c>
      <c r="N5054" s="63" t="s">
        <v>2681</v>
      </c>
    </row>
    <row r="5055" spans="1:14" x14ac:dyDescent="0.2">
      <c r="A5055" s="51">
        <v>5054</v>
      </c>
      <c r="B5055" s="56" t="s">
        <v>1009</v>
      </c>
      <c r="C5055" s="47" t="s">
        <v>10213</v>
      </c>
      <c r="D5055" s="47" t="s">
        <v>10214</v>
      </c>
      <c r="E5055" s="47" t="s">
        <v>2365</v>
      </c>
      <c r="F5055" s="55" t="b">
        <v>1</v>
      </c>
      <c r="G5055" s="65" t="b">
        <v>0</v>
      </c>
      <c r="H5055" s="54" t="b">
        <v>1</v>
      </c>
      <c r="I5055" s="54" t="b">
        <v>1</v>
      </c>
      <c r="J5055" s="65" t="b">
        <v>0</v>
      </c>
      <c r="K5055" s="63" t="s">
        <v>1126</v>
      </c>
      <c r="L5055" s="63" t="s">
        <v>10213</v>
      </c>
      <c r="M5055" s="63" t="s">
        <v>10214</v>
      </c>
      <c r="N5055" s="63" t="s">
        <v>1719</v>
      </c>
    </row>
    <row r="5056" spans="1:14" x14ac:dyDescent="0.2">
      <c r="A5056" s="51">
        <v>5055</v>
      </c>
      <c r="B5056" s="56" t="s">
        <v>1009</v>
      </c>
      <c r="C5056" s="47" t="s">
        <v>10209</v>
      </c>
      <c r="D5056" s="47" t="s">
        <v>13724</v>
      </c>
      <c r="E5056" s="47" t="s">
        <v>2365</v>
      </c>
      <c r="F5056" s="55" t="b">
        <v>1</v>
      </c>
      <c r="G5056" s="65" t="b">
        <v>0</v>
      </c>
      <c r="H5056" s="54" t="b">
        <v>1</v>
      </c>
      <c r="I5056" s="65" t="b">
        <v>0</v>
      </c>
      <c r="J5056" s="65" t="b">
        <v>0</v>
      </c>
      <c r="K5056" s="63" t="s">
        <v>1126</v>
      </c>
      <c r="L5056" s="63" t="s">
        <v>10209</v>
      </c>
      <c r="M5056" s="63" t="s">
        <v>10210</v>
      </c>
      <c r="N5056" s="63" t="s">
        <v>1719</v>
      </c>
    </row>
    <row r="5057" spans="1:14" x14ac:dyDescent="0.2">
      <c r="A5057" s="51">
        <v>5056</v>
      </c>
      <c r="B5057" s="56" t="s">
        <v>1009</v>
      </c>
      <c r="C5057" s="47" t="s">
        <v>10211</v>
      </c>
      <c r="D5057" s="47" t="s">
        <v>10212</v>
      </c>
      <c r="E5057" s="47" t="s">
        <v>2365</v>
      </c>
      <c r="F5057" s="55" t="b">
        <v>1</v>
      </c>
      <c r="G5057" s="65" t="b">
        <v>0</v>
      </c>
      <c r="H5057" s="54" t="b">
        <v>1</v>
      </c>
      <c r="I5057" s="54" t="b">
        <v>1</v>
      </c>
      <c r="J5057" s="65" t="b">
        <v>0</v>
      </c>
      <c r="K5057" s="63" t="s">
        <v>1126</v>
      </c>
      <c r="L5057" s="63" t="s">
        <v>10211</v>
      </c>
      <c r="M5057" s="63" t="s">
        <v>10212</v>
      </c>
      <c r="N5057" s="63" t="s">
        <v>1719</v>
      </c>
    </row>
    <row r="5058" spans="1:14" x14ac:dyDescent="0.2">
      <c r="A5058" s="51">
        <v>5057</v>
      </c>
      <c r="B5058" s="56" t="s">
        <v>1009</v>
      </c>
      <c r="C5058" s="47" t="s">
        <v>10203</v>
      </c>
      <c r="D5058" s="47" t="s">
        <v>10204</v>
      </c>
      <c r="E5058" s="47" t="s">
        <v>2365</v>
      </c>
      <c r="F5058" s="55" t="b">
        <v>1</v>
      </c>
      <c r="G5058" s="65" t="b">
        <v>0</v>
      </c>
      <c r="H5058" s="54" t="b">
        <v>1</v>
      </c>
      <c r="I5058" s="54" t="b">
        <v>1</v>
      </c>
      <c r="J5058" s="65" t="b">
        <v>0</v>
      </c>
      <c r="K5058" s="63" t="s">
        <v>1126</v>
      </c>
      <c r="L5058" s="63" t="s">
        <v>10203</v>
      </c>
      <c r="M5058" s="63" t="s">
        <v>10204</v>
      </c>
      <c r="N5058" s="63" t="s">
        <v>1719</v>
      </c>
    </row>
    <row r="5059" spans="1:14" x14ac:dyDescent="0.2">
      <c r="A5059" s="51">
        <v>5058</v>
      </c>
      <c r="B5059" s="56" t="s">
        <v>1009</v>
      </c>
      <c r="C5059" s="47" t="s">
        <v>10225</v>
      </c>
      <c r="D5059" s="47" t="s">
        <v>10226</v>
      </c>
      <c r="E5059" s="47" t="s">
        <v>2365</v>
      </c>
      <c r="F5059" s="55" t="b">
        <v>1</v>
      </c>
      <c r="G5059" s="65" t="b">
        <v>0</v>
      </c>
      <c r="H5059" s="54" t="b">
        <v>1</v>
      </c>
      <c r="I5059" s="54" t="b">
        <v>1</v>
      </c>
      <c r="J5059" s="65" t="b">
        <v>0</v>
      </c>
      <c r="K5059" s="63" t="s">
        <v>1126</v>
      </c>
      <c r="L5059" s="63" t="s">
        <v>10225</v>
      </c>
      <c r="M5059" s="63" t="s">
        <v>10226</v>
      </c>
      <c r="N5059" s="63" t="s">
        <v>1719</v>
      </c>
    </row>
    <row r="5060" spans="1:14" x14ac:dyDescent="0.2">
      <c r="A5060" s="51">
        <v>5059</v>
      </c>
      <c r="B5060" s="56" t="s">
        <v>1009</v>
      </c>
      <c r="C5060" s="47" t="s">
        <v>10221</v>
      </c>
      <c r="D5060" s="47" t="s">
        <v>10222</v>
      </c>
      <c r="E5060" s="47" t="s">
        <v>2365</v>
      </c>
      <c r="F5060" s="55" t="b">
        <v>1</v>
      </c>
      <c r="G5060" s="65" t="b">
        <v>0</v>
      </c>
      <c r="H5060" s="54" t="b">
        <v>1</v>
      </c>
      <c r="I5060" s="54" t="b">
        <v>1</v>
      </c>
      <c r="J5060" s="65" t="b">
        <v>0</v>
      </c>
      <c r="K5060" s="63" t="s">
        <v>1126</v>
      </c>
      <c r="L5060" s="63" t="s">
        <v>10221</v>
      </c>
      <c r="M5060" s="63" t="s">
        <v>10222</v>
      </c>
      <c r="N5060" s="63" t="s">
        <v>1719</v>
      </c>
    </row>
    <row r="5061" spans="1:14" x14ac:dyDescent="0.2">
      <c r="A5061" s="51">
        <v>5060</v>
      </c>
      <c r="B5061" s="56" t="s">
        <v>1009</v>
      </c>
      <c r="C5061" s="47" t="s">
        <v>10223</v>
      </c>
      <c r="D5061" s="47" t="s">
        <v>10224</v>
      </c>
      <c r="E5061" s="47" t="s">
        <v>2365</v>
      </c>
      <c r="F5061" s="55" t="b">
        <v>1</v>
      </c>
      <c r="G5061" s="65" t="b">
        <v>0</v>
      </c>
      <c r="H5061" s="54" t="b">
        <v>1</v>
      </c>
      <c r="I5061" s="54" t="b">
        <v>1</v>
      </c>
      <c r="J5061" s="65" t="b">
        <v>0</v>
      </c>
      <c r="K5061" s="63" t="s">
        <v>1126</v>
      </c>
      <c r="L5061" s="63" t="s">
        <v>10223</v>
      </c>
      <c r="M5061" s="63" t="s">
        <v>10224</v>
      </c>
      <c r="N5061" s="63" t="s">
        <v>1719</v>
      </c>
    </row>
    <row r="5062" spans="1:14" x14ac:dyDescent="0.2">
      <c r="A5062" s="51">
        <v>5061</v>
      </c>
      <c r="B5062" s="56" t="s">
        <v>1009</v>
      </c>
      <c r="C5062" s="47" t="s">
        <v>10215</v>
      </c>
      <c r="D5062" s="47" t="s">
        <v>10216</v>
      </c>
      <c r="E5062" s="47" t="s">
        <v>2365</v>
      </c>
      <c r="F5062" s="55" t="b">
        <v>1</v>
      </c>
      <c r="G5062" s="65" t="b">
        <v>0</v>
      </c>
      <c r="H5062" s="54" t="b">
        <v>1</v>
      </c>
      <c r="I5062" s="54" t="b">
        <v>1</v>
      </c>
      <c r="J5062" s="65" t="b">
        <v>0</v>
      </c>
      <c r="K5062" s="63" t="s">
        <v>1126</v>
      </c>
      <c r="L5062" s="63" t="s">
        <v>10215</v>
      </c>
      <c r="M5062" s="63" t="s">
        <v>10216</v>
      </c>
      <c r="N5062" s="63" t="s">
        <v>1719</v>
      </c>
    </row>
    <row r="5063" spans="1:14" x14ac:dyDescent="0.2">
      <c r="A5063" s="51">
        <v>5062</v>
      </c>
      <c r="B5063" s="56" t="s">
        <v>1009</v>
      </c>
      <c r="C5063" s="47" t="s">
        <v>10199</v>
      </c>
      <c r="D5063" s="47" t="s">
        <v>10200</v>
      </c>
      <c r="E5063" s="47" t="s">
        <v>2365</v>
      </c>
      <c r="F5063" s="55" t="b">
        <v>1</v>
      </c>
      <c r="G5063" s="65" t="b">
        <v>0</v>
      </c>
      <c r="H5063" s="54" t="b">
        <v>1</v>
      </c>
      <c r="I5063" s="54" t="b">
        <v>1</v>
      </c>
      <c r="J5063" s="65" t="b">
        <v>0</v>
      </c>
      <c r="K5063" s="63" t="s">
        <v>1126</v>
      </c>
      <c r="L5063" s="63" t="s">
        <v>10199</v>
      </c>
      <c r="M5063" s="63" t="s">
        <v>10200</v>
      </c>
      <c r="N5063" s="63" t="s">
        <v>1719</v>
      </c>
    </row>
    <row r="5064" spans="1:14" x14ac:dyDescent="0.2">
      <c r="A5064" s="51">
        <v>5063</v>
      </c>
      <c r="B5064" s="56" t="s">
        <v>1009</v>
      </c>
      <c r="C5064" s="47" t="s">
        <v>10201</v>
      </c>
      <c r="D5064" s="47" t="s">
        <v>10202</v>
      </c>
      <c r="E5064" s="47" t="s">
        <v>2365</v>
      </c>
      <c r="F5064" s="55" t="b">
        <v>1</v>
      </c>
      <c r="G5064" s="65" t="b">
        <v>0</v>
      </c>
      <c r="H5064" s="54" t="b">
        <v>1</v>
      </c>
      <c r="I5064" s="54" t="b">
        <v>1</v>
      </c>
      <c r="J5064" s="65" t="b">
        <v>0</v>
      </c>
      <c r="K5064" s="63" t="s">
        <v>1126</v>
      </c>
      <c r="L5064" s="63" t="s">
        <v>10201</v>
      </c>
      <c r="M5064" s="63" t="s">
        <v>10202</v>
      </c>
      <c r="N5064" s="63" t="s">
        <v>1719</v>
      </c>
    </row>
    <row r="5065" spans="1:14" x14ac:dyDescent="0.2">
      <c r="A5065" s="51">
        <v>5064</v>
      </c>
      <c r="B5065" s="56" t="s">
        <v>1009</v>
      </c>
      <c r="C5065" s="47" t="s">
        <v>10205</v>
      </c>
      <c r="D5065" s="47" t="s">
        <v>10206</v>
      </c>
      <c r="E5065" s="47" t="s">
        <v>2365</v>
      </c>
      <c r="F5065" s="55" t="b">
        <v>1</v>
      </c>
      <c r="G5065" s="65" t="b">
        <v>0</v>
      </c>
      <c r="H5065" s="54" t="b">
        <v>1</v>
      </c>
      <c r="I5065" s="54" t="b">
        <v>1</v>
      </c>
      <c r="J5065" s="65" t="b">
        <v>0</v>
      </c>
      <c r="K5065" s="63" t="s">
        <v>1126</v>
      </c>
      <c r="L5065" s="63" t="s">
        <v>10205</v>
      </c>
      <c r="M5065" s="63" t="s">
        <v>10206</v>
      </c>
      <c r="N5065" s="63" t="s">
        <v>1719</v>
      </c>
    </row>
    <row r="5066" spans="1:14" x14ac:dyDescent="0.2">
      <c r="A5066" s="51">
        <v>5065</v>
      </c>
      <c r="B5066" s="56" t="s">
        <v>1009</v>
      </c>
      <c r="C5066" s="47" t="s">
        <v>10217</v>
      </c>
      <c r="D5066" s="47" t="s">
        <v>10218</v>
      </c>
      <c r="E5066" s="47" t="s">
        <v>2365</v>
      </c>
      <c r="F5066" s="55" t="b">
        <v>1</v>
      </c>
      <c r="G5066" s="65" t="b">
        <v>0</v>
      </c>
      <c r="H5066" s="54" t="b">
        <v>1</v>
      </c>
      <c r="I5066" s="54" t="b">
        <v>1</v>
      </c>
      <c r="J5066" s="65" t="b">
        <v>0</v>
      </c>
      <c r="K5066" s="63" t="s">
        <v>1126</v>
      </c>
      <c r="L5066" s="63" t="s">
        <v>10217</v>
      </c>
      <c r="M5066" s="63" t="s">
        <v>10218</v>
      </c>
      <c r="N5066" s="63" t="s">
        <v>1719</v>
      </c>
    </row>
    <row r="5067" spans="1:14" x14ac:dyDescent="0.2">
      <c r="A5067" s="51">
        <v>5066</v>
      </c>
      <c r="B5067" s="56" t="s">
        <v>1009</v>
      </c>
      <c r="C5067" s="47" t="s">
        <v>10207</v>
      </c>
      <c r="D5067" s="47" t="s">
        <v>13723</v>
      </c>
      <c r="E5067" s="47" t="s">
        <v>2365</v>
      </c>
      <c r="F5067" s="55" t="b">
        <v>1</v>
      </c>
      <c r="G5067" s="65" t="b">
        <v>0</v>
      </c>
      <c r="H5067" s="54" t="b">
        <v>1</v>
      </c>
      <c r="I5067" s="65" t="b">
        <v>0</v>
      </c>
      <c r="J5067" s="65" t="b">
        <v>0</v>
      </c>
      <c r="K5067" s="63" t="s">
        <v>1126</v>
      </c>
      <c r="L5067" s="63" t="s">
        <v>10207</v>
      </c>
      <c r="M5067" s="63" t="s">
        <v>10208</v>
      </c>
      <c r="N5067" s="63" t="s">
        <v>1719</v>
      </c>
    </row>
    <row r="5068" spans="1:14" x14ac:dyDescent="0.2">
      <c r="A5068" s="51">
        <v>5067</v>
      </c>
      <c r="B5068" s="56" t="s">
        <v>1009</v>
      </c>
      <c r="C5068" s="47" t="s">
        <v>10219</v>
      </c>
      <c r="D5068" s="47" t="s">
        <v>10220</v>
      </c>
      <c r="E5068" s="47" t="s">
        <v>2365</v>
      </c>
      <c r="F5068" s="55" t="b">
        <v>1</v>
      </c>
      <c r="G5068" s="65" t="b">
        <v>0</v>
      </c>
      <c r="H5068" s="54" t="b">
        <v>1</v>
      </c>
      <c r="I5068" s="54" t="b">
        <v>1</v>
      </c>
      <c r="J5068" s="65" t="b">
        <v>0</v>
      </c>
      <c r="K5068" s="63" t="s">
        <v>1126</v>
      </c>
      <c r="L5068" s="63" t="s">
        <v>10219</v>
      </c>
      <c r="M5068" s="63" t="s">
        <v>10220</v>
      </c>
      <c r="N5068" s="63" t="s">
        <v>1719</v>
      </c>
    </row>
    <row r="5069" spans="1:14" x14ac:dyDescent="0.2">
      <c r="A5069" s="51">
        <v>5068</v>
      </c>
      <c r="B5069" s="56" t="s">
        <v>1011</v>
      </c>
      <c r="C5069" s="47" t="s">
        <v>10227</v>
      </c>
      <c r="D5069" s="47" t="s">
        <v>10228</v>
      </c>
      <c r="E5069" s="47" t="s">
        <v>1788</v>
      </c>
      <c r="F5069" s="55" t="b">
        <v>1</v>
      </c>
      <c r="G5069" s="65" t="b">
        <v>0</v>
      </c>
      <c r="H5069" s="54" t="b">
        <v>1</v>
      </c>
      <c r="I5069" s="54" t="b">
        <v>1</v>
      </c>
      <c r="J5069" s="65" t="b">
        <v>0</v>
      </c>
      <c r="K5069" s="63" t="s">
        <v>1127</v>
      </c>
      <c r="L5069" s="63" t="s">
        <v>10227</v>
      </c>
      <c r="M5069" s="63" t="s">
        <v>10228</v>
      </c>
      <c r="N5069" s="63" t="s">
        <v>1790</v>
      </c>
    </row>
    <row r="5070" spans="1:14" x14ac:dyDescent="0.2">
      <c r="A5070" s="51">
        <v>5069</v>
      </c>
      <c r="B5070" s="56" t="s">
        <v>1011</v>
      </c>
      <c r="C5070" s="47" t="s">
        <v>10229</v>
      </c>
      <c r="D5070" s="47" t="s">
        <v>10230</v>
      </c>
      <c r="E5070" s="47" t="s">
        <v>2164</v>
      </c>
      <c r="F5070" s="55" t="b">
        <v>1</v>
      </c>
      <c r="G5070" s="65" t="b">
        <v>0</v>
      </c>
      <c r="H5070" s="54" t="b">
        <v>1</v>
      </c>
      <c r="I5070" s="54" t="b">
        <v>1</v>
      </c>
      <c r="J5070" s="54" t="b">
        <v>1</v>
      </c>
      <c r="K5070" s="63" t="s">
        <v>1127</v>
      </c>
      <c r="L5070" s="63" t="s">
        <v>10229</v>
      </c>
      <c r="M5070" s="63" t="s">
        <v>10230</v>
      </c>
      <c r="N5070" s="63" t="s">
        <v>2164</v>
      </c>
    </row>
    <row r="5071" spans="1:14" x14ac:dyDescent="0.2">
      <c r="A5071" s="51">
        <v>5070</v>
      </c>
      <c r="B5071" s="56" t="s">
        <v>1011</v>
      </c>
      <c r="C5071" s="47" t="s">
        <v>10231</v>
      </c>
      <c r="D5071" s="47" t="s">
        <v>10230</v>
      </c>
      <c r="E5071" s="47" t="s">
        <v>1788</v>
      </c>
      <c r="F5071" s="55" t="b">
        <v>1</v>
      </c>
      <c r="G5071" s="65" t="b">
        <v>0</v>
      </c>
      <c r="H5071" s="54" t="b">
        <v>1</v>
      </c>
      <c r="I5071" s="54" t="b">
        <v>1</v>
      </c>
      <c r="J5071" s="65" t="b">
        <v>0</v>
      </c>
      <c r="K5071" s="63" t="s">
        <v>1127</v>
      </c>
      <c r="L5071" s="63" t="s">
        <v>10231</v>
      </c>
      <c r="M5071" s="63" t="s">
        <v>10230</v>
      </c>
      <c r="N5071" s="63" t="s">
        <v>1790</v>
      </c>
    </row>
    <row r="5072" spans="1:14" x14ac:dyDescent="0.2">
      <c r="A5072" s="51">
        <v>5071</v>
      </c>
      <c r="B5072" s="56" t="s">
        <v>1011</v>
      </c>
      <c r="C5072" s="47" t="s">
        <v>10232</v>
      </c>
      <c r="D5072" s="47" t="s">
        <v>10233</v>
      </c>
      <c r="E5072" s="47" t="s">
        <v>1788</v>
      </c>
      <c r="F5072" s="55" t="b">
        <v>1</v>
      </c>
      <c r="G5072" s="65" t="b">
        <v>0</v>
      </c>
      <c r="H5072" s="54" t="b">
        <v>1</v>
      </c>
      <c r="I5072" s="54" t="b">
        <v>1</v>
      </c>
      <c r="J5072" s="65" t="b">
        <v>0</v>
      </c>
      <c r="K5072" s="63" t="s">
        <v>1127</v>
      </c>
      <c r="L5072" s="63" t="s">
        <v>10232</v>
      </c>
      <c r="M5072" s="63" t="s">
        <v>10233</v>
      </c>
      <c r="N5072" s="63" t="s">
        <v>1790</v>
      </c>
    </row>
    <row r="5073" spans="1:14" x14ac:dyDescent="0.2">
      <c r="A5073" s="51">
        <v>5072</v>
      </c>
      <c r="B5073" s="56" t="s">
        <v>1011</v>
      </c>
      <c r="C5073" s="47" t="s">
        <v>10234</v>
      </c>
      <c r="D5073" s="47" t="s">
        <v>10233</v>
      </c>
      <c r="E5073" s="47" t="s">
        <v>2164</v>
      </c>
      <c r="F5073" s="55" t="b">
        <v>1</v>
      </c>
      <c r="G5073" s="65" t="b">
        <v>0</v>
      </c>
      <c r="H5073" s="54" t="b">
        <v>1</v>
      </c>
      <c r="I5073" s="54" t="b">
        <v>1</v>
      </c>
      <c r="J5073" s="54" t="b">
        <v>1</v>
      </c>
      <c r="K5073" s="63" t="s">
        <v>1127</v>
      </c>
      <c r="L5073" s="63" t="s">
        <v>10234</v>
      </c>
      <c r="M5073" s="63" t="s">
        <v>10233</v>
      </c>
      <c r="N5073" s="63" t="s">
        <v>2164</v>
      </c>
    </row>
    <row r="5074" spans="1:14" x14ac:dyDescent="0.2">
      <c r="A5074" s="51">
        <v>5073</v>
      </c>
      <c r="B5074" s="56" t="s">
        <v>1011</v>
      </c>
      <c r="C5074" s="47" t="s">
        <v>10235</v>
      </c>
      <c r="D5074" s="47" t="s">
        <v>10236</v>
      </c>
      <c r="E5074" s="47" t="s">
        <v>1788</v>
      </c>
      <c r="F5074" s="55" t="b">
        <v>1</v>
      </c>
      <c r="G5074" s="65" t="b">
        <v>0</v>
      </c>
      <c r="H5074" s="54" t="b">
        <v>1</v>
      </c>
      <c r="I5074" s="54" t="b">
        <v>1</v>
      </c>
      <c r="J5074" s="65" t="b">
        <v>0</v>
      </c>
      <c r="K5074" s="63" t="s">
        <v>1127</v>
      </c>
      <c r="L5074" s="63" t="s">
        <v>10235</v>
      </c>
      <c r="M5074" s="63" t="s">
        <v>10236</v>
      </c>
      <c r="N5074" s="63" t="s">
        <v>1790</v>
      </c>
    </row>
    <row r="5075" spans="1:14" ht="13.5" customHeight="1" x14ac:dyDescent="0.2">
      <c r="A5075" s="51">
        <v>5074</v>
      </c>
      <c r="B5075" s="56" t="s">
        <v>1011</v>
      </c>
      <c r="C5075" s="47" t="s">
        <v>10237</v>
      </c>
      <c r="D5075" s="47" t="s">
        <v>13730</v>
      </c>
      <c r="E5075" s="47" t="s">
        <v>1788</v>
      </c>
      <c r="F5075" s="55" t="b">
        <v>1</v>
      </c>
      <c r="G5075" s="65" t="b">
        <v>0</v>
      </c>
      <c r="H5075" s="54" t="b">
        <v>1</v>
      </c>
      <c r="I5075" s="65" t="b">
        <v>0</v>
      </c>
      <c r="J5075" s="65" t="b">
        <v>0</v>
      </c>
      <c r="K5075" s="63" t="s">
        <v>1127</v>
      </c>
      <c r="L5075" s="63" t="s">
        <v>10237</v>
      </c>
      <c r="M5075" s="63" t="s">
        <v>10238</v>
      </c>
      <c r="N5075" s="63" t="s">
        <v>1790</v>
      </c>
    </row>
    <row r="5076" spans="1:14" x14ac:dyDescent="0.2">
      <c r="A5076" s="51">
        <v>5075</v>
      </c>
      <c r="B5076" s="56" t="s">
        <v>1011</v>
      </c>
      <c r="C5076" s="47" t="s">
        <v>10242</v>
      </c>
      <c r="D5076" s="47" t="s">
        <v>10243</v>
      </c>
      <c r="E5076" s="47" t="s">
        <v>2164</v>
      </c>
      <c r="F5076" s="55" t="b">
        <v>1</v>
      </c>
      <c r="G5076" s="65" t="b">
        <v>0</v>
      </c>
      <c r="H5076" s="54" t="b">
        <v>1</v>
      </c>
      <c r="I5076" s="54" t="b">
        <v>1</v>
      </c>
      <c r="J5076" s="54" t="b">
        <v>1</v>
      </c>
      <c r="K5076" s="63" t="s">
        <v>1127</v>
      </c>
      <c r="L5076" s="63" t="s">
        <v>10242</v>
      </c>
      <c r="M5076" s="63" t="s">
        <v>10243</v>
      </c>
      <c r="N5076" s="63" t="s">
        <v>2164</v>
      </c>
    </row>
    <row r="5077" spans="1:14" x14ac:dyDescent="0.2">
      <c r="A5077" s="51">
        <v>5076</v>
      </c>
      <c r="B5077" s="56" t="s">
        <v>1011</v>
      </c>
      <c r="C5077" s="47" t="s">
        <v>10239</v>
      </c>
      <c r="D5077" s="47" t="s">
        <v>10240</v>
      </c>
      <c r="E5077" s="47" t="s">
        <v>2164</v>
      </c>
      <c r="F5077" s="55" t="b">
        <v>1</v>
      </c>
      <c r="G5077" s="65" t="b">
        <v>0</v>
      </c>
      <c r="H5077" s="54" t="b">
        <v>1</v>
      </c>
      <c r="I5077" s="54" t="b">
        <v>1</v>
      </c>
      <c r="J5077" s="65" t="b">
        <v>0</v>
      </c>
      <c r="K5077" s="63" t="s">
        <v>1127</v>
      </c>
      <c r="L5077" s="63" t="s">
        <v>10239</v>
      </c>
      <c r="M5077" s="63" t="s">
        <v>10240</v>
      </c>
      <c r="N5077" s="63" t="s">
        <v>2673</v>
      </c>
    </row>
    <row r="5078" spans="1:14" x14ac:dyDescent="0.2">
      <c r="A5078" s="51">
        <v>5077</v>
      </c>
      <c r="B5078" s="56"/>
      <c r="G5078" s="65" t="b">
        <v>0</v>
      </c>
      <c r="H5078" s="65" t="b">
        <v>0</v>
      </c>
      <c r="I5078" s="65" t="b">
        <v>0</v>
      </c>
      <c r="J5078" s="65" t="b">
        <v>0</v>
      </c>
      <c r="K5078" s="63" t="s">
        <v>1127</v>
      </c>
      <c r="L5078" s="63" t="s">
        <v>10241</v>
      </c>
      <c r="M5078" s="63" t="s">
        <v>10240</v>
      </c>
      <c r="N5078" s="63" t="s">
        <v>1790</v>
      </c>
    </row>
    <row r="5079" spans="1:14" x14ac:dyDescent="0.2">
      <c r="A5079" s="51">
        <v>5078</v>
      </c>
      <c r="B5079" s="56" t="s">
        <v>1011</v>
      </c>
      <c r="C5079" s="47" t="s">
        <v>13725</v>
      </c>
      <c r="D5079" s="47" t="s">
        <v>13726</v>
      </c>
      <c r="E5079" s="47" t="s">
        <v>1788</v>
      </c>
      <c r="F5079" s="55" t="b">
        <v>1</v>
      </c>
      <c r="G5079" s="65" t="b">
        <v>0</v>
      </c>
      <c r="H5079" s="65" t="b">
        <v>0</v>
      </c>
      <c r="I5079" s="65" t="b">
        <v>0</v>
      </c>
      <c r="J5079" s="65" t="b">
        <v>0</v>
      </c>
    </row>
    <row r="5080" spans="1:14" x14ac:dyDescent="0.2">
      <c r="A5080" s="51">
        <v>5079</v>
      </c>
      <c r="B5080" s="56" t="s">
        <v>1011</v>
      </c>
      <c r="C5080" s="47" t="s">
        <v>13727</v>
      </c>
      <c r="D5080" s="47" t="s">
        <v>13728</v>
      </c>
      <c r="E5080" s="47" t="s">
        <v>1788</v>
      </c>
      <c r="F5080" s="55" t="b">
        <v>1</v>
      </c>
      <c r="G5080" s="65" t="b">
        <v>0</v>
      </c>
      <c r="H5080" s="65" t="b">
        <v>0</v>
      </c>
      <c r="I5080" s="65" t="b">
        <v>0</v>
      </c>
      <c r="J5080" s="65" t="b">
        <v>0</v>
      </c>
    </row>
    <row r="5081" spans="1:14" x14ac:dyDescent="0.2">
      <c r="A5081" s="51">
        <v>5080</v>
      </c>
      <c r="B5081" s="56" t="s">
        <v>1011</v>
      </c>
      <c r="C5081" s="47" t="s">
        <v>10244</v>
      </c>
      <c r="D5081" s="47" t="s">
        <v>10245</v>
      </c>
      <c r="E5081" s="47" t="s">
        <v>1788</v>
      </c>
      <c r="F5081" s="55" t="b">
        <v>1</v>
      </c>
      <c r="G5081" s="65" t="b">
        <v>0</v>
      </c>
      <c r="H5081" s="54" t="b">
        <v>1</v>
      </c>
      <c r="I5081" s="54" t="b">
        <v>1</v>
      </c>
      <c r="J5081" s="65" t="b">
        <v>0</v>
      </c>
      <c r="K5081" s="63" t="s">
        <v>1127</v>
      </c>
      <c r="L5081" s="63" t="s">
        <v>10244</v>
      </c>
      <c r="M5081" s="63" t="s">
        <v>10245</v>
      </c>
      <c r="N5081" s="63" t="s">
        <v>1790</v>
      </c>
    </row>
    <row r="5082" spans="1:14" x14ac:dyDescent="0.2">
      <c r="A5082" s="51">
        <v>5081</v>
      </c>
      <c r="B5082" s="56" t="s">
        <v>1011</v>
      </c>
      <c r="C5082" s="47" t="s">
        <v>10246</v>
      </c>
      <c r="D5082" s="47" t="s">
        <v>10247</v>
      </c>
      <c r="E5082" s="47" t="s">
        <v>1788</v>
      </c>
      <c r="F5082" s="55" t="b">
        <v>1</v>
      </c>
      <c r="G5082" s="65" t="b">
        <v>0</v>
      </c>
      <c r="H5082" s="54" t="b">
        <v>1</v>
      </c>
      <c r="I5082" s="54" t="b">
        <v>1</v>
      </c>
      <c r="J5082" s="65" t="b">
        <v>0</v>
      </c>
      <c r="K5082" s="63" t="s">
        <v>1127</v>
      </c>
      <c r="L5082" s="63" t="s">
        <v>10246</v>
      </c>
      <c r="M5082" s="63" t="s">
        <v>10247</v>
      </c>
      <c r="N5082" s="63" t="s">
        <v>1790</v>
      </c>
    </row>
    <row r="5083" spans="1:14" x14ac:dyDescent="0.2">
      <c r="A5083" s="51">
        <v>5082</v>
      </c>
      <c r="B5083" s="56" t="s">
        <v>1011</v>
      </c>
      <c r="C5083" s="47" t="s">
        <v>10248</v>
      </c>
      <c r="D5083" s="47" t="s">
        <v>10249</v>
      </c>
      <c r="E5083" s="47" t="s">
        <v>1788</v>
      </c>
      <c r="F5083" s="55" t="b">
        <v>1</v>
      </c>
      <c r="G5083" s="65" t="b">
        <v>0</v>
      </c>
      <c r="H5083" s="54" t="b">
        <v>1</v>
      </c>
      <c r="I5083" s="54" t="b">
        <v>1</v>
      </c>
      <c r="J5083" s="65" t="b">
        <v>0</v>
      </c>
      <c r="K5083" s="63" t="s">
        <v>1127</v>
      </c>
      <c r="L5083" s="63" t="s">
        <v>10248</v>
      </c>
      <c r="M5083" s="63" t="s">
        <v>10249</v>
      </c>
      <c r="N5083" s="63" t="s">
        <v>1790</v>
      </c>
    </row>
    <row r="5084" spans="1:14" x14ac:dyDescent="0.2">
      <c r="A5084" s="51">
        <v>5083</v>
      </c>
      <c r="B5084" s="56" t="s">
        <v>1011</v>
      </c>
      <c r="C5084" s="47" t="s">
        <v>10250</v>
      </c>
      <c r="D5084" s="47" t="s">
        <v>10251</v>
      </c>
      <c r="E5084" s="47" t="s">
        <v>1788</v>
      </c>
      <c r="F5084" s="55" t="b">
        <v>1</v>
      </c>
      <c r="G5084" s="65" t="b">
        <v>0</v>
      </c>
      <c r="H5084" s="54" t="b">
        <v>1</v>
      </c>
      <c r="I5084" s="54" t="b">
        <v>1</v>
      </c>
      <c r="J5084" s="65" t="b">
        <v>0</v>
      </c>
      <c r="K5084" s="63" t="s">
        <v>1127</v>
      </c>
      <c r="L5084" s="63" t="s">
        <v>10250</v>
      </c>
      <c r="M5084" s="63" t="s">
        <v>10251</v>
      </c>
      <c r="N5084" s="63" t="s">
        <v>1790</v>
      </c>
    </row>
    <row r="5085" spans="1:14" x14ac:dyDescent="0.2">
      <c r="A5085" s="51">
        <v>5084</v>
      </c>
      <c r="B5085" s="56" t="s">
        <v>1011</v>
      </c>
      <c r="C5085" s="47" t="s">
        <v>10263</v>
      </c>
      <c r="D5085" s="47" t="s">
        <v>10264</v>
      </c>
      <c r="E5085" s="47" t="s">
        <v>1788</v>
      </c>
      <c r="F5085" s="55" t="b">
        <v>1</v>
      </c>
      <c r="G5085" s="65" t="b">
        <v>0</v>
      </c>
      <c r="H5085" s="54" t="b">
        <v>1</v>
      </c>
      <c r="I5085" s="54" t="b">
        <v>1</v>
      </c>
      <c r="J5085" s="65" t="b">
        <v>0</v>
      </c>
      <c r="K5085" s="63" t="s">
        <v>1127</v>
      </c>
      <c r="L5085" s="63" t="s">
        <v>10263</v>
      </c>
      <c r="M5085" s="63" t="s">
        <v>10264</v>
      </c>
      <c r="N5085" s="63" t="s">
        <v>1790</v>
      </c>
    </row>
    <row r="5086" spans="1:14" x14ac:dyDescent="0.2">
      <c r="A5086" s="51">
        <v>5085</v>
      </c>
      <c r="B5086" s="56" t="s">
        <v>1011</v>
      </c>
      <c r="C5086" s="47" t="s">
        <v>10255</v>
      </c>
      <c r="D5086" s="47" t="s">
        <v>10256</v>
      </c>
      <c r="E5086" s="47" t="s">
        <v>2164</v>
      </c>
      <c r="F5086" s="55" t="b">
        <v>1</v>
      </c>
      <c r="G5086" s="65" t="b">
        <v>0</v>
      </c>
      <c r="H5086" s="54" t="b">
        <v>1</v>
      </c>
      <c r="I5086" s="54" t="b">
        <v>1</v>
      </c>
      <c r="J5086" s="54" t="b">
        <v>1</v>
      </c>
      <c r="K5086" s="63" t="s">
        <v>1127</v>
      </c>
      <c r="L5086" s="63" t="s">
        <v>10255</v>
      </c>
      <c r="M5086" s="63" t="s">
        <v>10256</v>
      </c>
      <c r="N5086" s="63" t="s">
        <v>2164</v>
      </c>
    </row>
    <row r="5087" spans="1:14" x14ac:dyDescent="0.2">
      <c r="A5087" s="51">
        <v>5086</v>
      </c>
      <c r="B5087" s="56"/>
      <c r="G5087" s="65" t="b">
        <v>0</v>
      </c>
      <c r="H5087" s="65" t="b">
        <v>0</v>
      </c>
      <c r="I5087" s="65" t="b">
        <v>0</v>
      </c>
      <c r="J5087" s="65" t="b">
        <v>0</v>
      </c>
      <c r="K5087" s="63" t="s">
        <v>1127</v>
      </c>
      <c r="L5087" s="63" t="s">
        <v>10257</v>
      </c>
      <c r="M5087" s="63" t="s">
        <v>10256</v>
      </c>
      <c r="N5087" s="63" t="s">
        <v>1790</v>
      </c>
    </row>
    <row r="5088" spans="1:14" x14ac:dyDescent="0.2">
      <c r="A5088" s="51">
        <v>5087</v>
      </c>
      <c r="B5088" s="56" t="s">
        <v>1011</v>
      </c>
      <c r="C5088" s="47" t="s">
        <v>10258</v>
      </c>
      <c r="D5088" s="47" t="s">
        <v>10259</v>
      </c>
      <c r="E5088" s="47" t="s">
        <v>2164</v>
      </c>
      <c r="F5088" s="55" t="b">
        <v>1</v>
      </c>
      <c r="G5088" s="65" t="b">
        <v>0</v>
      </c>
      <c r="H5088" s="54" t="b">
        <v>1</v>
      </c>
      <c r="I5088" s="54" t="b">
        <v>1</v>
      </c>
      <c r="J5088" s="65" t="b">
        <v>0</v>
      </c>
      <c r="K5088" s="63" t="s">
        <v>1127</v>
      </c>
      <c r="L5088" s="63" t="s">
        <v>10258</v>
      </c>
      <c r="M5088" s="63" t="s">
        <v>10259</v>
      </c>
      <c r="N5088" s="63" t="s">
        <v>2673</v>
      </c>
    </row>
    <row r="5089" spans="1:14" x14ac:dyDescent="0.2">
      <c r="A5089" s="51">
        <v>5088</v>
      </c>
      <c r="B5089" s="56" t="s">
        <v>1011</v>
      </c>
      <c r="C5089" s="47" t="s">
        <v>10260</v>
      </c>
      <c r="D5089" s="47" t="s">
        <v>13729</v>
      </c>
      <c r="E5089" s="47" t="s">
        <v>2164</v>
      </c>
      <c r="F5089" s="55" t="b">
        <v>1</v>
      </c>
      <c r="G5089" s="65" t="b">
        <v>0</v>
      </c>
      <c r="H5089" s="54" t="b">
        <v>1</v>
      </c>
      <c r="I5089" s="65" t="b">
        <v>0</v>
      </c>
      <c r="J5089" s="65" t="b">
        <v>0</v>
      </c>
      <c r="K5089" s="63" t="s">
        <v>1127</v>
      </c>
      <c r="L5089" s="63" t="s">
        <v>10260</v>
      </c>
      <c r="M5089" s="63" t="s">
        <v>10259</v>
      </c>
      <c r="N5089" s="63" t="s">
        <v>1790</v>
      </c>
    </row>
    <row r="5090" spans="1:14" x14ac:dyDescent="0.2">
      <c r="A5090" s="51">
        <v>5089</v>
      </c>
      <c r="B5090" s="56" t="s">
        <v>1011</v>
      </c>
      <c r="C5090" s="47" t="s">
        <v>10261</v>
      </c>
      <c r="D5090" s="47" t="s">
        <v>10262</v>
      </c>
      <c r="E5090" s="47" t="s">
        <v>1788</v>
      </c>
      <c r="F5090" s="55" t="b">
        <v>1</v>
      </c>
      <c r="G5090" s="65" t="b">
        <v>0</v>
      </c>
      <c r="H5090" s="54" t="b">
        <v>1</v>
      </c>
      <c r="I5090" s="54" t="b">
        <v>1</v>
      </c>
      <c r="J5090" s="65" t="b">
        <v>0</v>
      </c>
      <c r="K5090" s="63" t="s">
        <v>1127</v>
      </c>
      <c r="L5090" s="63" t="s">
        <v>10261</v>
      </c>
      <c r="M5090" s="63" t="s">
        <v>10262</v>
      </c>
      <c r="N5090" s="63" t="s">
        <v>1790</v>
      </c>
    </row>
    <row r="5091" spans="1:14" x14ac:dyDescent="0.2">
      <c r="A5091" s="51">
        <v>5090</v>
      </c>
      <c r="B5091" s="56" t="s">
        <v>1011</v>
      </c>
      <c r="C5091" s="47" t="s">
        <v>10252</v>
      </c>
      <c r="D5091" s="47" t="s">
        <v>10253</v>
      </c>
      <c r="E5091" s="47" t="s">
        <v>2164</v>
      </c>
      <c r="F5091" s="55" t="b">
        <v>1</v>
      </c>
      <c r="G5091" s="65" t="b">
        <v>0</v>
      </c>
      <c r="H5091" s="54" t="b">
        <v>1</v>
      </c>
      <c r="I5091" s="54" t="b">
        <v>1</v>
      </c>
      <c r="J5091" s="54" t="b">
        <v>1</v>
      </c>
      <c r="K5091" s="63" t="s">
        <v>1127</v>
      </c>
      <c r="L5091" s="63" t="s">
        <v>10252</v>
      </c>
      <c r="M5091" s="63" t="s">
        <v>10253</v>
      </c>
      <c r="N5091" s="63" t="s">
        <v>2164</v>
      </c>
    </row>
    <row r="5092" spans="1:14" x14ac:dyDescent="0.2">
      <c r="A5092" s="51">
        <v>5091</v>
      </c>
      <c r="B5092" s="56"/>
      <c r="G5092" s="65" t="b">
        <v>0</v>
      </c>
      <c r="H5092" s="65" t="b">
        <v>0</v>
      </c>
      <c r="I5092" s="65" t="b">
        <v>0</v>
      </c>
      <c r="J5092" s="65" t="b">
        <v>0</v>
      </c>
      <c r="K5092" s="63" t="s">
        <v>1127</v>
      </c>
      <c r="L5092" s="63" t="s">
        <v>10254</v>
      </c>
      <c r="M5092" s="63" t="s">
        <v>10253</v>
      </c>
      <c r="N5092" s="63" t="s">
        <v>1790</v>
      </c>
    </row>
    <row r="5093" spans="1:14" x14ac:dyDescent="0.2">
      <c r="A5093" s="51">
        <v>5092</v>
      </c>
      <c r="B5093" s="56" t="s">
        <v>1011</v>
      </c>
      <c r="C5093" s="47" t="s">
        <v>10265</v>
      </c>
      <c r="D5093" s="47" t="s">
        <v>10266</v>
      </c>
      <c r="E5093" s="47" t="s">
        <v>1788</v>
      </c>
      <c r="F5093" s="55" t="b">
        <v>1</v>
      </c>
      <c r="G5093" s="65" t="b">
        <v>0</v>
      </c>
      <c r="H5093" s="54" t="b">
        <v>1</v>
      </c>
      <c r="I5093" s="54" t="b">
        <v>1</v>
      </c>
      <c r="J5093" s="65" t="b">
        <v>0</v>
      </c>
      <c r="K5093" s="63" t="s">
        <v>1127</v>
      </c>
      <c r="L5093" s="63" t="s">
        <v>10265</v>
      </c>
      <c r="M5093" s="63" t="s">
        <v>10266</v>
      </c>
      <c r="N5093" s="63" t="s">
        <v>1790</v>
      </c>
    </row>
    <row r="5094" spans="1:14" x14ac:dyDescent="0.2">
      <c r="A5094" s="51">
        <v>5093</v>
      </c>
      <c r="B5094" s="54" t="s">
        <v>1013</v>
      </c>
      <c r="C5094" s="47" t="s">
        <v>13731</v>
      </c>
      <c r="D5094" s="47" t="s">
        <v>13732</v>
      </c>
      <c r="E5094" s="47" t="s">
        <v>13733</v>
      </c>
      <c r="F5094" s="55" t="b">
        <v>1</v>
      </c>
      <c r="G5094" s="65" t="b">
        <v>0</v>
      </c>
      <c r="H5094" s="65" t="b">
        <v>0</v>
      </c>
      <c r="I5094" s="65" t="b">
        <v>0</v>
      </c>
      <c r="J5094" s="65" t="b">
        <v>0</v>
      </c>
    </row>
    <row r="5095" spans="1:14" x14ac:dyDescent="0.2">
      <c r="A5095" s="51">
        <v>5094</v>
      </c>
      <c r="B5095" s="54" t="s">
        <v>1013</v>
      </c>
      <c r="C5095" s="47" t="s">
        <v>10269</v>
      </c>
      <c r="D5095" s="47" t="s">
        <v>10270</v>
      </c>
      <c r="E5095" s="47" t="s">
        <v>5165</v>
      </c>
      <c r="F5095" s="55" t="b">
        <v>1</v>
      </c>
      <c r="G5095" s="54" t="b">
        <v>1</v>
      </c>
      <c r="H5095" s="54" t="b">
        <v>1</v>
      </c>
      <c r="I5095" s="54" t="b">
        <v>1</v>
      </c>
      <c r="J5095" s="65" t="b">
        <v>0</v>
      </c>
      <c r="K5095" s="63" t="s">
        <v>1013</v>
      </c>
      <c r="L5095" s="63" t="s">
        <v>10269</v>
      </c>
      <c r="M5095" s="63" t="s">
        <v>10270</v>
      </c>
      <c r="N5095" s="63" t="s">
        <v>3322</v>
      </c>
    </row>
    <row r="5096" spans="1:14" x14ac:dyDescent="0.2">
      <c r="A5096" s="51">
        <v>5095</v>
      </c>
      <c r="B5096" s="54" t="s">
        <v>1013</v>
      </c>
      <c r="C5096" s="47" t="s">
        <v>10267</v>
      </c>
      <c r="D5096" s="47" t="s">
        <v>10268</v>
      </c>
      <c r="E5096" s="47" t="s">
        <v>2087</v>
      </c>
      <c r="F5096" s="55" t="b">
        <v>1</v>
      </c>
      <c r="G5096" s="54" t="b">
        <v>1</v>
      </c>
      <c r="H5096" s="54" t="b">
        <v>1</v>
      </c>
      <c r="I5096" s="54" t="b">
        <v>1</v>
      </c>
      <c r="J5096" s="54" t="b">
        <v>1</v>
      </c>
      <c r="K5096" s="63" t="s">
        <v>1013</v>
      </c>
      <c r="L5096" s="63" t="s">
        <v>10267</v>
      </c>
      <c r="M5096" s="63" t="s">
        <v>10268</v>
      </c>
      <c r="N5096" s="63" t="s">
        <v>2087</v>
      </c>
    </row>
    <row r="5097" spans="1:14" x14ac:dyDescent="0.2">
      <c r="A5097" s="51">
        <v>5096</v>
      </c>
      <c r="B5097" s="54" t="s">
        <v>1013</v>
      </c>
      <c r="C5097" s="47" t="s">
        <v>13734</v>
      </c>
      <c r="D5097" s="47" t="s">
        <v>13735</v>
      </c>
      <c r="E5097" s="47" t="s">
        <v>9178</v>
      </c>
      <c r="F5097" s="55" t="b">
        <v>1</v>
      </c>
      <c r="G5097" s="65" t="b">
        <v>0</v>
      </c>
      <c r="H5097" s="65" t="b">
        <v>0</v>
      </c>
      <c r="I5097" s="65" t="b">
        <v>0</v>
      </c>
      <c r="J5097" s="65" t="b">
        <v>0</v>
      </c>
    </row>
    <row r="5098" spans="1:14" x14ac:dyDescent="0.2">
      <c r="A5098" s="51">
        <v>5097</v>
      </c>
      <c r="B5098" s="54" t="s">
        <v>1013</v>
      </c>
      <c r="C5098" s="47" t="s">
        <v>10271</v>
      </c>
      <c r="D5098" s="47" t="s">
        <v>10272</v>
      </c>
      <c r="E5098" s="47" t="s">
        <v>2087</v>
      </c>
      <c r="F5098" s="55" t="b">
        <v>1</v>
      </c>
      <c r="G5098" s="54" t="b">
        <v>1</v>
      </c>
      <c r="H5098" s="54" t="b">
        <v>1</v>
      </c>
      <c r="I5098" s="54" t="b">
        <v>1</v>
      </c>
      <c r="J5098" s="54" t="b">
        <v>1</v>
      </c>
      <c r="K5098" s="63" t="s">
        <v>1013</v>
      </c>
      <c r="L5098" s="63" t="s">
        <v>10271</v>
      </c>
      <c r="M5098" s="63" t="s">
        <v>10272</v>
      </c>
      <c r="N5098" s="63" t="s">
        <v>2087</v>
      </c>
    </row>
    <row r="5099" spans="1:14" x14ac:dyDescent="0.2">
      <c r="A5099" s="51">
        <v>5098</v>
      </c>
      <c r="B5099" s="56" t="s">
        <v>1015</v>
      </c>
      <c r="C5099" s="47" t="s">
        <v>10273</v>
      </c>
      <c r="D5099" s="47" t="s">
        <v>10274</v>
      </c>
      <c r="E5099" s="47" t="s">
        <v>2087</v>
      </c>
      <c r="F5099" s="55" t="b">
        <v>1</v>
      </c>
      <c r="G5099" s="65" t="b">
        <v>0</v>
      </c>
      <c r="H5099" s="54" t="b">
        <v>1</v>
      </c>
      <c r="I5099" s="54" t="b">
        <v>1</v>
      </c>
      <c r="J5099" s="54" t="b">
        <v>1</v>
      </c>
      <c r="K5099" s="63" t="s">
        <v>1128</v>
      </c>
      <c r="L5099" s="63" t="s">
        <v>10273</v>
      </c>
      <c r="M5099" s="63" t="s">
        <v>10274</v>
      </c>
      <c r="N5099" s="63" t="s">
        <v>2087</v>
      </c>
    </row>
    <row r="5100" spans="1:14" x14ac:dyDescent="0.2">
      <c r="A5100" s="51">
        <v>5099</v>
      </c>
      <c r="B5100" s="56" t="s">
        <v>1015</v>
      </c>
      <c r="C5100" s="47" t="s">
        <v>10276</v>
      </c>
      <c r="D5100" s="47" t="s">
        <v>10277</v>
      </c>
      <c r="E5100" s="47" t="s">
        <v>2087</v>
      </c>
      <c r="F5100" s="55" t="b">
        <v>1</v>
      </c>
      <c r="G5100" s="65" t="b">
        <v>0</v>
      </c>
      <c r="H5100" s="54" t="b">
        <v>1</v>
      </c>
      <c r="I5100" s="54" t="b">
        <v>1</v>
      </c>
      <c r="J5100" s="54" t="b">
        <v>1</v>
      </c>
      <c r="K5100" s="63" t="s">
        <v>1128</v>
      </c>
      <c r="L5100" s="63" t="s">
        <v>10276</v>
      </c>
      <c r="M5100" s="63" t="s">
        <v>10277</v>
      </c>
      <c r="N5100" s="63" t="s">
        <v>2087</v>
      </c>
    </row>
    <row r="5101" spans="1:14" x14ac:dyDescent="0.2">
      <c r="A5101" s="51">
        <v>5100</v>
      </c>
      <c r="B5101" s="56" t="s">
        <v>1015</v>
      </c>
      <c r="C5101" s="47" t="s">
        <v>10278</v>
      </c>
      <c r="D5101" s="47" t="s">
        <v>10279</v>
      </c>
      <c r="E5101" s="47" t="s">
        <v>2087</v>
      </c>
      <c r="F5101" s="55" t="b">
        <v>1</v>
      </c>
      <c r="G5101" s="65" t="b">
        <v>0</v>
      </c>
      <c r="H5101" s="54" t="b">
        <v>1</v>
      </c>
      <c r="I5101" s="54" t="b">
        <v>1</v>
      </c>
      <c r="J5101" s="54" t="b">
        <v>1</v>
      </c>
      <c r="K5101" s="63" t="s">
        <v>1128</v>
      </c>
      <c r="L5101" s="63" t="s">
        <v>10278</v>
      </c>
      <c r="M5101" s="63" t="s">
        <v>10279</v>
      </c>
      <c r="N5101" s="63" t="s">
        <v>2087</v>
      </c>
    </row>
    <row r="5102" spans="1:14" x14ac:dyDescent="0.2">
      <c r="A5102" s="51">
        <v>5101</v>
      </c>
      <c r="B5102" s="56" t="s">
        <v>1015</v>
      </c>
      <c r="C5102" s="47" t="s">
        <v>10280</v>
      </c>
      <c r="D5102" s="47" t="s">
        <v>10281</v>
      </c>
      <c r="E5102" s="47" t="s">
        <v>2087</v>
      </c>
      <c r="F5102" s="55" t="b">
        <v>1</v>
      </c>
      <c r="G5102" s="65" t="b">
        <v>0</v>
      </c>
      <c r="H5102" s="54" t="b">
        <v>1</v>
      </c>
      <c r="I5102" s="54" t="b">
        <v>1</v>
      </c>
      <c r="J5102" s="54" t="b">
        <v>1</v>
      </c>
      <c r="K5102" s="63" t="s">
        <v>1128</v>
      </c>
      <c r="L5102" s="63" t="s">
        <v>10280</v>
      </c>
      <c r="M5102" s="63" t="s">
        <v>10281</v>
      </c>
      <c r="N5102" s="63" t="s">
        <v>2087</v>
      </c>
    </row>
    <row r="5103" spans="1:14" x14ac:dyDescent="0.2">
      <c r="A5103" s="51">
        <v>5102</v>
      </c>
      <c r="B5103" s="56" t="s">
        <v>1015</v>
      </c>
      <c r="C5103" s="47" t="s">
        <v>10282</v>
      </c>
      <c r="D5103" s="47" t="s">
        <v>10283</v>
      </c>
      <c r="E5103" s="47" t="s">
        <v>2087</v>
      </c>
      <c r="F5103" s="55" t="b">
        <v>1</v>
      </c>
      <c r="G5103" s="65" t="b">
        <v>0</v>
      </c>
      <c r="H5103" s="54" t="b">
        <v>1</v>
      </c>
      <c r="I5103" s="54" t="b">
        <v>1</v>
      </c>
      <c r="J5103" s="54" t="b">
        <v>1</v>
      </c>
      <c r="K5103" s="63" t="s">
        <v>1128</v>
      </c>
      <c r="L5103" s="63" t="s">
        <v>10282</v>
      </c>
      <c r="M5103" s="63" t="s">
        <v>10283</v>
      </c>
      <c r="N5103" s="63" t="s">
        <v>2087</v>
      </c>
    </row>
    <row r="5104" spans="1:14" x14ac:dyDescent="0.2">
      <c r="A5104" s="51">
        <v>5103</v>
      </c>
      <c r="B5104" s="56" t="s">
        <v>1015</v>
      </c>
      <c r="C5104" s="47" t="s">
        <v>10284</v>
      </c>
      <c r="D5104" s="47" t="s">
        <v>10311</v>
      </c>
      <c r="E5104" s="47" t="s">
        <v>2087</v>
      </c>
      <c r="F5104" s="55" t="b">
        <v>1</v>
      </c>
      <c r="G5104" s="65" t="b">
        <v>0</v>
      </c>
      <c r="H5104" s="54" t="b">
        <v>1</v>
      </c>
      <c r="I5104" s="54" t="b">
        <v>1</v>
      </c>
      <c r="J5104" s="54" t="b">
        <v>1</v>
      </c>
      <c r="K5104" s="63" t="s">
        <v>1128</v>
      </c>
      <c r="L5104" s="63" t="s">
        <v>10284</v>
      </c>
      <c r="M5104" s="63" t="s">
        <v>10311</v>
      </c>
      <c r="N5104" s="63" t="s">
        <v>2087</v>
      </c>
    </row>
    <row r="5105" spans="1:14" x14ac:dyDescent="0.2">
      <c r="A5105" s="51">
        <v>5104</v>
      </c>
      <c r="B5105" s="56"/>
      <c r="G5105" s="65" t="b">
        <v>0</v>
      </c>
      <c r="H5105" s="65" t="b">
        <v>0</v>
      </c>
      <c r="I5105" s="65" t="b">
        <v>0</v>
      </c>
      <c r="J5105" s="65" t="b">
        <v>0</v>
      </c>
      <c r="K5105" s="63" t="s">
        <v>1128</v>
      </c>
      <c r="L5105" s="63" t="s">
        <v>10284</v>
      </c>
      <c r="M5105" s="63" t="s">
        <v>10285</v>
      </c>
      <c r="N5105" s="63" t="s">
        <v>2087</v>
      </c>
    </row>
    <row r="5106" spans="1:14" x14ac:dyDescent="0.2">
      <c r="A5106" s="51">
        <v>5105</v>
      </c>
      <c r="B5106" s="56" t="s">
        <v>1015</v>
      </c>
      <c r="C5106" s="47" t="s">
        <v>10286</v>
      </c>
      <c r="D5106" s="47" t="s">
        <v>10325</v>
      </c>
      <c r="E5106" s="47" t="s">
        <v>2087</v>
      </c>
      <c r="F5106" s="55" t="b">
        <v>1</v>
      </c>
      <c r="G5106" s="65" t="b">
        <v>0</v>
      </c>
      <c r="H5106" s="54" t="b">
        <v>1</v>
      </c>
      <c r="I5106" s="54" t="b">
        <v>1</v>
      </c>
      <c r="J5106" s="54" t="b">
        <v>1</v>
      </c>
      <c r="K5106" s="63" t="s">
        <v>1128</v>
      </c>
      <c r="L5106" s="63" t="s">
        <v>10286</v>
      </c>
      <c r="M5106" s="63" t="s">
        <v>10325</v>
      </c>
      <c r="N5106" s="63" t="s">
        <v>2087</v>
      </c>
    </row>
    <row r="5107" spans="1:14" x14ac:dyDescent="0.2">
      <c r="A5107" s="51">
        <v>5106</v>
      </c>
      <c r="B5107" s="56"/>
      <c r="G5107" s="65" t="b">
        <v>0</v>
      </c>
      <c r="H5107" s="65" t="b">
        <v>0</v>
      </c>
      <c r="I5107" s="65" t="b">
        <v>0</v>
      </c>
      <c r="J5107" s="65" t="b">
        <v>0</v>
      </c>
      <c r="K5107" s="63" t="s">
        <v>1128</v>
      </c>
      <c r="L5107" s="63" t="s">
        <v>10286</v>
      </c>
      <c r="M5107" s="63" t="s">
        <v>10287</v>
      </c>
      <c r="N5107" s="63" t="s">
        <v>2087</v>
      </c>
    </row>
    <row r="5108" spans="1:14" x14ac:dyDescent="0.2">
      <c r="A5108" s="51">
        <v>5107</v>
      </c>
      <c r="B5108" s="56" t="s">
        <v>1015</v>
      </c>
      <c r="C5108" s="47" t="s">
        <v>10288</v>
      </c>
      <c r="D5108" s="47" t="s">
        <v>10289</v>
      </c>
      <c r="E5108" s="47" t="s">
        <v>2087</v>
      </c>
      <c r="F5108" s="55" t="b">
        <v>1</v>
      </c>
      <c r="G5108" s="65" t="b">
        <v>0</v>
      </c>
      <c r="H5108" s="54" t="b">
        <v>1</v>
      </c>
      <c r="I5108" s="54" t="b">
        <v>1</v>
      </c>
      <c r="J5108" s="54" t="b">
        <v>1</v>
      </c>
      <c r="K5108" s="63" t="s">
        <v>1128</v>
      </c>
      <c r="L5108" s="63" t="s">
        <v>10288</v>
      </c>
      <c r="M5108" s="63" t="s">
        <v>10289</v>
      </c>
      <c r="N5108" s="63" t="s">
        <v>2087</v>
      </c>
    </row>
    <row r="5109" spans="1:14" x14ac:dyDescent="0.2">
      <c r="A5109" s="51">
        <v>5108</v>
      </c>
      <c r="B5109" s="56" t="s">
        <v>1015</v>
      </c>
      <c r="C5109" s="47" t="s">
        <v>10290</v>
      </c>
      <c r="D5109" s="47" t="s">
        <v>10291</v>
      </c>
      <c r="E5109" s="47" t="s">
        <v>2087</v>
      </c>
      <c r="F5109" s="55" t="b">
        <v>1</v>
      </c>
      <c r="G5109" s="65" t="b">
        <v>0</v>
      </c>
      <c r="H5109" s="54" t="b">
        <v>1</v>
      </c>
      <c r="I5109" s="54" t="b">
        <v>1</v>
      </c>
      <c r="J5109" s="54" t="b">
        <v>1</v>
      </c>
      <c r="K5109" s="63" t="s">
        <v>1128</v>
      </c>
      <c r="L5109" s="63" t="s">
        <v>10290</v>
      </c>
      <c r="M5109" s="63" t="s">
        <v>10291</v>
      </c>
      <c r="N5109" s="63" t="s">
        <v>2087</v>
      </c>
    </row>
    <row r="5110" spans="1:14" x14ac:dyDescent="0.2">
      <c r="A5110" s="51">
        <v>5109</v>
      </c>
      <c r="B5110" s="56" t="s">
        <v>1015</v>
      </c>
      <c r="C5110" s="47" t="s">
        <v>10292</v>
      </c>
      <c r="D5110" s="47" t="s">
        <v>10312</v>
      </c>
      <c r="E5110" s="47" t="s">
        <v>2087</v>
      </c>
      <c r="F5110" s="55" t="b">
        <v>1</v>
      </c>
      <c r="G5110" s="65" t="b">
        <v>0</v>
      </c>
      <c r="H5110" s="54" t="b">
        <v>1</v>
      </c>
      <c r="I5110" s="54" t="b">
        <v>1</v>
      </c>
      <c r="J5110" s="54" t="b">
        <v>1</v>
      </c>
      <c r="K5110" s="63" t="s">
        <v>1128</v>
      </c>
      <c r="L5110" s="63" t="s">
        <v>10292</v>
      </c>
      <c r="M5110" s="63" t="s">
        <v>10312</v>
      </c>
      <c r="N5110" s="63" t="s">
        <v>2087</v>
      </c>
    </row>
    <row r="5111" spans="1:14" x14ac:dyDescent="0.2">
      <c r="A5111" s="51">
        <v>5110</v>
      </c>
      <c r="B5111" s="56"/>
      <c r="G5111" s="65" t="b">
        <v>0</v>
      </c>
      <c r="H5111" s="65" t="b">
        <v>0</v>
      </c>
      <c r="I5111" s="65" t="b">
        <v>0</v>
      </c>
      <c r="J5111" s="65" t="b">
        <v>0</v>
      </c>
      <c r="K5111" s="63" t="s">
        <v>1128</v>
      </c>
      <c r="L5111" s="63" t="s">
        <v>10292</v>
      </c>
      <c r="M5111" s="63" t="s">
        <v>10293</v>
      </c>
      <c r="N5111" s="63" t="s">
        <v>2087</v>
      </c>
    </row>
    <row r="5112" spans="1:14" x14ac:dyDescent="0.2">
      <c r="A5112" s="51">
        <v>5111</v>
      </c>
      <c r="B5112" s="56"/>
      <c r="G5112" s="65" t="b">
        <v>0</v>
      </c>
      <c r="H5112" s="65" t="b">
        <v>0</v>
      </c>
      <c r="I5112" s="65" t="b">
        <v>0</v>
      </c>
      <c r="J5112" s="65" t="b">
        <v>0</v>
      </c>
      <c r="K5112" s="63" t="s">
        <v>1128</v>
      </c>
      <c r="L5112" s="63" t="s">
        <v>10294</v>
      </c>
      <c r="M5112" s="63" t="s">
        <v>10295</v>
      </c>
      <c r="N5112" s="63" t="s">
        <v>2087</v>
      </c>
    </row>
    <row r="5113" spans="1:14" x14ac:dyDescent="0.2">
      <c r="A5113" s="51">
        <v>5112</v>
      </c>
      <c r="B5113" s="56" t="s">
        <v>1015</v>
      </c>
      <c r="C5113" s="47" t="s">
        <v>10294</v>
      </c>
      <c r="D5113" s="47" t="s">
        <v>13744</v>
      </c>
      <c r="E5113" s="47" t="s">
        <v>2087</v>
      </c>
      <c r="F5113" s="55" t="b">
        <v>1</v>
      </c>
      <c r="G5113" s="65" t="b">
        <v>0</v>
      </c>
      <c r="H5113" s="54" t="b">
        <v>1</v>
      </c>
      <c r="I5113" s="65" t="b">
        <v>0</v>
      </c>
      <c r="J5113" s="54" t="b">
        <v>1</v>
      </c>
      <c r="K5113" s="63" t="s">
        <v>1128</v>
      </c>
      <c r="L5113" s="63" t="s">
        <v>10294</v>
      </c>
      <c r="M5113" s="63" t="s">
        <v>10326</v>
      </c>
      <c r="N5113" s="63" t="s">
        <v>2087</v>
      </c>
    </row>
    <row r="5114" spans="1:14" x14ac:dyDescent="0.2">
      <c r="A5114" s="51">
        <v>5113</v>
      </c>
      <c r="B5114" s="56" t="s">
        <v>1015</v>
      </c>
      <c r="C5114" s="47" t="s">
        <v>10296</v>
      </c>
      <c r="D5114" s="47" t="s">
        <v>10297</v>
      </c>
      <c r="E5114" s="47" t="s">
        <v>2087</v>
      </c>
      <c r="F5114" s="55" t="b">
        <v>1</v>
      </c>
      <c r="G5114" s="65" t="b">
        <v>0</v>
      </c>
      <c r="H5114" s="54" t="b">
        <v>1</v>
      </c>
      <c r="I5114" s="54" t="b">
        <v>1</v>
      </c>
      <c r="J5114" s="54" t="b">
        <v>1</v>
      </c>
      <c r="K5114" s="63" t="s">
        <v>1128</v>
      </c>
      <c r="L5114" s="63" t="s">
        <v>10296</v>
      </c>
      <c r="M5114" s="63" t="s">
        <v>10297</v>
      </c>
      <c r="N5114" s="63" t="s">
        <v>2087</v>
      </c>
    </row>
    <row r="5115" spans="1:14" x14ac:dyDescent="0.2">
      <c r="A5115" s="51">
        <v>5114</v>
      </c>
      <c r="B5115" s="56" t="s">
        <v>1015</v>
      </c>
      <c r="C5115" s="47" t="s">
        <v>10300</v>
      </c>
      <c r="D5115" s="47" t="s">
        <v>10301</v>
      </c>
      <c r="E5115" s="47" t="s">
        <v>2087</v>
      </c>
      <c r="F5115" s="55" t="b">
        <v>1</v>
      </c>
      <c r="G5115" s="65" t="b">
        <v>0</v>
      </c>
      <c r="H5115" s="54" t="b">
        <v>1</v>
      </c>
      <c r="I5115" s="54" t="b">
        <v>1</v>
      </c>
      <c r="J5115" s="54" t="b">
        <v>1</v>
      </c>
      <c r="K5115" s="63" t="s">
        <v>1128</v>
      </c>
      <c r="L5115" s="63" t="s">
        <v>10300</v>
      </c>
      <c r="M5115" s="63" t="s">
        <v>10301</v>
      </c>
      <c r="N5115" s="63" t="s">
        <v>2087</v>
      </c>
    </row>
    <row r="5116" spans="1:14" x14ac:dyDescent="0.2">
      <c r="A5116" s="51">
        <v>5115</v>
      </c>
      <c r="B5116" s="56" t="s">
        <v>1015</v>
      </c>
      <c r="C5116" s="47" t="s">
        <v>10302</v>
      </c>
      <c r="D5116" s="47" t="s">
        <v>10303</v>
      </c>
      <c r="E5116" s="47" t="s">
        <v>2087</v>
      </c>
      <c r="F5116" s="55" t="b">
        <v>1</v>
      </c>
      <c r="G5116" s="65" t="b">
        <v>0</v>
      </c>
      <c r="H5116" s="54" t="b">
        <v>1</v>
      </c>
      <c r="I5116" s="54" t="b">
        <v>1</v>
      </c>
      <c r="J5116" s="54" t="b">
        <v>1</v>
      </c>
      <c r="K5116" s="63" t="s">
        <v>1128</v>
      </c>
      <c r="L5116" s="63" t="s">
        <v>10302</v>
      </c>
      <c r="M5116" s="63" t="s">
        <v>10303</v>
      </c>
      <c r="N5116" s="63" t="s">
        <v>2087</v>
      </c>
    </row>
    <row r="5117" spans="1:14" x14ac:dyDescent="0.2">
      <c r="A5117" s="51">
        <v>5116</v>
      </c>
      <c r="B5117" s="56"/>
      <c r="G5117" s="65" t="b">
        <v>0</v>
      </c>
      <c r="H5117" s="65" t="b">
        <v>0</v>
      </c>
      <c r="I5117" s="65" t="b">
        <v>0</v>
      </c>
      <c r="J5117" s="65" t="b">
        <v>0</v>
      </c>
      <c r="K5117" s="63" t="s">
        <v>1128</v>
      </c>
      <c r="L5117" s="63" t="s">
        <v>10304</v>
      </c>
      <c r="M5117" s="63" t="s">
        <v>10305</v>
      </c>
      <c r="N5117" s="63" t="s">
        <v>2087</v>
      </c>
    </row>
    <row r="5118" spans="1:14" x14ac:dyDescent="0.2">
      <c r="A5118" s="51">
        <v>5117</v>
      </c>
      <c r="B5118" s="56" t="s">
        <v>1015</v>
      </c>
      <c r="C5118" s="47" t="s">
        <v>10304</v>
      </c>
      <c r="D5118" s="47" t="s">
        <v>13745</v>
      </c>
      <c r="E5118" s="47" t="s">
        <v>2087</v>
      </c>
      <c r="F5118" s="55" t="b">
        <v>1</v>
      </c>
      <c r="G5118" s="65" t="b">
        <v>0</v>
      </c>
      <c r="H5118" s="54" t="b">
        <v>1</v>
      </c>
      <c r="I5118" s="65" t="b">
        <v>0</v>
      </c>
      <c r="J5118" s="54" t="b">
        <v>1</v>
      </c>
      <c r="K5118" s="63" t="s">
        <v>1128</v>
      </c>
      <c r="L5118" s="63" t="s">
        <v>10304</v>
      </c>
      <c r="M5118" s="63" t="s">
        <v>10327</v>
      </c>
      <c r="N5118" s="63" t="s">
        <v>2087</v>
      </c>
    </row>
    <row r="5119" spans="1:14" x14ac:dyDescent="0.2">
      <c r="A5119" s="51">
        <v>5118</v>
      </c>
      <c r="B5119" s="56" t="s">
        <v>1015</v>
      </c>
      <c r="C5119" s="47" t="s">
        <v>10306</v>
      </c>
      <c r="D5119" s="47" t="s">
        <v>10307</v>
      </c>
      <c r="E5119" s="47" t="s">
        <v>2087</v>
      </c>
      <c r="F5119" s="55" t="b">
        <v>1</v>
      </c>
      <c r="G5119" s="65" t="b">
        <v>0</v>
      </c>
      <c r="H5119" s="54" t="b">
        <v>1</v>
      </c>
      <c r="I5119" s="54" t="b">
        <v>1</v>
      </c>
      <c r="J5119" s="54" t="b">
        <v>1</v>
      </c>
      <c r="K5119" s="63" t="s">
        <v>1128</v>
      </c>
      <c r="L5119" s="63" t="s">
        <v>10306</v>
      </c>
      <c r="M5119" s="63" t="s">
        <v>10307</v>
      </c>
      <c r="N5119" s="63" t="s">
        <v>2087</v>
      </c>
    </row>
    <row r="5120" spans="1:14" x14ac:dyDescent="0.2">
      <c r="A5120" s="51">
        <v>5119</v>
      </c>
      <c r="B5120" s="56" t="s">
        <v>1015</v>
      </c>
      <c r="C5120" s="47" t="s">
        <v>10308</v>
      </c>
      <c r="D5120" s="47" t="s">
        <v>10309</v>
      </c>
      <c r="E5120" s="47" t="s">
        <v>2087</v>
      </c>
      <c r="F5120" s="55" t="b">
        <v>1</v>
      </c>
      <c r="G5120" s="65" t="b">
        <v>0</v>
      </c>
      <c r="H5120" s="54" t="b">
        <v>1</v>
      </c>
      <c r="I5120" s="54" t="b">
        <v>1</v>
      </c>
      <c r="J5120" s="54" t="b">
        <v>1</v>
      </c>
      <c r="K5120" s="63" t="s">
        <v>1128</v>
      </c>
      <c r="L5120" s="63" t="s">
        <v>10308</v>
      </c>
      <c r="M5120" s="63" t="s">
        <v>10309</v>
      </c>
      <c r="N5120" s="63" t="s">
        <v>2087</v>
      </c>
    </row>
    <row r="5121" spans="1:14" x14ac:dyDescent="0.2">
      <c r="A5121" s="51">
        <v>5120</v>
      </c>
      <c r="B5121" s="56" t="s">
        <v>1015</v>
      </c>
      <c r="C5121" s="47" t="s">
        <v>10310</v>
      </c>
      <c r="D5121" s="47" t="s">
        <v>6696</v>
      </c>
      <c r="E5121" s="47" t="s">
        <v>2087</v>
      </c>
      <c r="F5121" s="55" t="b">
        <v>1</v>
      </c>
      <c r="G5121" s="65" t="b">
        <v>0</v>
      </c>
      <c r="H5121" s="54" t="b">
        <v>1</v>
      </c>
      <c r="I5121" s="54" t="b">
        <v>1</v>
      </c>
      <c r="J5121" s="54" t="b">
        <v>1</v>
      </c>
      <c r="K5121" s="63" t="s">
        <v>1128</v>
      </c>
      <c r="L5121" s="63" t="s">
        <v>10310</v>
      </c>
      <c r="M5121" s="63" t="s">
        <v>6696</v>
      </c>
      <c r="N5121" s="63" t="s">
        <v>2087</v>
      </c>
    </row>
    <row r="5122" spans="1:14" x14ac:dyDescent="0.2">
      <c r="A5122" s="51">
        <v>5121</v>
      </c>
      <c r="B5122" s="56" t="s">
        <v>1015</v>
      </c>
      <c r="C5122" s="47" t="s">
        <v>10275</v>
      </c>
      <c r="D5122" s="47" t="s">
        <v>5928</v>
      </c>
      <c r="E5122" s="47" t="s">
        <v>2087</v>
      </c>
      <c r="F5122" s="55" t="b">
        <v>1</v>
      </c>
      <c r="G5122" s="65" t="b">
        <v>0</v>
      </c>
      <c r="H5122" s="54" t="b">
        <v>1</v>
      </c>
      <c r="I5122" s="54" t="b">
        <v>1</v>
      </c>
      <c r="J5122" s="54" t="b">
        <v>1</v>
      </c>
      <c r="K5122" s="63" t="s">
        <v>1128</v>
      </c>
      <c r="L5122" s="63" t="s">
        <v>10275</v>
      </c>
      <c r="M5122" s="63" t="s">
        <v>5928</v>
      </c>
      <c r="N5122" s="63" t="s">
        <v>2087</v>
      </c>
    </row>
    <row r="5123" spans="1:14" x14ac:dyDescent="0.2">
      <c r="A5123" s="51">
        <v>5122</v>
      </c>
      <c r="B5123" s="56"/>
      <c r="G5123" s="65" t="b">
        <v>0</v>
      </c>
      <c r="H5123" s="65" t="b">
        <v>0</v>
      </c>
      <c r="I5123" s="65" t="b">
        <v>0</v>
      </c>
      <c r="J5123" s="65" t="b">
        <v>0</v>
      </c>
      <c r="K5123" s="63" t="s">
        <v>1128</v>
      </c>
      <c r="L5123" s="63" t="s">
        <v>10275</v>
      </c>
      <c r="M5123" s="63" t="s">
        <v>5941</v>
      </c>
      <c r="N5123" s="63" t="s">
        <v>2087</v>
      </c>
    </row>
    <row r="5124" spans="1:14" x14ac:dyDescent="0.2">
      <c r="A5124" s="51">
        <v>5123</v>
      </c>
      <c r="B5124" s="56" t="s">
        <v>1015</v>
      </c>
      <c r="C5124" s="47" t="s">
        <v>10313</v>
      </c>
      <c r="D5124" s="47" t="s">
        <v>10314</v>
      </c>
      <c r="E5124" s="47" t="s">
        <v>2087</v>
      </c>
      <c r="F5124" s="55" t="b">
        <v>1</v>
      </c>
      <c r="G5124" s="65" t="b">
        <v>0</v>
      </c>
      <c r="H5124" s="54" t="b">
        <v>1</v>
      </c>
      <c r="I5124" s="54" t="b">
        <v>1</v>
      </c>
      <c r="J5124" s="54" t="b">
        <v>1</v>
      </c>
      <c r="K5124" s="63" t="s">
        <v>1128</v>
      </c>
      <c r="L5124" s="63" t="s">
        <v>10313</v>
      </c>
      <c r="M5124" s="63" t="s">
        <v>10314</v>
      </c>
      <c r="N5124" s="63" t="s">
        <v>2087</v>
      </c>
    </row>
    <row r="5125" spans="1:14" x14ac:dyDescent="0.2">
      <c r="A5125" s="51">
        <v>5124</v>
      </c>
      <c r="B5125" s="56" t="s">
        <v>1015</v>
      </c>
      <c r="C5125" s="47" t="s">
        <v>10315</v>
      </c>
      <c r="D5125" s="47" t="s">
        <v>10316</v>
      </c>
      <c r="E5125" s="47" t="s">
        <v>2087</v>
      </c>
      <c r="F5125" s="55" t="b">
        <v>1</v>
      </c>
      <c r="G5125" s="65" t="b">
        <v>0</v>
      </c>
      <c r="H5125" s="54" t="b">
        <v>1</v>
      </c>
      <c r="I5125" s="54" t="b">
        <v>1</v>
      </c>
      <c r="J5125" s="54" t="b">
        <v>1</v>
      </c>
      <c r="K5125" s="63" t="s">
        <v>1128</v>
      </c>
      <c r="L5125" s="63" t="s">
        <v>10315</v>
      </c>
      <c r="M5125" s="63" t="s">
        <v>10316</v>
      </c>
      <c r="N5125" s="63" t="s">
        <v>2087</v>
      </c>
    </row>
    <row r="5126" spans="1:14" x14ac:dyDescent="0.2">
      <c r="A5126" s="51">
        <v>5125</v>
      </c>
      <c r="B5126" s="56" t="s">
        <v>1015</v>
      </c>
      <c r="C5126" s="47" t="s">
        <v>10317</v>
      </c>
      <c r="D5126" s="47" t="s">
        <v>10318</v>
      </c>
      <c r="E5126" s="47" t="s">
        <v>2087</v>
      </c>
      <c r="F5126" s="55" t="b">
        <v>1</v>
      </c>
      <c r="G5126" s="65" t="b">
        <v>0</v>
      </c>
      <c r="H5126" s="54" t="b">
        <v>1</v>
      </c>
      <c r="I5126" s="54" t="b">
        <v>1</v>
      </c>
      <c r="J5126" s="54" t="b">
        <v>1</v>
      </c>
      <c r="K5126" s="63" t="s">
        <v>1128</v>
      </c>
      <c r="L5126" s="63" t="s">
        <v>10317</v>
      </c>
      <c r="M5126" s="63" t="s">
        <v>10318</v>
      </c>
      <c r="N5126" s="63" t="s">
        <v>2087</v>
      </c>
    </row>
    <row r="5127" spans="1:14" x14ac:dyDescent="0.2">
      <c r="A5127" s="51">
        <v>5126</v>
      </c>
      <c r="B5127" s="56" t="s">
        <v>1015</v>
      </c>
      <c r="C5127" s="47" t="s">
        <v>10319</v>
      </c>
      <c r="D5127" s="47" t="s">
        <v>10320</v>
      </c>
      <c r="E5127" s="47" t="s">
        <v>2087</v>
      </c>
      <c r="F5127" s="55" t="b">
        <v>1</v>
      </c>
      <c r="G5127" s="65" t="b">
        <v>0</v>
      </c>
      <c r="H5127" s="54" t="b">
        <v>1</v>
      </c>
      <c r="I5127" s="54" t="b">
        <v>1</v>
      </c>
      <c r="J5127" s="54" t="b">
        <v>1</v>
      </c>
      <c r="K5127" s="63" t="s">
        <v>1128</v>
      </c>
      <c r="L5127" s="63" t="s">
        <v>10319</v>
      </c>
      <c r="M5127" s="63" t="s">
        <v>10320</v>
      </c>
      <c r="N5127" s="63" t="s">
        <v>2087</v>
      </c>
    </row>
    <row r="5128" spans="1:14" x14ac:dyDescent="0.2">
      <c r="A5128" s="51">
        <v>5127</v>
      </c>
      <c r="B5128" s="56" t="s">
        <v>1015</v>
      </c>
      <c r="C5128" s="47" t="s">
        <v>10321</v>
      </c>
      <c r="D5128" s="47" t="s">
        <v>10322</v>
      </c>
      <c r="E5128" s="47" t="s">
        <v>2087</v>
      </c>
      <c r="F5128" s="55" t="b">
        <v>1</v>
      </c>
      <c r="G5128" s="65" t="b">
        <v>0</v>
      </c>
      <c r="H5128" s="54" t="b">
        <v>1</v>
      </c>
      <c r="I5128" s="54" t="b">
        <v>1</v>
      </c>
      <c r="J5128" s="54" t="b">
        <v>1</v>
      </c>
      <c r="K5128" s="63" t="s">
        <v>1128</v>
      </c>
      <c r="L5128" s="63" t="s">
        <v>10321</v>
      </c>
      <c r="M5128" s="63" t="s">
        <v>10322</v>
      </c>
      <c r="N5128" s="63" t="s">
        <v>2087</v>
      </c>
    </row>
    <row r="5129" spans="1:14" x14ac:dyDescent="0.2">
      <c r="A5129" s="51">
        <v>5128</v>
      </c>
      <c r="B5129" s="56" t="s">
        <v>1015</v>
      </c>
      <c r="C5129" s="47" t="s">
        <v>10323</v>
      </c>
      <c r="D5129" s="47" t="s">
        <v>10324</v>
      </c>
      <c r="E5129" s="47" t="s">
        <v>2087</v>
      </c>
      <c r="F5129" s="55" t="b">
        <v>1</v>
      </c>
      <c r="G5129" s="65" t="b">
        <v>0</v>
      </c>
      <c r="H5129" s="54" t="b">
        <v>1</v>
      </c>
      <c r="I5129" s="54" t="b">
        <v>1</v>
      </c>
      <c r="J5129" s="54" t="b">
        <v>1</v>
      </c>
      <c r="K5129" s="63" t="s">
        <v>1128</v>
      </c>
      <c r="L5129" s="63" t="s">
        <v>10323</v>
      </c>
      <c r="M5129" s="63" t="s">
        <v>10324</v>
      </c>
      <c r="N5129" s="63" t="s">
        <v>2087</v>
      </c>
    </row>
    <row r="5130" spans="1:14" x14ac:dyDescent="0.2">
      <c r="A5130" s="51">
        <v>5129</v>
      </c>
      <c r="B5130" s="56" t="s">
        <v>1015</v>
      </c>
      <c r="C5130" s="47" t="s">
        <v>10298</v>
      </c>
      <c r="D5130" s="47" t="s">
        <v>10299</v>
      </c>
      <c r="E5130" s="47" t="s">
        <v>2087</v>
      </c>
      <c r="F5130" s="55" t="b">
        <v>1</v>
      </c>
      <c r="G5130" s="65" t="b">
        <v>0</v>
      </c>
      <c r="H5130" s="54" t="b">
        <v>1</v>
      </c>
      <c r="I5130" s="54" t="b">
        <v>1</v>
      </c>
      <c r="J5130" s="54" t="b">
        <v>1</v>
      </c>
      <c r="K5130" s="63" t="s">
        <v>1128</v>
      </c>
      <c r="L5130" s="63" t="s">
        <v>10298</v>
      </c>
      <c r="M5130" s="63" t="s">
        <v>10299</v>
      </c>
      <c r="N5130" s="63" t="s">
        <v>2087</v>
      </c>
    </row>
    <row r="5131" spans="1:14" x14ac:dyDescent="0.2">
      <c r="A5131" s="51">
        <v>5130</v>
      </c>
      <c r="B5131" s="56" t="s">
        <v>1015</v>
      </c>
      <c r="C5131" s="47" t="s">
        <v>13736</v>
      </c>
      <c r="D5131" s="47" t="s">
        <v>13737</v>
      </c>
      <c r="E5131" s="47" t="s">
        <v>2087</v>
      </c>
      <c r="F5131" s="55" t="b">
        <v>1</v>
      </c>
      <c r="G5131" s="65" t="b">
        <v>0</v>
      </c>
      <c r="H5131" s="65" t="b">
        <v>0</v>
      </c>
      <c r="I5131" s="65" t="b">
        <v>0</v>
      </c>
      <c r="J5131" s="65" t="b">
        <v>0</v>
      </c>
    </row>
    <row r="5132" spans="1:14" x14ac:dyDescent="0.2">
      <c r="A5132" s="51">
        <v>5131</v>
      </c>
      <c r="B5132" s="56" t="s">
        <v>1015</v>
      </c>
      <c r="C5132" s="47" t="s">
        <v>13738</v>
      </c>
      <c r="D5132" s="47" t="s">
        <v>13739</v>
      </c>
      <c r="E5132" s="47" t="s">
        <v>2087</v>
      </c>
      <c r="F5132" s="55" t="b">
        <v>1</v>
      </c>
      <c r="G5132" s="65" t="b">
        <v>0</v>
      </c>
      <c r="H5132" s="65" t="b">
        <v>0</v>
      </c>
      <c r="I5132" s="65" t="b">
        <v>0</v>
      </c>
      <c r="J5132" s="65" t="b">
        <v>0</v>
      </c>
    </row>
    <row r="5133" spans="1:14" x14ac:dyDescent="0.2">
      <c r="A5133" s="51">
        <v>5132</v>
      </c>
      <c r="B5133" s="56" t="s">
        <v>1015</v>
      </c>
      <c r="C5133" s="47" t="s">
        <v>13740</v>
      </c>
      <c r="D5133" s="47" t="s">
        <v>13741</v>
      </c>
      <c r="E5133" s="47" t="s">
        <v>2087</v>
      </c>
      <c r="F5133" s="55" t="b">
        <v>1</v>
      </c>
      <c r="G5133" s="65" t="b">
        <v>0</v>
      </c>
      <c r="H5133" s="65" t="b">
        <v>0</v>
      </c>
      <c r="I5133" s="65" t="b">
        <v>0</v>
      </c>
      <c r="J5133" s="65" t="b">
        <v>0</v>
      </c>
    </row>
    <row r="5134" spans="1:14" x14ac:dyDescent="0.2">
      <c r="A5134" s="51">
        <v>5133</v>
      </c>
      <c r="B5134" s="56" t="s">
        <v>1015</v>
      </c>
      <c r="C5134" s="47" t="s">
        <v>13742</v>
      </c>
      <c r="D5134" s="47" t="s">
        <v>13743</v>
      </c>
      <c r="E5134" s="47" t="s">
        <v>2087</v>
      </c>
      <c r="F5134" s="55" t="b">
        <v>1</v>
      </c>
      <c r="G5134" s="65" t="b">
        <v>0</v>
      </c>
      <c r="H5134" s="65" t="b">
        <v>0</v>
      </c>
      <c r="I5134" s="65" t="b">
        <v>0</v>
      </c>
      <c r="J5134" s="65" t="b">
        <v>0</v>
      </c>
    </row>
    <row r="5135" spans="1:14" x14ac:dyDescent="0.2">
      <c r="A5135" s="51">
        <v>5134</v>
      </c>
      <c r="B5135" s="54" t="s">
        <v>1017</v>
      </c>
      <c r="C5135" s="47" t="s">
        <v>10360</v>
      </c>
      <c r="D5135" s="47" t="s">
        <v>13749</v>
      </c>
      <c r="E5135" s="47" t="s">
        <v>2164</v>
      </c>
      <c r="F5135" s="55" t="b">
        <v>1</v>
      </c>
      <c r="G5135" s="54" t="b">
        <v>1</v>
      </c>
      <c r="H5135" s="54" t="b">
        <v>1</v>
      </c>
      <c r="I5135" s="65" t="b">
        <v>0</v>
      </c>
      <c r="J5135" s="65" t="b">
        <v>0</v>
      </c>
      <c r="K5135" s="63" t="s">
        <v>1017</v>
      </c>
      <c r="L5135" s="63" t="s">
        <v>10360</v>
      </c>
      <c r="M5135" s="63" t="s">
        <v>10361</v>
      </c>
      <c r="N5135" s="63" t="s">
        <v>10362</v>
      </c>
    </row>
    <row r="5136" spans="1:14" x14ac:dyDescent="0.2">
      <c r="A5136" s="51">
        <v>5135</v>
      </c>
      <c r="B5136" s="54" t="s">
        <v>1017</v>
      </c>
      <c r="C5136" s="47" t="s">
        <v>10442</v>
      </c>
      <c r="D5136" s="47" t="s">
        <v>10443</v>
      </c>
      <c r="E5136" s="47" t="s">
        <v>1719</v>
      </c>
      <c r="F5136" s="55" t="b">
        <v>1</v>
      </c>
      <c r="G5136" s="54" t="b">
        <v>1</v>
      </c>
      <c r="H5136" s="54" t="b">
        <v>1</v>
      </c>
      <c r="I5136" s="54" t="b">
        <v>1</v>
      </c>
      <c r="J5136" s="54" t="b">
        <v>1</v>
      </c>
      <c r="K5136" s="63" t="s">
        <v>1017</v>
      </c>
      <c r="L5136" s="63" t="s">
        <v>10442</v>
      </c>
      <c r="M5136" s="63" t="s">
        <v>10443</v>
      </c>
      <c r="N5136" s="63" t="s">
        <v>1719</v>
      </c>
    </row>
    <row r="5137" spans="1:14" x14ac:dyDescent="0.2">
      <c r="A5137" s="51">
        <v>5136</v>
      </c>
      <c r="B5137" s="54" t="s">
        <v>1017</v>
      </c>
      <c r="C5137" s="47" t="s">
        <v>10397</v>
      </c>
      <c r="D5137" s="47" t="s">
        <v>10398</v>
      </c>
      <c r="E5137" s="47" t="s">
        <v>1719</v>
      </c>
      <c r="F5137" s="55" t="b">
        <v>1</v>
      </c>
      <c r="G5137" s="54" t="b">
        <v>1</v>
      </c>
      <c r="H5137" s="54" t="b">
        <v>1</v>
      </c>
      <c r="I5137" s="54" t="b">
        <v>1</v>
      </c>
      <c r="J5137" s="54" t="b">
        <v>1</v>
      </c>
      <c r="K5137" s="63" t="s">
        <v>1017</v>
      </c>
      <c r="L5137" s="63" t="s">
        <v>10397</v>
      </c>
      <c r="M5137" s="63" t="s">
        <v>10398</v>
      </c>
      <c r="N5137" s="63" t="s">
        <v>1719</v>
      </c>
    </row>
    <row r="5138" spans="1:14" x14ac:dyDescent="0.2">
      <c r="A5138" s="51">
        <v>5137</v>
      </c>
      <c r="B5138" s="54" t="s">
        <v>1017</v>
      </c>
      <c r="C5138" s="47" t="s">
        <v>10399</v>
      </c>
      <c r="D5138" s="47" t="s">
        <v>10400</v>
      </c>
      <c r="E5138" s="47" t="s">
        <v>1719</v>
      </c>
      <c r="F5138" s="55" t="b">
        <v>1</v>
      </c>
      <c r="G5138" s="54" t="b">
        <v>1</v>
      </c>
      <c r="H5138" s="54" t="b">
        <v>1</v>
      </c>
      <c r="I5138" s="54" t="b">
        <v>1</v>
      </c>
      <c r="J5138" s="54" t="b">
        <v>1</v>
      </c>
      <c r="K5138" s="63" t="s">
        <v>1017</v>
      </c>
      <c r="L5138" s="63" t="s">
        <v>10399</v>
      </c>
      <c r="M5138" s="63" t="s">
        <v>10400</v>
      </c>
      <c r="N5138" s="63" t="s">
        <v>1719</v>
      </c>
    </row>
    <row r="5139" spans="1:14" x14ac:dyDescent="0.2">
      <c r="A5139" s="51">
        <v>5138</v>
      </c>
      <c r="B5139" s="54" t="s">
        <v>1017</v>
      </c>
      <c r="C5139" s="47" t="s">
        <v>10420</v>
      </c>
      <c r="D5139" s="47" t="s">
        <v>10421</v>
      </c>
      <c r="E5139" s="47" t="s">
        <v>1719</v>
      </c>
      <c r="F5139" s="55" t="b">
        <v>1</v>
      </c>
      <c r="G5139" s="54" t="b">
        <v>1</v>
      </c>
      <c r="H5139" s="54" t="b">
        <v>1</v>
      </c>
      <c r="I5139" s="54" t="b">
        <v>1</v>
      </c>
      <c r="J5139" s="54" t="b">
        <v>1</v>
      </c>
      <c r="K5139" s="63" t="s">
        <v>1017</v>
      </c>
      <c r="L5139" s="63" t="s">
        <v>10420</v>
      </c>
      <c r="M5139" s="63" t="s">
        <v>10421</v>
      </c>
      <c r="N5139" s="63" t="s">
        <v>1719</v>
      </c>
    </row>
    <row r="5140" spans="1:14" x14ac:dyDescent="0.2">
      <c r="A5140" s="51">
        <v>5139</v>
      </c>
      <c r="B5140" s="54" t="s">
        <v>1017</v>
      </c>
      <c r="C5140" s="47" t="s">
        <v>10330</v>
      </c>
      <c r="D5140" s="47" t="s">
        <v>10331</v>
      </c>
      <c r="E5140" s="47" t="s">
        <v>1719</v>
      </c>
      <c r="F5140" s="55" t="b">
        <v>1</v>
      </c>
      <c r="G5140" s="54" t="b">
        <v>1</v>
      </c>
      <c r="H5140" s="54" t="b">
        <v>1</v>
      </c>
      <c r="I5140" s="54" t="b">
        <v>1</v>
      </c>
      <c r="J5140" s="54" t="b">
        <v>1</v>
      </c>
      <c r="K5140" s="63" t="s">
        <v>1017</v>
      </c>
      <c r="L5140" s="63" t="s">
        <v>10330</v>
      </c>
      <c r="M5140" s="63" t="s">
        <v>10331</v>
      </c>
      <c r="N5140" s="63" t="s">
        <v>1719</v>
      </c>
    </row>
    <row r="5141" spans="1:14" x14ac:dyDescent="0.2">
      <c r="A5141" s="51">
        <v>5140</v>
      </c>
      <c r="B5141" s="54" t="s">
        <v>1017</v>
      </c>
      <c r="C5141" s="47" t="s">
        <v>10369</v>
      </c>
      <c r="D5141" s="47" t="s">
        <v>10370</v>
      </c>
      <c r="E5141" s="47" t="s">
        <v>1719</v>
      </c>
      <c r="F5141" s="55" t="b">
        <v>1</v>
      </c>
      <c r="G5141" s="54" t="b">
        <v>1</v>
      </c>
      <c r="H5141" s="54" t="b">
        <v>1</v>
      </c>
      <c r="I5141" s="54" t="b">
        <v>1</v>
      </c>
      <c r="J5141" s="54" t="b">
        <v>1</v>
      </c>
      <c r="K5141" s="63" t="s">
        <v>1017</v>
      </c>
      <c r="L5141" s="63" t="s">
        <v>10369</v>
      </c>
      <c r="M5141" s="63" t="s">
        <v>10370</v>
      </c>
      <c r="N5141" s="63" t="s">
        <v>1719</v>
      </c>
    </row>
    <row r="5142" spans="1:14" x14ac:dyDescent="0.2">
      <c r="A5142" s="51">
        <v>5141</v>
      </c>
      <c r="B5142" s="54" t="s">
        <v>1017</v>
      </c>
      <c r="C5142" s="47" t="s">
        <v>10454</v>
      </c>
      <c r="D5142" s="47" t="s">
        <v>10455</v>
      </c>
      <c r="E5142" s="47" t="s">
        <v>1719</v>
      </c>
      <c r="F5142" s="55" t="b">
        <v>1</v>
      </c>
      <c r="G5142" s="54" t="b">
        <v>1</v>
      </c>
      <c r="H5142" s="54" t="b">
        <v>1</v>
      </c>
      <c r="I5142" s="54" t="b">
        <v>1</v>
      </c>
      <c r="J5142" s="54" t="b">
        <v>1</v>
      </c>
      <c r="K5142" s="63" t="s">
        <v>1017</v>
      </c>
      <c r="L5142" s="63" t="s">
        <v>10454</v>
      </c>
      <c r="M5142" s="63" t="s">
        <v>10455</v>
      </c>
      <c r="N5142" s="63" t="s">
        <v>1719</v>
      </c>
    </row>
    <row r="5143" spans="1:14" x14ac:dyDescent="0.2">
      <c r="A5143" s="51">
        <v>5142</v>
      </c>
      <c r="B5143" s="54" t="s">
        <v>1017</v>
      </c>
      <c r="C5143" s="47" t="s">
        <v>10336</v>
      </c>
      <c r="D5143" s="47" t="s">
        <v>10337</v>
      </c>
      <c r="E5143" s="47" t="s">
        <v>1719</v>
      </c>
      <c r="F5143" s="55" t="b">
        <v>1</v>
      </c>
      <c r="G5143" s="54" t="b">
        <v>1</v>
      </c>
      <c r="H5143" s="54" t="b">
        <v>1</v>
      </c>
      <c r="I5143" s="54" t="b">
        <v>1</v>
      </c>
      <c r="J5143" s="54" t="b">
        <v>1</v>
      </c>
      <c r="K5143" s="63" t="s">
        <v>1017</v>
      </c>
      <c r="L5143" s="63" t="s">
        <v>10336</v>
      </c>
      <c r="M5143" s="63" t="s">
        <v>10337</v>
      </c>
      <c r="N5143" s="63" t="s">
        <v>1719</v>
      </c>
    </row>
    <row r="5144" spans="1:14" x14ac:dyDescent="0.2">
      <c r="A5144" s="51">
        <v>5143</v>
      </c>
      <c r="B5144" s="54" t="s">
        <v>1017</v>
      </c>
      <c r="C5144" s="47" t="s">
        <v>10448</v>
      </c>
      <c r="D5144" s="47" t="s">
        <v>13751</v>
      </c>
      <c r="E5144" s="47" t="s">
        <v>1719</v>
      </c>
      <c r="F5144" s="55" t="b">
        <v>1</v>
      </c>
      <c r="G5144" s="54" t="b">
        <v>1</v>
      </c>
      <c r="H5144" s="54" t="b">
        <v>1</v>
      </c>
      <c r="I5144" s="65" t="b">
        <v>0</v>
      </c>
      <c r="J5144" s="54" t="b">
        <v>1</v>
      </c>
      <c r="K5144" s="63" t="s">
        <v>1017</v>
      </c>
      <c r="L5144" s="63" t="s">
        <v>10448</v>
      </c>
      <c r="M5144" s="63" t="s">
        <v>10449</v>
      </c>
      <c r="N5144" s="63" t="s">
        <v>1719</v>
      </c>
    </row>
    <row r="5145" spans="1:14" x14ac:dyDescent="0.2">
      <c r="A5145" s="51">
        <v>5144</v>
      </c>
      <c r="B5145" s="54" t="s">
        <v>1017</v>
      </c>
      <c r="C5145" s="47" t="s">
        <v>10346</v>
      </c>
      <c r="D5145" s="47" t="s">
        <v>10347</v>
      </c>
      <c r="E5145" s="47" t="s">
        <v>1719</v>
      </c>
      <c r="F5145" s="55" t="b">
        <v>1</v>
      </c>
      <c r="G5145" s="54" t="b">
        <v>1</v>
      </c>
      <c r="H5145" s="54" t="b">
        <v>1</v>
      </c>
      <c r="I5145" s="54" t="b">
        <v>1</v>
      </c>
      <c r="J5145" s="54" t="b">
        <v>1</v>
      </c>
      <c r="K5145" s="63" t="s">
        <v>1017</v>
      </c>
      <c r="L5145" s="63" t="s">
        <v>10346</v>
      </c>
      <c r="M5145" s="63" t="s">
        <v>10347</v>
      </c>
      <c r="N5145" s="63" t="s">
        <v>1719</v>
      </c>
    </row>
    <row r="5146" spans="1:14" x14ac:dyDescent="0.2">
      <c r="A5146" s="51">
        <v>5145</v>
      </c>
      <c r="B5146" s="54" t="s">
        <v>1017</v>
      </c>
      <c r="C5146" s="47" t="s">
        <v>10434</v>
      </c>
      <c r="D5146" s="47" t="s">
        <v>10435</v>
      </c>
      <c r="E5146" s="47" t="s">
        <v>1719</v>
      </c>
      <c r="F5146" s="55" t="b">
        <v>1</v>
      </c>
      <c r="G5146" s="54" t="b">
        <v>1</v>
      </c>
      <c r="H5146" s="54" t="b">
        <v>1</v>
      </c>
      <c r="I5146" s="54" t="b">
        <v>1</v>
      </c>
      <c r="J5146" s="54" t="b">
        <v>1</v>
      </c>
      <c r="K5146" s="63" t="s">
        <v>1017</v>
      </c>
      <c r="L5146" s="63" t="s">
        <v>10434</v>
      </c>
      <c r="M5146" s="63" t="s">
        <v>10435</v>
      </c>
      <c r="N5146" s="63" t="s">
        <v>1719</v>
      </c>
    </row>
    <row r="5147" spans="1:14" x14ac:dyDescent="0.2">
      <c r="A5147" s="51">
        <v>5146</v>
      </c>
      <c r="B5147" s="54" t="s">
        <v>1017</v>
      </c>
      <c r="C5147" s="47" t="s">
        <v>10340</v>
      </c>
      <c r="D5147" s="47" t="s">
        <v>10341</v>
      </c>
      <c r="E5147" s="47" t="s">
        <v>1719</v>
      </c>
      <c r="F5147" s="55" t="b">
        <v>1</v>
      </c>
      <c r="G5147" s="54" t="b">
        <v>1</v>
      </c>
      <c r="H5147" s="54" t="b">
        <v>1</v>
      </c>
      <c r="I5147" s="54" t="b">
        <v>1</v>
      </c>
      <c r="J5147" s="54" t="b">
        <v>1</v>
      </c>
      <c r="K5147" s="63" t="s">
        <v>1017</v>
      </c>
      <c r="L5147" s="63" t="s">
        <v>10340</v>
      </c>
      <c r="M5147" s="63" t="s">
        <v>10341</v>
      </c>
      <c r="N5147" s="63" t="s">
        <v>1719</v>
      </c>
    </row>
    <row r="5148" spans="1:14" x14ac:dyDescent="0.2">
      <c r="A5148" s="51">
        <v>5147</v>
      </c>
      <c r="B5148" s="54" t="s">
        <v>1017</v>
      </c>
      <c r="C5148" s="47" t="s">
        <v>10470</v>
      </c>
      <c r="D5148" s="47" t="s">
        <v>10471</v>
      </c>
      <c r="E5148" s="47" t="s">
        <v>1719</v>
      </c>
      <c r="F5148" s="55" t="b">
        <v>1</v>
      </c>
      <c r="G5148" s="54" t="b">
        <v>1</v>
      </c>
      <c r="H5148" s="54" t="b">
        <v>1</v>
      </c>
      <c r="I5148" s="54" t="b">
        <v>1</v>
      </c>
      <c r="J5148" s="54" t="b">
        <v>1</v>
      </c>
      <c r="K5148" s="63" t="s">
        <v>1017</v>
      </c>
      <c r="L5148" s="63" t="s">
        <v>10470</v>
      </c>
      <c r="M5148" s="63" t="s">
        <v>10471</v>
      </c>
      <c r="N5148" s="63" t="s">
        <v>1719</v>
      </c>
    </row>
    <row r="5149" spans="1:14" x14ac:dyDescent="0.2">
      <c r="A5149" s="51">
        <v>5148</v>
      </c>
      <c r="B5149" s="54" t="s">
        <v>1017</v>
      </c>
      <c r="C5149" s="47" t="s">
        <v>10334</v>
      </c>
      <c r="D5149" s="47" t="s">
        <v>10335</v>
      </c>
      <c r="E5149" s="47" t="s">
        <v>1719</v>
      </c>
      <c r="F5149" s="55" t="b">
        <v>1</v>
      </c>
      <c r="G5149" s="54" t="b">
        <v>1</v>
      </c>
      <c r="H5149" s="54" t="b">
        <v>1</v>
      </c>
      <c r="I5149" s="54" t="b">
        <v>1</v>
      </c>
      <c r="J5149" s="54" t="b">
        <v>1</v>
      </c>
      <c r="K5149" s="63" t="s">
        <v>1017</v>
      </c>
      <c r="L5149" s="63" t="s">
        <v>10334</v>
      </c>
      <c r="M5149" s="63" t="s">
        <v>10335</v>
      </c>
      <c r="N5149" s="63" t="s">
        <v>1719</v>
      </c>
    </row>
    <row r="5150" spans="1:14" x14ac:dyDescent="0.2">
      <c r="A5150" s="51">
        <v>5149</v>
      </c>
      <c r="B5150" s="54" t="s">
        <v>1017</v>
      </c>
      <c r="C5150" s="47" t="s">
        <v>10426</v>
      </c>
      <c r="D5150" s="47" t="s">
        <v>10427</v>
      </c>
      <c r="E5150" s="47" t="s">
        <v>1719</v>
      </c>
      <c r="F5150" s="55" t="b">
        <v>1</v>
      </c>
      <c r="G5150" s="54" t="b">
        <v>1</v>
      </c>
      <c r="H5150" s="54" t="b">
        <v>1</v>
      </c>
      <c r="I5150" s="54" t="b">
        <v>1</v>
      </c>
      <c r="J5150" s="54" t="b">
        <v>1</v>
      </c>
      <c r="K5150" s="63" t="s">
        <v>1017</v>
      </c>
      <c r="L5150" s="63" t="s">
        <v>10426</v>
      </c>
      <c r="M5150" s="63" t="s">
        <v>10427</v>
      </c>
      <c r="N5150" s="63" t="s">
        <v>1719</v>
      </c>
    </row>
    <row r="5151" spans="1:14" x14ac:dyDescent="0.2">
      <c r="A5151" s="51">
        <v>5150</v>
      </c>
      <c r="B5151" s="54" t="s">
        <v>1017</v>
      </c>
      <c r="C5151" s="47" t="s">
        <v>10377</v>
      </c>
      <c r="D5151" s="47" t="s">
        <v>10378</v>
      </c>
      <c r="E5151" s="47" t="s">
        <v>1719</v>
      </c>
      <c r="F5151" s="55" t="b">
        <v>1</v>
      </c>
      <c r="G5151" s="54" t="b">
        <v>1</v>
      </c>
      <c r="H5151" s="54" t="b">
        <v>1</v>
      </c>
      <c r="I5151" s="54" t="b">
        <v>1</v>
      </c>
      <c r="J5151" s="54" t="b">
        <v>1</v>
      </c>
      <c r="K5151" s="63" t="s">
        <v>1017</v>
      </c>
      <c r="L5151" s="63" t="s">
        <v>10377</v>
      </c>
      <c r="M5151" s="63" t="s">
        <v>10378</v>
      </c>
      <c r="N5151" s="63" t="s">
        <v>1719</v>
      </c>
    </row>
    <row r="5152" spans="1:14" x14ac:dyDescent="0.2">
      <c r="A5152" s="51">
        <v>5151</v>
      </c>
      <c r="B5152" s="54" t="s">
        <v>1017</v>
      </c>
      <c r="C5152" s="47" t="s">
        <v>10438</v>
      </c>
      <c r="D5152" s="47" t="s">
        <v>10439</v>
      </c>
      <c r="E5152" s="47" t="s">
        <v>1719</v>
      </c>
      <c r="F5152" s="55" t="b">
        <v>1</v>
      </c>
      <c r="G5152" s="54" t="b">
        <v>1</v>
      </c>
      <c r="H5152" s="54" t="b">
        <v>1</v>
      </c>
      <c r="I5152" s="54" t="b">
        <v>1</v>
      </c>
      <c r="J5152" s="54" t="b">
        <v>1</v>
      </c>
      <c r="K5152" s="63" t="s">
        <v>1017</v>
      </c>
      <c r="L5152" s="63" t="s">
        <v>10438</v>
      </c>
      <c r="M5152" s="63" t="s">
        <v>10439</v>
      </c>
      <c r="N5152" s="63" t="s">
        <v>1719</v>
      </c>
    </row>
    <row r="5153" spans="1:14" x14ac:dyDescent="0.2">
      <c r="A5153" s="51">
        <v>5152</v>
      </c>
      <c r="B5153" s="54" t="s">
        <v>1017</v>
      </c>
      <c r="C5153" s="47" t="s">
        <v>10383</v>
      </c>
      <c r="D5153" s="47" t="s">
        <v>10384</v>
      </c>
      <c r="E5153" s="47" t="s">
        <v>1719</v>
      </c>
      <c r="F5153" s="55" t="b">
        <v>1</v>
      </c>
      <c r="G5153" s="54" t="b">
        <v>1</v>
      </c>
      <c r="H5153" s="54" t="b">
        <v>1</v>
      </c>
      <c r="I5153" s="54" t="b">
        <v>1</v>
      </c>
      <c r="J5153" s="54" t="b">
        <v>1</v>
      </c>
      <c r="K5153" s="63" t="s">
        <v>1017</v>
      </c>
      <c r="L5153" s="63" t="s">
        <v>10383</v>
      </c>
      <c r="M5153" s="63" t="s">
        <v>10384</v>
      </c>
      <c r="N5153" s="63" t="s">
        <v>1719</v>
      </c>
    </row>
    <row r="5154" spans="1:14" x14ac:dyDescent="0.2">
      <c r="A5154" s="51">
        <v>5153</v>
      </c>
      <c r="B5154" s="54" t="s">
        <v>1017</v>
      </c>
      <c r="C5154" s="47" t="s">
        <v>10332</v>
      </c>
      <c r="D5154" s="47" t="s">
        <v>13748</v>
      </c>
      <c r="E5154" s="47" t="s">
        <v>1719</v>
      </c>
      <c r="F5154" s="55" t="b">
        <v>1</v>
      </c>
      <c r="G5154" s="54" t="b">
        <v>1</v>
      </c>
      <c r="H5154" s="54" t="b">
        <v>1</v>
      </c>
      <c r="I5154" s="65" t="b">
        <v>0</v>
      </c>
      <c r="J5154" s="54" t="b">
        <v>1</v>
      </c>
      <c r="K5154" s="63" t="s">
        <v>1017</v>
      </c>
      <c r="L5154" s="63" t="s">
        <v>10332</v>
      </c>
      <c r="M5154" s="63" t="s">
        <v>10333</v>
      </c>
      <c r="N5154" s="63" t="s">
        <v>1719</v>
      </c>
    </row>
    <row r="5155" spans="1:14" x14ac:dyDescent="0.2">
      <c r="A5155" s="51">
        <v>5154</v>
      </c>
      <c r="B5155" s="54" t="s">
        <v>1017</v>
      </c>
      <c r="C5155" s="47" t="s">
        <v>10464</v>
      </c>
      <c r="D5155" s="47" t="s">
        <v>10465</v>
      </c>
      <c r="E5155" s="47" t="s">
        <v>1719</v>
      </c>
      <c r="F5155" s="55" t="b">
        <v>1</v>
      </c>
      <c r="G5155" s="54" t="b">
        <v>1</v>
      </c>
      <c r="H5155" s="54" t="b">
        <v>1</v>
      </c>
      <c r="I5155" s="54" t="b">
        <v>1</v>
      </c>
      <c r="J5155" s="54" t="b">
        <v>1</v>
      </c>
      <c r="K5155" s="63" t="s">
        <v>1017</v>
      </c>
      <c r="L5155" s="63" t="s">
        <v>10464</v>
      </c>
      <c r="M5155" s="63" t="s">
        <v>10465</v>
      </c>
      <c r="N5155" s="63" t="s">
        <v>1719</v>
      </c>
    </row>
    <row r="5156" spans="1:14" x14ac:dyDescent="0.2">
      <c r="A5156" s="51">
        <v>5155</v>
      </c>
      <c r="B5156" s="54" t="s">
        <v>1017</v>
      </c>
      <c r="C5156" s="47" t="s">
        <v>10452</v>
      </c>
      <c r="D5156" s="47" t="s">
        <v>13752</v>
      </c>
      <c r="E5156" s="47" t="s">
        <v>1719</v>
      </c>
      <c r="F5156" s="55" t="b">
        <v>1</v>
      </c>
      <c r="G5156" s="54" t="b">
        <v>1</v>
      </c>
      <c r="H5156" s="54" t="b">
        <v>1</v>
      </c>
      <c r="I5156" s="65" t="b">
        <v>0</v>
      </c>
      <c r="J5156" s="54" t="b">
        <v>1</v>
      </c>
      <c r="K5156" s="63" t="s">
        <v>1017</v>
      </c>
      <c r="L5156" s="63" t="s">
        <v>10452</v>
      </c>
      <c r="M5156" s="63" t="s">
        <v>10453</v>
      </c>
      <c r="N5156" s="63" t="s">
        <v>1719</v>
      </c>
    </row>
    <row r="5157" spans="1:14" x14ac:dyDescent="0.2">
      <c r="A5157" s="51">
        <v>5156</v>
      </c>
      <c r="B5157" s="54" t="s">
        <v>1017</v>
      </c>
      <c r="C5157" s="47" t="s">
        <v>10472</v>
      </c>
      <c r="D5157" s="47" t="s">
        <v>10473</v>
      </c>
      <c r="E5157" s="47" t="s">
        <v>1719</v>
      </c>
      <c r="F5157" s="55" t="b">
        <v>1</v>
      </c>
      <c r="G5157" s="54" t="b">
        <v>1</v>
      </c>
      <c r="H5157" s="54" t="b">
        <v>1</v>
      </c>
      <c r="I5157" s="54" t="b">
        <v>1</v>
      </c>
      <c r="J5157" s="54" t="b">
        <v>1</v>
      </c>
      <c r="K5157" s="63" t="s">
        <v>1017</v>
      </c>
      <c r="L5157" s="63" t="s">
        <v>10472</v>
      </c>
      <c r="M5157" s="63" t="s">
        <v>10473</v>
      </c>
      <c r="N5157" s="63" t="s">
        <v>1719</v>
      </c>
    </row>
    <row r="5158" spans="1:14" x14ac:dyDescent="0.2">
      <c r="A5158" s="51">
        <v>5157</v>
      </c>
      <c r="B5158" s="54" t="s">
        <v>1017</v>
      </c>
      <c r="C5158" s="47" t="s">
        <v>10482</v>
      </c>
      <c r="D5158" s="47" t="s">
        <v>10483</v>
      </c>
      <c r="E5158" s="47" t="s">
        <v>1719</v>
      </c>
      <c r="F5158" s="55" t="b">
        <v>1</v>
      </c>
      <c r="G5158" s="54" t="b">
        <v>1</v>
      </c>
      <c r="H5158" s="54" t="b">
        <v>1</v>
      </c>
      <c r="I5158" s="54" t="b">
        <v>1</v>
      </c>
      <c r="J5158" s="54" t="b">
        <v>1</v>
      </c>
      <c r="K5158" s="63" t="s">
        <v>1017</v>
      </c>
      <c r="L5158" s="63" t="s">
        <v>10482</v>
      </c>
      <c r="M5158" s="63" t="s">
        <v>10483</v>
      </c>
      <c r="N5158" s="63" t="s">
        <v>1719</v>
      </c>
    </row>
    <row r="5159" spans="1:14" x14ac:dyDescent="0.2">
      <c r="A5159" s="51">
        <v>5158</v>
      </c>
      <c r="B5159" s="54" t="s">
        <v>1017</v>
      </c>
      <c r="C5159" s="47" t="s">
        <v>10338</v>
      </c>
      <c r="D5159" s="47" t="s">
        <v>10339</v>
      </c>
      <c r="E5159" s="47" t="s">
        <v>1719</v>
      </c>
      <c r="F5159" s="55" t="b">
        <v>1</v>
      </c>
      <c r="G5159" s="54" t="b">
        <v>1</v>
      </c>
      <c r="H5159" s="54" t="b">
        <v>1</v>
      </c>
      <c r="I5159" s="54" t="b">
        <v>1</v>
      </c>
      <c r="J5159" s="54" t="b">
        <v>1</v>
      </c>
      <c r="K5159" s="63" t="s">
        <v>1017</v>
      </c>
      <c r="L5159" s="63" t="s">
        <v>10338</v>
      </c>
      <c r="M5159" s="63" t="s">
        <v>10339</v>
      </c>
      <c r="N5159" s="63" t="s">
        <v>1719</v>
      </c>
    </row>
    <row r="5160" spans="1:14" x14ac:dyDescent="0.2">
      <c r="A5160" s="51">
        <v>5159</v>
      </c>
      <c r="B5160" s="54" t="s">
        <v>1017</v>
      </c>
      <c r="C5160" s="47" t="s">
        <v>10328</v>
      </c>
      <c r="D5160" s="47" t="s">
        <v>10329</v>
      </c>
      <c r="E5160" s="47" t="s">
        <v>1719</v>
      </c>
      <c r="F5160" s="55" t="b">
        <v>1</v>
      </c>
      <c r="G5160" s="54" t="b">
        <v>1</v>
      </c>
      <c r="H5160" s="54" t="b">
        <v>1</v>
      </c>
      <c r="I5160" s="54" t="b">
        <v>1</v>
      </c>
      <c r="J5160" s="54" t="b">
        <v>1</v>
      </c>
      <c r="K5160" s="63" t="s">
        <v>1017</v>
      </c>
      <c r="L5160" s="63" t="s">
        <v>10328</v>
      </c>
      <c r="M5160" s="63" t="s">
        <v>10329</v>
      </c>
      <c r="N5160" s="63" t="s">
        <v>1719</v>
      </c>
    </row>
    <row r="5161" spans="1:14" x14ac:dyDescent="0.2">
      <c r="A5161" s="51">
        <v>5160</v>
      </c>
      <c r="B5161" s="54" t="s">
        <v>1017</v>
      </c>
      <c r="C5161" s="47" t="s">
        <v>13746</v>
      </c>
      <c r="D5161" s="47" t="s">
        <v>13747</v>
      </c>
      <c r="E5161" s="47" t="s">
        <v>1719</v>
      </c>
      <c r="F5161" s="55" t="b">
        <v>1</v>
      </c>
      <c r="G5161" s="65" t="b">
        <v>0</v>
      </c>
      <c r="H5161" s="65" t="b">
        <v>0</v>
      </c>
      <c r="I5161" s="65" t="b">
        <v>0</v>
      </c>
      <c r="J5161" s="65" t="b">
        <v>0</v>
      </c>
    </row>
    <row r="5162" spans="1:14" x14ac:dyDescent="0.2">
      <c r="A5162" s="51">
        <v>5161</v>
      </c>
      <c r="B5162" s="54" t="s">
        <v>1017</v>
      </c>
      <c r="C5162" s="47" t="s">
        <v>10393</v>
      </c>
      <c r="D5162" s="47" t="s">
        <v>13750</v>
      </c>
      <c r="E5162" s="47" t="s">
        <v>1719</v>
      </c>
      <c r="F5162" s="55" t="b">
        <v>1</v>
      </c>
      <c r="G5162" s="54" t="b">
        <v>1</v>
      </c>
      <c r="H5162" s="54" t="b">
        <v>1</v>
      </c>
      <c r="I5162" s="65" t="b">
        <v>0</v>
      </c>
      <c r="J5162" s="54" t="b">
        <v>1</v>
      </c>
      <c r="K5162" s="63" t="s">
        <v>1017</v>
      </c>
      <c r="L5162" s="63" t="s">
        <v>10393</v>
      </c>
      <c r="M5162" s="63" t="s">
        <v>10394</v>
      </c>
      <c r="N5162" s="63" t="s">
        <v>1719</v>
      </c>
    </row>
    <row r="5163" spans="1:14" x14ac:dyDescent="0.2">
      <c r="A5163" s="51">
        <v>5162</v>
      </c>
      <c r="B5163" s="54" t="s">
        <v>1017</v>
      </c>
      <c r="C5163" s="47" t="s">
        <v>10356</v>
      </c>
      <c r="D5163" s="47" t="s">
        <v>10357</v>
      </c>
      <c r="E5163" s="47" t="s">
        <v>1719</v>
      </c>
      <c r="F5163" s="55" t="b">
        <v>1</v>
      </c>
      <c r="G5163" s="54" t="b">
        <v>1</v>
      </c>
      <c r="H5163" s="54" t="b">
        <v>1</v>
      </c>
      <c r="I5163" s="54" t="b">
        <v>1</v>
      </c>
      <c r="J5163" s="54" t="b">
        <v>1</v>
      </c>
      <c r="K5163" s="63" t="s">
        <v>1017</v>
      </c>
      <c r="L5163" s="63" t="s">
        <v>10356</v>
      </c>
      <c r="M5163" s="63" t="s">
        <v>10357</v>
      </c>
      <c r="N5163" s="63" t="s">
        <v>1719</v>
      </c>
    </row>
    <row r="5164" spans="1:14" x14ac:dyDescent="0.2">
      <c r="A5164" s="51">
        <v>5163</v>
      </c>
      <c r="B5164" s="54" t="s">
        <v>1017</v>
      </c>
      <c r="C5164" s="47" t="s">
        <v>10474</v>
      </c>
      <c r="D5164" s="47" t="s">
        <v>10475</v>
      </c>
      <c r="E5164" s="47" t="s">
        <v>1719</v>
      </c>
      <c r="F5164" s="55" t="b">
        <v>1</v>
      </c>
      <c r="G5164" s="54" t="b">
        <v>1</v>
      </c>
      <c r="H5164" s="54" t="b">
        <v>1</v>
      </c>
      <c r="I5164" s="54" t="b">
        <v>1</v>
      </c>
      <c r="J5164" s="54" t="b">
        <v>1</v>
      </c>
      <c r="K5164" s="63" t="s">
        <v>1017</v>
      </c>
      <c r="L5164" s="63" t="s">
        <v>10474</v>
      </c>
      <c r="M5164" s="63" t="s">
        <v>10475</v>
      </c>
      <c r="N5164" s="63" t="s">
        <v>1719</v>
      </c>
    </row>
    <row r="5165" spans="1:14" x14ac:dyDescent="0.2">
      <c r="A5165" s="51">
        <v>5164</v>
      </c>
      <c r="B5165" s="54" t="s">
        <v>1017</v>
      </c>
      <c r="C5165" s="47" t="s">
        <v>10367</v>
      </c>
      <c r="D5165" s="47" t="s">
        <v>10368</v>
      </c>
      <c r="E5165" s="47" t="s">
        <v>1719</v>
      </c>
      <c r="F5165" s="55" t="b">
        <v>1</v>
      </c>
      <c r="G5165" s="54" t="b">
        <v>1</v>
      </c>
      <c r="H5165" s="54" t="b">
        <v>1</v>
      </c>
      <c r="I5165" s="54" t="b">
        <v>1</v>
      </c>
      <c r="J5165" s="54" t="b">
        <v>1</v>
      </c>
      <c r="K5165" s="63" t="s">
        <v>1017</v>
      </c>
      <c r="L5165" s="63" t="s">
        <v>10367</v>
      </c>
      <c r="M5165" s="63" t="s">
        <v>10368</v>
      </c>
      <c r="N5165" s="63" t="s">
        <v>1719</v>
      </c>
    </row>
    <row r="5166" spans="1:14" x14ac:dyDescent="0.2">
      <c r="A5166" s="51">
        <v>5165</v>
      </c>
      <c r="B5166" s="54" t="s">
        <v>1017</v>
      </c>
      <c r="C5166" s="47" t="s">
        <v>10395</v>
      </c>
      <c r="D5166" s="47" t="s">
        <v>10396</v>
      </c>
      <c r="E5166" s="47" t="s">
        <v>1719</v>
      </c>
      <c r="F5166" s="55" t="b">
        <v>1</v>
      </c>
      <c r="G5166" s="54" t="b">
        <v>1</v>
      </c>
      <c r="H5166" s="54" t="b">
        <v>1</v>
      </c>
      <c r="I5166" s="54" t="b">
        <v>1</v>
      </c>
      <c r="J5166" s="54" t="b">
        <v>1</v>
      </c>
      <c r="K5166" s="63" t="s">
        <v>1017</v>
      </c>
      <c r="L5166" s="63" t="s">
        <v>10395</v>
      </c>
      <c r="M5166" s="63" t="s">
        <v>10396</v>
      </c>
      <c r="N5166" s="63" t="s">
        <v>1719</v>
      </c>
    </row>
    <row r="5167" spans="1:14" x14ac:dyDescent="0.2">
      <c r="A5167" s="51">
        <v>5166</v>
      </c>
      <c r="B5167" s="54" t="s">
        <v>1017</v>
      </c>
      <c r="C5167" s="47" t="s">
        <v>10373</v>
      </c>
      <c r="D5167" s="47" t="s">
        <v>10374</v>
      </c>
      <c r="E5167" s="47" t="s">
        <v>1719</v>
      </c>
      <c r="F5167" s="55" t="b">
        <v>1</v>
      </c>
      <c r="G5167" s="54" t="b">
        <v>1</v>
      </c>
      <c r="H5167" s="54" t="b">
        <v>1</v>
      </c>
      <c r="I5167" s="54" t="b">
        <v>1</v>
      </c>
      <c r="J5167" s="54" t="b">
        <v>1</v>
      </c>
      <c r="K5167" s="63" t="s">
        <v>1017</v>
      </c>
      <c r="L5167" s="63" t="s">
        <v>10373</v>
      </c>
      <c r="M5167" s="63" t="s">
        <v>10374</v>
      </c>
      <c r="N5167" s="63" t="s">
        <v>1719</v>
      </c>
    </row>
    <row r="5168" spans="1:14" x14ac:dyDescent="0.2">
      <c r="A5168" s="51">
        <v>5167</v>
      </c>
      <c r="B5168" s="54" t="s">
        <v>1017</v>
      </c>
      <c r="C5168" s="47" t="s">
        <v>10436</v>
      </c>
      <c r="D5168" s="47" t="s">
        <v>10437</v>
      </c>
      <c r="E5168" s="47" t="s">
        <v>1719</v>
      </c>
      <c r="F5168" s="55" t="b">
        <v>1</v>
      </c>
      <c r="G5168" s="54" t="b">
        <v>1</v>
      </c>
      <c r="H5168" s="54" t="b">
        <v>1</v>
      </c>
      <c r="I5168" s="54" t="b">
        <v>1</v>
      </c>
      <c r="J5168" s="54" t="b">
        <v>1</v>
      </c>
      <c r="K5168" s="63" t="s">
        <v>1017</v>
      </c>
      <c r="L5168" s="63" t="s">
        <v>10436</v>
      </c>
      <c r="M5168" s="63" t="s">
        <v>10437</v>
      </c>
      <c r="N5168" s="63" t="s">
        <v>1719</v>
      </c>
    </row>
    <row r="5169" spans="1:14" x14ac:dyDescent="0.2">
      <c r="A5169" s="51">
        <v>5168</v>
      </c>
      <c r="B5169" s="54" t="s">
        <v>1017</v>
      </c>
      <c r="C5169" s="47" t="s">
        <v>10350</v>
      </c>
      <c r="D5169" s="47" t="s">
        <v>10351</v>
      </c>
      <c r="E5169" s="47" t="s">
        <v>1719</v>
      </c>
      <c r="F5169" s="55" t="b">
        <v>1</v>
      </c>
      <c r="G5169" s="54" t="b">
        <v>1</v>
      </c>
      <c r="H5169" s="54" t="b">
        <v>1</v>
      </c>
      <c r="I5169" s="54" t="b">
        <v>1</v>
      </c>
      <c r="J5169" s="54" t="b">
        <v>1</v>
      </c>
      <c r="K5169" s="63" t="s">
        <v>1017</v>
      </c>
      <c r="L5169" s="63" t="s">
        <v>10350</v>
      </c>
      <c r="M5169" s="63" t="s">
        <v>10351</v>
      </c>
      <c r="N5169" s="63" t="s">
        <v>1719</v>
      </c>
    </row>
    <row r="5170" spans="1:14" x14ac:dyDescent="0.2">
      <c r="A5170" s="51">
        <v>5169</v>
      </c>
      <c r="B5170" s="54" t="s">
        <v>1017</v>
      </c>
      <c r="C5170" s="47" t="s">
        <v>10440</v>
      </c>
      <c r="D5170" s="47" t="s">
        <v>10441</v>
      </c>
      <c r="E5170" s="47" t="s">
        <v>1719</v>
      </c>
      <c r="F5170" s="55" t="b">
        <v>1</v>
      </c>
      <c r="G5170" s="54" t="b">
        <v>1</v>
      </c>
      <c r="H5170" s="54" t="b">
        <v>1</v>
      </c>
      <c r="I5170" s="54" t="b">
        <v>1</v>
      </c>
      <c r="J5170" s="54" t="b">
        <v>1</v>
      </c>
      <c r="K5170" s="63" t="s">
        <v>1017</v>
      </c>
      <c r="L5170" s="63" t="s">
        <v>10440</v>
      </c>
      <c r="M5170" s="63" t="s">
        <v>10441</v>
      </c>
      <c r="N5170" s="63" t="s">
        <v>1719</v>
      </c>
    </row>
    <row r="5171" spans="1:14" x14ac:dyDescent="0.2">
      <c r="A5171" s="51">
        <v>5170</v>
      </c>
      <c r="B5171" s="54" t="s">
        <v>1017</v>
      </c>
      <c r="C5171" s="47" t="s">
        <v>10381</v>
      </c>
      <c r="D5171" s="47" t="s">
        <v>10382</v>
      </c>
      <c r="E5171" s="47" t="s">
        <v>1719</v>
      </c>
      <c r="F5171" s="55" t="b">
        <v>1</v>
      </c>
      <c r="G5171" s="54" t="b">
        <v>1</v>
      </c>
      <c r="H5171" s="54" t="b">
        <v>1</v>
      </c>
      <c r="I5171" s="54" t="b">
        <v>1</v>
      </c>
      <c r="J5171" s="54" t="b">
        <v>1</v>
      </c>
      <c r="K5171" s="63" t="s">
        <v>1017</v>
      </c>
      <c r="L5171" s="63" t="s">
        <v>10381</v>
      </c>
      <c r="M5171" s="63" t="s">
        <v>10382</v>
      </c>
      <c r="N5171" s="63" t="s">
        <v>1719</v>
      </c>
    </row>
    <row r="5172" spans="1:14" x14ac:dyDescent="0.2">
      <c r="A5172" s="51">
        <v>5171</v>
      </c>
      <c r="B5172" s="54" t="s">
        <v>1017</v>
      </c>
      <c r="C5172" s="47" t="s">
        <v>10375</v>
      </c>
      <c r="D5172" s="47" t="s">
        <v>10376</v>
      </c>
      <c r="E5172" s="47" t="s">
        <v>1719</v>
      </c>
      <c r="F5172" s="55" t="b">
        <v>1</v>
      </c>
      <c r="G5172" s="54" t="b">
        <v>1</v>
      </c>
      <c r="H5172" s="54" t="b">
        <v>1</v>
      </c>
      <c r="I5172" s="54" t="b">
        <v>1</v>
      </c>
      <c r="J5172" s="54" t="b">
        <v>1</v>
      </c>
      <c r="K5172" s="63" t="s">
        <v>1017</v>
      </c>
      <c r="L5172" s="63" t="s">
        <v>10375</v>
      </c>
      <c r="M5172" s="63" t="s">
        <v>10376</v>
      </c>
      <c r="N5172" s="63" t="s">
        <v>1719</v>
      </c>
    </row>
    <row r="5173" spans="1:14" x14ac:dyDescent="0.2">
      <c r="A5173" s="51">
        <v>5172</v>
      </c>
      <c r="B5173" s="54" t="s">
        <v>1017</v>
      </c>
      <c r="C5173" s="47" t="s">
        <v>10342</v>
      </c>
      <c r="D5173" s="47" t="s">
        <v>10343</v>
      </c>
      <c r="E5173" s="47" t="s">
        <v>1719</v>
      </c>
      <c r="F5173" s="55" t="b">
        <v>1</v>
      </c>
      <c r="G5173" s="54" t="b">
        <v>1</v>
      </c>
      <c r="H5173" s="54" t="b">
        <v>1</v>
      </c>
      <c r="I5173" s="54" t="b">
        <v>1</v>
      </c>
      <c r="J5173" s="54" t="b">
        <v>1</v>
      </c>
      <c r="K5173" s="63" t="s">
        <v>1017</v>
      </c>
      <c r="L5173" s="63" t="s">
        <v>10342</v>
      </c>
      <c r="M5173" s="63" t="s">
        <v>10343</v>
      </c>
      <c r="N5173" s="63" t="s">
        <v>1719</v>
      </c>
    </row>
    <row r="5174" spans="1:14" x14ac:dyDescent="0.2">
      <c r="A5174" s="51">
        <v>5173</v>
      </c>
      <c r="B5174" s="54" t="s">
        <v>1017</v>
      </c>
      <c r="C5174" s="47" t="s">
        <v>10365</v>
      </c>
      <c r="D5174" s="47" t="s">
        <v>10366</v>
      </c>
      <c r="E5174" s="47" t="s">
        <v>1719</v>
      </c>
      <c r="F5174" s="55" t="b">
        <v>1</v>
      </c>
      <c r="G5174" s="54" t="b">
        <v>1</v>
      </c>
      <c r="H5174" s="54" t="b">
        <v>1</v>
      </c>
      <c r="I5174" s="54" t="b">
        <v>1</v>
      </c>
      <c r="J5174" s="54" t="b">
        <v>1</v>
      </c>
      <c r="K5174" s="63" t="s">
        <v>1017</v>
      </c>
      <c r="L5174" s="63" t="s">
        <v>10365</v>
      </c>
      <c r="M5174" s="63" t="s">
        <v>10366</v>
      </c>
      <c r="N5174" s="63" t="s">
        <v>1719</v>
      </c>
    </row>
    <row r="5175" spans="1:14" x14ac:dyDescent="0.2">
      <c r="A5175" s="51">
        <v>5174</v>
      </c>
      <c r="B5175" s="54" t="s">
        <v>1017</v>
      </c>
      <c r="C5175" s="47" t="s">
        <v>10363</v>
      </c>
      <c r="D5175" s="47" t="s">
        <v>10364</v>
      </c>
      <c r="E5175" s="47" t="s">
        <v>1719</v>
      </c>
      <c r="F5175" s="55" t="b">
        <v>1</v>
      </c>
      <c r="G5175" s="54" t="b">
        <v>1</v>
      </c>
      <c r="H5175" s="54" t="b">
        <v>1</v>
      </c>
      <c r="I5175" s="54" t="b">
        <v>1</v>
      </c>
      <c r="J5175" s="54" t="b">
        <v>1</v>
      </c>
      <c r="K5175" s="63" t="s">
        <v>1017</v>
      </c>
      <c r="L5175" s="63" t="s">
        <v>10363</v>
      </c>
      <c r="M5175" s="63" t="s">
        <v>10364</v>
      </c>
      <c r="N5175" s="63" t="s">
        <v>1719</v>
      </c>
    </row>
    <row r="5176" spans="1:14" x14ac:dyDescent="0.2">
      <c r="A5176" s="51">
        <v>5175</v>
      </c>
      <c r="B5176" s="54" t="s">
        <v>1017</v>
      </c>
      <c r="C5176" s="47" t="s">
        <v>10478</v>
      </c>
      <c r="D5176" s="47" t="s">
        <v>10479</v>
      </c>
      <c r="E5176" s="47" t="s">
        <v>1719</v>
      </c>
      <c r="F5176" s="55" t="b">
        <v>1</v>
      </c>
      <c r="G5176" s="54" t="b">
        <v>1</v>
      </c>
      <c r="H5176" s="54" t="b">
        <v>1</v>
      </c>
      <c r="I5176" s="54" t="b">
        <v>1</v>
      </c>
      <c r="J5176" s="54" t="b">
        <v>1</v>
      </c>
      <c r="K5176" s="63" t="s">
        <v>1017</v>
      </c>
      <c r="L5176" s="63" t="s">
        <v>10478</v>
      </c>
      <c r="M5176" s="63" t="s">
        <v>10479</v>
      </c>
      <c r="N5176" s="63" t="s">
        <v>1719</v>
      </c>
    </row>
    <row r="5177" spans="1:14" x14ac:dyDescent="0.2">
      <c r="A5177" s="51">
        <v>5176</v>
      </c>
      <c r="B5177" s="54" t="s">
        <v>1017</v>
      </c>
      <c r="C5177" s="47" t="s">
        <v>10422</v>
      </c>
      <c r="D5177" s="47" t="s">
        <v>10423</v>
      </c>
      <c r="E5177" s="47" t="s">
        <v>1719</v>
      </c>
      <c r="F5177" s="55" t="b">
        <v>1</v>
      </c>
      <c r="G5177" s="54" t="b">
        <v>1</v>
      </c>
      <c r="H5177" s="54" t="b">
        <v>1</v>
      </c>
      <c r="I5177" s="54" t="b">
        <v>1</v>
      </c>
      <c r="J5177" s="54" t="b">
        <v>1</v>
      </c>
      <c r="K5177" s="63" t="s">
        <v>1017</v>
      </c>
      <c r="L5177" s="63" t="s">
        <v>10422</v>
      </c>
      <c r="M5177" s="63" t="s">
        <v>10423</v>
      </c>
      <c r="N5177" s="63" t="s">
        <v>1719</v>
      </c>
    </row>
    <row r="5178" spans="1:14" x14ac:dyDescent="0.2">
      <c r="A5178" s="51">
        <v>5177</v>
      </c>
      <c r="B5178" s="54" t="s">
        <v>1017</v>
      </c>
      <c r="C5178" s="47" t="s">
        <v>10389</v>
      </c>
      <c r="D5178" s="47" t="s">
        <v>10390</v>
      </c>
      <c r="E5178" s="47" t="s">
        <v>1719</v>
      </c>
      <c r="F5178" s="55" t="b">
        <v>1</v>
      </c>
      <c r="G5178" s="54" t="b">
        <v>1</v>
      </c>
      <c r="H5178" s="54" t="b">
        <v>1</v>
      </c>
      <c r="I5178" s="54" t="b">
        <v>1</v>
      </c>
      <c r="J5178" s="54" t="b">
        <v>1</v>
      </c>
      <c r="K5178" s="63" t="s">
        <v>1017</v>
      </c>
      <c r="L5178" s="63" t="s">
        <v>10389</v>
      </c>
      <c r="M5178" s="63" t="s">
        <v>10390</v>
      </c>
      <c r="N5178" s="63" t="s">
        <v>1719</v>
      </c>
    </row>
    <row r="5179" spans="1:14" x14ac:dyDescent="0.2">
      <c r="A5179" s="51">
        <v>5178</v>
      </c>
      <c r="B5179" s="54" t="s">
        <v>1017</v>
      </c>
      <c r="C5179" s="47" t="s">
        <v>10410</v>
      </c>
      <c r="D5179" s="47" t="s">
        <v>10411</v>
      </c>
      <c r="E5179" s="47" t="s">
        <v>1719</v>
      </c>
      <c r="F5179" s="55" t="b">
        <v>1</v>
      </c>
      <c r="G5179" s="54" t="b">
        <v>1</v>
      </c>
      <c r="H5179" s="54" t="b">
        <v>1</v>
      </c>
      <c r="I5179" s="54" t="b">
        <v>1</v>
      </c>
      <c r="J5179" s="54" t="b">
        <v>1</v>
      </c>
      <c r="K5179" s="63" t="s">
        <v>1017</v>
      </c>
      <c r="L5179" s="63" t="s">
        <v>10410</v>
      </c>
      <c r="M5179" s="63" t="s">
        <v>10411</v>
      </c>
      <c r="N5179" s="63" t="s">
        <v>1719</v>
      </c>
    </row>
    <row r="5180" spans="1:14" x14ac:dyDescent="0.2">
      <c r="A5180" s="51">
        <v>5179</v>
      </c>
      <c r="B5180" s="54" t="s">
        <v>1017</v>
      </c>
      <c r="C5180" s="47" t="s">
        <v>10344</v>
      </c>
      <c r="D5180" s="47" t="s">
        <v>10345</v>
      </c>
      <c r="E5180" s="47" t="s">
        <v>1719</v>
      </c>
      <c r="F5180" s="55" t="b">
        <v>1</v>
      </c>
      <c r="G5180" s="54" t="b">
        <v>1</v>
      </c>
      <c r="H5180" s="54" t="b">
        <v>1</v>
      </c>
      <c r="I5180" s="54" t="b">
        <v>1</v>
      </c>
      <c r="J5180" s="54" t="b">
        <v>1</v>
      </c>
      <c r="K5180" s="63" t="s">
        <v>1017</v>
      </c>
      <c r="L5180" s="63" t="s">
        <v>10344</v>
      </c>
      <c r="M5180" s="63" t="s">
        <v>10345</v>
      </c>
      <c r="N5180" s="63" t="s">
        <v>1719</v>
      </c>
    </row>
    <row r="5181" spans="1:14" x14ac:dyDescent="0.2">
      <c r="A5181" s="51">
        <v>5180</v>
      </c>
      <c r="B5181" s="54" t="s">
        <v>1017</v>
      </c>
      <c r="C5181" s="47" t="s">
        <v>10371</v>
      </c>
      <c r="D5181" s="47" t="s">
        <v>10372</v>
      </c>
      <c r="E5181" s="47" t="s">
        <v>1719</v>
      </c>
      <c r="F5181" s="55" t="b">
        <v>1</v>
      </c>
      <c r="G5181" s="54" t="b">
        <v>1</v>
      </c>
      <c r="H5181" s="54" t="b">
        <v>1</v>
      </c>
      <c r="I5181" s="54" t="b">
        <v>1</v>
      </c>
      <c r="J5181" s="54" t="b">
        <v>1</v>
      </c>
      <c r="K5181" s="63" t="s">
        <v>1017</v>
      </c>
      <c r="L5181" s="63" t="s">
        <v>10371</v>
      </c>
      <c r="M5181" s="63" t="s">
        <v>10372</v>
      </c>
      <c r="N5181" s="63" t="s">
        <v>1719</v>
      </c>
    </row>
    <row r="5182" spans="1:14" x14ac:dyDescent="0.2">
      <c r="A5182" s="51">
        <v>5181</v>
      </c>
      <c r="B5182" s="54" t="s">
        <v>1017</v>
      </c>
      <c r="C5182" s="47" t="s">
        <v>10385</v>
      </c>
      <c r="D5182" s="47" t="s">
        <v>10386</v>
      </c>
      <c r="E5182" s="47" t="s">
        <v>1719</v>
      </c>
      <c r="F5182" s="55" t="b">
        <v>1</v>
      </c>
      <c r="G5182" s="54" t="b">
        <v>1</v>
      </c>
      <c r="H5182" s="54" t="b">
        <v>1</v>
      </c>
      <c r="I5182" s="54" t="b">
        <v>1</v>
      </c>
      <c r="J5182" s="54" t="b">
        <v>1</v>
      </c>
      <c r="K5182" s="63" t="s">
        <v>1017</v>
      </c>
      <c r="L5182" s="63" t="s">
        <v>10385</v>
      </c>
      <c r="M5182" s="63" t="s">
        <v>10386</v>
      </c>
      <c r="N5182" s="63" t="s">
        <v>1719</v>
      </c>
    </row>
    <row r="5183" spans="1:14" x14ac:dyDescent="0.2">
      <c r="A5183" s="51">
        <v>5182</v>
      </c>
      <c r="B5183" s="54" t="s">
        <v>1017</v>
      </c>
      <c r="C5183" s="47" t="s">
        <v>10476</v>
      </c>
      <c r="D5183" s="47" t="s">
        <v>10477</v>
      </c>
      <c r="E5183" s="47" t="s">
        <v>1719</v>
      </c>
      <c r="F5183" s="55" t="b">
        <v>1</v>
      </c>
      <c r="G5183" s="54" t="b">
        <v>1</v>
      </c>
      <c r="H5183" s="54" t="b">
        <v>1</v>
      </c>
      <c r="I5183" s="54" t="b">
        <v>1</v>
      </c>
      <c r="J5183" s="54" t="b">
        <v>1</v>
      </c>
      <c r="K5183" s="63" t="s">
        <v>1017</v>
      </c>
      <c r="L5183" s="63" t="s">
        <v>10476</v>
      </c>
      <c r="M5183" s="63" t="s">
        <v>10477</v>
      </c>
      <c r="N5183" s="63" t="s">
        <v>1719</v>
      </c>
    </row>
    <row r="5184" spans="1:14" x14ac:dyDescent="0.2">
      <c r="A5184" s="51">
        <v>5183</v>
      </c>
      <c r="B5184" s="54" t="s">
        <v>1017</v>
      </c>
      <c r="C5184" s="47" t="s">
        <v>10352</v>
      </c>
      <c r="D5184" s="47" t="s">
        <v>10353</v>
      </c>
      <c r="E5184" s="47" t="s">
        <v>1719</v>
      </c>
      <c r="F5184" s="55" t="b">
        <v>1</v>
      </c>
      <c r="G5184" s="54" t="b">
        <v>1</v>
      </c>
      <c r="H5184" s="54" t="b">
        <v>1</v>
      </c>
      <c r="I5184" s="54" t="b">
        <v>1</v>
      </c>
      <c r="J5184" s="54" t="b">
        <v>1</v>
      </c>
      <c r="K5184" s="63" t="s">
        <v>1017</v>
      </c>
      <c r="L5184" s="63" t="s">
        <v>10352</v>
      </c>
      <c r="M5184" s="63" t="s">
        <v>10353</v>
      </c>
      <c r="N5184" s="63" t="s">
        <v>1719</v>
      </c>
    </row>
    <row r="5185" spans="1:14" x14ac:dyDescent="0.2">
      <c r="A5185" s="51">
        <v>5184</v>
      </c>
      <c r="B5185" s="54" t="s">
        <v>1017</v>
      </c>
      <c r="C5185" s="47" t="s">
        <v>10466</v>
      </c>
      <c r="D5185" s="47" t="s">
        <v>10467</v>
      </c>
      <c r="E5185" s="47" t="s">
        <v>1719</v>
      </c>
      <c r="F5185" s="55" t="b">
        <v>1</v>
      </c>
      <c r="G5185" s="54" t="b">
        <v>1</v>
      </c>
      <c r="H5185" s="54" t="b">
        <v>1</v>
      </c>
      <c r="I5185" s="54" t="b">
        <v>1</v>
      </c>
      <c r="J5185" s="54" t="b">
        <v>1</v>
      </c>
      <c r="K5185" s="63" t="s">
        <v>1017</v>
      </c>
      <c r="L5185" s="63" t="s">
        <v>10466</v>
      </c>
      <c r="M5185" s="63" t="s">
        <v>10467</v>
      </c>
      <c r="N5185" s="63" t="s">
        <v>1719</v>
      </c>
    </row>
    <row r="5186" spans="1:14" x14ac:dyDescent="0.2">
      <c r="A5186" s="51">
        <v>5185</v>
      </c>
      <c r="B5186" s="54" t="s">
        <v>1017</v>
      </c>
      <c r="C5186" s="47" t="s">
        <v>10458</v>
      </c>
      <c r="D5186" s="47" t="s">
        <v>10459</v>
      </c>
      <c r="E5186" s="47" t="s">
        <v>1719</v>
      </c>
      <c r="F5186" s="55" t="b">
        <v>1</v>
      </c>
      <c r="G5186" s="54" t="b">
        <v>1</v>
      </c>
      <c r="H5186" s="54" t="b">
        <v>1</v>
      </c>
      <c r="I5186" s="54" t="b">
        <v>1</v>
      </c>
      <c r="J5186" s="54" t="b">
        <v>1</v>
      </c>
      <c r="K5186" s="63" t="s">
        <v>1017</v>
      </c>
      <c r="L5186" s="63" t="s">
        <v>10458</v>
      </c>
      <c r="M5186" s="63" t="s">
        <v>10459</v>
      </c>
      <c r="N5186" s="63" t="s">
        <v>1719</v>
      </c>
    </row>
    <row r="5187" spans="1:14" x14ac:dyDescent="0.2">
      <c r="A5187" s="51">
        <v>5186</v>
      </c>
      <c r="B5187" s="54" t="s">
        <v>1017</v>
      </c>
      <c r="C5187" s="47" t="s">
        <v>10418</v>
      </c>
      <c r="D5187" s="47" t="s">
        <v>10419</v>
      </c>
      <c r="E5187" s="47" t="s">
        <v>1719</v>
      </c>
      <c r="F5187" s="55" t="b">
        <v>1</v>
      </c>
      <c r="G5187" s="54" t="b">
        <v>1</v>
      </c>
      <c r="H5187" s="54" t="b">
        <v>1</v>
      </c>
      <c r="I5187" s="54" t="b">
        <v>1</v>
      </c>
      <c r="J5187" s="54" t="b">
        <v>1</v>
      </c>
      <c r="K5187" s="63" t="s">
        <v>1017</v>
      </c>
      <c r="L5187" s="63" t="s">
        <v>10418</v>
      </c>
      <c r="M5187" s="63" t="s">
        <v>10419</v>
      </c>
      <c r="N5187" s="63" t="s">
        <v>1719</v>
      </c>
    </row>
    <row r="5188" spans="1:14" x14ac:dyDescent="0.2">
      <c r="A5188" s="51">
        <v>5187</v>
      </c>
      <c r="B5188" s="54" t="s">
        <v>1017</v>
      </c>
      <c r="C5188" s="47" t="s">
        <v>10416</v>
      </c>
      <c r="D5188" s="47" t="s">
        <v>10417</v>
      </c>
      <c r="E5188" s="47" t="s">
        <v>1719</v>
      </c>
      <c r="F5188" s="55" t="b">
        <v>1</v>
      </c>
      <c r="G5188" s="54" t="b">
        <v>1</v>
      </c>
      <c r="H5188" s="54" t="b">
        <v>1</v>
      </c>
      <c r="I5188" s="54" t="b">
        <v>1</v>
      </c>
      <c r="J5188" s="54" t="b">
        <v>1</v>
      </c>
      <c r="K5188" s="63" t="s">
        <v>1017</v>
      </c>
      <c r="L5188" s="63" t="s">
        <v>10416</v>
      </c>
      <c r="M5188" s="63" t="s">
        <v>10417</v>
      </c>
      <c r="N5188" s="63" t="s">
        <v>1719</v>
      </c>
    </row>
    <row r="5189" spans="1:14" x14ac:dyDescent="0.2">
      <c r="A5189" s="51">
        <v>5188</v>
      </c>
      <c r="B5189" s="54" t="s">
        <v>1017</v>
      </c>
      <c r="C5189" s="47" t="s">
        <v>10412</v>
      </c>
      <c r="D5189" s="47" t="s">
        <v>10413</v>
      </c>
      <c r="E5189" s="47" t="s">
        <v>1719</v>
      </c>
      <c r="F5189" s="55" t="b">
        <v>1</v>
      </c>
      <c r="G5189" s="54" t="b">
        <v>1</v>
      </c>
      <c r="H5189" s="54" t="b">
        <v>1</v>
      </c>
      <c r="I5189" s="54" t="b">
        <v>1</v>
      </c>
      <c r="J5189" s="54" t="b">
        <v>1</v>
      </c>
      <c r="K5189" s="63" t="s">
        <v>1017</v>
      </c>
      <c r="L5189" s="63" t="s">
        <v>10412</v>
      </c>
      <c r="M5189" s="63" t="s">
        <v>10413</v>
      </c>
      <c r="N5189" s="63" t="s">
        <v>1719</v>
      </c>
    </row>
    <row r="5190" spans="1:14" x14ac:dyDescent="0.2">
      <c r="A5190" s="51">
        <v>5189</v>
      </c>
      <c r="B5190" s="54" t="s">
        <v>1017</v>
      </c>
      <c r="C5190" s="47" t="s">
        <v>10432</v>
      </c>
      <c r="D5190" s="47" t="s">
        <v>10433</v>
      </c>
      <c r="E5190" s="47" t="s">
        <v>1719</v>
      </c>
      <c r="F5190" s="55" t="b">
        <v>1</v>
      </c>
      <c r="G5190" s="54" t="b">
        <v>1</v>
      </c>
      <c r="H5190" s="54" t="b">
        <v>1</v>
      </c>
      <c r="I5190" s="54" t="b">
        <v>1</v>
      </c>
      <c r="J5190" s="54" t="b">
        <v>1</v>
      </c>
      <c r="K5190" s="63" t="s">
        <v>1017</v>
      </c>
      <c r="L5190" s="63" t="s">
        <v>10432</v>
      </c>
      <c r="M5190" s="63" t="s">
        <v>10433</v>
      </c>
      <c r="N5190" s="63" t="s">
        <v>1719</v>
      </c>
    </row>
    <row r="5191" spans="1:14" x14ac:dyDescent="0.2">
      <c r="A5191" s="51">
        <v>5190</v>
      </c>
      <c r="B5191" s="54" t="s">
        <v>1017</v>
      </c>
      <c r="C5191" s="47" t="s">
        <v>10354</v>
      </c>
      <c r="D5191" s="47" t="s">
        <v>10355</v>
      </c>
      <c r="E5191" s="47" t="s">
        <v>1719</v>
      </c>
      <c r="F5191" s="55" t="b">
        <v>1</v>
      </c>
      <c r="G5191" s="54" t="b">
        <v>1</v>
      </c>
      <c r="H5191" s="54" t="b">
        <v>1</v>
      </c>
      <c r="I5191" s="54" t="b">
        <v>1</v>
      </c>
      <c r="J5191" s="54" t="b">
        <v>1</v>
      </c>
      <c r="K5191" s="63" t="s">
        <v>1017</v>
      </c>
      <c r="L5191" s="63" t="s">
        <v>10354</v>
      </c>
      <c r="M5191" s="63" t="s">
        <v>10355</v>
      </c>
      <c r="N5191" s="63" t="s">
        <v>1719</v>
      </c>
    </row>
    <row r="5192" spans="1:14" x14ac:dyDescent="0.2">
      <c r="A5192" s="51">
        <v>5191</v>
      </c>
      <c r="B5192" s="54" t="s">
        <v>1017</v>
      </c>
      <c r="C5192" s="47" t="s">
        <v>10460</v>
      </c>
      <c r="D5192" s="47" t="s">
        <v>10461</v>
      </c>
      <c r="E5192" s="47" t="s">
        <v>1719</v>
      </c>
      <c r="F5192" s="55" t="b">
        <v>1</v>
      </c>
      <c r="G5192" s="54" t="b">
        <v>1</v>
      </c>
      <c r="H5192" s="54" t="b">
        <v>1</v>
      </c>
      <c r="I5192" s="54" t="b">
        <v>1</v>
      </c>
      <c r="J5192" s="54" t="b">
        <v>1</v>
      </c>
      <c r="K5192" s="63" t="s">
        <v>1017</v>
      </c>
      <c r="L5192" s="63" t="s">
        <v>10460</v>
      </c>
      <c r="M5192" s="63" t="s">
        <v>10461</v>
      </c>
      <c r="N5192" s="63" t="s">
        <v>1719</v>
      </c>
    </row>
    <row r="5193" spans="1:14" x14ac:dyDescent="0.2">
      <c r="A5193" s="51">
        <v>5192</v>
      </c>
      <c r="B5193" s="54" t="s">
        <v>1017</v>
      </c>
      <c r="C5193" s="47" t="s">
        <v>10379</v>
      </c>
      <c r="D5193" s="47" t="s">
        <v>10380</v>
      </c>
      <c r="E5193" s="47" t="s">
        <v>1719</v>
      </c>
      <c r="F5193" s="55" t="b">
        <v>1</v>
      </c>
      <c r="G5193" s="54" t="b">
        <v>1</v>
      </c>
      <c r="H5193" s="54" t="b">
        <v>1</v>
      </c>
      <c r="I5193" s="54" t="b">
        <v>1</v>
      </c>
      <c r="J5193" s="54" t="b">
        <v>1</v>
      </c>
      <c r="K5193" s="63" t="s">
        <v>1017</v>
      </c>
      <c r="L5193" s="63" t="s">
        <v>10379</v>
      </c>
      <c r="M5193" s="63" t="s">
        <v>10380</v>
      </c>
      <c r="N5193" s="63" t="s">
        <v>1719</v>
      </c>
    </row>
    <row r="5194" spans="1:14" x14ac:dyDescent="0.2">
      <c r="A5194" s="51">
        <v>5193</v>
      </c>
      <c r="B5194" s="54" t="s">
        <v>1017</v>
      </c>
      <c r="C5194" s="47" t="s">
        <v>10444</v>
      </c>
      <c r="D5194" s="47" t="s">
        <v>10445</v>
      </c>
      <c r="E5194" s="47" t="s">
        <v>1719</v>
      </c>
      <c r="F5194" s="55" t="b">
        <v>1</v>
      </c>
      <c r="G5194" s="54" t="b">
        <v>1</v>
      </c>
      <c r="H5194" s="54" t="b">
        <v>1</v>
      </c>
      <c r="I5194" s="54" t="b">
        <v>1</v>
      </c>
      <c r="J5194" s="54" t="b">
        <v>1</v>
      </c>
      <c r="K5194" s="63" t="s">
        <v>1017</v>
      </c>
      <c r="L5194" s="63" t="s">
        <v>10444</v>
      </c>
      <c r="M5194" s="63" t="s">
        <v>10445</v>
      </c>
      <c r="N5194" s="63" t="s">
        <v>1719</v>
      </c>
    </row>
    <row r="5195" spans="1:14" x14ac:dyDescent="0.2">
      <c r="A5195" s="51">
        <v>5194</v>
      </c>
      <c r="B5195" s="54" t="s">
        <v>1017</v>
      </c>
      <c r="C5195" s="47" t="s">
        <v>10446</v>
      </c>
      <c r="D5195" s="47" t="s">
        <v>10447</v>
      </c>
      <c r="E5195" s="47" t="s">
        <v>1719</v>
      </c>
      <c r="F5195" s="55" t="b">
        <v>1</v>
      </c>
      <c r="G5195" s="54" t="b">
        <v>1</v>
      </c>
      <c r="H5195" s="54" t="b">
        <v>1</v>
      </c>
      <c r="I5195" s="54" t="b">
        <v>1</v>
      </c>
      <c r="J5195" s="54" t="b">
        <v>1</v>
      </c>
      <c r="K5195" s="63" t="s">
        <v>1017</v>
      </c>
      <c r="L5195" s="63" t="s">
        <v>10446</v>
      </c>
      <c r="M5195" s="63" t="s">
        <v>10447</v>
      </c>
      <c r="N5195" s="63" t="s">
        <v>1719</v>
      </c>
    </row>
    <row r="5196" spans="1:14" x14ac:dyDescent="0.2">
      <c r="A5196" s="51">
        <v>5195</v>
      </c>
      <c r="B5196" s="54" t="s">
        <v>1017</v>
      </c>
      <c r="C5196" s="47" t="s">
        <v>10414</v>
      </c>
      <c r="D5196" s="47" t="s">
        <v>10415</v>
      </c>
      <c r="E5196" s="47" t="s">
        <v>1719</v>
      </c>
      <c r="F5196" s="55" t="b">
        <v>1</v>
      </c>
      <c r="G5196" s="54" t="b">
        <v>1</v>
      </c>
      <c r="H5196" s="54" t="b">
        <v>1</v>
      </c>
      <c r="I5196" s="54" t="b">
        <v>1</v>
      </c>
      <c r="J5196" s="54" t="b">
        <v>1</v>
      </c>
      <c r="K5196" s="63" t="s">
        <v>1017</v>
      </c>
      <c r="L5196" s="63" t="s">
        <v>10414</v>
      </c>
      <c r="M5196" s="63" t="s">
        <v>10415</v>
      </c>
      <c r="N5196" s="63" t="s">
        <v>1719</v>
      </c>
    </row>
    <row r="5197" spans="1:14" x14ac:dyDescent="0.2">
      <c r="A5197" s="51">
        <v>5196</v>
      </c>
      <c r="B5197" s="54" t="s">
        <v>1017</v>
      </c>
      <c r="C5197" s="47" t="s">
        <v>10428</v>
      </c>
      <c r="D5197" s="47" t="s">
        <v>10429</v>
      </c>
      <c r="E5197" s="47" t="s">
        <v>1719</v>
      </c>
      <c r="F5197" s="55" t="b">
        <v>1</v>
      </c>
      <c r="G5197" s="54" t="b">
        <v>1</v>
      </c>
      <c r="H5197" s="54" t="b">
        <v>1</v>
      </c>
      <c r="I5197" s="54" t="b">
        <v>1</v>
      </c>
      <c r="J5197" s="54" t="b">
        <v>1</v>
      </c>
      <c r="K5197" s="63" t="s">
        <v>1017</v>
      </c>
      <c r="L5197" s="63" t="s">
        <v>10428</v>
      </c>
      <c r="M5197" s="63" t="s">
        <v>10429</v>
      </c>
      <c r="N5197" s="63" t="s">
        <v>1719</v>
      </c>
    </row>
    <row r="5198" spans="1:14" x14ac:dyDescent="0.2">
      <c r="A5198" s="51">
        <v>5197</v>
      </c>
      <c r="B5198" s="54" t="s">
        <v>1017</v>
      </c>
      <c r="C5198" s="47" t="s">
        <v>10387</v>
      </c>
      <c r="D5198" s="47" t="s">
        <v>10388</v>
      </c>
      <c r="E5198" s="47" t="s">
        <v>1719</v>
      </c>
      <c r="F5198" s="55" t="b">
        <v>1</v>
      </c>
      <c r="G5198" s="54" t="b">
        <v>1</v>
      </c>
      <c r="H5198" s="54" t="b">
        <v>1</v>
      </c>
      <c r="I5198" s="54" t="b">
        <v>1</v>
      </c>
      <c r="J5198" s="54" t="b">
        <v>1</v>
      </c>
      <c r="K5198" s="63" t="s">
        <v>1017</v>
      </c>
      <c r="L5198" s="63" t="s">
        <v>10387</v>
      </c>
      <c r="M5198" s="63" t="s">
        <v>10388</v>
      </c>
      <c r="N5198" s="63" t="s">
        <v>1719</v>
      </c>
    </row>
    <row r="5199" spans="1:14" x14ac:dyDescent="0.2">
      <c r="A5199" s="51">
        <v>5198</v>
      </c>
      <c r="B5199" s="54" t="s">
        <v>1017</v>
      </c>
      <c r="C5199" s="47" t="s">
        <v>10358</v>
      </c>
      <c r="D5199" s="47" t="s">
        <v>10359</v>
      </c>
      <c r="E5199" s="47" t="s">
        <v>1719</v>
      </c>
      <c r="F5199" s="55" t="b">
        <v>1</v>
      </c>
      <c r="G5199" s="54" t="b">
        <v>1</v>
      </c>
      <c r="H5199" s="54" t="b">
        <v>1</v>
      </c>
      <c r="I5199" s="54" t="b">
        <v>1</v>
      </c>
      <c r="J5199" s="54" t="b">
        <v>1</v>
      </c>
      <c r="K5199" s="63" t="s">
        <v>1017</v>
      </c>
      <c r="L5199" s="63" t="s">
        <v>10358</v>
      </c>
      <c r="M5199" s="63" t="s">
        <v>10359</v>
      </c>
      <c r="N5199" s="63" t="s">
        <v>1719</v>
      </c>
    </row>
    <row r="5200" spans="1:14" x14ac:dyDescent="0.2">
      <c r="A5200" s="51">
        <v>5199</v>
      </c>
      <c r="B5200" s="54" t="s">
        <v>1017</v>
      </c>
      <c r="C5200" s="47" t="s">
        <v>10403</v>
      </c>
      <c r="D5200" s="47" t="s">
        <v>10404</v>
      </c>
      <c r="E5200" s="47" t="s">
        <v>1719</v>
      </c>
      <c r="F5200" s="55" t="b">
        <v>1</v>
      </c>
      <c r="G5200" s="54" t="b">
        <v>1</v>
      </c>
      <c r="H5200" s="54" t="b">
        <v>1</v>
      </c>
      <c r="I5200" s="54" t="b">
        <v>1</v>
      </c>
      <c r="J5200" s="54" t="b">
        <v>1</v>
      </c>
      <c r="K5200" s="63" t="s">
        <v>1017</v>
      </c>
      <c r="L5200" s="63" t="s">
        <v>10403</v>
      </c>
      <c r="M5200" s="63" t="s">
        <v>10404</v>
      </c>
      <c r="N5200" s="63" t="s">
        <v>1719</v>
      </c>
    </row>
    <row r="5201" spans="1:14" x14ac:dyDescent="0.2">
      <c r="A5201" s="51">
        <v>5200</v>
      </c>
      <c r="B5201" s="54" t="s">
        <v>1017</v>
      </c>
      <c r="C5201" s="47" t="s">
        <v>10424</v>
      </c>
      <c r="D5201" s="47" t="s">
        <v>10425</v>
      </c>
      <c r="E5201" s="47" t="s">
        <v>1719</v>
      </c>
      <c r="F5201" s="55" t="b">
        <v>1</v>
      </c>
      <c r="G5201" s="54" t="b">
        <v>1</v>
      </c>
      <c r="H5201" s="54" t="b">
        <v>1</v>
      </c>
      <c r="I5201" s="54" t="b">
        <v>1</v>
      </c>
      <c r="J5201" s="54" t="b">
        <v>1</v>
      </c>
      <c r="K5201" s="63" t="s">
        <v>1017</v>
      </c>
      <c r="L5201" s="63" t="s">
        <v>10424</v>
      </c>
      <c r="M5201" s="63" t="s">
        <v>10425</v>
      </c>
      <c r="N5201" s="63" t="s">
        <v>1719</v>
      </c>
    </row>
    <row r="5202" spans="1:14" x14ac:dyDescent="0.2">
      <c r="A5202" s="51">
        <v>5201</v>
      </c>
      <c r="B5202" s="54" t="s">
        <v>1017</v>
      </c>
      <c r="C5202" s="47" t="s">
        <v>10462</v>
      </c>
      <c r="D5202" s="47" t="s">
        <v>10463</v>
      </c>
      <c r="E5202" s="47" t="s">
        <v>1719</v>
      </c>
      <c r="F5202" s="55" t="b">
        <v>1</v>
      </c>
      <c r="G5202" s="54" t="b">
        <v>1</v>
      </c>
      <c r="H5202" s="54" t="b">
        <v>1</v>
      </c>
      <c r="I5202" s="54" t="b">
        <v>1</v>
      </c>
      <c r="J5202" s="54" t="b">
        <v>1</v>
      </c>
      <c r="K5202" s="63" t="s">
        <v>1017</v>
      </c>
      <c r="L5202" s="63" t="s">
        <v>10462</v>
      </c>
      <c r="M5202" s="63" t="s">
        <v>10463</v>
      </c>
      <c r="N5202" s="63" t="s">
        <v>1719</v>
      </c>
    </row>
    <row r="5203" spans="1:14" x14ac:dyDescent="0.2">
      <c r="A5203" s="51">
        <v>5202</v>
      </c>
      <c r="B5203" s="54" t="s">
        <v>1017</v>
      </c>
      <c r="C5203" s="47" t="s">
        <v>10430</v>
      </c>
      <c r="D5203" s="47" t="s">
        <v>10431</v>
      </c>
      <c r="E5203" s="47" t="s">
        <v>1719</v>
      </c>
      <c r="F5203" s="55" t="b">
        <v>1</v>
      </c>
      <c r="G5203" s="54" t="b">
        <v>1</v>
      </c>
      <c r="H5203" s="54" t="b">
        <v>1</v>
      </c>
      <c r="I5203" s="54" t="b">
        <v>1</v>
      </c>
      <c r="J5203" s="54" t="b">
        <v>1</v>
      </c>
      <c r="K5203" s="63" t="s">
        <v>1017</v>
      </c>
      <c r="L5203" s="63" t="s">
        <v>10430</v>
      </c>
      <c r="M5203" s="63" t="s">
        <v>10431</v>
      </c>
      <c r="N5203" s="63" t="s">
        <v>1719</v>
      </c>
    </row>
    <row r="5204" spans="1:14" x14ac:dyDescent="0.2">
      <c r="A5204" s="51">
        <v>5203</v>
      </c>
      <c r="B5204" s="54" t="s">
        <v>1017</v>
      </c>
      <c r="C5204" s="47" t="s">
        <v>10348</v>
      </c>
      <c r="D5204" s="47" t="s">
        <v>10349</v>
      </c>
      <c r="E5204" s="47" t="s">
        <v>1719</v>
      </c>
      <c r="F5204" s="55" t="b">
        <v>1</v>
      </c>
      <c r="G5204" s="54" t="b">
        <v>1</v>
      </c>
      <c r="H5204" s="54" t="b">
        <v>1</v>
      </c>
      <c r="I5204" s="54" t="b">
        <v>1</v>
      </c>
      <c r="J5204" s="54" t="b">
        <v>1</v>
      </c>
      <c r="K5204" s="63" t="s">
        <v>1017</v>
      </c>
      <c r="L5204" s="63" t="s">
        <v>10348</v>
      </c>
      <c r="M5204" s="63" t="s">
        <v>10349</v>
      </c>
      <c r="N5204" s="63" t="s">
        <v>1719</v>
      </c>
    </row>
    <row r="5205" spans="1:14" x14ac:dyDescent="0.2">
      <c r="A5205" s="51">
        <v>5204</v>
      </c>
      <c r="B5205" s="54" t="s">
        <v>1017</v>
      </c>
      <c r="C5205" s="47" t="s">
        <v>10456</v>
      </c>
      <c r="D5205" s="47" t="s">
        <v>10457</v>
      </c>
      <c r="E5205" s="47" t="s">
        <v>1719</v>
      </c>
      <c r="F5205" s="55" t="b">
        <v>1</v>
      </c>
      <c r="G5205" s="54" t="b">
        <v>1</v>
      </c>
      <c r="H5205" s="54" t="b">
        <v>1</v>
      </c>
      <c r="I5205" s="54" t="b">
        <v>1</v>
      </c>
      <c r="J5205" s="54" t="b">
        <v>1</v>
      </c>
      <c r="K5205" s="63" t="s">
        <v>1017</v>
      </c>
      <c r="L5205" s="63" t="s">
        <v>10456</v>
      </c>
      <c r="M5205" s="63" t="s">
        <v>10457</v>
      </c>
      <c r="N5205" s="63" t="s">
        <v>1719</v>
      </c>
    </row>
    <row r="5206" spans="1:14" x14ac:dyDescent="0.2">
      <c r="A5206" s="51">
        <v>5205</v>
      </c>
      <c r="B5206" s="54" t="s">
        <v>1017</v>
      </c>
      <c r="C5206" s="47" t="s">
        <v>10450</v>
      </c>
      <c r="D5206" s="47" t="s">
        <v>10451</v>
      </c>
      <c r="E5206" s="47" t="s">
        <v>1719</v>
      </c>
      <c r="F5206" s="55" t="b">
        <v>1</v>
      </c>
      <c r="G5206" s="54" t="b">
        <v>1</v>
      </c>
      <c r="H5206" s="54" t="b">
        <v>1</v>
      </c>
      <c r="I5206" s="54" t="b">
        <v>1</v>
      </c>
      <c r="J5206" s="54" t="b">
        <v>1</v>
      </c>
      <c r="K5206" s="63" t="s">
        <v>1017</v>
      </c>
      <c r="L5206" s="63" t="s">
        <v>10450</v>
      </c>
      <c r="M5206" s="63" t="s">
        <v>10451</v>
      </c>
      <c r="N5206" s="63" t="s">
        <v>1719</v>
      </c>
    </row>
    <row r="5207" spans="1:14" x14ac:dyDescent="0.2">
      <c r="A5207" s="51">
        <v>5206</v>
      </c>
      <c r="B5207" s="54" t="s">
        <v>1017</v>
      </c>
      <c r="C5207" s="47" t="s">
        <v>10468</v>
      </c>
      <c r="D5207" s="47" t="s">
        <v>10469</v>
      </c>
      <c r="E5207" s="47" t="s">
        <v>1719</v>
      </c>
      <c r="F5207" s="55" t="b">
        <v>1</v>
      </c>
      <c r="G5207" s="54" t="b">
        <v>1</v>
      </c>
      <c r="H5207" s="54" t="b">
        <v>1</v>
      </c>
      <c r="I5207" s="54" t="b">
        <v>1</v>
      </c>
      <c r="J5207" s="54" t="b">
        <v>1</v>
      </c>
      <c r="K5207" s="63" t="s">
        <v>1017</v>
      </c>
      <c r="L5207" s="63" t="s">
        <v>10468</v>
      </c>
      <c r="M5207" s="63" t="s">
        <v>10469</v>
      </c>
      <c r="N5207" s="63" t="s">
        <v>1719</v>
      </c>
    </row>
    <row r="5208" spans="1:14" x14ac:dyDescent="0.2">
      <c r="A5208" s="51">
        <v>5207</v>
      </c>
      <c r="B5208" s="54" t="s">
        <v>1017</v>
      </c>
      <c r="C5208" s="47" t="s">
        <v>10405</v>
      </c>
      <c r="D5208" s="47" t="s">
        <v>10406</v>
      </c>
      <c r="E5208" s="47" t="s">
        <v>1719</v>
      </c>
      <c r="F5208" s="55" t="b">
        <v>1</v>
      </c>
      <c r="G5208" s="54" t="b">
        <v>1</v>
      </c>
      <c r="H5208" s="54" t="b">
        <v>1</v>
      </c>
      <c r="I5208" s="54" t="b">
        <v>1</v>
      </c>
      <c r="J5208" s="54" t="b">
        <v>1</v>
      </c>
      <c r="K5208" s="63" t="s">
        <v>1017</v>
      </c>
      <c r="L5208" s="63" t="s">
        <v>10405</v>
      </c>
      <c r="M5208" s="63" t="s">
        <v>10406</v>
      </c>
      <c r="N5208" s="63" t="s">
        <v>1719</v>
      </c>
    </row>
    <row r="5209" spans="1:14" x14ac:dyDescent="0.2">
      <c r="A5209" s="51">
        <v>5208</v>
      </c>
      <c r="B5209" s="54" t="s">
        <v>1017</v>
      </c>
      <c r="C5209" s="47" t="s">
        <v>10401</v>
      </c>
      <c r="D5209" s="47" t="s">
        <v>10402</v>
      </c>
      <c r="E5209" s="47" t="s">
        <v>1719</v>
      </c>
      <c r="F5209" s="55" t="b">
        <v>1</v>
      </c>
      <c r="G5209" s="54" t="b">
        <v>1</v>
      </c>
      <c r="H5209" s="54" t="b">
        <v>1</v>
      </c>
      <c r="I5209" s="54" t="b">
        <v>1</v>
      </c>
      <c r="J5209" s="54" t="b">
        <v>1</v>
      </c>
      <c r="K5209" s="63" t="s">
        <v>1017</v>
      </c>
      <c r="L5209" s="63" t="s">
        <v>10401</v>
      </c>
      <c r="M5209" s="63" t="s">
        <v>10402</v>
      </c>
      <c r="N5209" s="63" t="s">
        <v>1719</v>
      </c>
    </row>
    <row r="5210" spans="1:14" x14ac:dyDescent="0.2">
      <c r="A5210" s="51">
        <v>5209</v>
      </c>
      <c r="B5210" s="54" t="s">
        <v>1017</v>
      </c>
      <c r="C5210" s="47" t="s">
        <v>10480</v>
      </c>
      <c r="D5210" s="47" t="s">
        <v>10481</v>
      </c>
      <c r="E5210" s="47" t="s">
        <v>1719</v>
      </c>
      <c r="F5210" s="55" t="b">
        <v>1</v>
      </c>
      <c r="G5210" s="54" t="b">
        <v>1</v>
      </c>
      <c r="H5210" s="54" t="b">
        <v>1</v>
      </c>
      <c r="I5210" s="54" t="b">
        <v>1</v>
      </c>
      <c r="J5210" s="54" t="b">
        <v>1</v>
      </c>
      <c r="K5210" s="63" t="s">
        <v>1017</v>
      </c>
      <c r="L5210" s="63" t="s">
        <v>10480</v>
      </c>
      <c r="M5210" s="63" t="s">
        <v>10481</v>
      </c>
      <c r="N5210" s="63" t="s">
        <v>1719</v>
      </c>
    </row>
    <row r="5211" spans="1:14" x14ac:dyDescent="0.2">
      <c r="A5211" s="51">
        <v>5210</v>
      </c>
      <c r="B5211" s="54" t="s">
        <v>1017</v>
      </c>
      <c r="C5211" s="47" t="s">
        <v>10391</v>
      </c>
      <c r="D5211" s="47" t="s">
        <v>10392</v>
      </c>
      <c r="E5211" s="47" t="s">
        <v>1719</v>
      </c>
      <c r="F5211" s="55" t="b">
        <v>1</v>
      </c>
      <c r="G5211" s="54" t="b">
        <v>1</v>
      </c>
      <c r="H5211" s="54" t="b">
        <v>1</v>
      </c>
      <c r="I5211" s="54" t="b">
        <v>1</v>
      </c>
      <c r="J5211" s="54" t="b">
        <v>1</v>
      </c>
      <c r="K5211" s="63" t="s">
        <v>1017</v>
      </c>
      <c r="L5211" s="63" t="s">
        <v>10391</v>
      </c>
      <c r="M5211" s="63" t="s">
        <v>10392</v>
      </c>
      <c r="N5211" s="63" t="s">
        <v>1719</v>
      </c>
    </row>
    <row r="5212" spans="1:14" x14ac:dyDescent="0.2">
      <c r="A5212" s="51">
        <v>5211</v>
      </c>
      <c r="G5212" s="65" t="b">
        <v>0</v>
      </c>
      <c r="H5212" s="65" t="b">
        <v>0</v>
      </c>
      <c r="I5212" s="65" t="b">
        <v>0</v>
      </c>
      <c r="J5212" s="65" t="b">
        <v>0</v>
      </c>
      <c r="K5212" s="63" t="s">
        <v>1017</v>
      </c>
      <c r="L5212" s="63" t="s">
        <v>10407</v>
      </c>
      <c r="M5212" s="63" t="s">
        <v>10408</v>
      </c>
      <c r="N5212" s="63" t="s">
        <v>10409</v>
      </c>
    </row>
    <row r="5213" spans="1:14" x14ac:dyDescent="0.2">
      <c r="A5213" s="51">
        <v>5212</v>
      </c>
      <c r="B5213" s="54" t="s">
        <v>1019</v>
      </c>
      <c r="C5213" s="47" t="s">
        <v>10484</v>
      </c>
      <c r="D5213" s="47" t="s">
        <v>10485</v>
      </c>
      <c r="E5213" s="47" t="s">
        <v>1790</v>
      </c>
      <c r="F5213" s="55" t="b">
        <v>1</v>
      </c>
      <c r="G5213" s="54" t="b">
        <v>1</v>
      </c>
      <c r="H5213" s="54" t="b">
        <v>1</v>
      </c>
      <c r="I5213" s="54" t="b">
        <v>1</v>
      </c>
      <c r="J5213" s="54" t="b">
        <v>1</v>
      </c>
      <c r="K5213" s="63" t="s">
        <v>1019</v>
      </c>
      <c r="L5213" s="63" t="s">
        <v>10484</v>
      </c>
      <c r="M5213" s="63" t="s">
        <v>10485</v>
      </c>
      <c r="N5213" s="63" t="s">
        <v>1790</v>
      </c>
    </row>
    <row r="5214" spans="1:14" x14ac:dyDescent="0.2">
      <c r="A5214" s="51">
        <v>5213</v>
      </c>
      <c r="B5214" s="54" t="s">
        <v>1019</v>
      </c>
      <c r="C5214" s="47" t="s">
        <v>10486</v>
      </c>
      <c r="D5214" s="47" t="s">
        <v>10487</v>
      </c>
      <c r="E5214" s="47" t="s">
        <v>1790</v>
      </c>
      <c r="F5214" s="55" t="b">
        <v>1</v>
      </c>
      <c r="G5214" s="54" t="b">
        <v>1</v>
      </c>
      <c r="H5214" s="54" t="b">
        <v>1</v>
      </c>
      <c r="I5214" s="54" t="b">
        <v>1</v>
      </c>
      <c r="J5214" s="54" t="b">
        <v>1</v>
      </c>
      <c r="K5214" s="63" t="s">
        <v>1019</v>
      </c>
      <c r="L5214" s="63" t="s">
        <v>10486</v>
      </c>
      <c r="M5214" s="63" t="s">
        <v>10487</v>
      </c>
      <c r="N5214" s="63" t="s">
        <v>1790</v>
      </c>
    </row>
    <row r="5215" spans="1:14" x14ac:dyDescent="0.2">
      <c r="A5215" s="51">
        <v>5214</v>
      </c>
      <c r="G5215" s="65" t="b">
        <v>0</v>
      </c>
      <c r="H5215" s="65" t="b">
        <v>0</v>
      </c>
      <c r="I5215" s="65" t="b">
        <v>0</v>
      </c>
      <c r="J5215" s="65" t="b">
        <v>0</v>
      </c>
      <c r="K5215" s="63" t="s">
        <v>1019</v>
      </c>
      <c r="L5215" s="63" t="s">
        <v>10486</v>
      </c>
      <c r="M5215" s="63" t="s">
        <v>10488</v>
      </c>
      <c r="N5215" s="63" t="s">
        <v>1790</v>
      </c>
    </row>
    <row r="5216" spans="1:14" x14ac:dyDescent="0.2">
      <c r="A5216" s="51">
        <v>5215</v>
      </c>
      <c r="B5216" s="54" t="s">
        <v>1019</v>
      </c>
      <c r="C5216" s="47" t="s">
        <v>10489</v>
      </c>
      <c r="D5216" s="47" t="s">
        <v>10490</v>
      </c>
      <c r="E5216" s="47" t="s">
        <v>1790</v>
      </c>
      <c r="F5216" s="55" t="b">
        <v>1</v>
      </c>
      <c r="G5216" s="54" t="b">
        <v>1</v>
      </c>
      <c r="H5216" s="54" t="b">
        <v>1</v>
      </c>
      <c r="I5216" s="54" t="b">
        <v>1</v>
      </c>
      <c r="J5216" s="54" t="b">
        <v>1</v>
      </c>
      <c r="K5216" s="63" t="s">
        <v>1019</v>
      </c>
      <c r="L5216" s="63" t="s">
        <v>10489</v>
      </c>
      <c r="M5216" s="63" t="s">
        <v>10490</v>
      </c>
      <c r="N5216" s="63" t="s">
        <v>1790</v>
      </c>
    </row>
    <row r="5217" spans="1:14" x14ac:dyDescent="0.2">
      <c r="A5217" s="51">
        <v>5216</v>
      </c>
      <c r="G5217" s="65" t="b">
        <v>0</v>
      </c>
      <c r="H5217" s="65" t="b">
        <v>0</v>
      </c>
      <c r="I5217" s="65" t="b">
        <v>0</v>
      </c>
      <c r="J5217" s="65" t="b">
        <v>0</v>
      </c>
      <c r="K5217" s="63" t="s">
        <v>1019</v>
      </c>
      <c r="L5217" s="63" t="s">
        <v>10489</v>
      </c>
      <c r="M5217" s="63" t="s">
        <v>10491</v>
      </c>
      <c r="N5217" s="63" t="s">
        <v>1790</v>
      </c>
    </row>
    <row r="5218" spans="1:14" x14ac:dyDescent="0.2">
      <c r="A5218" s="51">
        <v>5217</v>
      </c>
      <c r="B5218" s="54" t="s">
        <v>1019</v>
      </c>
      <c r="C5218" s="47" t="s">
        <v>10492</v>
      </c>
      <c r="D5218" s="47" t="s">
        <v>10493</v>
      </c>
      <c r="E5218" s="47" t="s">
        <v>1790</v>
      </c>
      <c r="F5218" s="55" t="b">
        <v>1</v>
      </c>
      <c r="G5218" s="54" t="b">
        <v>1</v>
      </c>
      <c r="H5218" s="54" t="b">
        <v>1</v>
      </c>
      <c r="I5218" s="54" t="b">
        <v>1</v>
      </c>
      <c r="J5218" s="54" t="b">
        <v>1</v>
      </c>
      <c r="K5218" s="63" t="s">
        <v>1019</v>
      </c>
      <c r="L5218" s="63" t="s">
        <v>10492</v>
      </c>
      <c r="M5218" s="63" t="s">
        <v>10493</v>
      </c>
      <c r="N5218" s="63" t="s">
        <v>1790</v>
      </c>
    </row>
    <row r="5219" spans="1:14" x14ac:dyDescent="0.2">
      <c r="A5219" s="51">
        <v>5218</v>
      </c>
      <c r="G5219" s="65" t="b">
        <v>0</v>
      </c>
      <c r="H5219" s="65" t="b">
        <v>0</v>
      </c>
      <c r="I5219" s="65" t="b">
        <v>0</v>
      </c>
      <c r="J5219" s="65" t="b">
        <v>0</v>
      </c>
      <c r="K5219" s="63" t="s">
        <v>1019</v>
      </c>
      <c r="L5219" s="63" t="s">
        <v>10492</v>
      </c>
      <c r="M5219" s="63" t="s">
        <v>10494</v>
      </c>
      <c r="N5219" s="63" t="s">
        <v>1790</v>
      </c>
    </row>
    <row r="5220" spans="1:14" x14ac:dyDescent="0.2">
      <c r="A5220" s="51">
        <v>5219</v>
      </c>
      <c r="B5220" s="54" t="s">
        <v>1019</v>
      </c>
      <c r="C5220" s="47" t="s">
        <v>10495</v>
      </c>
      <c r="D5220" s="47" t="s">
        <v>10496</v>
      </c>
      <c r="E5220" s="47" t="s">
        <v>1790</v>
      </c>
      <c r="F5220" s="55" t="b">
        <v>1</v>
      </c>
      <c r="G5220" s="54" t="b">
        <v>1</v>
      </c>
      <c r="H5220" s="54" t="b">
        <v>1</v>
      </c>
      <c r="I5220" s="54" t="b">
        <v>1</v>
      </c>
      <c r="J5220" s="54" t="b">
        <v>1</v>
      </c>
      <c r="K5220" s="63" t="s">
        <v>1019</v>
      </c>
      <c r="L5220" s="63" t="s">
        <v>10495</v>
      </c>
      <c r="M5220" s="63" t="s">
        <v>10496</v>
      </c>
      <c r="N5220" s="63" t="s">
        <v>1790</v>
      </c>
    </row>
    <row r="5221" spans="1:14" x14ac:dyDescent="0.2">
      <c r="A5221" s="51">
        <v>5220</v>
      </c>
      <c r="G5221" s="65" t="b">
        <v>0</v>
      </c>
      <c r="H5221" s="65" t="b">
        <v>0</v>
      </c>
      <c r="I5221" s="65" t="b">
        <v>0</v>
      </c>
      <c r="J5221" s="65" t="b">
        <v>0</v>
      </c>
      <c r="K5221" s="63" t="s">
        <v>1019</v>
      </c>
      <c r="L5221" s="63" t="s">
        <v>10495</v>
      </c>
      <c r="M5221" s="63" t="s">
        <v>10501</v>
      </c>
      <c r="N5221" s="63" t="s">
        <v>1790</v>
      </c>
    </row>
    <row r="5222" spans="1:14" x14ac:dyDescent="0.2">
      <c r="A5222" s="51">
        <v>5221</v>
      </c>
      <c r="B5222" s="54" t="s">
        <v>1019</v>
      </c>
      <c r="C5222" s="47" t="s">
        <v>10497</v>
      </c>
      <c r="D5222" s="47" t="s">
        <v>10498</v>
      </c>
      <c r="E5222" s="47" t="s">
        <v>1790</v>
      </c>
      <c r="F5222" s="55" t="b">
        <v>1</v>
      </c>
      <c r="G5222" s="54" t="b">
        <v>1</v>
      </c>
      <c r="H5222" s="54" t="b">
        <v>1</v>
      </c>
      <c r="I5222" s="54" t="b">
        <v>1</v>
      </c>
      <c r="J5222" s="54" t="b">
        <v>1</v>
      </c>
      <c r="K5222" s="63" t="s">
        <v>1019</v>
      </c>
      <c r="L5222" s="63" t="s">
        <v>10497</v>
      </c>
      <c r="M5222" s="63" t="s">
        <v>10498</v>
      </c>
      <c r="N5222" s="63" t="s">
        <v>1790</v>
      </c>
    </row>
    <row r="5223" spans="1:14" x14ac:dyDescent="0.2">
      <c r="A5223" s="51">
        <v>5222</v>
      </c>
      <c r="B5223" s="54" t="s">
        <v>1019</v>
      </c>
      <c r="C5223" s="47" t="s">
        <v>10499</v>
      </c>
      <c r="D5223" s="47" t="s">
        <v>10500</v>
      </c>
      <c r="E5223" s="47" t="s">
        <v>1790</v>
      </c>
      <c r="F5223" s="55" t="b">
        <v>1</v>
      </c>
      <c r="G5223" s="54" t="b">
        <v>1</v>
      </c>
      <c r="H5223" s="54" t="b">
        <v>1</v>
      </c>
      <c r="I5223" s="54" t="b">
        <v>1</v>
      </c>
      <c r="J5223" s="54" t="b">
        <v>1</v>
      </c>
      <c r="K5223" s="63" t="s">
        <v>1019</v>
      </c>
      <c r="L5223" s="63" t="s">
        <v>10499</v>
      </c>
      <c r="M5223" s="63" t="s">
        <v>10500</v>
      </c>
      <c r="N5223" s="63" t="s">
        <v>1790</v>
      </c>
    </row>
    <row r="5224" spans="1:14" x14ac:dyDescent="0.2">
      <c r="A5224" s="51">
        <v>5223</v>
      </c>
      <c r="B5224" s="54" t="s">
        <v>1019</v>
      </c>
      <c r="C5224" s="47" t="s">
        <v>10502</v>
      </c>
      <c r="D5224" s="47" t="s">
        <v>10504</v>
      </c>
      <c r="E5224" s="47" t="s">
        <v>1790</v>
      </c>
      <c r="F5224" s="55" t="b">
        <v>1</v>
      </c>
      <c r="G5224" s="54" t="b">
        <v>1</v>
      </c>
      <c r="H5224" s="54" t="b">
        <v>1</v>
      </c>
      <c r="I5224" s="65" t="b">
        <v>0</v>
      </c>
      <c r="J5224" s="54" t="b">
        <v>1</v>
      </c>
      <c r="K5224" s="63" t="s">
        <v>1019</v>
      </c>
      <c r="L5224" s="63" t="s">
        <v>10502</v>
      </c>
      <c r="M5224" s="63" t="s">
        <v>10503</v>
      </c>
      <c r="N5224" s="63" t="s">
        <v>1790</v>
      </c>
    </row>
    <row r="5225" spans="1:14" x14ac:dyDescent="0.2">
      <c r="A5225" s="51">
        <v>5224</v>
      </c>
      <c r="G5225" s="65" t="b">
        <v>0</v>
      </c>
      <c r="H5225" s="65" t="b">
        <v>0</v>
      </c>
      <c r="I5225" s="65" t="b">
        <v>0</v>
      </c>
      <c r="J5225" s="65" t="b">
        <v>0</v>
      </c>
      <c r="K5225" s="63" t="s">
        <v>1019</v>
      </c>
      <c r="L5225" s="63" t="s">
        <v>10502</v>
      </c>
      <c r="M5225" s="63" t="s">
        <v>10504</v>
      </c>
      <c r="N5225" s="63" t="s">
        <v>1790</v>
      </c>
    </row>
    <row r="5226" spans="1:14" x14ac:dyDescent="0.2">
      <c r="A5226" s="51">
        <v>5225</v>
      </c>
      <c r="B5226" s="54" t="s">
        <v>1019</v>
      </c>
      <c r="C5226" s="47" t="s">
        <v>10505</v>
      </c>
      <c r="D5226" s="47" t="s">
        <v>13753</v>
      </c>
      <c r="E5226" s="47" t="s">
        <v>1790</v>
      </c>
      <c r="F5226" s="55" t="b">
        <v>1</v>
      </c>
      <c r="G5226" s="54" t="b">
        <v>1</v>
      </c>
      <c r="H5226" s="54" t="b">
        <v>1</v>
      </c>
      <c r="I5226" s="65" t="b">
        <v>0</v>
      </c>
      <c r="J5226" s="54" t="b">
        <v>1</v>
      </c>
      <c r="K5226" s="63" t="s">
        <v>1019</v>
      </c>
      <c r="L5226" s="63" t="s">
        <v>10505</v>
      </c>
      <c r="M5226" s="63" t="s">
        <v>10506</v>
      </c>
      <c r="N5226" s="63" t="s">
        <v>1790</v>
      </c>
    </row>
    <row r="5227" spans="1:14" x14ac:dyDescent="0.2">
      <c r="A5227" s="51">
        <v>5226</v>
      </c>
      <c r="G5227" s="65" t="b">
        <v>0</v>
      </c>
      <c r="H5227" s="65" t="b">
        <v>0</v>
      </c>
      <c r="I5227" s="65" t="b">
        <v>0</v>
      </c>
      <c r="J5227" s="65" t="b">
        <v>0</v>
      </c>
      <c r="K5227" s="63" t="s">
        <v>1019</v>
      </c>
      <c r="L5227" s="63" t="s">
        <v>10505</v>
      </c>
      <c r="M5227" s="63" t="s">
        <v>10507</v>
      </c>
      <c r="N5227" s="63" t="s">
        <v>1790</v>
      </c>
    </row>
    <row r="5228" spans="1:14" x14ac:dyDescent="0.2">
      <c r="A5228" s="51">
        <v>5227</v>
      </c>
      <c r="B5228" s="54" t="s">
        <v>1019</v>
      </c>
      <c r="C5228" s="47" t="s">
        <v>10511</v>
      </c>
      <c r="D5228" s="47" t="s">
        <v>10512</v>
      </c>
      <c r="E5228" s="47" t="s">
        <v>1790</v>
      </c>
      <c r="F5228" s="55" t="b">
        <v>1</v>
      </c>
      <c r="G5228" s="54" t="b">
        <v>1</v>
      </c>
      <c r="H5228" s="54" t="b">
        <v>1</v>
      </c>
      <c r="I5228" s="54" t="b">
        <v>1</v>
      </c>
      <c r="J5228" s="54" t="b">
        <v>1</v>
      </c>
      <c r="K5228" s="63" t="s">
        <v>1019</v>
      </c>
      <c r="L5228" s="63" t="s">
        <v>10511</v>
      </c>
      <c r="M5228" s="63" t="s">
        <v>10512</v>
      </c>
      <c r="N5228" s="63" t="s">
        <v>1790</v>
      </c>
    </row>
    <row r="5229" spans="1:14" x14ac:dyDescent="0.2">
      <c r="A5229" s="51">
        <v>5228</v>
      </c>
      <c r="B5229" s="54" t="s">
        <v>1019</v>
      </c>
      <c r="C5229" s="47" t="s">
        <v>10508</v>
      </c>
      <c r="D5229" s="47" t="s">
        <v>10509</v>
      </c>
      <c r="E5229" s="47" t="s">
        <v>1790</v>
      </c>
      <c r="F5229" s="55" t="b">
        <v>1</v>
      </c>
      <c r="G5229" s="54" t="b">
        <v>1</v>
      </c>
      <c r="H5229" s="54" t="b">
        <v>1</v>
      </c>
      <c r="I5229" s="54" t="b">
        <v>1</v>
      </c>
      <c r="J5229" s="54" t="b">
        <v>1</v>
      </c>
      <c r="K5229" s="63" t="s">
        <v>1019</v>
      </c>
      <c r="L5229" s="63" t="s">
        <v>10508</v>
      </c>
      <c r="M5229" s="63" t="s">
        <v>10509</v>
      </c>
      <c r="N5229" s="63" t="s">
        <v>1790</v>
      </c>
    </row>
    <row r="5230" spans="1:14" x14ac:dyDescent="0.2">
      <c r="A5230" s="51">
        <v>5229</v>
      </c>
      <c r="G5230" s="65" t="b">
        <v>0</v>
      </c>
      <c r="H5230" s="65" t="b">
        <v>0</v>
      </c>
      <c r="I5230" s="65" t="b">
        <v>0</v>
      </c>
      <c r="J5230" s="65" t="b">
        <v>0</v>
      </c>
      <c r="K5230" s="63" t="s">
        <v>1019</v>
      </c>
      <c r="L5230" s="63" t="s">
        <v>10508</v>
      </c>
      <c r="M5230" s="63" t="s">
        <v>10510</v>
      </c>
      <c r="N5230" s="63" t="s">
        <v>1790</v>
      </c>
    </row>
    <row r="5231" spans="1:14" x14ac:dyDescent="0.2">
      <c r="A5231" s="51">
        <v>5230</v>
      </c>
      <c r="B5231" s="54" t="s">
        <v>1019</v>
      </c>
      <c r="C5231" s="47" t="s">
        <v>10513</v>
      </c>
      <c r="D5231" s="47" t="s">
        <v>13754</v>
      </c>
      <c r="E5231" s="47" t="s">
        <v>1790</v>
      </c>
      <c r="F5231" s="55" t="b">
        <v>1</v>
      </c>
      <c r="G5231" s="54" t="b">
        <v>1</v>
      </c>
      <c r="H5231" s="54" t="b">
        <v>1</v>
      </c>
      <c r="I5231" s="65" t="b">
        <v>0</v>
      </c>
      <c r="J5231" s="54" t="b">
        <v>1</v>
      </c>
      <c r="K5231" s="63" t="s">
        <v>1019</v>
      </c>
      <c r="L5231" s="63" t="s">
        <v>10513</v>
      </c>
      <c r="M5231" s="63" t="s">
        <v>10514</v>
      </c>
      <c r="N5231" s="63" t="s">
        <v>1790</v>
      </c>
    </row>
    <row r="5232" spans="1:14" x14ac:dyDescent="0.2">
      <c r="A5232" s="51">
        <v>5231</v>
      </c>
      <c r="G5232" s="65" t="b">
        <v>0</v>
      </c>
      <c r="H5232" s="65" t="b">
        <v>0</v>
      </c>
      <c r="I5232" s="65" t="b">
        <v>0</v>
      </c>
      <c r="J5232" s="65" t="b">
        <v>0</v>
      </c>
      <c r="K5232" s="63" t="s">
        <v>1019</v>
      </c>
      <c r="L5232" s="63" t="s">
        <v>10513</v>
      </c>
      <c r="M5232" s="63" t="s">
        <v>10515</v>
      </c>
      <c r="N5232" s="63" t="s">
        <v>1790</v>
      </c>
    </row>
    <row r="5233" spans="1:14" x14ac:dyDescent="0.2">
      <c r="A5233" s="51">
        <v>5232</v>
      </c>
      <c r="B5233" s="54" t="s">
        <v>1019</v>
      </c>
      <c r="C5233" s="47" t="s">
        <v>10516</v>
      </c>
      <c r="D5233" s="47" t="s">
        <v>10518</v>
      </c>
      <c r="E5233" s="47" t="s">
        <v>1790</v>
      </c>
      <c r="F5233" s="55" t="b">
        <v>1</v>
      </c>
      <c r="G5233" s="54" t="b">
        <v>1</v>
      </c>
      <c r="H5233" s="54" t="b">
        <v>1</v>
      </c>
      <c r="I5233" s="65" t="b">
        <v>0</v>
      </c>
      <c r="J5233" s="54" t="b">
        <v>1</v>
      </c>
      <c r="K5233" s="63" t="s">
        <v>1019</v>
      </c>
      <c r="L5233" s="63" t="s">
        <v>10516</v>
      </c>
      <c r="M5233" s="63" t="s">
        <v>10517</v>
      </c>
      <c r="N5233" s="63" t="s">
        <v>1790</v>
      </c>
    </row>
    <row r="5234" spans="1:14" x14ac:dyDescent="0.2">
      <c r="A5234" s="51">
        <v>5233</v>
      </c>
      <c r="G5234" s="65" t="b">
        <v>0</v>
      </c>
      <c r="H5234" s="65" t="b">
        <v>0</v>
      </c>
      <c r="I5234" s="65" t="b">
        <v>0</v>
      </c>
      <c r="J5234" s="65" t="b">
        <v>0</v>
      </c>
      <c r="K5234" s="63" t="s">
        <v>1019</v>
      </c>
      <c r="L5234" s="63" t="s">
        <v>10516</v>
      </c>
      <c r="M5234" s="63" t="s">
        <v>10518</v>
      </c>
      <c r="N5234" s="63" t="s">
        <v>1790</v>
      </c>
    </row>
    <row r="5235" spans="1:14" x14ac:dyDescent="0.2">
      <c r="A5235" s="51">
        <v>5234</v>
      </c>
      <c r="B5235" s="54" t="s">
        <v>1021</v>
      </c>
      <c r="C5235" s="47" t="s">
        <v>10519</v>
      </c>
      <c r="D5235" s="47" t="s">
        <v>13755</v>
      </c>
      <c r="E5235" s="47" t="s">
        <v>2087</v>
      </c>
      <c r="F5235" s="55" t="b">
        <v>1</v>
      </c>
      <c r="G5235" s="54" t="b">
        <v>1</v>
      </c>
      <c r="H5235" s="54" t="b">
        <v>1</v>
      </c>
      <c r="I5235" s="65" t="b">
        <v>0</v>
      </c>
      <c r="J5235" s="54" t="b">
        <v>1</v>
      </c>
      <c r="K5235" s="63" t="s">
        <v>1021</v>
      </c>
      <c r="L5235" s="63" t="s">
        <v>10519</v>
      </c>
      <c r="M5235" s="63" t="s">
        <v>2875</v>
      </c>
      <c r="N5235" s="63" t="s">
        <v>2087</v>
      </c>
    </row>
    <row r="5236" spans="1:14" x14ac:dyDescent="0.2">
      <c r="A5236" s="51">
        <v>5235</v>
      </c>
      <c r="B5236" s="54" t="s">
        <v>1021</v>
      </c>
      <c r="C5236" s="47" t="s">
        <v>10520</v>
      </c>
      <c r="D5236" s="47" t="s">
        <v>10521</v>
      </c>
      <c r="E5236" s="47" t="s">
        <v>2087</v>
      </c>
      <c r="F5236" s="55" t="b">
        <v>1</v>
      </c>
      <c r="G5236" s="54" t="b">
        <v>1</v>
      </c>
      <c r="H5236" s="54" t="b">
        <v>1</v>
      </c>
      <c r="I5236" s="54" t="b">
        <v>1</v>
      </c>
      <c r="J5236" s="54" t="b">
        <v>1</v>
      </c>
      <c r="K5236" s="63" t="s">
        <v>1021</v>
      </c>
      <c r="L5236" s="63" t="s">
        <v>10520</v>
      </c>
      <c r="M5236" s="63" t="s">
        <v>10521</v>
      </c>
      <c r="N5236" s="63" t="s">
        <v>2087</v>
      </c>
    </row>
    <row r="5237" spans="1:14" x14ac:dyDescent="0.2">
      <c r="A5237" s="51">
        <v>5236</v>
      </c>
      <c r="B5237" s="54" t="s">
        <v>1021</v>
      </c>
      <c r="C5237" s="47" t="s">
        <v>10522</v>
      </c>
      <c r="D5237" s="47" t="s">
        <v>13756</v>
      </c>
      <c r="E5237" s="47" t="s">
        <v>2087</v>
      </c>
      <c r="F5237" s="55" t="b">
        <v>1</v>
      </c>
      <c r="G5237" s="54" t="b">
        <v>1</v>
      </c>
      <c r="H5237" s="54" t="b">
        <v>1</v>
      </c>
      <c r="I5237" s="65" t="b">
        <v>0</v>
      </c>
      <c r="J5237" s="54" t="b">
        <v>1</v>
      </c>
      <c r="K5237" s="63" t="s">
        <v>1021</v>
      </c>
      <c r="L5237" s="63" t="s">
        <v>10522</v>
      </c>
      <c r="M5237" s="63" t="s">
        <v>10523</v>
      </c>
      <c r="N5237" s="63" t="s">
        <v>2087</v>
      </c>
    </row>
    <row r="5238" spans="1:14" x14ac:dyDescent="0.2">
      <c r="A5238" s="51">
        <v>5237</v>
      </c>
      <c r="B5238" s="54" t="s">
        <v>1021</v>
      </c>
      <c r="C5238" s="47" t="s">
        <v>10524</v>
      </c>
      <c r="D5238" s="47" t="s">
        <v>3472</v>
      </c>
      <c r="E5238" s="47" t="s">
        <v>2087</v>
      </c>
      <c r="F5238" s="55" t="b">
        <v>1</v>
      </c>
      <c r="G5238" s="54" t="b">
        <v>1</v>
      </c>
      <c r="H5238" s="54" t="b">
        <v>1</v>
      </c>
      <c r="I5238" s="54" t="b">
        <v>1</v>
      </c>
      <c r="J5238" s="54" t="b">
        <v>1</v>
      </c>
      <c r="K5238" s="63" t="s">
        <v>1021</v>
      </c>
      <c r="L5238" s="63" t="s">
        <v>10524</v>
      </c>
      <c r="M5238" s="63" t="s">
        <v>3472</v>
      </c>
      <c r="N5238" s="63" t="s">
        <v>2087</v>
      </c>
    </row>
    <row r="5239" spans="1:14" x14ac:dyDescent="0.2">
      <c r="A5239" s="51">
        <v>5238</v>
      </c>
      <c r="B5239" s="54" t="s">
        <v>1021</v>
      </c>
      <c r="C5239" s="47" t="s">
        <v>10525</v>
      </c>
      <c r="D5239" s="47" t="s">
        <v>12220</v>
      </c>
      <c r="E5239" s="47" t="s">
        <v>2087</v>
      </c>
      <c r="F5239" s="55" t="b">
        <v>1</v>
      </c>
      <c r="G5239" s="54" t="b">
        <v>1</v>
      </c>
      <c r="H5239" s="54" t="b">
        <v>1</v>
      </c>
      <c r="I5239" s="65" t="b">
        <v>0</v>
      </c>
      <c r="J5239" s="54" t="b">
        <v>1</v>
      </c>
      <c r="K5239" s="63" t="s">
        <v>1021</v>
      </c>
      <c r="L5239" s="63" t="s">
        <v>10525</v>
      </c>
      <c r="M5239" s="63" t="s">
        <v>10526</v>
      </c>
      <c r="N5239" s="63" t="s">
        <v>2087</v>
      </c>
    </row>
    <row r="5240" spans="1:14" x14ac:dyDescent="0.2">
      <c r="A5240" s="51">
        <v>5239</v>
      </c>
      <c r="B5240" s="54" t="s">
        <v>1025</v>
      </c>
      <c r="C5240" s="47" t="s">
        <v>10527</v>
      </c>
      <c r="D5240" s="47" t="s">
        <v>13757</v>
      </c>
      <c r="E5240" s="47" t="s">
        <v>2383</v>
      </c>
      <c r="F5240" s="55" t="b">
        <v>1</v>
      </c>
      <c r="G5240" s="54" t="b">
        <v>1</v>
      </c>
      <c r="H5240" s="54" t="b">
        <v>1</v>
      </c>
      <c r="I5240" s="65" t="b">
        <v>0</v>
      </c>
      <c r="J5240" s="54" t="b">
        <v>1</v>
      </c>
      <c r="K5240" s="63" t="s">
        <v>1025</v>
      </c>
      <c r="L5240" s="63" t="s">
        <v>10527</v>
      </c>
      <c r="M5240" s="63" t="s">
        <v>10528</v>
      </c>
      <c r="N5240" s="63" t="s">
        <v>2383</v>
      </c>
    </row>
    <row r="5241" spans="1:14" x14ac:dyDescent="0.2">
      <c r="A5241" s="51">
        <v>5240</v>
      </c>
      <c r="B5241" s="54" t="s">
        <v>1025</v>
      </c>
      <c r="C5241" s="47" t="s">
        <v>10529</v>
      </c>
      <c r="D5241" s="47" t="s">
        <v>13758</v>
      </c>
      <c r="E5241" s="47" t="s">
        <v>2383</v>
      </c>
      <c r="F5241" s="55" t="b">
        <v>1</v>
      </c>
      <c r="G5241" s="54" t="b">
        <v>1</v>
      </c>
      <c r="H5241" s="54" t="b">
        <v>1</v>
      </c>
      <c r="I5241" s="65" t="b">
        <v>0</v>
      </c>
      <c r="J5241" s="54" t="b">
        <v>1</v>
      </c>
      <c r="K5241" s="63" t="s">
        <v>1025</v>
      </c>
      <c r="L5241" s="63" t="s">
        <v>10529</v>
      </c>
      <c r="M5241" s="63" t="s">
        <v>10530</v>
      </c>
      <c r="N5241" s="63" t="s">
        <v>2383</v>
      </c>
    </row>
    <row r="5242" spans="1:14" x14ac:dyDescent="0.2">
      <c r="A5242" s="51">
        <v>5241</v>
      </c>
      <c r="B5242" s="54" t="s">
        <v>1025</v>
      </c>
      <c r="C5242" s="47" t="s">
        <v>10531</v>
      </c>
      <c r="D5242" s="47" t="s">
        <v>13759</v>
      </c>
      <c r="E5242" s="47" t="s">
        <v>2383</v>
      </c>
      <c r="F5242" s="55" t="b">
        <v>1</v>
      </c>
      <c r="G5242" s="54" t="b">
        <v>1</v>
      </c>
      <c r="H5242" s="54" t="b">
        <v>1</v>
      </c>
      <c r="I5242" s="65" t="b">
        <v>0</v>
      </c>
      <c r="J5242" s="54" t="b">
        <v>1</v>
      </c>
      <c r="K5242" s="63" t="s">
        <v>1025</v>
      </c>
      <c r="L5242" s="63" t="s">
        <v>10531</v>
      </c>
      <c r="M5242" s="63" t="s">
        <v>10532</v>
      </c>
      <c r="N5242" s="63" t="s">
        <v>2383</v>
      </c>
    </row>
    <row r="5243" spans="1:14" x14ac:dyDescent="0.2">
      <c r="A5243" s="51">
        <v>5242</v>
      </c>
      <c r="B5243" s="54" t="s">
        <v>1025</v>
      </c>
      <c r="C5243" s="47" t="s">
        <v>10533</v>
      </c>
      <c r="D5243" s="47" t="s">
        <v>10534</v>
      </c>
      <c r="E5243" s="47" t="s">
        <v>2383</v>
      </c>
      <c r="F5243" s="55" t="b">
        <v>1</v>
      </c>
      <c r="G5243" s="54" t="b">
        <v>1</v>
      </c>
      <c r="H5243" s="54" t="b">
        <v>1</v>
      </c>
      <c r="I5243" s="54" t="b">
        <v>1</v>
      </c>
      <c r="J5243" s="54" t="b">
        <v>1</v>
      </c>
      <c r="K5243" s="63" t="s">
        <v>1025</v>
      </c>
      <c r="L5243" s="63" t="s">
        <v>10533</v>
      </c>
      <c r="M5243" s="63" t="s">
        <v>10534</v>
      </c>
      <c r="N5243" s="63" t="s">
        <v>2383</v>
      </c>
    </row>
    <row r="5244" spans="1:14" x14ac:dyDescent="0.2">
      <c r="A5244" s="51">
        <v>5243</v>
      </c>
      <c r="B5244" s="54" t="s">
        <v>1025</v>
      </c>
      <c r="C5244" s="47" t="s">
        <v>10535</v>
      </c>
      <c r="D5244" s="47" t="s">
        <v>13760</v>
      </c>
      <c r="E5244" s="47" t="s">
        <v>2383</v>
      </c>
      <c r="F5244" s="55" t="b">
        <v>1</v>
      </c>
      <c r="G5244" s="54" t="b">
        <v>1</v>
      </c>
      <c r="H5244" s="54" t="b">
        <v>1</v>
      </c>
      <c r="I5244" s="65" t="b">
        <v>0</v>
      </c>
      <c r="J5244" s="54" t="b">
        <v>1</v>
      </c>
      <c r="K5244" s="63" t="s">
        <v>1025</v>
      </c>
      <c r="L5244" s="63" t="s">
        <v>10535</v>
      </c>
      <c r="M5244" s="63" t="s">
        <v>10536</v>
      </c>
      <c r="N5244" s="63" t="s">
        <v>2383</v>
      </c>
    </row>
    <row r="5245" spans="1:14" x14ac:dyDescent="0.2">
      <c r="A5245" s="51">
        <v>5244</v>
      </c>
      <c r="B5245" s="54" t="s">
        <v>1027</v>
      </c>
      <c r="C5245" s="47" t="s">
        <v>10537</v>
      </c>
      <c r="D5245" s="47" t="s">
        <v>10538</v>
      </c>
      <c r="E5245" s="47" t="s">
        <v>2164</v>
      </c>
      <c r="F5245" s="55" t="b">
        <v>1</v>
      </c>
      <c r="G5245" s="54" t="b">
        <v>1</v>
      </c>
      <c r="H5245" s="54" t="b">
        <v>1</v>
      </c>
      <c r="I5245" s="54" t="b">
        <v>1</v>
      </c>
      <c r="J5245" s="54" t="b">
        <v>1</v>
      </c>
      <c r="K5245" s="63" t="s">
        <v>1027</v>
      </c>
      <c r="L5245" s="63" t="s">
        <v>10537</v>
      </c>
      <c r="M5245" s="63" t="s">
        <v>10538</v>
      </c>
      <c r="N5245" s="63" t="s">
        <v>2164</v>
      </c>
    </row>
    <row r="5246" spans="1:14" x14ac:dyDescent="0.2">
      <c r="A5246" s="51">
        <v>5245</v>
      </c>
      <c r="B5246" s="54" t="s">
        <v>1027</v>
      </c>
      <c r="C5246" s="47" t="s">
        <v>10539</v>
      </c>
      <c r="D5246" s="47" t="s">
        <v>10540</v>
      </c>
      <c r="E5246" s="47" t="s">
        <v>2164</v>
      </c>
      <c r="F5246" s="55" t="b">
        <v>1</v>
      </c>
      <c r="G5246" s="54" t="b">
        <v>1</v>
      </c>
      <c r="H5246" s="54" t="b">
        <v>1</v>
      </c>
      <c r="I5246" s="54" t="b">
        <v>1</v>
      </c>
      <c r="J5246" s="54" t="b">
        <v>1</v>
      </c>
      <c r="K5246" s="63" t="s">
        <v>1027</v>
      </c>
      <c r="L5246" s="63" t="s">
        <v>10539</v>
      </c>
      <c r="M5246" s="63" t="s">
        <v>10540</v>
      </c>
      <c r="N5246" s="63" t="s">
        <v>2164</v>
      </c>
    </row>
    <row r="5247" spans="1:14" x14ac:dyDescent="0.2">
      <c r="A5247" s="51">
        <v>5246</v>
      </c>
      <c r="B5247" s="54" t="s">
        <v>1027</v>
      </c>
      <c r="C5247" s="47" t="s">
        <v>10541</v>
      </c>
      <c r="D5247" s="47" t="s">
        <v>13761</v>
      </c>
      <c r="E5247" s="47" t="s">
        <v>2087</v>
      </c>
      <c r="F5247" s="55" t="b">
        <v>1</v>
      </c>
      <c r="G5247" s="54" t="b">
        <v>1</v>
      </c>
      <c r="H5247" s="54" t="b">
        <v>1</v>
      </c>
      <c r="I5247" s="65" t="b">
        <v>0</v>
      </c>
      <c r="J5247" s="54" t="b">
        <v>1</v>
      </c>
      <c r="K5247" s="63" t="s">
        <v>1027</v>
      </c>
      <c r="L5247" s="63" t="s">
        <v>10541</v>
      </c>
      <c r="M5247" s="63" t="s">
        <v>10542</v>
      </c>
      <c r="N5247" s="63" t="s">
        <v>2087</v>
      </c>
    </row>
    <row r="5248" spans="1:14" x14ac:dyDescent="0.2">
      <c r="A5248" s="51">
        <v>5247</v>
      </c>
      <c r="B5248" s="54" t="s">
        <v>1027</v>
      </c>
      <c r="C5248" s="47" t="s">
        <v>10543</v>
      </c>
      <c r="D5248" s="47" t="s">
        <v>10544</v>
      </c>
      <c r="E5248" s="47" t="s">
        <v>2087</v>
      </c>
      <c r="F5248" s="55" t="b">
        <v>1</v>
      </c>
      <c r="G5248" s="54" t="b">
        <v>1</v>
      </c>
      <c r="H5248" s="54" t="b">
        <v>1</v>
      </c>
      <c r="I5248" s="54" t="b">
        <v>1</v>
      </c>
      <c r="J5248" s="54" t="b">
        <v>1</v>
      </c>
      <c r="K5248" s="63" t="s">
        <v>1027</v>
      </c>
      <c r="L5248" s="63" t="s">
        <v>10543</v>
      </c>
      <c r="M5248" s="63" t="s">
        <v>10544</v>
      </c>
      <c r="N5248" s="63" t="s">
        <v>2087</v>
      </c>
    </row>
    <row r="5249" spans="1:14" x14ac:dyDescent="0.2">
      <c r="A5249" s="51">
        <v>5248</v>
      </c>
      <c r="G5249" s="65" t="b">
        <v>0</v>
      </c>
      <c r="H5249" s="65" t="b">
        <v>0</v>
      </c>
      <c r="I5249" s="65" t="b">
        <v>0</v>
      </c>
      <c r="J5249" s="65" t="b">
        <v>0</v>
      </c>
      <c r="K5249" s="63" t="s">
        <v>1027</v>
      </c>
      <c r="L5249" s="63" t="s">
        <v>10545</v>
      </c>
      <c r="M5249" s="63" t="s">
        <v>10546</v>
      </c>
      <c r="N5249" s="63" t="s">
        <v>2087</v>
      </c>
    </row>
    <row r="5250" spans="1:14" x14ac:dyDescent="0.2">
      <c r="A5250" s="51">
        <v>5249</v>
      </c>
      <c r="B5250" s="54" t="s">
        <v>1027</v>
      </c>
      <c r="C5250" s="47" t="s">
        <v>10547</v>
      </c>
      <c r="D5250" s="47" t="s">
        <v>13763</v>
      </c>
      <c r="E5250" s="47" t="s">
        <v>2087</v>
      </c>
      <c r="F5250" s="55" t="b">
        <v>1</v>
      </c>
      <c r="G5250" s="54" t="b">
        <v>1</v>
      </c>
      <c r="H5250" s="54" t="b">
        <v>1</v>
      </c>
      <c r="I5250" s="65" t="b">
        <v>0</v>
      </c>
      <c r="J5250" s="54" t="b">
        <v>1</v>
      </c>
      <c r="K5250" s="63" t="s">
        <v>1027</v>
      </c>
      <c r="L5250" s="63" t="s">
        <v>10547</v>
      </c>
      <c r="M5250" s="63" t="s">
        <v>10548</v>
      </c>
      <c r="N5250" s="63" t="s">
        <v>2087</v>
      </c>
    </row>
    <row r="5251" spans="1:14" x14ac:dyDescent="0.2">
      <c r="A5251" s="51">
        <v>5250</v>
      </c>
      <c r="B5251" s="54" t="s">
        <v>1027</v>
      </c>
      <c r="C5251" s="47" t="s">
        <v>10551</v>
      </c>
      <c r="D5251" s="47" t="s">
        <v>10552</v>
      </c>
      <c r="E5251" s="47" t="s">
        <v>2164</v>
      </c>
      <c r="F5251" s="55" t="b">
        <v>1</v>
      </c>
      <c r="G5251" s="54" t="b">
        <v>1</v>
      </c>
      <c r="H5251" s="54" t="b">
        <v>1</v>
      </c>
      <c r="I5251" s="54" t="b">
        <v>1</v>
      </c>
      <c r="J5251" s="54" t="b">
        <v>1</v>
      </c>
      <c r="K5251" s="63" t="s">
        <v>1027</v>
      </c>
      <c r="L5251" s="63" t="s">
        <v>10551</v>
      </c>
      <c r="M5251" s="63" t="s">
        <v>10552</v>
      </c>
      <c r="N5251" s="63" t="s">
        <v>2164</v>
      </c>
    </row>
    <row r="5252" spans="1:14" x14ac:dyDescent="0.2">
      <c r="A5252" s="51">
        <v>5251</v>
      </c>
      <c r="B5252" s="54" t="s">
        <v>1027</v>
      </c>
      <c r="C5252" s="47" t="s">
        <v>10553</v>
      </c>
      <c r="D5252" s="47" t="s">
        <v>10554</v>
      </c>
      <c r="E5252" s="47" t="s">
        <v>2087</v>
      </c>
      <c r="F5252" s="55" t="b">
        <v>1</v>
      </c>
      <c r="G5252" s="54" t="b">
        <v>1</v>
      </c>
      <c r="H5252" s="54" t="b">
        <v>1</v>
      </c>
      <c r="I5252" s="54" t="b">
        <v>1</v>
      </c>
      <c r="J5252" s="54" t="b">
        <v>1</v>
      </c>
      <c r="K5252" s="63" t="s">
        <v>1027</v>
      </c>
      <c r="L5252" s="63" t="s">
        <v>10553</v>
      </c>
      <c r="M5252" s="63" t="s">
        <v>10554</v>
      </c>
      <c r="N5252" s="63" t="s">
        <v>2087</v>
      </c>
    </row>
    <row r="5253" spans="1:14" x14ac:dyDescent="0.2">
      <c r="A5253" s="51">
        <v>5252</v>
      </c>
      <c r="B5253" s="54" t="s">
        <v>1027</v>
      </c>
      <c r="C5253" s="47" t="s">
        <v>10549</v>
      </c>
      <c r="D5253" s="47" t="s">
        <v>10550</v>
      </c>
      <c r="E5253" s="47" t="s">
        <v>2164</v>
      </c>
      <c r="F5253" s="55" t="b">
        <v>1</v>
      </c>
      <c r="G5253" s="54" t="b">
        <v>1</v>
      </c>
      <c r="H5253" s="54" t="b">
        <v>1</v>
      </c>
      <c r="I5253" s="54" t="b">
        <v>1</v>
      </c>
      <c r="J5253" s="54" t="b">
        <v>1</v>
      </c>
      <c r="K5253" s="63" t="s">
        <v>1027</v>
      </c>
      <c r="L5253" s="63" t="s">
        <v>10549</v>
      </c>
      <c r="M5253" s="63" t="s">
        <v>10550</v>
      </c>
      <c r="N5253" s="63" t="s">
        <v>2164</v>
      </c>
    </row>
    <row r="5254" spans="1:14" x14ac:dyDescent="0.2">
      <c r="A5254" s="51">
        <v>5253</v>
      </c>
      <c r="B5254" s="54" t="s">
        <v>1027</v>
      </c>
      <c r="C5254" s="47" t="s">
        <v>10555</v>
      </c>
      <c r="D5254" s="47" t="s">
        <v>13762</v>
      </c>
      <c r="E5254" s="47" t="s">
        <v>2087</v>
      </c>
      <c r="F5254" s="55" t="b">
        <v>1</v>
      </c>
      <c r="G5254" s="54" t="b">
        <v>1</v>
      </c>
      <c r="H5254" s="54" t="b">
        <v>1</v>
      </c>
      <c r="I5254" s="65" t="b">
        <v>0</v>
      </c>
      <c r="J5254" s="54" t="b">
        <v>1</v>
      </c>
      <c r="K5254" s="63" t="s">
        <v>1027</v>
      </c>
      <c r="L5254" s="63" t="s">
        <v>10555</v>
      </c>
      <c r="M5254" s="63" t="s">
        <v>10556</v>
      </c>
      <c r="N5254" s="63" t="s">
        <v>2087</v>
      </c>
    </row>
    <row r="5255" spans="1:14" x14ac:dyDescent="0.2">
      <c r="A5255" s="51">
        <v>5254</v>
      </c>
      <c r="B5255" s="54" t="s">
        <v>1027</v>
      </c>
      <c r="C5255" s="47" t="s">
        <v>10557</v>
      </c>
      <c r="D5255" s="47" t="s">
        <v>10558</v>
      </c>
      <c r="E5255" s="47" t="s">
        <v>2164</v>
      </c>
      <c r="F5255" s="55" t="b">
        <v>1</v>
      </c>
      <c r="G5255" s="54" t="b">
        <v>1</v>
      </c>
      <c r="H5255" s="54" t="b">
        <v>1</v>
      </c>
      <c r="I5255" s="54" t="b">
        <v>1</v>
      </c>
      <c r="J5255" s="54" t="b">
        <v>1</v>
      </c>
      <c r="K5255" s="63" t="s">
        <v>1027</v>
      </c>
      <c r="L5255" s="63" t="s">
        <v>10557</v>
      </c>
      <c r="M5255" s="63" t="s">
        <v>10558</v>
      </c>
      <c r="N5255" s="63" t="s">
        <v>2164</v>
      </c>
    </row>
    <row r="5256" spans="1:14" x14ac:dyDescent="0.2">
      <c r="A5256" s="51">
        <v>5255</v>
      </c>
      <c r="B5256" s="54" t="s">
        <v>1027</v>
      </c>
      <c r="C5256" s="47" t="s">
        <v>10561</v>
      </c>
      <c r="D5256" s="47" t="s">
        <v>10562</v>
      </c>
      <c r="E5256" s="47" t="s">
        <v>2087</v>
      </c>
      <c r="F5256" s="55" t="b">
        <v>1</v>
      </c>
      <c r="G5256" s="54" t="b">
        <v>1</v>
      </c>
      <c r="H5256" s="54" t="b">
        <v>1</v>
      </c>
      <c r="I5256" s="54" t="b">
        <v>1</v>
      </c>
      <c r="J5256" s="54" t="b">
        <v>1</v>
      </c>
      <c r="K5256" s="63" t="s">
        <v>1027</v>
      </c>
      <c r="L5256" s="63" t="s">
        <v>10561</v>
      </c>
      <c r="M5256" s="63" t="s">
        <v>10562</v>
      </c>
      <c r="N5256" s="63" t="s">
        <v>2087</v>
      </c>
    </row>
    <row r="5257" spans="1:14" x14ac:dyDescent="0.2">
      <c r="A5257" s="51">
        <v>5256</v>
      </c>
      <c r="B5257" s="54" t="s">
        <v>1027</v>
      </c>
      <c r="C5257" s="47" t="s">
        <v>10563</v>
      </c>
      <c r="D5257" s="47" t="s">
        <v>10564</v>
      </c>
      <c r="E5257" s="47" t="s">
        <v>2087</v>
      </c>
      <c r="F5257" s="55" t="b">
        <v>1</v>
      </c>
      <c r="G5257" s="54" t="b">
        <v>1</v>
      </c>
      <c r="H5257" s="54" t="b">
        <v>1</v>
      </c>
      <c r="I5257" s="54" t="b">
        <v>1</v>
      </c>
      <c r="J5257" s="54" t="b">
        <v>1</v>
      </c>
      <c r="K5257" s="63" t="s">
        <v>1027</v>
      </c>
      <c r="L5257" s="63" t="s">
        <v>10563</v>
      </c>
      <c r="M5257" s="63" t="s">
        <v>10564</v>
      </c>
      <c r="N5257" s="63" t="s">
        <v>2087</v>
      </c>
    </row>
    <row r="5258" spans="1:14" x14ac:dyDescent="0.2">
      <c r="A5258" s="51">
        <v>5257</v>
      </c>
      <c r="B5258" s="54" t="s">
        <v>1027</v>
      </c>
      <c r="C5258" s="47" t="s">
        <v>10559</v>
      </c>
      <c r="D5258" s="47" t="s">
        <v>13764</v>
      </c>
      <c r="E5258" s="47" t="s">
        <v>2087</v>
      </c>
      <c r="F5258" s="55" t="b">
        <v>1</v>
      </c>
      <c r="G5258" s="54" t="b">
        <v>1</v>
      </c>
      <c r="H5258" s="54" t="b">
        <v>1</v>
      </c>
      <c r="I5258" s="65" t="b">
        <v>0</v>
      </c>
      <c r="J5258" s="54" t="b">
        <v>1</v>
      </c>
      <c r="K5258" s="63" t="s">
        <v>1027</v>
      </c>
      <c r="L5258" s="63" t="s">
        <v>10559</v>
      </c>
      <c r="M5258" s="63" t="s">
        <v>10560</v>
      </c>
      <c r="N5258" s="63" t="s">
        <v>2087</v>
      </c>
    </row>
    <row r="5259" spans="1:14" x14ac:dyDescent="0.2">
      <c r="A5259" s="51">
        <v>5258</v>
      </c>
      <c r="B5259" s="54" t="s">
        <v>1027</v>
      </c>
      <c r="C5259" s="47" t="s">
        <v>13765</v>
      </c>
      <c r="D5259" s="47" t="s">
        <v>13766</v>
      </c>
      <c r="E5259" s="47" t="s">
        <v>13767</v>
      </c>
      <c r="F5259" s="55" t="b">
        <v>1</v>
      </c>
      <c r="G5259" s="65" t="b">
        <v>0</v>
      </c>
      <c r="H5259" s="65" t="b">
        <v>0</v>
      </c>
      <c r="I5259" s="65" t="b">
        <v>0</v>
      </c>
      <c r="J5259" s="65" t="b">
        <v>0</v>
      </c>
    </row>
    <row r="5260" spans="1:14" x14ac:dyDescent="0.2">
      <c r="A5260" s="51">
        <v>5259</v>
      </c>
      <c r="B5260" s="54" t="s">
        <v>1027</v>
      </c>
      <c r="C5260" s="47" t="s">
        <v>10565</v>
      </c>
      <c r="D5260" s="47" t="s">
        <v>13768</v>
      </c>
      <c r="E5260" s="47" t="s">
        <v>2087</v>
      </c>
      <c r="F5260" s="55" t="b">
        <v>1</v>
      </c>
      <c r="G5260" s="54" t="b">
        <v>1</v>
      </c>
      <c r="H5260" s="54" t="b">
        <v>1</v>
      </c>
      <c r="I5260" s="65" t="b">
        <v>0</v>
      </c>
      <c r="J5260" s="54" t="b">
        <v>1</v>
      </c>
      <c r="K5260" s="63" t="s">
        <v>1027</v>
      </c>
      <c r="L5260" s="63" t="s">
        <v>10565</v>
      </c>
      <c r="M5260" s="63" t="s">
        <v>10566</v>
      </c>
      <c r="N5260" s="63" t="s">
        <v>2087</v>
      </c>
    </row>
    <row r="5261" spans="1:14" x14ac:dyDescent="0.2">
      <c r="A5261" s="51">
        <v>5260</v>
      </c>
      <c r="G5261" s="65" t="b">
        <v>0</v>
      </c>
      <c r="H5261" s="65" t="b">
        <v>0</v>
      </c>
      <c r="I5261" s="65" t="b">
        <v>0</v>
      </c>
      <c r="J5261" s="65" t="b">
        <v>0</v>
      </c>
      <c r="K5261" s="63" t="s">
        <v>1027</v>
      </c>
      <c r="L5261" s="63" t="s">
        <v>10567</v>
      </c>
      <c r="M5261" s="63" t="s">
        <v>10568</v>
      </c>
      <c r="N5261" s="63" t="s">
        <v>2087</v>
      </c>
    </row>
    <row r="5262" spans="1:14" x14ac:dyDescent="0.2">
      <c r="A5262" s="51">
        <v>5261</v>
      </c>
      <c r="B5262" s="54" t="s">
        <v>1032</v>
      </c>
      <c r="C5262" s="47" t="s">
        <v>10613</v>
      </c>
      <c r="D5262" s="47" t="s">
        <v>10614</v>
      </c>
      <c r="E5262" s="47" t="s">
        <v>2365</v>
      </c>
      <c r="F5262" s="55" t="b">
        <v>1</v>
      </c>
      <c r="G5262" s="54" t="b">
        <v>1</v>
      </c>
      <c r="H5262" s="54" t="b">
        <v>1</v>
      </c>
      <c r="I5262" s="54" t="b">
        <v>1</v>
      </c>
      <c r="J5262" s="54" t="b">
        <v>1</v>
      </c>
      <c r="K5262" s="63" t="s">
        <v>1032</v>
      </c>
      <c r="L5262" s="63" t="s">
        <v>10613</v>
      </c>
      <c r="M5262" s="63" t="s">
        <v>10614</v>
      </c>
      <c r="N5262" s="63" t="s">
        <v>2365</v>
      </c>
    </row>
    <row r="5263" spans="1:14" x14ac:dyDescent="0.2">
      <c r="A5263" s="51">
        <v>5262</v>
      </c>
      <c r="B5263" s="54" t="s">
        <v>1032</v>
      </c>
      <c r="C5263" s="47" t="s">
        <v>10569</v>
      </c>
      <c r="D5263" s="47" t="s">
        <v>13771</v>
      </c>
      <c r="E5263" s="47" t="s">
        <v>2365</v>
      </c>
      <c r="F5263" s="55" t="b">
        <v>1</v>
      </c>
      <c r="G5263" s="54" t="b">
        <v>1</v>
      </c>
      <c r="H5263" s="54" t="b">
        <v>1</v>
      </c>
      <c r="I5263" s="65" t="b">
        <v>0</v>
      </c>
      <c r="J5263" s="54" t="b">
        <v>1</v>
      </c>
      <c r="K5263" s="63" t="s">
        <v>1032</v>
      </c>
      <c r="L5263" s="63" t="s">
        <v>10569</v>
      </c>
      <c r="M5263" s="63" t="s">
        <v>10570</v>
      </c>
      <c r="N5263" s="63" t="s">
        <v>2365</v>
      </c>
    </row>
    <row r="5264" spans="1:14" x14ac:dyDescent="0.2">
      <c r="A5264" s="51">
        <v>5263</v>
      </c>
      <c r="B5264" s="54" t="s">
        <v>1032</v>
      </c>
      <c r="C5264" s="47" t="s">
        <v>10571</v>
      </c>
      <c r="D5264" s="47" t="s">
        <v>10572</v>
      </c>
      <c r="E5264" s="47" t="s">
        <v>2365</v>
      </c>
      <c r="F5264" s="55" t="b">
        <v>1</v>
      </c>
      <c r="G5264" s="54" t="b">
        <v>1</v>
      </c>
      <c r="H5264" s="54" t="b">
        <v>1</v>
      </c>
      <c r="I5264" s="54" t="b">
        <v>1</v>
      </c>
      <c r="J5264" s="54" t="b">
        <v>1</v>
      </c>
      <c r="K5264" s="63" t="s">
        <v>1032</v>
      </c>
      <c r="L5264" s="63" t="s">
        <v>10571</v>
      </c>
      <c r="M5264" s="63" t="s">
        <v>10572</v>
      </c>
      <c r="N5264" s="63" t="s">
        <v>2365</v>
      </c>
    </row>
    <row r="5265" spans="1:14" x14ac:dyDescent="0.2">
      <c r="A5265" s="51">
        <v>5264</v>
      </c>
      <c r="B5265" s="54" t="s">
        <v>1032</v>
      </c>
      <c r="C5265" s="47" t="s">
        <v>10589</v>
      </c>
      <c r="D5265" s="47" t="s">
        <v>13772</v>
      </c>
      <c r="E5265" s="47" t="s">
        <v>2365</v>
      </c>
      <c r="F5265" s="55" t="b">
        <v>1</v>
      </c>
      <c r="G5265" s="54" t="b">
        <v>1</v>
      </c>
      <c r="H5265" s="54" t="b">
        <v>1</v>
      </c>
      <c r="I5265" s="65" t="b">
        <v>0</v>
      </c>
      <c r="J5265" s="54" t="b">
        <v>1</v>
      </c>
      <c r="K5265" s="63" t="s">
        <v>1032</v>
      </c>
      <c r="L5265" s="63" t="s">
        <v>10589</v>
      </c>
      <c r="M5265" s="63" t="s">
        <v>10590</v>
      </c>
      <c r="N5265" s="63" t="s">
        <v>2365</v>
      </c>
    </row>
    <row r="5266" spans="1:14" x14ac:dyDescent="0.2">
      <c r="A5266" s="51">
        <v>5265</v>
      </c>
      <c r="B5266" s="54" t="s">
        <v>1032</v>
      </c>
      <c r="C5266" s="47" t="s">
        <v>10599</v>
      </c>
      <c r="D5266" s="47" t="s">
        <v>10600</v>
      </c>
      <c r="E5266" s="47" t="s">
        <v>2365</v>
      </c>
      <c r="F5266" s="55" t="b">
        <v>1</v>
      </c>
      <c r="G5266" s="54" t="b">
        <v>1</v>
      </c>
      <c r="H5266" s="54" t="b">
        <v>1</v>
      </c>
      <c r="I5266" s="54" t="b">
        <v>1</v>
      </c>
      <c r="J5266" s="54" t="b">
        <v>1</v>
      </c>
      <c r="K5266" s="63" t="s">
        <v>1032</v>
      </c>
      <c r="L5266" s="63" t="s">
        <v>10599</v>
      </c>
      <c r="M5266" s="63" t="s">
        <v>10600</v>
      </c>
      <c r="N5266" s="63" t="s">
        <v>2365</v>
      </c>
    </row>
    <row r="5267" spans="1:14" x14ac:dyDescent="0.2">
      <c r="A5267" s="51">
        <v>5266</v>
      </c>
      <c r="B5267" s="54" t="s">
        <v>1032</v>
      </c>
      <c r="C5267" s="47" t="s">
        <v>10615</v>
      </c>
      <c r="D5267" s="47" t="s">
        <v>10616</v>
      </c>
      <c r="E5267" s="47" t="s">
        <v>2365</v>
      </c>
      <c r="F5267" s="55" t="b">
        <v>1</v>
      </c>
      <c r="G5267" s="54" t="b">
        <v>1</v>
      </c>
      <c r="H5267" s="54" t="b">
        <v>1</v>
      </c>
      <c r="I5267" s="54" t="b">
        <v>1</v>
      </c>
      <c r="J5267" s="54" t="b">
        <v>1</v>
      </c>
      <c r="K5267" s="63" t="s">
        <v>1032</v>
      </c>
      <c r="L5267" s="63" t="s">
        <v>10615</v>
      </c>
      <c r="M5267" s="63" t="s">
        <v>10616</v>
      </c>
      <c r="N5267" s="63" t="s">
        <v>2365</v>
      </c>
    </row>
    <row r="5268" spans="1:14" x14ac:dyDescent="0.2">
      <c r="A5268" s="51">
        <v>5267</v>
      </c>
      <c r="B5268" s="54" t="s">
        <v>1032</v>
      </c>
      <c r="C5268" s="47" t="s">
        <v>10573</v>
      </c>
      <c r="D5268" s="47" t="s">
        <v>10574</v>
      </c>
      <c r="E5268" s="47" t="s">
        <v>2365</v>
      </c>
      <c r="F5268" s="55" t="b">
        <v>1</v>
      </c>
      <c r="G5268" s="54" t="b">
        <v>1</v>
      </c>
      <c r="H5268" s="54" t="b">
        <v>1</v>
      </c>
      <c r="I5268" s="54" t="b">
        <v>1</v>
      </c>
      <c r="J5268" s="54" t="b">
        <v>1</v>
      </c>
      <c r="K5268" s="63" t="s">
        <v>1032</v>
      </c>
      <c r="L5268" s="63" t="s">
        <v>10573</v>
      </c>
      <c r="M5268" s="63" t="s">
        <v>10574</v>
      </c>
      <c r="N5268" s="63" t="s">
        <v>2365</v>
      </c>
    </row>
    <row r="5269" spans="1:14" x14ac:dyDescent="0.2">
      <c r="A5269" s="51">
        <v>5268</v>
      </c>
      <c r="B5269" s="54" t="s">
        <v>1032</v>
      </c>
      <c r="C5269" s="47" t="s">
        <v>10575</v>
      </c>
      <c r="D5269" s="47" t="s">
        <v>10576</v>
      </c>
      <c r="E5269" s="47" t="s">
        <v>2365</v>
      </c>
      <c r="F5269" s="55" t="b">
        <v>1</v>
      </c>
      <c r="G5269" s="54" t="b">
        <v>1</v>
      </c>
      <c r="H5269" s="54" t="b">
        <v>1</v>
      </c>
      <c r="I5269" s="54" t="b">
        <v>1</v>
      </c>
      <c r="J5269" s="54" t="b">
        <v>1</v>
      </c>
      <c r="K5269" s="63" t="s">
        <v>1032</v>
      </c>
      <c r="L5269" s="63" t="s">
        <v>10575</v>
      </c>
      <c r="M5269" s="63" t="s">
        <v>10576</v>
      </c>
      <c r="N5269" s="63" t="s">
        <v>2365</v>
      </c>
    </row>
    <row r="5270" spans="1:14" x14ac:dyDescent="0.2">
      <c r="A5270" s="51">
        <v>5269</v>
      </c>
      <c r="B5270" s="54" t="s">
        <v>1032</v>
      </c>
      <c r="C5270" s="47" t="s">
        <v>10581</v>
      </c>
      <c r="D5270" s="47" t="s">
        <v>10582</v>
      </c>
      <c r="E5270" s="47" t="s">
        <v>2365</v>
      </c>
      <c r="F5270" s="55" t="b">
        <v>1</v>
      </c>
      <c r="G5270" s="54" t="b">
        <v>1</v>
      </c>
      <c r="H5270" s="54" t="b">
        <v>1</v>
      </c>
      <c r="I5270" s="54" t="b">
        <v>1</v>
      </c>
      <c r="J5270" s="54" t="b">
        <v>1</v>
      </c>
      <c r="K5270" s="63" t="s">
        <v>1032</v>
      </c>
      <c r="L5270" s="63" t="s">
        <v>10581</v>
      </c>
      <c r="M5270" s="63" t="s">
        <v>10582</v>
      </c>
      <c r="N5270" s="63" t="s">
        <v>2365</v>
      </c>
    </row>
    <row r="5271" spans="1:14" x14ac:dyDescent="0.2">
      <c r="A5271" s="51">
        <v>5270</v>
      </c>
      <c r="B5271" s="54" t="s">
        <v>1032</v>
      </c>
      <c r="C5271" s="47" t="s">
        <v>10591</v>
      </c>
      <c r="D5271" s="47" t="s">
        <v>13770</v>
      </c>
      <c r="E5271" s="47" t="s">
        <v>2365</v>
      </c>
      <c r="F5271" s="55" t="b">
        <v>1</v>
      </c>
      <c r="G5271" s="54" t="b">
        <v>1</v>
      </c>
      <c r="H5271" s="54" t="b">
        <v>1</v>
      </c>
      <c r="I5271" s="65" t="b">
        <v>0</v>
      </c>
      <c r="J5271" s="54" t="b">
        <v>1</v>
      </c>
      <c r="K5271" s="63" t="s">
        <v>1032</v>
      </c>
      <c r="L5271" s="63" t="s">
        <v>10591</v>
      </c>
      <c r="M5271" s="63" t="s">
        <v>10592</v>
      </c>
      <c r="N5271" s="63" t="s">
        <v>2365</v>
      </c>
    </row>
    <row r="5272" spans="1:14" x14ac:dyDescent="0.2">
      <c r="A5272" s="51">
        <v>5271</v>
      </c>
      <c r="B5272" s="54" t="s">
        <v>1032</v>
      </c>
      <c r="C5272" s="47" t="s">
        <v>10605</v>
      </c>
      <c r="D5272" s="47" t="s">
        <v>10606</v>
      </c>
      <c r="E5272" s="47" t="s">
        <v>2365</v>
      </c>
      <c r="F5272" s="55" t="b">
        <v>1</v>
      </c>
      <c r="G5272" s="54" t="b">
        <v>1</v>
      </c>
      <c r="H5272" s="54" t="b">
        <v>1</v>
      </c>
      <c r="I5272" s="54" t="b">
        <v>1</v>
      </c>
      <c r="J5272" s="54" t="b">
        <v>1</v>
      </c>
      <c r="K5272" s="63" t="s">
        <v>1032</v>
      </c>
      <c r="L5272" s="63" t="s">
        <v>10605</v>
      </c>
      <c r="M5272" s="63" t="s">
        <v>10606</v>
      </c>
      <c r="N5272" s="63" t="s">
        <v>2365</v>
      </c>
    </row>
    <row r="5273" spans="1:14" x14ac:dyDescent="0.2">
      <c r="A5273" s="51">
        <v>5272</v>
      </c>
      <c r="B5273" s="54" t="s">
        <v>1032</v>
      </c>
      <c r="C5273" s="47" t="s">
        <v>10583</v>
      </c>
      <c r="D5273" s="47" t="s">
        <v>10584</v>
      </c>
      <c r="E5273" s="47" t="s">
        <v>2365</v>
      </c>
      <c r="F5273" s="55" t="b">
        <v>1</v>
      </c>
      <c r="G5273" s="54" t="b">
        <v>1</v>
      </c>
      <c r="H5273" s="54" t="b">
        <v>1</v>
      </c>
      <c r="I5273" s="54" t="b">
        <v>1</v>
      </c>
      <c r="J5273" s="54" t="b">
        <v>1</v>
      </c>
      <c r="K5273" s="63" t="s">
        <v>1032</v>
      </c>
      <c r="L5273" s="63" t="s">
        <v>10583</v>
      </c>
      <c r="M5273" s="63" t="s">
        <v>10584</v>
      </c>
      <c r="N5273" s="63" t="s">
        <v>2365</v>
      </c>
    </row>
    <row r="5274" spans="1:14" x14ac:dyDescent="0.2">
      <c r="A5274" s="51">
        <v>5273</v>
      </c>
      <c r="B5274" s="54" t="s">
        <v>1032</v>
      </c>
      <c r="C5274" s="47" t="s">
        <v>10585</v>
      </c>
      <c r="D5274" s="47" t="s">
        <v>10586</v>
      </c>
      <c r="E5274" s="47" t="s">
        <v>2365</v>
      </c>
      <c r="F5274" s="55" t="b">
        <v>1</v>
      </c>
      <c r="G5274" s="54" t="b">
        <v>1</v>
      </c>
      <c r="H5274" s="54" t="b">
        <v>1</v>
      </c>
      <c r="I5274" s="54" t="b">
        <v>1</v>
      </c>
      <c r="J5274" s="54" t="b">
        <v>1</v>
      </c>
      <c r="K5274" s="63" t="s">
        <v>1032</v>
      </c>
      <c r="L5274" s="63" t="s">
        <v>10585</v>
      </c>
      <c r="M5274" s="63" t="s">
        <v>10586</v>
      </c>
      <c r="N5274" s="63" t="s">
        <v>2365</v>
      </c>
    </row>
    <row r="5275" spans="1:14" x14ac:dyDescent="0.2">
      <c r="A5275" s="51">
        <v>5274</v>
      </c>
      <c r="B5275" s="54" t="s">
        <v>1032</v>
      </c>
      <c r="C5275" s="47" t="s">
        <v>10603</v>
      </c>
      <c r="D5275" s="47" t="s">
        <v>10604</v>
      </c>
      <c r="E5275" s="47" t="s">
        <v>2365</v>
      </c>
      <c r="F5275" s="55" t="b">
        <v>1</v>
      </c>
      <c r="G5275" s="54" t="b">
        <v>1</v>
      </c>
      <c r="H5275" s="54" t="b">
        <v>1</v>
      </c>
      <c r="I5275" s="54" t="b">
        <v>1</v>
      </c>
      <c r="J5275" s="54" t="b">
        <v>1</v>
      </c>
      <c r="K5275" s="63" t="s">
        <v>1032</v>
      </c>
      <c r="L5275" s="63" t="s">
        <v>10603</v>
      </c>
      <c r="M5275" s="63" t="s">
        <v>10604</v>
      </c>
      <c r="N5275" s="63" t="s">
        <v>2365</v>
      </c>
    </row>
    <row r="5276" spans="1:14" x14ac:dyDescent="0.2">
      <c r="A5276" s="51">
        <v>5275</v>
      </c>
      <c r="B5276" s="54" t="s">
        <v>1032</v>
      </c>
      <c r="C5276" s="47" t="s">
        <v>10607</v>
      </c>
      <c r="D5276" s="47" t="s">
        <v>10608</v>
      </c>
      <c r="E5276" s="47" t="s">
        <v>2365</v>
      </c>
      <c r="F5276" s="55" t="b">
        <v>1</v>
      </c>
      <c r="G5276" s="54" t="b">
        <v>1</v>
      </c>
      <c r="H5276" s="54" t="b">
        <v>1</v>
      </c>
      <c r="I5276" s="54" t="b">
        <v>1</v>
      </c>
      <c r="J5276" s="54" t="b">
        <v>1</v>
      </c>
      <c r="K5276" s="63" t="s">
        <v>1032</v>
      </c>
      <c r="L5276" s="63" t="s">
        <v>10607</v>
      </c>
      <c r="M5276" s="63" t="s">
        <v>10608</v>
      </c>
      <c r="N5276" s="63" t="s">
        <v>2365</v>
      </c>
    </row>
    <row r="5277" spans="1:14" x14ac:dyDescent="0.2">
      <c r="A5277" s="51">
        <v>5276</v>
      </c>
      <c r="B5277" s="54" t="s">
        <v>1032</v>
      </c>
      <c r="C5277" s="47" t="s">
        <v>10597</v>
      </c>
      <c r="D5277" s="47" t="s">
        <v>10598</v>
      </c>
      <c r="E5277" s="47" t="s">
        <v>2365</v>
      </c>
      <c r="F5277" s="55" t="b">
        <v>1</v>
      </c>
      <c r="G5277" s="54" t="b">
        <v>1</v>
      </c>
      <c r="H5277" s="54" t="b">
        <v>1</v>
      </c>
      <c r="I5277" s="54" t="b">
        <v>1</v>
      </c>
      <c r="J5277" s="54" t="b">
        <v>1</v>
      </c>
      <c r="K5277" s="63" t="s">
        <v>1032</v>
      </c>
      <c r="L5277" s="63" t="s">
        <v>10597</v>
      </c>
      <c r="M5277" s="63" t="s">
        <v>10598</v>
      </c>
      <c r="N5277" s="63" t="s">
        <v>2365</v>
      </c>
    </row>
    <row r="5278" spans="1:14" x14ac:dyDescent="0.2">
      <c r="A5278" s="51">
        <v>5277</v>
      </c>
      <c r="B5278" s="54" t="s">
        <v>1032</v>
      </c>
      <c r="C5278" s="47" t="s">
        <v>10593</v>
      </c>
      <c r="D5278" s="47" t="s">
        <v>10594</v>
      </c>
      <c r="E5278" s="47" t="s">
        <v>2365</v>
      </c>
      <c r="F5278" s="55" t="b">
        <v>1</v>
      </c>
      <c r="G5278" s="54" t="b">
        <v>1</v>
      </c>
      <c r="H5278" s="54" t="b">
        <v>1</v>
      </c>
      <c r="I5278" s="54" t="b">
        <v>1</v>
      </c>
      <c r="J5278" s="54" t="b">
        <v>1</v>
      </c>
      <c r="K5278" s="63" t="s">
        <v>1032</v>
      </c>
      <c r="L5278" s="63" t="s">
        <v>10593</v>
      </c>
      <c r="M5278" s="63" t="s">
        <v>10594</v>
      </c>
      <c r="N5278" s="63" t="s">
        <v>2365</v>
      </c>
    </row>
    <row r="5279" spans="1:14" x14ac:dyDescent="0.2">
      <c r="A5279" s="51">
        <v>5278</v>
      </c>
      <c r="B5279" s="54" t="s">
        <v>1032</v>
      </c>
      <c r="C5279" s="47" t="s">
        <v>10601</v>
      </c>
      <c r="D5279" s="47" t="s">
        <v>10602</v>
      </c>
      <c r="E5279" s="47" t="s">
        <v>2365</v>
      </c>
      <c r="F5279" s="55" t="b">
        <v>1</v>
      </c>
      <c r="G5279" s="54" t="b">
        <v>1</v>
      </c>
      <c r="H5279" s="54" t="b">
        <v>1</v>
      </c>
      <c r="I5279" s="54" t="b">
        <v>1</v>
      </c>
      <c r="J5279" s="54" t="b">
        <v>1</v>
      </c>
      <c r="K5279" s="63" t="s">
        <v>1032</v>
      </c>
      <c r="L5279" s="63" t="s">
        <v>10601</v>
      </c>
      <c r="M5279" s="63" t="s">
        <v>10602</v>
      </c>
      <c r="N5279" s="63" t="s">
        <v>2365</v>
      </c>
    </row>
    <row r="5280" spans="1:14" x14ac:dyDescent="0.2">
      <c r="A5280" s="51">
        <v>5279</v>
      </c>
      <c r="B5280" s="54" t="s">
        <v>1032</v>
      </c>
      <c r="C5280" s="47" t="s">
        <v>10579</v>
      </c>
      <c r="D5280" s="47" t="s">
        <v>10580</v>
      </c>
      <c r="E5280" s="47" t="s">
        <v>2365</v>
      </c>
      <c r="F5280" s="55" t="b">
        <v>1</v>
      </c>
      <c r="G5280" s="54" t="b">
        <v>1</v>
      </c>
      <c r="H5280" s="54" t="b">
        <v>1</v>
      </c>
      <c r="I5280" s="54" t="b">
        <v>1</v>
      </c>
      <c r="J5280" s="54" t="b">
        <v>1</v>
      </c>
      <c r="K5280" s="63" t="s">
        <v>1032</v>
      </c>
      <c r="L5280" s="63" t="s">
        <v>10579</v>
      </c>
      <c r="M5280" s="63" t="s">
        <v>10580</v>
      </c>
      <c r="N5280" s="63" t="s">
        <v>2365</v>
      </c>
    </row>
    <row r="5281" spans="1:14" x14ac:dyDescent="0.2">
      <c r="A5281" s="51">
        <v>5280</v>
      </c>
      <c r="B5281" s="54" t="s">
        <v>1032</v>
      </c>
      <c r="C5281" s="47" t="s">
        <v>10611</v>
      </c>
      <c r="D5281" s="47" t="s">
        <v>10612</v>
      </c>
      <c r="E5281" s="47" t="s">
        <v>2365</v>
      </c>
      <c r="F5281" s="55" t="b">
        <v>1</v>
      </c>
      <c r="G5281" s="54" t="b">
        <v>1</v>
      </c>
      <c r="H5281" s="54" t="b">
        <v>1</v>
      </c>
      <c r="I5281" s="54" t="b">
        <v>1</v>
      </c>
      <c r="J5281" s="54" t="b">
        <v>1</v>
      </c>
      <c r="K5281" s="63" t="s">
        <v>1032</v>
      </c>
      <c r="L5281" s="63" t="s">
        <v>10611</v>
      </c>
      <c r="M5281" s="63" t="s">
        <v>10612</v>
      </c>
      <c r="N5281" s="63" t="s">
        <v>2365</v>
      </c>
    </row>
    <row r="5282" spans="1:14" x14ac:dyDescent="0.2">
      <c r="A5282" s="51">
        <v>5281</v>
      </c>
      <c r="B5282" s="54" t="s">
        <v>1032</v>
      </c>
      <c r="C5282" s="47" t="s">
        <v>10587</v>
      </c>
      <c r="D5282" s="47" t="s">
        <v>13769</v>
      </c>
      <c r="E5282" s="47" t="s">
        <v>2365</v>
      </c>
      <c r="F5282" s="55" t="b">
        <v>1</v>
      </c>
      <c r="G5282" s="54" t="b">
        <v>1</v>
      </c>
      <c r="H5282" s="54" t="b">
        <v>1</v>
      </c>
      <c r="I5282" s="65" t="b">
        <v>0</v>
      </c>
      <c r="J5282" s="54" t="b">
        <v>1</v>
      </c>
      <c r="K5282" s="63" t="s">
        <v>1032</v>
      </c>
      <c r="L5282" s="63" t="s">
        <v>10587</v>
      </c>
      <c r="M5282" s="63" t="s">
        <v>10588</v>
      </c>
      <c r="N5282" s="63" t="s">
        <v>2365</v>
      </c>
    </row>
    <row r="5283" spans="1:14" x14ac:dyDescent="0.2">
      <c r="A5283" s="51">
        <v>5282</v>
      </c>
      <c r="B5283" s="54" t="s">
        <v>1032</v>
      </c>
      <c r="C5283" s="47" t="s">
        <v>10577</v>
      </c>
      <c r="D5283" s="47" t="s">
        <v>10578</v>
      </c>
      <c r="E5283" s="47" t="s">
        <v>2365</v>
      </c>
      <c r="F5283" s="55" t="b">
        <v>1</v>
      </c>
      <c r="G5283" s="54" t="b">
        <v>1</v>
      </c>
      <c r="H5283" s="54" t="b">
        <v>1</v>
      </c>
      <c r="I5283" s="54" t="b">
        <v>1</v>
      </c>
      <c r="J5283" s="54" t="b">
        <v>1</v>
      </c>
      <c r="K5283" s="63" t="s">
        <v>1032</v>
      </c>
      <c r="L5283" s="63" t="s">
        <v>10577</v>
      </c>
      <c r="M5283" s="63" t="s">
        <v>10578</v>
      </c>
      <c r="N5283" s="63" t="s">
        <v>2365</v>
      </c>
    </row>
    <row r="5284" spans="1:14" x14ac:dyDescent="0.2">
      <c r="A5284" s="51">
        <v>5283</v>
      </c>
      <c r="B5284" s="54" t="s">
        <v>1032</v>
      </c>
      <c r="C5284" s="47" t="s">
        <v>10595</v>
      </c>
      <c r="D5284" s="47" t="s">
        <v>13773</v>
      </c>
      <c r="E5284" s="47" t="s">
        <v>2365</v>
      </c>
      <c r="F5284" s="55" t="b">
        <v>1</v>
      </c>
      <c r="G5284" s="54" t="b">
        <v>1</v>
      </c>
      <c r="H5284" s="54" t="b">
        <v>1</v>
      </c>
      <c r="I5284" s="65" t="b">
        <v>0</v>
      </c>
      <c r="J5284" s="54" t="b">
        <v>1</v>
      </c>
      <c r="K5284" s="63" t="s">
        <v>1032</v>
      </c>
      <c r="L5284" s="63" t="s">
        <v>10595</v>
      </c>
      <c r="M5284" s="63" t="s">
        <v>10596</v>
      </c>
      <c r="N5284" s="63" t="s">
        <v>2365</v>
      </c>
    </row>
    <row r="5285" spans="1:14" x14ac:dyDescent="0.2">
      <c r="A5285" s="51">
        <v>5284</v>
      </c>
      <c r="B5285" s="54" t="s">
        <v>1032</v>
      </c>
      <c r="C5285" s="47" t="s">
        <v>10609</v>
      </c>
      <c r="D5285" s="47" t="s">
        <v>10610</v>
      </c>
      <c r="E5285" s="47" t="s">
        <v>2365</v>
      </c>
      <c r="F5285" s="55" t="b">
        <v>1</v>
      </c>
      <c r="G5285" s="54" t="b">
        <v>1</v>
      </c>
      <c r="H5285" s="54" t="b">
        <v>1</v>
      </c>
      <c r="I5285" s="54" t="b">
        <v>1</v>
      </c>
      <c r="J5285" s="54" t="b">
        <v>1</v>
      </c>
      <c r="K5285" s="63" t="s">
        <v>1032</v>
      </c>
      <c r="L5285" s="63" t="s">
        <v>10609</v>
      </c>
      <c r="M5285" s="63" t="s">
        <v>10610</v>
      </c>
      <c r="N5285" s="63" t="s">
        <v>2365</v>
      </c>
    </row>
    <row r="5286" spans="1:14" x14ac:dyDescent="0.2">
      <c r="A5286" s="51">
        <v>5285</v>
      </c>
      <c r="B5286" s="54" t="s">
        <v>1034</v>
      </c>
      <c r="C5286" s="47" t="s">
        <v>10617</v>
      </c>
      <c r="D5286" s="47" t="s">
        <v>10618</v>
      </c>
      <c r="E5286" s="47" t="s">
        <v>1719</v>
      </c>
      <c r="F5286" s="55" t="b">
        <v>1</v>
      </c>
      <c r="G5286" s="54" t="b">
        <v>1</v>
      </c>
      <c r="H5286" s="54" t="b">
        <v>1</v>
      </c>
      <c r="I5286" s="54" t="b">
        <v>1</v>
      </c>
      <c r="J5286" s="54" t="b">
        <v>1</v>
      </c>
      <c r="K5286" s="63" t="s">
        <v>1034</v>
      </c>
      <c r="L5286" s="63" t="s">
        <v>10617</v>
      </c>
      <c r="M5286" s="63" t="s">
        <v>10618</v>
      </c>
      <c r="N5286" s="63" t="s">
        <v>1719</v>
      </c>
    </row>
    <row r="5287" spans="1:14" x14ac:dyDescent="0.2">
      <c r="A5287" s="51">
        <v>5286</v>
      </c>
      <c r="B5287" s="54" t="s">
        <v>1034</v>
      </c>
      <c r="C5287" s="47" t="s">
        <v>10619</v>
      </c>
      <c r="D5287" s="47" t="s">
        <v>10620</v>
      </c>
      <c r="E5287" s="47" t="s">
        <v>1719</v>
      </c>
      <c r="F5287" s="55" t="b">
        <v>1</v>
      </c>
      <c r="G5287" s="54" t="b">
        <v>1</v>
      </c>
      <c r="H5287" s="54" t="b">
        <v>1</v>
      </c>
      <c r="I5287" s="54" t="b">
        <v>1</v>
      </c>
      <c r="J5287" s="54" t="b">
        <v>1</v>
      </c>
      <c r="K5287" s="63" t="s">
        <v>1034</v>
      </c>
      <c r="L5287" s="63" t="s">
        <v>10619</v>
      </c>
      <c r="M5287" s="63" t="s">
        <v>10620</v>
      </c>
      <c r="N5287" s="63" t="s">
        <v>1719</v>
      </c>
    </row>
    <row r="5288" spans="1:14" x14ac:dyDescent="0.2">
      <c r="A5288" s="51">
        <v>5287</v>
      </c>
      <c r="B5288" s="54" t="s">
        <v>1034</v>
      </c>
      <c r="C5288" s="47" t="s">
        <v>10621</v>
      </c>
      <c r="D5288" s="47" t="s">
        <v>10622</v>
      </c>
      <c r="E5288" s="47" t="s">
        <v>1719</v>
      </c>
      <c r="F5288" s="55" t="b">
        <v>1</v>
      </c>
      <c r="G5288" s="54" t="b">
        <v>1</v>
      </c>
      <c r="H5288" s="54" t="b">
        <v>1</v>
      </c>
      <c r="I5288" s="54" t="b">
        <v>1</v>
      </c>
      <c r="J5288" s="54" t="b">
        <v>1</v>
      </c>
      <c r="K5288" s="63" t="s">
        <v>1034</v>
      </c>
      <c r="L5288" s="63" t="s">
        <v>10621</v>
      </c>
      <c r="M5288" s="63" t="s">
        <v>10622</v>
      </c>
      <c r="N5288" s="63" t="s">
        <v>1719</v>
      </c>
    </row>
    <row r="5289" spans="1:14" x14ac:dyDescent="0.2">
      <c r="A5289" s="51">
        <v>5288</v>
      </c>
      <c r="B5289" s="54" t="s">
        <v>1034</v>
      </c>
      <c r="C5289" s="47" t="s">
        <v>10637</v>
      </c>
      <c r="D5289" s="47" t="s">
        <v>10638</v>
      </c>
      <c r="E5289" s="47" t="s">
        <v>1719</v>
      </c>
      <c r="F5289" s="55" t="b">
        <v>1</v>
      </c>
      <c r="G5289" s="54" t="b">
        <v>1</v>
      </c>
      <c r="H5289" s="54" t="b">
        <v>1</v>
      </c>
      <c r="I5289" s="54" t="b">
        <v>1</v>
      </c>
      <c r="J5289" s="54" t="b">
        <v>1</v>
      </c>
      <c r="K5289" s="63" t="s">
        <v>1034</v>
      </c>
      <c r="L5289" s="63" t="s">
        <v>10637</v>
      </c>
      <c r="M5289" s="63" t="s">
        <v>10638</v>
      </c>
      <c r="N5289" s="63" t="s">
        <v>1719</v>
      </c>
    </row>
    <row r="5290" spans="1:14" x14ac:dyDescent="0.2">
      <c r="A5290" s="51">
        <v>5289</v>
      </c>
      <c r="B5290" s="54" t="s">
        <v>1034</v>
      </c>
      <c r="C5290" s="47" t="s">
        <v>10625</v>
      </c>
      <c r="D5290" s="47" t="s">
        <v>10626</v>
      </c>
      <c r="E5290" s="47" t="s">
        <v>1719</v>
      </c>
      <c r="F5290" s="55" t="b">
        <v>1</v>
      </c>
      <c r="G5290" s="54" t="b">
        <v>1</v>
      </c>
      <c r="H5290" s="54" t="b">
        <v>1</v>
      </c>
      <c r="I5290" s="54" t="b">
        <v>1</v>
      </c>
      <c r="J5290" s="54" t="b">
        <v>1</v>
      </c>
      <c r="K5290" s="63" t="s">
        <v>1034</v>
      </c>
      <c r="L5290" s="63" t="s">
        <v>10625</v>
      </c>
      <c r="M5290" s="63" t="s">
        <v>10626</v>
      </c>
      <c r="N5290" s="63" t="s">
        <v>1719</v>
      </c>
    </row>
    <row r="5291" spans="1:14" x14ac:dyDescent="0.2">
      <c r="A5291" s="51">
        <v>5290</v>
      </c>
      <c r="B5291" s="54" t="s">
        <v>1034</v>
      </c>
      <c r="C5291" s="47" t="s">
        <v>10627</v>
      </c>
      <c r="D5291" s="47" t="s">
        <v>10628</v>
      </c>
      <c r="E5291" s="47" t="s">
        <v>1719</v>
      </c>
      <c r="F5291" s="55" t="b">
        <v>1</v>
      </c>
      <c r="G5291" s="54" t="b">
        <v>1</v>
      </c>
      <c r="H5291" s="54" t="b">
        <v>1</v>
      </c>
      <c r="I5291" s="54" t="b">
        <v>1</v>
      </c>
      <c r="J5291" s="54" t="b">
        <v>1</v>
      </c>
      <c r="K5291" s="63" t="s">
        <v>1034</v>
      </c>
      <c r="L5291" s="63" t="s">
        <v>10627</v>
      </c>
      <c r="M5291" s="63" t="s">
        <v>10628</v>
      </c>
      <c r="N5291" s="63" t="s">
        <v>1719</v>
      </c>
    </row>
    <row r="5292" spans="1:14" x14ac:dyDescent="0.2">
      <c r="A5292" s="51">
        <v>5291</v>
      </c>
      <c r="B5292" s="54" t="s">
        <v>1034</v>
      </c>
      <c r="C5292" s="47" t="s">
        <v>10629</v>
      </c>
      <c r="D5292" s="47" t="s">
        <v>10630</v>
      </c>
      <c r="E5292" s="47" t="s">
        <v>1719</v>
      </c>
      <c r="F5292" s="55" t="b">
        <v>1</v>
      </c>
      <c r="G5292" s="54" t="b">
        <v>1</v>
      </c>
      <c r="H5292" s="54" t="b">
        <v>1</v>
      </c>
      <c r="I5292" s="54" t="b">
        <v>1</v>
      </c>
      <c r="J5292" s="54" t="b">
        <v>1</v>
      </c>
      <c r="K5292" s="63" t="s">
        <v>1034</v>
      </c>
      <c r="L5292" s="63" t="s">
        <v>10629</v>
      </c>
      <c r="M5292" s="63" t="s">
        <v>10630</v>
      </c>
      <c r="N5292" s="63" t="s">
        <v>1719</v>
      </c>
    </row>
    <row r="5293" spans="1:14" x14ac:dyDescent="0.2">
      <c r="A5293" s="51">
        <v>5292</v>
      </c>
      <c r="B5293" s="54" t="s">
        <v>1034</v>
      </c>
      <c r="C5293" s="47" t="s">
        <v>10633</v>
      </c>
      <c r="D5293" s="47" t="s">
        <v>10634</v>
      </c>
      <c r="E5293" s="47" t="s">
        <v>1719</v>
      </c>
      <c r="F5293" s="55" t="b">
        <v>1</v>
      </c>
      <c r="G5293" s="54" t="b">
        <v>1</v>
      </c>
      <c r="H5293" s="54" t="b">
        <v>1</v>
      </c>
      <c r="I5293" s="54" t="b">
        <v>1</v>
      </c>
      <c r="J5293" s="54" t="b">
        <v>1</v>
      </c>
      <c r="K5293" s="63" t="s">
        <v>1034</v>
      </c>
      <c r="L5293" s="63" t="s">
        <v>10633</v>
      </c>
      <c r="M5293" s="63" t="s">
        <v>10634</v>
      </c>
      <c r="N5293" s="63" t="s">
        <v>1719</v>
      </c>
    </row>
    <row r="5294" spans="1:14" x14ac:dyDescent="0.2">
      <c r="A5294" s="51">
        <v>5293</v>
      </c>
      <c r="B5294" s="54" t="s">
        <v>1034</v>
      </c>
      <c r="C5294" s="47" t="s">
        <v>10635</v>
      </c>
      <c r="D5294" s="47" t="s">
        <v>10636</v>
      </c>
      <c r="E5294" s="47" t="s">
        <v>1719</v>
      </c>
      <c r="F5294" s="55" t="b">
        <v>1</v>
      </c>
      <c r="G5294" s="54" t="b">
        <v>1</v>
      </c>
      <c r="H5294" s="54" t="b">
        <v>1</v>
      </c>
      <c r="I5294" s="54" t="b">
        <v>1</v>
      </c>
      <c r="J5294" s="54" t="b">
        <v>1</v>
      </c>
      <c r="K5294" s="63" t="s">
        <v>1034</v>
      </c>
      <c r="L5294" s="63" t="s">
        <v>10635</v>
      </c>
      <c r="M5294" s="63" t="s">
        <v>10636</v>
      </c>
      <c r="N5294" s="63" t="s">
        <v>1719</v>
      </c>
    </row>
    <row r="5295" spans="1:14" x14ac:dyDescent="0.2">
      <c r="A5295" s="51">
        <v>5294</v>
      </c>
      <c r="B5295" s="54" t="s">
        <v>1034</v>
      </c>
      <c r="C5295" s="47" t="s">
        <v>10639</v>
      </c>
      <c r="D5295" s="47" t="s">
        <v>10640</v>
      </c>
      <c r="E5295" s="47" t="s">
        <v>1719</v>
      </c>
      <c r="F5295" s="55" t="b">
        <v>1</v>
      </c>
      <c r="G5295" s="54" t="b">
        <v>1</v>
      </c>
      <c r="H5295" s="54" t="b">
        <v>1</v>
      </c>
      <c r="I5295" s="54" t="b">
        <v>1</v>
      </c>
      <c r="J5295" s="54" t="b">
        <v>1</v>
      </c>
      <c r="K5295" s="63" t="s">
        <v>1034</v>
      </c>
      <c r="L5295" s="63" t="s">
        <v>10639</v>
      </c>
      <c r="M5295" s="63" t="s">
        <v>10640</v>
      </c>
      <c r="N5295" s="63" t="s">
        <v>1719</v>
      </c>
    </row>
    <row r="5296" spans="1:14" x14ac:dyDescent="0.2">
      <c r="A5296" s="51">
        <v>5295</v>
      </c>
      <c r="B5296" s="54" t="s">
        <v>1034</v>
      </c>
      <c r="C5296" s="47" t="s">
        <v>10647</v>
      </c>
      <c r="D5296" s="47" t="s">
        <v>10648</v>
      </c>
      <c r="E5296" s="47" t="s">
        <v>1719</v>
      </c>
      <c r="F5296" s="55" t="b">
        <v>1</v>
      </c>
      <c r="G5296" s="54" t="b">
        <v>1</v>
      </c>
      <c r="H5296" s="54" t="b">
        <v>1</v>
      </c>
      <c r="I5296" s="54" t="b">
        <v>1</v>
      </c>
      <c r="J5296" s="54" t="b">
        <v>1</v>
      </c>
      <c r="K5296" s="63" t="s">
        <v>1034</v>
      </c>
      <c r="L5296" s="63" t="s">
        <v>10647</v>
      </c>
      <c r="M5296" s="63" t="s">
        <v>10648</v>
      </c>
      <c r="N5296" s="63" t="s">
        <v>1719</v>
      </c>
    </row>
    <row r="5297" spans="1:14" x14ac:dyDescent="0.2">
      <c r="A5297" s="51">
        <v>5296</v>
      </c>
      <c r="B5297" s="54" t="s">
        <v>1034</v>
      </c>
      <c r="C5297" s="47" t="s">
        <v>10649</v>
      </c>
      <c r="D5297" s="47" t="s">
        <v>10650</v>
      </c>
      <c r="E5297" s="47" t="s">
        <v>1719</v>
      </c>
      <c r="F5297" s="55" t="b">
        <v>1</v>
      </c>
      <c r="G5297" s="54" t="b">
        <v>1</v>
      </c>
      <c r="H5297" s="54" t="b">
        <v>1</v>
      </c>
      <c r="I5297" s="54" t="b">
        <v>1</v>
      </c>
      <c r="J5297" s="54" t="b">
        <v>1</v>
      </c>
      <c r="K5297" s="63" t="s">
        <v>1034</v>
      </c>
      <c r="L5297" s="63" t="s">
        <v>10649</v>
      </c>
      <c r="M5297" s="63" t="s">
        <v>10650</v>
      </c>
      <c r="N5297" s="63" t="s">
        <v>1719</v>
      </c>
    </row>
    <row r="5298" spans="1:14" x14ac:dyDescent="0.2">
      <c r="A5298" s="51">
        <v>5297</v>
      </c>
      <c r="B5298" s="54" t="s">
        <v>1034</v>
      </c>
      <c r="C5298" s="47" t="s">
        <v>10651</v>
      </c>
      <c r="D5298" s="47" t="s">
        <v>10652</v>
      </c>
      <c r="E5298" s="47" t="s">
        <v>1719</v>
      </c>
      <c r="F5298" s="55" t="b">
        <v>1</v>
      </c>
      <c r="G5298" s="54" t="b">
        <v>1</v>
      </c>
      <c r="H5298" s="54" t="b">
        <v>1</v>
      </c>
      <c r="I5298" s="54" t="b">
        <v>1</v>
      </c>
      <c r="J5298" s="54" t="b">
        <v>1</v>
      </c>
      <c r="K5298" s="63" t="s">
        <v>1034</v>
      </c>
      <c r="L5298" s="63" t="s">
        <v>10651</v>
      </c>
      <c r="M5298" s="63" t="s">
        <v>10652</v>
      </c>
      <c r="N5298" s="63" t="s">
        <v>1719</v>
      </c>
    </row>
    <row r="5299" spans="1:14" x14ac:dyDescent="0.2">
      <c r="A5299" s="51">
        <v>5298</v>
      </c>
      <c r="B5299" s="54" t="s">
        <v>1034</v>
      </c>
      <c r="C5299" s="47" t="s">
        <v>10653</v>
      </c>
      <c r="D5299" s="47" t="s">
        <v>10654</v>
      </c>
      <c r="E5299" s="47" t="s">
        <v>1719</v>
      </c>
      <c r="F5299" s="55" t="b">
        <v>1</v>
      </c>
      <c r="G5299" s="54" t="b">
        <v>1</v>
      </c>
      <c r="H5299" s="54" t="b">
        <v>1</v>
      </c>
      <c r="I5299" s="54" t="b">
        <v>1</v>
      </c>
      <c r="J5299" s="54" t="b">
        <v>1</v>
      </c>
      <c r="K5299" s="63" t="s">
        <v>1034</v>
      </c>
      <c r="L5299" s="63" t="s">
        <v>10653</v>
      </c>
      <c r="M5299" s="63" t="s">
        <v>10654</v>
      </c>
      <c r="N5299" s="63" t="s">
        <v>1719</v>
      </c>
    </row>
    <row r="5300" spans="1:14" x14ac:dyDescent="0.2">
      <c r="A5300" s="51">
        <v>5299</v>
      </c>
      <c r="B5300" s="54" t="s">
        <v>1034</v>
      </c>
      <c r="C5300" s="47" t="s">
        <v>10655</v>
      </c>
      <c r="D5300" s="47" t="s">
        <v>10656</v>
      </c>
      <c r="E5300" s="47" t="s">
        <v>1719</v>
      </c>
      <c r="F5300" s="55" t="b">
        <v>1</v>
      </c>
      <c r="G5300" s="54" t="b">
        <v>1</v>
      </c>
      <c r="H5300" s="54" t="b">
        <v>1</v>
      </c>
      <c r="I5300" s="54" t="b">
        <v>1</v>
      </c>
      <c r="J5300" s="54" t="b">
        <v>1</v>
      </c>
      <c r="K5300" s="63" t="s">
        <v>1034</v>
      </c>
      <c r="L5300" s="63" t="s">
        <v>10655</v>
      </c>
      <c r="M5300" s="63" t="s">
        <v>10656</v>
      </c>
      <c r="N5300" s="63" t="s">
        <v>1719</v>
      </c>
    </row>
    <row r="5301" spans="1:14" x14ac:dyDescent="0.2">
      <c r="A5301" s="51">
        <v>5300</v>
      </c>
      <c r="B5301" s="54" t="s">
        <v>1034</v>
      </c>
      <c r="C5301" s="47" t="s">
        <v>10657</v>
      </c>
      <c r="D5301" s="47" t="s">
        <v>10658</v>
      </c>
      <c r="E5301" s="47" t="s">
        <v>1719</v>
      </c>
      <c r="F5301" s="55" t="b">
        <v>1</v>
      </c>
      <c r="G5301" s="54" t="b">
        <v>1</v>
      </c>
      <c r="H5301" s="54" t="b">
        <v>1</v>
      </c>
      <c r="I5301" s="54" t="b">
        <v>1</v>
      </c>
      <c r="J5301" s="54" t="b">
        <v>1</v>
      </c>
      <c r="K5301" s="63" t="s">
        <v>1034</v>
      </c>
      <c r="L5301" s="63" t="s">
        <v>10657</v>
      </c>
      <c r="M5301" s="63" t="s">
        <v>10658</v>
      </c>
      <c r="N5301" s="63" t="s">
        <v>1719</v>
      </c>
    </row>
    <row r="5302" spans="1:14" x14ac:dyDescent="0.2">
      <c r="A5302" s="51">
        <v>5301</v>
      </c>
      <c r="B5302" s="54" t="s">
        <v>1034</v>
      </c>
      <c r="C5302" s="47" t="s">
        <v>10765</v>
      </c>
      <c r="D5302" s="47" t="s">
        <v>10766</v>
      </c>
      <c r="E5302" s="47" t="s">
        <v>1719</v>
      </c>
      <c r="F5302" s="55" t="b">
        <v>1</v>
      </c>
      <c r="G5302" s="54" t="b">
        <v>1</v>
      </c>
      <c r="H5302" s="54" t="b">
        <v>1</v>
      </c>
      <c r="I5302" s="54" t="b">
        <v>1</v>
      </c>
      <c r="J5302" s="54" t="b">
        <v>1</v>
      </c>
      <c r="K5302" s="63" t="s">
        <v>1034</v>
      </c>
      <c r="L5302" s="63" t="s">
        <v>10765</v>
      </c>
      <c r="M5302" s="63" t="s">
        <v>10766</v>
      </c>
      <c r="N5302" s="63" t="s">
        <v>1719</v>
      </c>
    </row>
    <row r="5303" spans="1:14" x14ac:dyDescent="0.2">
      <c r="A5303" s="51">
        <v>5302</v>
      </c>
      <c r="B5303" s="54" t="s">
        <v>1034</v>
      </c>
      <c r="C5303" s="47" t="s">
        <v>10767</v>
      </c>
      <c r="D5303" s="47" t="s">
        <v>10768</v>
      </c>
      <c r="E5303" s="47" t="s">
        <v>1719</v>
      </c>
      <c r="F5303" s="55" t="b">
        <v>1</v>
      </c>
      <c r="G5303" s="54" t="b">
        <v>1</v>
      </c>
      <c r="H5303" s="54" t="b">
        <v>1</v>
      </c>
      <c r="I5303" s="54" t="b">
        <v>1</v>
      </c>
      <c r="J5303" s="54" t="b">
        <v>1</v>
      </c>
      <c r="K5303" s="63" t="s">
        <v>1034</v>
      </c>
      <c r="L5303" s="63" t="s">
        <v>10767</v>
      </c>
      <c r="M5303" s="63" t="s">
        <v>10768</v>
      </c>
      <c r="N5303" s="63" t="s">
        <v>1719</v>
      </c>
    </row>
    <row r="5304" spans="1:14" x14ac:dyDescent="0.2">
      <c r="A5304" s="51">
        <v>5303</v>
      </c>
      <c r="B5304" s="54" t="s">
        <v>1034</v>
      </c>
      <c r="C5304" s="47" t="s">
        <v>10769</v>
      </c>
      <c r="D5304" s="47" t="s">
        <v>10770</v>
      </c>
      <c r="E5304" s="47" t="s">
        <v>1719</v>
      </c>
      <c r="F5304" s="55" t="b">
        <v>1</v>
      </c>
      <c r="G5304" s="54" t="b">
        <v>1</v>
      </c>
      <c r="H5304" s="54" t="b">
        <v>1</v>
      </c>
      <c r="I5304" s="54" t="b">
        <v>1</v>
      </c>
      <c r="J5304" s="54" t="b">
        <v>1</v>
      </c>
      <c r="K5304" s="63" t="s">
        <v>1034</v>
      </c>
      <c r="L5304" s="63" t="s">
        <v>10769</v>
      </c>
      <c r="M5304" s="63" t="s">
        <v>10770</v>
      </c>
      <c r="N5304" s="63" t="s">
        <v>1719</v>
      </c>
    </row>
    <row r="5305" spans="1:14" x14ac:dyDescent="0.2">
      <c r="A5305" s="51">
        <v>5304</v>
      </c>
      <c r="B5305" s="54" t="s">
        <v>1034</v>
      </c>
      <c r="C5305" s="47" t="s">
        <v>10659</v>
      </c>
      <c r="D5305" s="47" t="s">
        <v>10660</v>
      </c>
      <c r="E5305" s="47" t="s">
        <v>1719</v>
      </c>
      <c r="F5305" s="55" t="b">
        <v>1</v>
      </c>
      <c r="G5305" s="54" t="b">
        <v>1</v>
      </c>
      <c r="H5305" s="54" t="b">
        <v>1</v>
      </c>
      <c r="I5305" s="54" t="b">
        <v>1</v>
      </c>
      <c r="J5305" s="54" t="b">
        <v>1</v>
      </c>
      <c r="K5305" s="63" t="s">
        <v>1034</v>
      </c>
      <c r="L5305" s="63" t="s">
        <v>10659</v>
      </c>
      <c r="M5305" s="63" t="s">
        <v>10660</v>
      </c>
      <c r="N5305" s="63" t="s">
        <v>1719</v>
      </c>
    </row>
    <row r="5306" spans="1:14" x14ac:dyDescent="0.2">
      <c r="A5306" s="51">
        <v>5305</v>
      </c>
      <c r="B5306" s="54" t="s">
        <v>1034</v>
      </c>
      <c r="C5306" s="47" t="s">
        <v>10661</v>
      </c>
      <c r="D5306" s="47" t="s">
        <v>10662</v>
      </c>
      <c r="E5306" s="47" t="s">
        <v>1719</v>
      </c>
      <c r="F5306" s="55" t="b">
        <v>1</v>
      </c>
      <c r="G5306" s="54" t="b">
        <v>1</v>
      </c>
      <c r="H5306" s="54" t="b">
        <v>1</v>
      </c>
      <c r="I5306" s="54" t="b">
        <v>1</v>
      </c>
      <c r="J5306" s="54" t="b">
        <v>1</v>
      </c>
      <c r="K5306" s="63" t="s">
        <v>1034</v>
      </c>
      <c r="L5306" s="63" t="s">
        <v>10661</v>
      </c>
      <c r="M5306" s="63" t="s">
        <v>10662</v>
      </c>
      <c r="N5306" s="63" t="s">
        <v>1719</v>
      </c>
    </row>
    <row r="5307" spans="1:14" x14ac:dyDescent="0.2">
      <c r="A5307" s="51">
        <v>5306</v>
      </c>
      <c r="B5307" s="54" t="s">
        <v>1034</v>
      </c>
      <c r="C5307" s="47" t="s">
        <v>10665</v>
      </c>
      <c r="D5307" s="47" t="s">
        <v>10666</v>
      </c>
      <c r="E5307" s="47" t="s">
        <v>1719</v>
      </c>
      <c r="F5307" s="55" t="b">
        <v>1</v>
      </c>
      <c r="G5307" s="54" t="b">
        <v>1</v>
      </c>
      <c r="H5307" s="54" t="b">
        <v>1</v>
      </c>
      <c r="I5307" s="54" t="b">
        <v>1</v>
      </c>
      <c r="J5307" s="54" t="b">
        <v>1</v>
      </c>
      <c r="K5307" s="63" t="s">
        <v>1034</v>
      </c>
      <c r="L5307" s="63" t="s">
        <v>10665</v>
      </c>
      <c r="M5307" s="63" t="s">
        <v>10666</v>
      </c>
      <c r="N5307" s="63" t="s">
        <v>1719</v>
      </c>
    </row>
    <row r="5308" spans="1:14" x14ac:dyDescent="0.2">
      <c r="A5308" s="51">
        <v>5307</v>
      </c>
      <c r="B5308" s="54" t="s">
        <v>1034</v>
      </c>
      <c r="C5308" s="47" t="s">
        <v>10667</v>
      </c>
      <c r="D5308" s="47" t="s">
        <v>10668</v>
      </c>
      <c r="E5308" s="47" t="s">
        <v>1719</v>
      </c>
      <c r="F5308" s="55" t="b">
        <v>1</v>
      </c>
      <c r="G5308" s="54" t="b">
        <v>1</v>
      </c>
      <c r="H5308" s="54" t="b">
        <v>1</v>
      </c>
      <c r="I5308" s="54" t="b">
        <v>1</v>
      </c>
      <c r="J5308" s="54" t="b">
        <v>1</v>
      </c>
      <c r="K5308" s="63" t="s">
        <v>1034</v>
      </c>
      <c r="L5308" s="63" t="s">
        <v>10667</v>
      </c>
      <c r="M5308" s="63" t="s">
        <v>10668</v>
      </c>
      <c r="N5308" s="63" t="s">
        <v>1719</v>
      </c>
    </row>
    <row r="5309" spans="1:14" x14ac:dyDescent="0.2">
      <c r="A5309" s="51">
        <v>5308</v>
      </c>
      <c r="B5309" s="54" t="s">
        <v>1034</v>
      </c>
      <c r="C5309" s="47" t="s">
        <v>10669</v>
      </c>
      <c r="D5309" s="47" t="s">
        <v>10670</v>
      </c>
      <c r="E5309" s="47" t="s">
        <v>1719</v>
      </c>
      <c r="F5309" s="55" t="b">
        <v>1</v>
      </c>
      <c r="G5309" s="54" t="b">
        <v>1</v>
      </c>
      <c r="H5309" s="54" t="b">
        <v>1</v>
      </c>
      <c r="I5309" s="54" t="b">
        <v>1</v>
      </c>
      <c r="J5309" s="54" t="b">
        <v>1</v>
      </c>
      <c r="K5309" s="63" t="s">
        <v>1034</v>
      </c>
      <c r="L5309" s="63" t="s">
        <v>10669</v>
      </c>
      <c r="M5309" s="63" t="s">
        <v>10670</v>
      </c>
      <c r="N5309" s="63" t="s">
        <v>1719</v>
      </c>
    </row>
    <row r="5310" spans="1:14" x14ac:dyDescent="0.2">
      <c r="A5310" s="51">
        <v>5309</v>
      </c>
      <c r="B5310" s="54" t="s">
        <v>1034</v>
      </c>
      <c r="C5310" s="47" t="s">
        <v>10671</v>
      </c>
      <c r="D5310" s="47" t="s">
        <v>10672</v>
      </c>
      <c r="E5310" s="47" t="s">
        <v>1719</v>
      </c>
      <c r="F5310" s="55" t="b">
        <v>1</v>
      </c>
      <c r="G5310" s="54" t="b">
        <v>1</v>
      </c>
      <c r="H5310" s="54" t="b">
        <v>1</v>
      </c>
      <c r="I5310" s="54" t="b">
        <v>1</v>
      </c>
      <c r="J5310" s="54" t="b">
        <v>1</v>
      </c>
      <c r="K5310" s="63" t="s">
        <v>1034</v>
      </c>
      <c r="L5310" s="63" t="s">
        <v>10671</v>
      </c>
      <c r="M5310" s="63" t="s">
        <v>10672</v>
      </c>
      <c r="N5310" s="63" t="s">
        <v>1719</v>
      </c>
    </row>
    <row r="5311" spans="1:14" x14ac:dyDescent="0.2">
      <c r="A5311" s="51">
        <v>5310</v>
      </c>
      <c r="B5311" s="54" t="s">
        <v>1034</v>
      </c>
      <c r="C5311" s="47" t="s">
        <v>10673</v>
      </c>
      <c r="D5311" s="47" t="s">
        <v>10674</v>
      </c>
      <c r="E5311" s="47" t="s">
        <v>1719</v>
      </c>
      <c r="F5311" s="55" t="b">
        <v>1</v>
      </c>
      <c r="G5311" s="54" t="b">
        <v>1</v>
      </c>
      <c r="H5311" s="54" t="b">
        <v>1</v>
      </c>
      <c r="I5311" s="54" t="b">
        <v>1</v>
      </c>
      <c r="J5311" s="54" t="b">
        <v>1</v>
      </c>
      <c r="K5311" s="63" t="s">
        <v>1034</v>
      </c>
      <c r="L5311" s="63" t="s">
        <v>10673</v>
      </c>
      <c r="M5311" s="63" t="s">
        <v>10674</v>
      </c>
      <c r="N5311" s="63" t="s">
        <v>1719</v>
      </c>
    </row>
    <row r="5312" spans="1:14" x14ac:dyDescent="0.2">
      <c r="A5312" s="51">
        <v>5311</v>
      </c>
      <c r="B5312" s="54" t="s">
        <v>1034</v>
      </c>
      <c r="C5312" s="47" t="s">
        <v>10675</v>
      </c>
      <c r="D5312" s="47" t="s">
        <v>10676</v>
      </c>
      <c r="E5312" s="47" t="s">
        <v>1719</v>
      </c>
      <c r="F5312" s="55" t="b">
        <v>1</v>
      </c>
      <c r="G5312" s="54" t="b">
        <v>1</v>
      </c>
      <c r="H5312" s="54" t="b">
        <v>1</v>
      </c>
      <c r="I5312" s="54" t="b">
        <v>1</v>
      </c>
      <c r="J5312" s="54" t="b">
        <v>1</v>
      </c>
      <c r="K5312" s="63" t="s">
        <v>1034</v>
      </c>
      <c r="L5312" s="63" t="s">
        <v>10675</v>
      </c>
      <c r="M5312" s="63" t="s">
        <v>10676</v>
      </c>
      <c r="N5312" s="63" t="s">
        <v>1719</v>
      </c>
    </row>
    <row r="5313" spans="1:14" x14ac:dyDescent="0.2">
      <c r="A5313" s="51">
        <v>5312</v>
      </c>
      <c r="B5313" s="54" t="s">
        <v>1034</v>
      </c>
      <c r="C5313" s="47" t="s">
        <v>10677</v>
      </c>
      <c r="D5313" s="47" t="s">
        <v>10678</v>
      </c>
      <c r="E5313" s="47" t="s">
        <v>1719</v>
      </c>
      <c r="F5313" s="55" t="b">
        <v>1</v>
      </c>
      <c r="G5313" s="54" t="b">
        <v>1</v>
      </c>
      <c r="H5313" s="54" t="b">
        <v>1</v>
      </c>
      <c r="I5313" s="54" t="b">
        <v>1</v>
      </c>
      <c r="J5313" s="54" t="b">
        <v>1</v>
      </c>
      <c r="K5313" s="63" t="s">
        <v>1034</v>
      </c>
      <c r="L5313" s="63" t="s">
        <v>10677</v>
      </c>
      <c r="M5313" s="63" t="s">
        <v>10678</v>
      </c>
      <c r="N5313" s="63" t="s">
        <v>1719</v>
      </c>
    </row>
    <row r="5314" spans="1:14" x14ac:dyDescent="0.2">
      <c r="A5314" s="51">
        <v>5313</v>
      </c>
      <c r="B5314" s="54" t="s">
        <v>1034</v>
      </c>
      <c r="C5314" s="47" t="s">
        <v>10679</v>
      </c>
      <c r="D5314" s="47" t="s">
        <v>10680</v>
      </c>
      <c r="E5314" s="47" t="s">
        <v>1719</v>
      </c>
      <c r="F5314" s="55" t="b">
        <v>1</v>
      </c>
      <c r="G5314" s="54" t="b">
        <v>1</v>
      </c>
      <c r="H5314" s="54" t="b">
        <v>1</v>
      </c>
      <c r="I5314" s="54" t="b">
        <v>1</v>
      </c>
      <c r="J5314" s="54" t="b">
        <v>1</v>
      </c>
      <c r="K5314" s="63" t="s">
        <v>1034</v>
      </c>
      <c r="L5314" s="63" t="s">
        <v>10679</v>
      </c>
      <c r="M5314" s="63" t="s">
        <v>10680</v>
      </c>
      <c r="N5314" s="63" t="s">
        <v>1719</v>
      </c>
    </row>
    <row r="5315" spans="1:14" x14ac:dyDescent="0.2">
      <c r="A5315" s="51">
        <v>5314</v>
      </c>
      <c r="B5315" s="54" t="s">
        <v>1034</v>
      </c>
      <c r="C5315" s="47" t="s">
        <v>10681</v>
      </c>
      <c r="D5315" s="47" t="s">
        <v>10682</v>
      </c>
      <c r="E5315" s="47" t="s">
        <v>1719</v>
      </c>
      <c r="F5315" s="55" t="b">
        <v>1</v>
      </c>
      <c r="G5315" s="54" t="b">
        <v>1</v>
      </c>
      <c r="H5315" s="54" t="b">
        <v>1</v>
      </c>
      <c r="I5315" s="54" t="b">
        <v>1</v>
      </c>
      <c r="J5315" s="54" t="b">
        <v>1</v>
      </c>
      <c r="K5315" s="63" t="s">
        <v>1034</v>
      </c>
      <c r="L5315" s="63" t="s">
        <v>10681</v>
      </c>
      <c r="M5315" s="63" t="s">
        <v>10682</v>
      </c>
      <c r="N5315" s="63" t="s">
        <v>1719</v>
      </c>
    </row>
    <row r="5316" spans="1:14" x14ac:dyDescent="0.2">
      <c r="A5316" s="51">
        <v>5315</v>
      </c>
      <c r="B5316" s="54" t="s">
        <v>1034</v>
      </c>
      <c r="C5316" s="47" t="s">
        <v>10683</v>
      </c>
      <c r="D5316" s="47" t="s">
        <v>10684</v>
      </c>
      <c r="E5316" s="47" t="s">
        <v>1719</v>
      </c>
      <c r="F5316" s="55" t="b">
        <v>1</v>
      </c>
      <c r="G5316" s="54" t="b">
        <v>1</v>
      </c>
      <c r="H5316" s="54" t="b">
        <v>1</v>
      </c>
      <c r="I5316" s="54" t="b">
        <v>1</v>
      </c>
      <c r="J5316" s="54" t="b">
        <v>1</v>
      </c>
      <c r="K5316" s="63" t="s">
        <v>1034</v>
      </c>
      <c r="L5316" s="63" t="s">
        <v>10683</v>
      </c>
      <c r="M5316" s="63" t="s">
        <v>10684</v>
      </c>
      <c r="N5316" s="63" t="s">
        <v>1719</v>
      </c>
    </row>
    <row r="5317" spans="1:14" x14ac:dyDescent="0.2">
      <c r="A5317" s="51">
        <v>5316</v>
      </c>
      <c r="B5317" s="54" t="s">
        <v>1034</v>
      </c>
      <c r="C5317" s="47" t="s">
        <v>10685</v>
      </c>
      <c r="D5317" s="47" t="s">
        <v>10686</v>
      </c>
      <c r="E5317" s="47" t="s">
        <v>1719</v>
      </c>
      <c r="F5317" s="55" t="b">
        <v>1</v>
      </c>
      <c r="G5317" s="54" t="b">
        <v>1</v>
      </c>
      <c r="H5317" s="54" t="b">
        <v>1</v>
      </c>
      <c r="I5317" s="54" t="b">
        <v>1</v>
      </c>
      <c r="J5317" s="54" t="b">
        <v>1</v>
      </c>
      <c r="K5317" s="63" t="s">
        <v>1034</v>
      </c>
      <c r="L5317" s="63" t="s">
        <v>10685</v>
      </c>
      <c r="M5317" s="63" t="s">
        <v>10686</v>
      </c>
      <c r="N5317" s="63" t="s">
        <v>1719</v>
      </c>
    </row>
    <row r="5318" spans="1:14" x14ac:dyDescent="0.2">
      <c r="A5318" s="51">
        <v>5317</v>
      </c>
      <c r="B5318" s="54" t="s">
        <v>1034</v>
      </c>
      <c r="C5318" s="47" t="s">
        <v>10721</v>
      </c>
      <c r="D5318" s="47" t="s">
        <v>10722</v>
      </c>
      <c r="E5318" s="47" t="s">
        <v>1719</v>
      </c>
      <c r="F5318" s="55" t="b">
        <v>1</v>
      </c>
      <c r="G5318" s="54" t="b">
        <v>1</v>
      </c>
      <c r="H5318" s="54" t="b">
        <v>1</v>
      </c>
      <c r="I5318" s="54" t="b">
        <v>1</v>
      </c>
      <c r="J5318" s="54" t="b">
        <v>1</v>
      </c>
      <c r="K5318" s="63" t="s">
        <v>1034</v>
      </c>
      <c r="L5318" s="63" t="s">
        <v>10721</v>
      </c>
      <c r="M5318" s="63" t="s">
        <v>10722</v>
      </c>
      <c r="N5318" s="63" t="s">
        <v>1719</v>
      </c>
    </row>
    <row r="5319" spans="1:14" x14ac:dyDescent="0.2">
      <c r="A5319" s="51">
        <v>5318</v>
      </c>
      <c r="B5319" s="54" t="s">
        <v>1034</v>
      </c>
      <c r="C5319" s="47" t="s">
        <v>10771</v>
      </c>
      <c r="D5319" s="47" t="s">
        <v>10772</v>
      </c>
      <c r="E5319" s="47" t="s">
        <v>1719</v>
      </c>
      <c r="F5319" s="55" t="b">
        <v>1</v>
      </c>
      <c r="G5319" s="54" t="b">
        <v>1</v>
      </c>
      <c r="H5319" s="54" t="b">
        <v>1</v>
      </c>
      <c r="I5319" s="54" t="b">
        <v>1</v>
      </c>
      <c r="J5319" s="54" t="b">
        <v>1</v>
      </c>
      <c r="K5319" s="63" t="s">
        <v>1034</v>
      </c>
      <c r="L5319" s="63" t="s">
        <v>10771</v>
      </c>
      <c r="M5319" s="63" t="s">
        <v>10772</v>
      </c>
      <c r="N5319" s="63" t="s">
        <v>1719</v>
      </c>
    </row>
    <row r="5320" spans="1:14" x14ac:dyDescent="0.2">
      <c r="A5320" s="51">
        <v>5319</v>
      </c>
      <c r="B5320" s="54" t="s">
        <v>1034</v>
      </c>
      <c r="C5320" s="47" t="s">
        <v>10773</v>
      </c>
      <c r="D5320" s="47" t="s">
        <v>10774</v>
      </c>
      <c r="E5320" s="47" t="s">
        <v>1719</v>
      </c>
      <c r="F5320" s="55" t="b">
        <v>1</v>
      </c>
      <c r="G5320" s="54" t="b">
        <v>1</v>
      </c>
      <c r="H5320" s="54" t="b">
        <v>1</v>
      </c>
      <c r="I5320" s="54" t="b">
        <v>1</v>
      </c>
      <c r="J5320" s="54" t="b">
        <v>1</v>
      </c>
      <c r="K5320" s="63" t="s">
        <v>1034</v>
      </c>
      <c r="L5320" s="63" t="s">
        <v>10773</v>
      </c>
      <c r="M5320" s="63" t="s">
        <v>10774</v>
      </c>
      <c r="N5320" s="63" t="s">
        <v>1719</v>
      </c>
    </row>
    <row r="5321" spans="1:14" x14ac:dyDescent="0.2">
      <c r="A5321" s="51">
        <v>5320</v>
      </c>
      <c r="B5321" s="54" t="s">
        <v>1034</v>
      </c>
      <c r="C5321" s="47" t="s">
        <v>10695</v>
      </c>
      <c r="D5321" s="47" t="s">
        <v>10696</v>
      </c>
      <c r="E5321" s="47" t="s">
        <v>1719</v>
      </c>
      <c r="F5321" s="55" t="b">
        <v>1</v>
      </c>
      <c r="G5321" s="54" t="b">
        <v>1</v>
      </c>
      <c r="H5321" s="54" t="b">
        <v>1</v>
      </c>
      <c r="I5321" s="54" t="b">
        <v>1</v>
      </c>
      <c r="J5321" s="54" t="b">
        <v>1</v>
      </c>
      <c r="K5321" s="63" t="s">
        <v>1034</v>
      </c>
      <c r="L5321" s="63" t="s">
        <v>10695</v>
      </c>
      <c r="M5321" s="63" t="s">
        <v>10696</v>
      </c>
      <c r="N5321" s="63" t="s">
        <v>1719</v>
      </c>
    </row>
    <row r="5322" spans="1:14" x14ac:dyDescent="0.2">
      <c r="A5322" s="51">
        <v>5321</v>
      </c>
      <c r="B5322" s="54" t="s">
        <v>1034</v>
      </c>
      <c r="C5322" s="47" t="s">
        <v>10697</v>
      </c>
      <c r="D5322" s="47" t="s">
        <v>10698</v>
      </c>
      <c r="E5322" s="47" t="s">
        <v>1719</v>
      </c>
      <c r="F5322" s="55" t="b">
        <v>1</v>
      </c>
      <c r="G5322" s="54" t="b">
        <v>1</v>
      </c>
      <c r="H5322" s="54" t="b">
        <v>1</v>
      </c>
      <c r="I5322" s="54" t="b">
        <v>1</v>
      </c>
      <c r="J5322" s="54" t="b">
        <v>1</v>
      </c>
      <c r="K5322" s="63" t="s">
        <v>1034</v>
      </c>
      <c r="L5322" s="63" t="s">
        <v>10697</v>
      </c>
      <c r="M5322" s="63" t="s">
        <v>10698</v>
      </c>
      <c r="N5322" s="63" t="s">
        <v>1719</v>
      </c>
    </row>
    <row r="5323" spans="1:14" x14ac:dyDescent="0.2">
      <c r="A5323" s="51">
        <v>5322</v>
      </c>
      <c r="B5323" s="54" t="s">
        <v>1034</v>
      </c>
      <c r="C5323" s="47" t="s">
        <v>10699</v>
      </c>
      <c r="D5323" s="47" t="s">
        <v>10700</v>
      </c>
      <c r="E5323" s="47" t="s">
        <v>1719</v>
      </c>
      <c r="F5323" s="55" t="b">
        <v>1</v>
      </c>
      <c r="G5323" s="54" t="b">
        <v>1</v>
      </c>
      <c r="H5323" s="54" t="b">
        <v>1</v>
      </c>
      <c r="I5323" s="54" t="b">
        <v>1</v>
      </c>
      <c r="J5323" s="54" t="b">
        <v>1</v>
      </c>
      <c r="K5323" s="63" t="s">
        <v>1034</v>
      </c>
      <c r="L5323" s="63" t="s">
        <v>10699</v>
      </c>
      <c r="M5323" s="63" t="s">
        <v>10700</v>
      </c>
      <c r="N5323" s="63" t="s">
        <v>1719</v>
      </c>
    </row>
    <row r="5324" spans="1:14" x14ac:dyDescent="0.2">
      <c r="A5324" s="51">
        <v>5323</v>
      </c>
      <c r="B5324" s="54" t="s">
        <v>1034</v>
      </c>
      <c r="C5324" s="47" t="s">
        <v>10709</v>
      </c>
      <c r="D5324" s="47" t="s">
        <v>10710</v>
      </c>
      <c r="E5324" s="47" t="s">
        <v>1719</v>
      </c>
      <c r="F5324" s="55" t="b">
        <v>1</v>
      </c>
      <c r="G5324" s="54" t="b">
        <v>1</v>
      </c>
      <c r="H5324" s="54" t="b">
        <v>1</v>
      </c>
      <c r="I5324" s="54" t="b">
        <v>1</v>
      </c>
      <c r="J5324" s="54" t="b">
        <v>1</v>
      </c>
      <c r="K5324" s="63" t="s">
        <v>1034</v>
      </c>
      <c r="L5324" s="63" t="s">
        <v>10709</v>
      </c>
      <c r="M5324" s="63" t="s">
        <v>10710</v>
      </c>
      <c r="N5324" s="63" t="s">
        <v>1719</v>
      </c>
    </row>
    <row r="5325" spans="1:14" x14ac:dyDescent="0.2">
      <c r="A5325" s="51">
        <v>5324</v>
      </c>
      <c r="B5325" s="54" t="s">
        <v>1034</v>
      </c>
      <c r="C5325" s="47" t="s">
        <v>10713</v>
      </c>
      <c r="D5325" s="47" t="s">
        <v>10714</v>
      </c>
      <c r="E5325" s="47" t="s">
        <v>1719</v>
      </c>
      <c r="F5325" s="55" t="b">
        <v>1</v>
      </c>
      <c r="G5325" s="54" t="b">
        <v>1</v>
      </c>
      <c r="H5325" s="54" t="b">
        <v>1</v>
      </c>
      <c r="I5325" s="54" t="b">
        <v>1</v>
      </c>
      <c r="J5325" s="54" t="b">
        <v>1</v>
      </c>
      <c r="K5325" s="63" t="s">
        <v>1034</v>
      </c>
      <c r="L5325" s="63" t="s">
        <v>10713</v>
      </c>
      <c r="M5325" s="63" t="s">
        <v>10714</v>
      </c>
      <c r="N5325" s="63" t="s">
        <v>1719</v>
      </c>
    </row>
    <row r="5326" spans="1:14" x14ac:dyDescent="0.2">
      <c r="A5326" s="51">
        <v>5325</v>
      </c>
      <c r="B5326" s="54" t="s">
        <v>1034</v>
      </c>
      <c r="C5326" s="47" t="s">
        <v>10703</v>
      </c>
      <c r="D5326" s="47" t="s">
        <v>10704</v>
      </c>
      <c r="E5326" s="47" t="s">
        <v>1719</v>
      </c>
      <c r="F5326" s="55" t="b">
        <v>1</v>
      </c>
      <c r="G5326" s="54" t="b">
        <v>1</v>
      </c>
      <c r="H5326" s="54" t="b">
        <v>1</v>
      </c>
      <c r="I5326" s="54" t="b">
        <v>1</v>
      </c>
      <c r="J5326" s="54" t="b">
        <v>1</v>
      </c>
      <c r="K5326" s="63" t="s">
        <v>1034</v>
      </c>
      <c r="L5326" s="63" t="s">
        <v>10703</v>
      </c>
      <c r="M5326" s="63" t="s">
        <v>10704</v>
      </c>
      <c r="N5326" s="63" t="s">
        <v>1719</v>
      </c>
    </row>
    <row r="5327" spans="1:14" x14ac:dyDescent="0.2">
      <c r="A5327" s="51">
        <v>5326</v>
      </c>
      <c r="B5327" s="54" t="s">
        <v>1034</v>
      </c>
      <c r="C5327" s="47" t="s">
        <v>10705</v>
      </c>
      <c r="D5327" s="47" t="s">
        <v>10706</v>
      </c>
      <c r="E5327" s="47" t="s">
        <v>1719</v>
      </c>
      <c r="F5327" s="55" t="b">
        <v>1</v>
      </c>
      <c r="G5327" s="54" t="b">
        <v>1</v>
      </c>
      <c r="H5327" s="54" t="b">
        <v>1</v>
      </c>
      <c r="I5327" s="54" t="b">
        <v>1</v>
      </c>
      <c r="J5327" s="54" t="b">
        <v>1</v>
      </c>
      <c r="K5327" s="63" t="s">
        <v>1034</v>
      </c>
      <c r="L5327" s="63" t="s">
        <v>10705</v>
      </c>
      <c r="M5327" s="63" t="s">
        <v>10706</v>
      </c>
      <c r="N5327" s="63" t="s">
        <v>1719</v>
      </c>
    </row>
    <row r="5328" spans="1:14" x14ac:dyDescent="0.2">
      <c r="A5328" s="51">
        <v>5327</v>
      </c>
      <c r="B5328" s="54" t="s">
        <v>1034</v>
      </c>
      <c r="C5328" s="47" t="s">
        <v>10707</v>
      </c>
      <c r="D5328" s="47" t="s">
        <v>10708</v>
      </c>
      <c r="E5328" s="47" t="s">
        <v>1719</v>
      </c>
      <c r="F5328" s="55" t="b">
        <v>1</v>
      </c>
      <c r="G5328" s="54" t="b">
        <v>1</v>
      </c>
      <c r="H5328" s="54" t="b">
        <v>1</v>
      </c>
      <c r="I5328" s="54" t="b">
        <v>1</v>
      </c>
      <c r="J5328" s="54" t="b">
        <v>1</v>
      </c>
      <c r="K5328" s="63" t="s">
        <v>1034</v>
      </c>
      <c r="L5328" s="63" t="s">
        <v>10707</v>
      </c>
      <c r="M5328" s="63" t="s">
        <v>10708</v>
      </c>
      <c r="N5328" s="63" t="s">
        <v>1719</v>
      </c>
    </row>
    <row r="5329" spans="1:14" x14ac:dyDescent="0.2">
      <c r="A5329" s="51">
        <v>5328</v>
      </c>
      <c r="B5329" s="54" t="s">
        <v>1034</v>
      </c>
      <c r="C5329" s="47" t="s">
        <v>10715</v>
      </c>
      <c r="D5329" s="47" t="s">
        <v>10716</v>
      </c>
      <c r="E5329" s="47" t="s">
        <v>1719</v>
      </c>
      <c r="F5329" s="55" t="b">
        <v>1</v>
      </c>
      <c r="G5329" s="54" t="b">
        <v>1</v>
      </c>
      <c r="H5329" s="54" t="b">
        <v>1</v>
      </c>
      <c r="I5329" s="54" t="b">
        <v>1</v>
      </c>
      <c r="J5329" s="54" t="b">
        <v>1</v>
      </c>
      <c r="K5329" s="63" t="s">
        <v>1034</v>
      </c>
      <c r="L5329" s="63" t="s">
        <v>10715</v>
      </c>
      <c r="M5329" s="63" t="s">
        <v>10716</v>
      </c>
      <c r="N5329" s="63" t="s">
        <v>1719</v>
      </c>
    </row>
    <row r="5330" spans="1:14" x14ac:dyDescent="0.2">
      <c r="A5330" s="51">
        <v>5329</v>
      </c>
      <c r="B5330" s="54" t="s">
        <v>1034</v>
      </c>
      <c r="C5330" s="47" t="s">
        <v>10717</v>
      </c>
      <c r="D5330" s="47" t="s">
        <v>10718</v>
      </c>
      <c r="E5330" s="47" t="s">
        <v>1719</v>
      </c>
      <c r="F5330" s="55" t="b">
        <v>1</v>
      </c>
      <c r="G5330" s="54" t="b">
        <v>1</v>
      </c>
      <c r="H5330" s="54" t="b">
        <v>1</v>
      </c>
      <c r="I5330" s="54" t="b">
        <v>1</v>
      </c>
      <c r="J5330" s="54" t="b">
        <v>1</v>
      </c>
      <c r="K5330" s="63" t="s">
        <v>1034</v>
      </c>
      <c r="L5330" s="63" t="s">
        <v>10717</v>
      </c>
      <c r="M5330" s="63" t="s">
        <v>10718</v>
      </c>
      <c r="N5330" s="63" t="s">
        <v>1719</v>
      </c>
    </row>
    <row r="5331" spans="1:14" x14ac:dyDescent="0.2">
      <c r="A5331" s="51">
        <v>5330</v>
      </c>
      <c r="B5331" s="54" t="s">
        <v>1034</v>
      </c>
      <c r="C5331" s="47" t="s">
        <v>10689</v>
      </c>
      <c r="D5331" s="47" t="s">
        <v>10690</v>
      </c>
      <c r="E5331" s="47" t="s">
        <v>1719</v>
      </c>
      <c r="F5331" s="55" t="b">
        <v>1</v>
      </c>
      <c r="G5331" s="54" t="b">
        <v>1</v>
      </c>
      <c r="H5331" s="54" t="b">
        <v>1</v>
      </c>
      <c r="I5331" s="54" t="b">
        <v>1</v>
      </c>
      <c r="J5331" s="54" t="b">
        <v>1</v>
      </c>
      <c r="K5331" s="63" t="s">
        <v>1034</v>
      </c>
      <c r="L5331" s="63" t="s">
        <v>10689</v>
      </c>
      <c r="M5331" s="63" t="s">
        <v>10690</v>
      </c>
      <c r="N5331" s="63" t="s">
        <v>1719</v>
      </c>
    </row>
    <row r="5332" spans="1:14" x14ac:dyDescent="0.2">
      <c r="A5332" s="51">
        <v>5331</v>
      </c>
      <c r="B5332" s="54" t="s">
        <v>1034</v>
      </c>
      <c r="C5332" s="47" t="s">
        <v>10719</v>
      </c>
      <c r="D5332" s="47" t="s">
        <v>10720</v>
      </c>
      <c r="E5332" s="47" t="s">
        <v>1719</v>
      </c>
      <c r="F5332" s="55" t="b">
        <v>1</v>
      </c>
      <c r="G5332" s="54" t="b">
        <v>1</v>
      </c>
      <c r="H5332" s="54" t="b">
        <v>1</v>
      </c>
      <c r="I5332" s="54" t="b">
        <v>1</v>
      </c>
      <c r="J5332" s="54" t="b">
        <v>1</v>
      </c>
      <c r="K5332" s="63" t="s">
        <v>1034</v>
      </c>
      <c r="L5332" s="63" t="s">
        <v>10719</v>
      </c>
      <c r="M5332" s="63" t="s">
        <v>10720</v>
      </c>
      <c r="N5332" s="63" t="s">
        <v>1719</v>
      </c>
    </row>
    <row r="5333" spans="1:14" x14ac:dyDescent="0.2">
      <c r="A5333" s="51">
        <v>5332</v>
      </c>
      <c r="B5333" s="54" t="s">
        <v>1034</v>
      </c>
      <c r="C5333" s="47" t="s">
        <v>10723</v>
      </c>
      <c r="D5333" s="47" t="s">
        <v>10724</v>
      </c>
      <c r="E5333" s="47" t="s">
        <v>1719</v>
      </c>
      <c r="F5333" s="55" t="b">
        <v>1</v>
      </c>
      <c r="G5333" s="54" t="b">
        <v>1</v>
      </c>
      <c r="H5333" s="54" t="b">
        <v>1</v>
      </c>
      <c r="I5333" s="54" t="b">
        <v>1</v>
      </c>
      <c r="J5333" s="54" t="b">
        <v>1</v>
      </c>
      <c r="K5333" s="63" t="s">
        <v>1034</v>
      </c>
      <c r="L5333" s="63" t="s">
        <v>10723</v>
      </c>
      <c r="M5333" s="63" t="s">
        <v>10724</v>
      </c>
      <c r="N5333" s="63" t="s">
        <v>1719</v>
      </c>
    </row>
    <row r="5334" spans="1:14" x14ac:dyDescent="0.2">
      <c r="A5334" s="51">
        <v>5333</v>
      </c>
      <c r="B5334" s="54" t="s">
        <v>1034</v>
      </c>
      <c r="C5334" s="47" t="s">
        <v>10725</v>
      </c>
      <c r="D5334" s="47" t="s">
        <v>10726</v>
      </c>
      <c r="E5334" s="47" t="s">
        <v>1719</v>
      </c>
      <c r="F5334" s="55" t="b">
        <v>1</v>
      </c>
      <c r="G5334" s="54" t="b">
        <v>1</v>
      </c>
      <c r="H5334" s="54" t="b">
        <v>1</v>
      </c>
      <c r="I5334" s="54" t="b">
        <v>1</v>
      </c>
      <c r="J5334" s="54" t="b">
        <v>1</v>
      </c>
      <c r="K5334" s="63" t="s">
        <v>1034</v>
      </c>
      <c r="L5334" s="63" t="s">
        <v>10725</v>
      </c>
      <c r="M5334" s="63" t="s">
        <v>10726</v>
      </c>
      <c r="N5334" s="63" t="s">
        <v>1719</v>
      </c>
    </row>
    <row r="5335" spans="1:14" x14ac:dyDescent="0.2">
      <c r="A5335" s="51">
        <v>5334</v>
      </c>
      <c r="B5335" s="54" t="s">
        <v>1034</v>
      </c>
      <c r="C5335" s="47" t="s">
        <v>10727</v>
      </c>
      <c r="D5335" s="47" t="s">
        <v>10728</v>
      </c>
      <c r="E5335" s="47" t="s">
        <v>1719</v>
      </c>
      <c r="F5335" s="55" t="b">
        <v>1</v>
      </c>
      <c r="G5335" s="54" t="b">
        <v>1</v>
      </c>
      <c r="H5335" s="54" t="b">
        <v>1</v>
      </c>
      <c r="I5335" s="54" t="b">
        <v>1</v>
      </c>
      <c r="J5335" s="54" t="b">
        <v>1</v>
      </c>
      <c r="K5335" s="63" t="s">
        <v>1034</v>
      </c>
      <c r="L5335" s="63" t="s">
        <v>10727</v>
      </c>
      <c r="M5335" s="63" t="s">
        <v>10728</v>
      </c>
      <c r="N5335" s="63" t="s">
        <v>1719</v>
      </c>
    </row>
    <row r="5336" spans="1:14" x14ac:dyDescent="0.2">
      <c r="A5336" s="51">
        <v>5335</v>
      </c>
      <c r="B5336" s="54" t="s">
        <v>1034</v>
      </c>
      <c r="C5336" s="47" t="s">
        <v>10729</v>
      </c>
      <c r="D5336" s="47" t="s">
        <v>10730</v>
      </c>
      <c r="E5336" s="47" t="s">
        <v>1719</v>
      </c>
      <c r="F5336" s="55" t="b">
        <v>1</v>
      </c>
      <c r="G5336" s="54" t="b">
        <v>1</v>
      </c>
      <c r="H5336" s="54" t="b">
        <v>1</v>
      </c>
      <c r="I5336" s="54" t="b">
        <v>1</v>
      </c>
      <c r="J5336" s="54" t="b">
        <v>1</v>
      </c>
      <c r="K5336" s="63" t="s">
        <v>1034</v>
      </c>
      <c r="L5336" s="63" t="s">
        <v>10729</v>
      </c>
      <c r="M5336" s="63" t="s">
        <v>10730</v>
      </c>
      <c r="N5336" s="63" t="s">
        <v>1719</v>
      </c>
    </row>
    <row r="5337" spans="1:14" x14ac:dyDescent="0.2">
      <c r="A5337" s="51">
        <v>5336</v>
      </c>
      <c r="B5337" s="54" t="s">
        <v>1034</v>
      </c>
      <c r="C5337" s="47" t="s">
        <v>10731</v>
      </c>
      <c r="D5337" s="47" t="s">
        <v>10732</v>
      </c>
      <c r="E5337" s="47" t="s">
        <v>1719</v>
      </c>
      <c r="F5337" s="55" t="b">
        <v>1</v>
      </c>
      <c r="G5337" s="54" t="b">
        <v>1</v>
      </c>
      <c r="H5337" s="54" t="b">
        <v>1</v>
      </c>
      <c r="I5337" s="54" t="b">
        <v>1</v>
      </c>
      <c r="J5337" s="54" t="b">
        <v>1</v>
      </c>
      <c r="K5337" s="63" t="s">
        <v>1034</v>
      </c>
      <c r="L5337" s="63" t="s">
        <v>10731</v>
      </c>
      <c r="M5337" s="63" t="s">
        <v>10732</v>
      </c>
      <c r="N5337" s="63" t="s">
        <v>1719</v>
      </c>
    </row>
    <row r="5338" spans="1:14" x14ac:dyDescent="0.2">
      <c r="A5338" s="51">
        <v>5337</v>
      </c>
      <c r="B5338" s="54" t="s">
        <v>1034</v>
      </c>
      <c r="C5338" s="47" t="s">
        <v>10735</v>
      </c>
      <c r="D5338" s="47" t="s">
        <v>10736</v>
      </c>
      <c r="E5338" s="47" t="s">
        <v>1719</v>
      </c>
      <c r="F5338" s="55" t="b">
        <v>1</v>
      </c>
      <c r="G5338" s="54" t="b">
        <v>1</v>
      </c>
      <c r="H5338" s="54" t="b">
        <v>1</v>
      </c>
      <c r="I5338" s="54" t="b">
        <v>1</v>
      </c>
      <c r="J5338" s="54" t="b">
        <v>1</v>
      </c>
      <c r="K5338" s="63" t="s">
        <v>1034</v>
      </c>
      <c r="L5338" s="63" t="s">
        <v>10735</v>
      </c>
      <c r="M5338" s="63" t="s">
        <v>10736</v>
      </c>
      <c r="N5338" s="63" t="s">
        <v>1719</v>
      </c>
    </row>
    <row r="5339" spans="1:14" x14ac:dyDescent="0.2">
      <c r="A5339" s="51">
        <v>5338</v>
      </c>
      <c r="B5339" s="54" t="s">
        <v>1034</v>
      </c>
      <c r="C5339" s="47" t="s">
        <v>10737</v>
      </c>
      <c r="D5339" s="47" t="s">
        <v>10738</v>
      </c>
      <c r="E5339" s="47" t="s">
        <v>1719</v>
      </c>
      <c r="F5339" s="55" t="b">
        <v>1</v>
      </c>
      <c r="G5339" s="54" t="b">
        <v>1</v>
      </c>
      <c r="H5339" s="54" t="b">
        <v>1</v>
      </c>
      <c r="I5339" s="54" t="b">
        <v>1</v>
      </c>
      <c r="J5339" s="54" t="b">
        <v>1</v>
      </c>
      <c r="K5339" s="63" t="s">
        <v>1034</v>
      </c>
      <c r="L5339" s="63" t="s">
        <v>10737</v>
      </c>
      <c r="M5339" s="63" t="s">
        <v>10738</v>
      </c>
      <c r="N5339" s="63" t="s">
        <v>1719</v>
      </c>
    </row>
    <row r="5340" spans="1:14" x14ac:dyDescent="0.2">
      <c r="A5340" s="51">
        <v>5339</v>
      </c>
      <c r="B5340" s="54" t="s">
        <v>1034</v>
      </c>
      <c r="C5340" s="47" t="s">
        <v>10739</v>
      </c>
      <c r="D5340" s="47" t="s">
        <v>10740</v>
      </c>
      <c r="E5340" s="47" t="s">
        <v>1719</v>
      </c>
      <c r="F5340" s="55" t="b">
        <v>1</v>
      </c>
      <c r="G5340" s="54" t="b">
        <v>1</v>
      </c>
      <c r="H5340" s="54" t="b">
        <v>1</v>
      </c>
      <c r="I5340" s="54" t="b">
        <v>1</v>
      </c>
      <c r="J5340" s="54" t="b">
        <v>1</v>
      </c>
      <c r="K5340" s="63" t="s">
        <v>1034</v>
      </c>
      <c r="L5340" s="63" t="s">
        <v>10739</v>
      </c>
      <c r="M5340" s="63" t="s">
        <v>10740</v>
      </c>
      <c r="N5340" s="63" t="s">
        <v>1719</v>
      </c>
    </row>
    <row r="5341" spans="1:14" x14ac:dyDescent="0.2">
      <c r="A5341" s="51">
        <v>5340</v>
      </c>
      <c r="B5341" s="54" t="s">
        <v>1034</v>
      </c>
      <c r="C5341" s="47" t="s">
        <v>10741</v>
      </c>
      <c r="D5341" s="47" t="s">
        <v>10742</v>
      </c>
      <c r="E5341" s="47" t="s">
        <v>1719</v>
      </c>
      <c r="F5341" s="55" t="b">
        <v>1</v>
      </c>
      <c r="G5341" s="54" t="b">
        <v>1</v>
      </c>
      <c r="H5341" s="54" t="b">
        <v>1</v>
      </c>
      <c r="I5341" s="54" t="b">
        <v>1</v>
      </c>
      <c r="J5341" s="54" t="b">
        <v>1</v>
      </c>
      <c r="K5341" s="63" t="s">
        <v>1034</v>
      </c>
      <c r="L5341" s="63" t="s">
        <v>10741</v>
      </c>
      <c r="M5341" s="63" t="s">
        <v>10742</v>
      </c>
      <c r="N5341" s="63" t="s">
        <v>1719</v>
      </c>
    </row>
    <row r="5342" spans="1:14" x14ac:dyDescent="0.2">
      <c r="A5342" s="51">
        <v>5341</v>
      </c>
      <c r="B5342" s="54" t="s">
        <v>1034</v>
      </c>
      <c r="C5342" s="47" t="s">
        <v>10743</v>
      </c>
      <c r="D5342" s="47" t="s">
        <v>10744</v>
      </c>
      <c r="E5342" s="47" t="s">
        <v>1719</v>
      </c>
      <c r="F5342" s="55" t="b">
        <v>1</v>
      </c>
      <c r="G5342" s="54" t="b">
        <v>1</v>
      </c>
      <c r="H5342" s="54" t="b">
        <v>1</v>
      </c>
      <c r="I5342" s="54" t="b">
        <v>1</v>
      </c>
      <c r="J5342" s="54" t="b">
        <v>1</v>
      </c>
      <c r="K5342" s="63" t="s">
        <v>1034</v>
      </c>
      <c r="L5342" s="63" t="s">
        <v>10743</v>
      </c>
      <c r="M5342" s="63" t="s">
        <v>10744</v>
      </c>
      <c r="N5342" s="63" t="s">
        <v>1719</v>
      </c>
    </row>
    <row r="5343" spans="1:14" x14ac:dyDescent="0.2">
      <c r="A5343" s="51">
        <v>5342</v>
      </c>
      <c r="B5343" s="54" t="s">
        <v>1034</v>
      </c>
      <c r="C5343" s="47" t="s">
        <v>10745</v>
      </c>
      <c r="D5343" s="47" t="s">
        <v>10746</v>
      </c>
      <c r="E5343" s="47" t="s">
        <v>1719</v>
      </c>
      <c r="F5343" s="55" t="b">
        <v>1</v>
      </c>
      <c r="G5343" s="54" t="b">
        <v>1</v>
      </c>
      <c r="H5343" s="54" t="b">
        <v>1</v>
      </c>
      <c r="I5343" s="54" t="b">
        <v>1</v>
      </c>
      <c r="J5343" s="54" t="b">
        <v>1</v>
      </c>
      <c r="K5343" s="63" t="s">
        <v>1034</v>
      </c>
      <c r="L5343" s="63" t="s">
        <v>10745</v>
      </c>
      <c r="M5343" s="63" t="s">
        <v>10746</v>
      </c>
      <c r="N5343" s="63" t="s">
        <v>1719</v>
      </c>
    </row>
    <row r="5344" spans="1:14" x14ac:dyDescent="0.2">
      <c r="A5344" s="51">
        <v>5343</v>
      </c>
      <c r="B5344" s="54" t="s">
        <v>1034</v>
      </c>
      <c r="C5344" s="47" t="s">
        <v>10747</v>
      </c>
      <c r="D5344" s="47" t="s">
        <v>10748</v>
      </c>
      <c r="E5344" s="47" t="s">
        <v>1719</v>
      </c>
      <c r="F5344" s="55" t="b">
        <v>1</v>
      </c>
      <c r="G5344" s="54" t="b">
        <v>1</v>
      </c>
      <c r="H5344" s="54" t="b">
        <v>1</v>
      </c>
      <c r="I5344" s="54" t="b">
        <v>1</v>
      </c>
      <c r="J5344" s="54" t="b">
        <v>1</v>
      </c>
      <c r="K5344" s="63" t="s">
        <v>1034</v>
      </c>
      <c r="L5344" s="63" t="s">
        <v>10747</v>
      </c>
      <c r="M5344" s="63" t="s">
        <v>10748</v>
      </c>
      <c r="N5344" s="63" t="s">
        <v>1719</v>
      </c>
    </row>
    <row r="5345" spans="1:14" x14ac:dyDescent="0.2">
      <c r="A5345" s="51">
        <v>5344</v>
      </c>
      <c r="B5345" s="54" t="s">
        <v>1034</v>
      </c>
      <c r="C5345" s="47" t="s">
        <v>10749</v>
      </c>
      <c r="D5345" s="47" t="s">
        <v>10750</v>
      </c>
      <c r="E5345" s="47" t="s">
        <v>1719</v>
      </c>
      <c r="F5345" s="55" t="b">
        <v>1</v>
      </c>
      <c r="G5345" s="54" t="b">
        <v>1</v>
      </c>
      <c r="H5345" s="54" t="b">
        <v>1</v>
      </c>
      <c r="I5345" s="54" t="b">
        <v>1</v>
      </c>
      <c r="J5345" s="54" t="b">
        <v>1</v>
      </c>
      <c r="K5345" s="63" t="s">
        <v>1034</v>
      </c>
      <c r="L5345" s="63" t="s">
        <v>10749</v>
      </c>
      <c r="M5345" s="63" t="s">
        <v>10750</v>
      </c>
      <c r="N5345" s="63" t="s">
        <v>1719</v>
      </c>
    </row>
    <row r="5346" spans="1:14" x14ac:dyDescent="0.2">
      <c r="A5346" s="51">
        <v>5345</v>
      </c>
      <c r="B5346" s="54" t="s">
        <v>1034</v>
      </c>
      <c r="C5346" s="47" t="s">
        <v>10751</v>
      </c>
      <c r="D5346" s="47" t="s">
        <v>10752</v>
      </c>
      <c r="E5346" s="47" t="s">
        <v>1719</v>
      </c>
      <c r="F5346" s="55" t="b">
        <v>1</v>
      </c>
      <c r="G5346" s="54" t="b">
        <v>1</v>
      </c>
      <c r="H5346" s="54" t="b">
        <v>1</v>
      </c>
      <c r="I5346" s="54" t="b">
        <v>1</v>
      </c>
      <c r="J5346" s="54" t="b">
        <v>1</v>
      </c>
      <c r="K5346" s="63" t="s">
        <v>1034</v>
      </c>
      <c r="L5346" s="63" t="s">
        <v>10751</v>
      </c>
      <c r="M5346" s="63" t="s">
        <v>10752</v>
      </c>
      <c r="N5346" s="63" t="s">
        <v>1719</v>
      </c>
    </row>
    <row r="5347" spans="1:14" x14ac:dyDescent="0.2">
      <c r="A5347" s="51">
        <v>5346</v>
      </c>
      <c r="B5347" s="54" t="s">
        <v>1034</v>
      </c>
      <c r="C5347" s="47" t="s">
        <v>10753</v>
      </c>
      <c r="D5347" s="47" t="s">
        <v>10754</v>
      </c>
      <c r="E5347" s="47" t="s">
        <v>1719</v>
      </c>
      <c r="F5347" s="55" t="b">
        <v>1</v>
      </c>
      <c r="G5347" s="54" t="b">
        <v>1</v>
      </c>
      <c r="H5347" s="54" t="b">
        <v>1</v>
      </c>
      <c r="I5347" s="54" t="b">
        <v>1</v>
      </c>
      <c r="J5347" s="54" t="b">
        <v>1</v>
      </c>
      <c r="K5347" s="63" t="s">
        <v>1034</v>
      </c>
      <c r="L5347" s="63" t="s">
        <v>10753</v>
      </c>
      <c r="M5347" s="63" t="s">
        <v>10754</v>
      </c>
      <c r="N5347" s="63" t="s">
        <v>1719</v>
      </c>
    </row>
    <row r="5348" spans="1:14" x14ac:dyDescent="0.2">
      <c r="A5348" s="51">
        <v>5347</v>
      </c>
      <c r="B5348" s="54" t="s">
        <v>1034</v>
      </c>
      <c r="C5348" s="47" t="s">
        <v>10775</v>
      </c>
      <c r="D5348" s="47" t="s">
        <v>10776</v>
      </c>
      <c r="E5348" s="47" t="s">
        <v>1719</v>
      </c>
      <c r="F5348" s="55" t="b">
        <v>1</v>
      </c>
      <c r="G5348" s="54" t="b">
        <v>1</v>
      </c>
      <c r="H5348" s="54" t="b">
        <v>1</v>
      </c>
      <c r="I5348" s="54" t="b">
        <v>1</v>
      </c>
      <c r="J5348" s="54" t="b">
        <v>1</v>
      </c>
      <c r="K5348" s="63" t="s">
        <v>1034</v>
      </c>
      <c r="L5348" s="63" t="s">
        <v>10775</v>
      </c>
      <c r="M5348" s="63" t="s">
        <v>10776</v>
      </c>
      <c r="N5348" s="63" t="s">
        <v>1719</v>
      </c>
    </row>
    <row r="5349" spans="1:14" x14ac:dyDescent="0.2">
      <c r="A5349" s="51">
        <v>5348</v>
      </c>
      <c r="B5349" s="54" t="s">
        <v>1034</v>
      </c>
      <c r="C5349" s="47" t="s">
        <v>10755</v>
      </c>
      <c r="D5349" s="47" t="s">
        <v>10756</v>
      </c>
      <c r="E5349" s="47" t="s">
        <v>1719</v>
      </c>
      <c r="F5349" s="55" t="b">
        <v>1</v>
      </c>
      <c r="G5349" s="54" t="b">
        <v>1</v>
      </c>
      <c r="H5349" s="54" t="b">
        <v>1</v>
      </c>
      <c r="I5349" s="54" t="b">
        <v>1</v>
      </c>
      <c r="J5349" s="54" t="b">
        <v>1</v>
      </c>
      <c r="K5349" s="63" t="s">
        <v>1034</v>
      </c>
      <c r="L5349" s="63" t="s">
        <v>10755</v>
      </c>
      <c r="M5349" s="63" t="s">
        <v>10756</v>
      </c>
      <c r="N5349" s="63" t="s">
        <v>1719</v>
      </c>
    </row>
    <row r="5350" spans="1:14" x14ac:dyDescent="0.2">
      <c r="A5350" s="51">
        <v>5349</v>
      </c>
      <c r="B5350" s="54" t="s">
        <v>1034</v>
      </c>
      <c r="C5350" s="47" t="s">
        <v>10757</v>
      </c>
      <c r="D5350" s="47" t="s">
        <v>10758</v>
      </c>
      <c r="E5350" s="47" t="s">
        <v>1719</v>
      </c>
      <c r="F5350" s="55" t="b">
        <v>1</v>
      </c>
      <c r="G5350" s="54" t="b">
        <v>1</v>
      </c>
      <c r="H5350" s="54" t="b">
        <v>1</v>
      </c>
      <c r="I5350" s="54" t="b">
        <v>1</v>
      </c>
      <c r="J5350" s="54" t="b">
        <v>1</v>
      </c>
      <c r="K5350" s="63" t="s">
        <v>1034</v>
      </c>
      <c r="L5350" s="63" t="s">
        <v>10757</v>
      </c>
      <c r="M5350" s="63" t="s">
        <v>10758</v>
      </c>
      <c r="N5350" s="63" t="s">
        <v>1719</v>
      </c>
    </row>
    <row r="5351" spans="1:14" x14ac:dyDescent="0.2">
      <c r="A5351" s="51">
        <v>5350</v>
      </c>
      <c r="B5351" s="54" t="s">
        <v>1034</v>
      </c>
      <c r="C5351" s="47" t="s">
        <v>10761</v>
      </c>
      <c r="D5351" s="47" t="s">
        <v>10762</v>
      </c>
      <c r="E5351" s="47" t="s">
        <v>1719</v>
      </c>
      <c r="F5351" s="55" t="b">
        <v>1</v>
      </c>
      <c r="G5351" s="54" t="b">
        <v>1</v>
      </c>
      <c r="H5351" s="54" t="b">
        <v>1</v>
      </c>
      <c r="I5351" s="54" t="b">
        <v>1</v>
      </c>
      <c r="J5351" s="54" t="b">
        <v>1</v>
      </c>
      <c r="K5351" s="63" t="s">
        <v>1034</v>
      </c>
      <c r="L5351" s="63" t="s">
        <v>10761</v>
      </c>
      <c r="M5351" s="63" t="s">
        <v>10762</v>
      </c>
      <c r="N5351" s="63" t="s">
        <v>1719</v>
      </c>
    </row>
    <row r="5352" spans="1:14" x14ac:dyDescent="0.2">
      <c r="A5352" s="51">
        <v>5351</v>
      </c>
      <c r="B5352" s="54" t="s">
        <v>1034</v>
      </c>
      <c r="C5352" s="47" t="s">
        <v>10763</v>
      </c>
      <c r="D5352" s="47" t="s">
        <v>10764</v>
      </c>
      <c r="E5352" s="47" t="s">
        <v>1719</v>
      </c>
      <c r="F5352" s="55" t="b">
        <v>1</v>
      </c>
      <c r="G5352" s="54" t="b">
        <v>1</v>
      </c>
      <c r="H5352" s="54" t="b">
        <v>1</v>
      </c>
      <c r="I5352" s="54" t="b">
        <v>1</v>
      </c>
      <c r="J5352" s="54" t="b">
        <v>1</v>
      </c>
      <c r="K5352" s="63" t="s">
        <v>1034</v>
      </c>
      <c r="L5352" s="63" t="s">
        <v>10763</v>
      </c>
      <c r="M5352" s="63" t="s">
        <v>10764</v>
      </c>
      <c r="N5352" s="63" t="s">
        <v>1719</v>
      </c>
    </row>
    <row r="5353" spans="1:14" x14ac:dyDescent="0.2">
      <c r="A5353" s="51">
        <v>5352</v>
      </c>
      <c r="B5353" s="54" t="s">
        <v>1034</v>
      </c>
      <c r="C5353" s="47" t="s">
        <v>10623</v>
      </c>
      <c r="D5353" s="47" t="s">
        <v>10624</v>
      </c>
      <c r="E5353" s="47" t="s">
        <v>1719</v>
      </c>
      <c r="F5353" s="55" t="b">
        <v>1</v>
      </c>
      <c r="G5353" s="54" t="b">
        <v>1</v>
      </c>
      <c r="H5353" s="54" t="b">
        <v>1</v>
      </c>
      <c r="I5353" s="54" t="b">
        <v>1</v>
      </c>
      <c r="J5353" s="54" t="b">
        <v>1</v>
      </c>
      <c r="K5353" s="63" t="s">
        <v>1034</v>
      </c>
      <c r="L5353" s="63" t="s">
        <v>10623</v>
      </c>
      <c r="M5353" s="63" t="s">
        <v>10624</v>
      </c>
      <c r="N5353" s="63" t="s">
        <v>1719</v>
      </c>
    </row>
    <row r="5354" spans="1:14" x14ac:dyDescent="0.2">
      <c r="A5354" s="51">
        <v>5353</v>
      </c>
      <c r="B5354" s="54" t="s">
        <v>1034</v>
      </c>
      <c r="C5354" s="47" t="s">
        <v>10645</v>
      </c>
      <c r="D5354" s="47" t="s">
        <v>10646</v>
      </c>
      <c r="E5354" s="47" t="s">
        <v>1719</v>
      </c>
      <c r="F5354" s="55" t="b">
        <v>1</v>
      </c>
      <c r="G5354" s="54" t="b">
        <v>1</v>
      </c>
      <c r="H5354" s="54" t="b">
        <v>1</v>
      </c>
      <c r="I5354" s="54" t="b">
        <v>1</v>
      </c>
      <c r="J5354" s="54" t="b">
        <v>1</v>
      </c>
      <c r="K5354" s="63" t="s">
        <v>1034</v>
      </c>
      <c r="L5354" s="63" t="s">
        <v>10645</v>
      </c>
      <c r="M5354" s="63" t="s">
        <v>10646</v>
      </c>
      <c r="N5354" s="63" t="s">
        <v>1719</v>
      </c>
    </row>
    <row r="5355" spans="1:14" x14ac:dyDescent="0.2">
      <c r="A5355" s="51">
        <v>5354</v>
      </c>
      <c r="B5355" s="54" t="s">
        <v>1034</v>
      </c>
      <c r="C5355" s="47" t="s">
        <v>10693</v>
      </c>
      <c r="D5355" s="47" t="s">
        <v>10694</v>
      </c>
      <c r="E5355" s="47" t="s">
        <v>1719</v>
      </c>
      <c r="F5355" s="55" t="b">
        <v>1</v>
      </c>
      <c r="G5355" s="54" t="b">
        <v>1</v>
      </c>
      <c r="H5355" s="54" t="b">
        <v>1</v>
      </c>
      <c r="I5355" s="54" t="b">
        <v>1</v>
      </c>
      <c r="J5355" s="54" t="b">
        <v>1</v>
      </c>
      <c r="K5355" s="63" t="s">
        <v>1034</v>
      </c>
      <c r="L5355" s="63" t="s">
        <v>10693</v>
      </c>
      <c r="M5355" s="63" t="s">
        <v>10694</v>
      </c>
      <c r="N5355" s="63" t="s">
        <v>1719</v>
      </c>
    </row>
    <row r="5356" spans="1:14" x14ac:dyDescent="0.2">
      <c r="A5356" s="51">
        <v>5355</v>
      </c>
      <c r="B5356" s="54" t="s">
        <v>1034</v>
      </c>
      <c r="C5356" s="47" t="s">
        <v>10711</v>
      </c>
      <c r="D5356" s="47" t="s">
        <v>10712</v>
      </c>
      <c r="E5356" s="47" t="s">
        <v>1719</v>
      </c>
      <c r="F5356" s="55" t="b">
        <v>1</v>
      </c>
      <c r="G5356" s="54" t="b">
        <v>1</v>
      </c>
      <c r="H5356" s="54" t="b">
        <v>1</v>
      </c>
      <c r="I5356" s="54" t="b">
        <v>1</v>
      </c>
      <c r="J5356" s="54" t="b">
        <v>1</v>
      </c>
      <c r="K5356" s="63" t="s">
        <v>1034</v>
      </c>
      <c r="L5356" s="63" t="s">
        <v>10711</v>
      </c>
      <c r="M5356" s="63" t="s">
        <v>10712</v>
      </c>
      <c r="N5356" s="63" t="s">
        <v>1719</v>
      </c>
    </row>
    <row r="5357" spans="1:14" x14ac:dyDescent="0.2">
      <c r="A5357" s="51">
        <v>5356</v>
      </c>
      <c r="B5357" s="54" t="s">
        <v>1034</v>
      </c>
      <c r="C5357" s="47" t="s">
        <v>10643</v>
      </c>
      <c r="D5357" s="47" t="s">
        <v>10644</v>
      </c>
      <c r="E5357" s="47" t="s">
        <v>1719</v>
      </c>
      <c r="F5357" s="55" t="b">
        <v>1</v>
      </c>
      <c r="G5357" s="54" t="b">
        <v>1</v>
      </c>
      <c r="H5357" s="54" t="b">
        <v>1</v>
      </c>
      <c r="I5357" s="54" t="b">
        <v>1</v>
      </c>
      <c r="J5357" s="54" t="b">
        <v>1</v>
      </c>
      <c r="K5357" s="63" t="s">
        <v>1034</v>
      </c>
      <c r="L5357" s="63" t="s">
        <v>10643</v>
      </c>
      <c r="M5357" s="63" t="s">
        <v>10644</v>
      </c>
      <c r="N5357" s="63" t="s">
        <v>1719</v>
      </c>
    </row>
    <row r="5358" spans="1:14" x14ac:dyDescent="0.2">
      <c r="A5358" s="51">
        <v>5357</v>
      </c>
      <c r="B5358" s="54" t="s">
        <v>1034</v>
      </c>
      <c r="C5358" s="47" t="s">
        <v>10777</v>
      </c>
      <c r="D5358" s="47" t="s">
        <v>10778</v>
      </c>
      <c r="E5358" s="47" t="s">
        <v>1719</v>
      </c>
      <c r="F5358" s="55" t="b">
        <v>1</v>
      </c>
      <c r="G5358" s="54" t="b">
        <v>1</v>
      </c>
      <c r="H5358" s="54" t="b">
        <v>1</v>
      </c>
      <c r="I5358" s="54" t="b">
        <v>1</v>
      </c>
      <c r="J5358" s="54" t="b">
        <v>1</v>
      </c>
      <c r="K5358" s="63" t="s">
        <v>1034</v>
      </c>
      <c r="L5358" s="63" t="s">
        <v>10777</v>
      </c>
      <c r="M5358" s="63" t="s">
        <v>10778</v>
      </c>
      <c r="N5358" s="63" t="s">
        <v>1719</v>
      </c>
    </row>
    <row r="5359" spans="1:14" x14ac:dyDescent="0.2">
      <c r="A5359" s="51">
        <v>5358</v>
      </c>
      <c r="B5359" s="54" t="s">
        <v>1034</v>
      </c>
      <c r="C5359" s="47" t="s">
        <v>10641</v>
      </c>
      <c r="D5359" s="47" t="s">
        <v>10642</v>
      </c>
      <c r="E5359" s="47" t="s">
        <v>1719</v>
      </c>
      <c r="F5359" s="55" t="b">
        <v>1</v>
      </c>
      <c r="G5359" s="54" t="b">
        <v>1</v>
      </c>
      <c r="H5359" s="54" t="b">
        <v>1</v>
      </c>
      <c r="I5359" s="54" t="b">
        <v>1</v>
      </c>
      <c r="J5359" s="54" t="b">
        <v>1</v>
      </c>
      <c r="K5359" s="63" t="s">
        <v>1034</v>
      </c>
      <c r="L5359" s="63" t="s">
        <v>10641</v>
      </c>
      <c r="M5359" s="63" t="s">
        <v>10642</v>
      </c>
      <c r="N5359" s="63" t="s">
        <v>1719</v>
      </c>
    </row>
    <row r="5360" spans="1:14" x14ac:dyDescent="0.2">
      <c r="A5360" s="51">
        <v>5359</v>
      </c>
      <c r="B5360" s="54" t="s">
        <v>1034</v>
      </c>
      <c r="C5360" s="47" t="s">
        <v>10631</v>
      </c>
      <c r="D5360" s="47" t="s">
        <v>10632</v>
      </c>
      <c r="E5360" s="47" t="s">
        <v>1719</v>
      </c>
      <c r="F5360" s="55" t="b">
        <v>1</v>
      </c>
      <c r="G5360" s="54" t="b">
        <v>1</v>
      </c>
      <c r="H5360" s="54" t="b">
        <v>1</v>
      </c>
      <c r="I5360" s="54" t="b">
        <v>1</v>
      </c>
      <c r="J5360" s="54" t="b">
        <v>1</v>
      </c>
      <c r="K5360" s="63" t="s">
        <v>1034</v>
      </c>
      <c r="L5360" s="63" t="s">
        <v>10631</v>
      </c>
      <c r="M5360" s="63" t="s">
        <v>10632</v>
      </c>
      <c r="N5360" s="63" t="s">
        <v>1719</v>
      </c>
    </row>
    <row r="5361" spans="1:14" x14ac:dyDescent="0.2">
      <c r="A5361" s="51">
        <v>5360</v>
      </c>
      <c r="B5361" s="54" t="s">
        <v>1034</v>
      </c>
      <c r="C5361" s="47" t="s">
        <v>10687</v>
      </c>
      <c r="D5361" s="47" t="s">
        <v>10688</v>
      </c>
      <c r="E5361" s="47" t="s">
        <v>1719</v>
      </c>
      <c r="F5361" s="55" t="b">
        <v>1</v>
      </c>
      <c r="G5361" s="54" t="b">
        <v>1</v>
      </c>
      <c r="H5361" s="54" t="b">
        <v>1</v>
      </c>
      <c r="I5361" s="54" t="b">
        <v>1</v>
      </c>
      <c r="J5361" s="54" t="b">
        <v>1</v>
      </c>
      <c r="K5361" s="63" t="s">
        <v>1034</v>
      </c>
      <c r="L5361" s="63" t="s">
        <v>10687</v>
      </c>
      <c r="M5361" s="63" t="s">
        <v>10688</v>
      </c>
      <c r="N5361" s="63" t="s">
        <v>1719</v>
      </c>
    </row>
    <row r="5362" spans="1:14" x14ac:dyDescent="0.2">
      <c r="A5362" s="51">
        <v>5361</v>
      </c>
      <c r="B5362" s="54" t="s">
        <v>1034</v>
      </c>
      <c r="C5362" s="47" t="s">
        <v>10759</v>
      </c>
      <c r="D5362" s="47" t="s">
        <v>10760</v>
      </c>
      <c r="E5362" s="47" t="s">
        <v>1719</v>
      </c>
      <c r="F5362" s="55" t="b">
        <v>1</v>
      </c>
      <c r="G5362" s="54" t="b">
        <v>1</v>
      </c>
      <c r="H5362" s="54" t="b">
        <v>1</v>
      </c>
      <c r="I5362" s="54" t="b">
        <v>1</v>
      </c>
      <c r="J5362" s="54" t="b">
        <v>1</v>
      </c>
      <c r="K5362" s="63" t="s">
        <v>1034</v>
      </c>
      <c r="L5362" s="63" t="s">
        <v>10759</v>
      </c>
      <c r="M5362" s="63" t="s">
        <v>10760</v>
      </c>
      <c r="N5362" s="63" t="s">
        <v>1719</v>
      </c>
    </row>
    <row r="5363" spans="1:14" x14ac:dyDescent="0.2">
      <c r="A5363" s="51">
        <v>5362</v>
      </c>
      <c r="B5363" s="54" t="s">
        <v>1034</v>
      </c>
      <c r="C5363" s="47" t="s">
        <v>10691</v>
      </c>
      <c r="D5363" s="47" t="s">
        <v>10692</v>
      </c>
      <c r="E5363" s="47" t="s">
        <v>1719</v>
      </c>
      <c r="F5363" s="55" t="b">
        <v>1</v>
      </c>
      <c r="G5363" s="54" t="b">
        <v>1</v>
      </c>
      <c r="H5363" s="54" t="b">
        <v>1</v>
      </c>
      <c r="I5363" s="54" t="b">
        <v>1</v>
      </c>
      <c r="J5363" s="54" t="b">
        <v>1</v>
      </c>
      <c r="K5363" s="63" t="s">
        <v>1034</v>
      </c>
      <c r="L5363" s="63" t="s">
        <v>10691</v>
      </c>
      <c r="M5363" s="63" t="s">
        <v>10692</v>
      </c>
      <c r="N5363" s="63" t="s">
        <v>1719</v>
      </c>
    </row>
    <row r="5364" spans="1:14" x14ac:dyDescent="0.2">
      <c r="A5364" s="51">
        <v>5363</v>
      </c>
      <c r="B5364" s="54" t="s">
        <v>1034</v>
      </c>
      <c r="C5364" s="47" t="s">
        <v>10701</v>
      </c>
      <c r="D5364" s="47" t="s">
        <v>10702</v>
      </c>
      <c r="E5364" s="47" t="s">
        <v>1719</v>
      </c>
      <c r="F5364" s="55" t="b">
        <v>1</v>
      </c>
      <c r="G5364" s="54" t="b">
        <v>1</v>
      </c>
      <c r="H5364" s="54" t="b">
        <v>1</v>
      </c>
      <c r="I5364" s="54" t="b">
        <v>1</v>
      </c>
      <c r="J5364" s="54" t="b">
        <v>1</v>
      </c>
      <c r="K5364" s="63" t="s">
        <v>1034</v>
      </c>
      <c r="L5364" s="63" t="s">
        <v>10701</v>
      </c>
      <c r="M5364" s="63" t="s">
        <v>10702</v>
      </c>
      <c r="N5364" s="63" t="s">
        <v>1719</v>
      </c>
    </row>
    <row r="5365" spans="1:14" x14ac:dyDescent="0.2">
      <c r="A5365" s="51">
        <v>5364</v>
      </c>
      <c r="B5365" s="54" t="s">
        <v>1034</v>
      </c>
      <c r="C5365" s="47" t="s">
        <v>10733</v>
      </c>
      <c r="D5365" s="47" t="s">
        <v>10734</v>
      </c>
      <c r="E5365" s="47" t="s">
        <v>1719</v>
      </c>
      <c r="F5365" s="55" t="b">
        <v>1</v>
      </c>
      <c r="G5365" s="54" t="b">
        <v>1</v>
      </c>
      <c r="H5365" s="54" t="b">
        <v>1</v>
      </c>
      <c r="I5365" s="54" t="b">
        <v>1</v>
      </c>
      <c r="J5365" s="54" t="b">
        <v>1</v>
      </c>
      <c r="K5365" s="63" t="s">
        <v>1034</v>
      </c>
      <c r="L5365" s="63" t="s">
        <v>10733</v>
      </c>
      <c r="M5365" s="63" t="s">
        <v>10734</v>
      </c>
      <c r="N5365" s="63" t="s">
        <v>1719</v>
      </c>
    </row>
    <row r="5366" spans="1:14" x14ac:dyDescent="0.2">
      <c r="A5366" s="51">
        <v>5365</v>
      </c>
      <c r="B5366" s="54" t="s">
        <v>1034</v>
      </c>
      <c r="C5366" s="47" t="s">
        <v>10663</v>
      </c>
      <c r="D5366" s="47" t="s">
        <v>10664</v>
      </c>
      <c r="E5366" s="47" t="s">
        <v>1719</v>
      </c>
      <c r="F5366" s="55" t="b">
        <v>1</v>
      </c>
      <c r="G5366" s="54" t="b">
        <v>1</v>
      </c>
      <c r="H5366" s="54" t="b">
        <v>1</v>
      </c>
      <c r="I5366" s="54" t="b">
        <v>1</v>
      </c>
      <c r="J5366" s="54" t="b">
        <v>1</v>
      </c>
      <c r="K5366" s="63" t="s">
        <v>1034</v>
      </c>
      <c r="L5366" s="63" t="s">
        <v>10663</v>
      </c>
      <c r="M5366" s="63" t="s">
        <v>10664</v>
      </c>
      <c r="N5366" s="63" t="s">
        <v>1719</v>
      </c>
    </row>
    <row r="5367" spans="1:14" x14ac:dyDescent="0.2">
      <c r="A5367" s="51">
        <v>5366</v>
      </c>
      <c r="B5367" s="54" t="s">
        <v>1036</v>
      </c>
      <c r="C5367" s="47" t="s">
        <v>10779</v>
      </c>
      <c r="D5367" s="47" t="s">
        <v>10780</v>
      </c>
      <c r="E5367" s="47" t="s">
        <v>1719</v>
      </c>
      <c r="F5367" s="55" t="b">
        <v>1</v>
      </c>
      <c r="G5367" s="54" t="b">
        <v>1</v>
      </c>
      <c r="H5367" s="54" t="b">
        <v>1</v>
      </c>
      <c r="I5367" s="54" t="b">
        <v>1</v>
      </c>
      <c r="J5367" s="65" t="b">
        <v>0</v>
      </c>
      <c r="K5367" s="63" t="s">
        <v>1036</v>
      </c>
      <c r="L5367" s="63" t="s">
        <v>10779</v>
      </c>
      <c r="M5367" s="63" t="s">
        <v>10780</v>
      </c>
      <c r="N5367" s="63" t="s">
        <v>2087</v>
      </c>
    </row>
    <row r="5368" spans="1:14" x14ac:dyDescent="0.2">
      <c r="A5368" s="51">
        <v>5367</v>
      </c>
      <c r="B5368" s="54" t="s">
        <v>1036</v>
      </c>
      <c r="C5368" s="47" t="s">
        <v>10783</v>
      </c>
      <c r="D5368" s="47" t="s">
        <v>10784</v>
      </c>
      <c r="E5368" s="47" t="s">
        <v>1719</v>
      </c>
      <c r="F5368" s="55" t="b">
        <v>1</v>
      </c>
      <c r="G5368" s="54" t="b">
        <v>1</v>
      </c>
      <c r="H5368" s="54" t="b">
        <v>1</v>
      </c>
      <c r="I5368" s="54" t="b">
        <v>1</v>
      </c>
      <c r="J5368" s="65" t="b">
        <v>0</v>
      </c>
      <c r="K5368" s="63" t="s">
        <v>1036</v>
      </c>
      <c r="L5368" s="63" t="s">
        <v>10783</v>
      </c>
      <c r="M5368" s="63" t="s">
        <v>10784</v>
      </c>
      <c r="N5368" s="63" t="s">
        <v>2087</v>
      </c>
    </row>
    <row r="5369" spans="1:14" x14ac:dyDescent="0.2">
      <c r="A5369" s="51">
        <v>5368</v>
      </c>
      <c r="B5369" s="54" t="s">
        <v>1036</v>
      </c>
      <c r="C5369" s="47" t="s">
        <v>10785</v>
      </c>
      <c r="D5369" s="47" t="s">
        <v>10786</v>
      </c>
      <c r="E5369" s="47" t="s">
        <v>1719</v>
      </c>
      <c r="F5369" s="55" t="b">
        <v>1</v>
      </c>
      <c r="G5369" s="54" t="b">
        <v>1</v>
      </c>
      <c r="H5369" s="54" t="b">
        <v>1</v>
      </c>
      <c r="I5369" s="54" t="b">
        <v>1</v>
      </c>
      <c r="J5369" s="65" t="b">
        <v>0</v>
      </c>
      <c r="K5369" s="63" t="s">
        <v>1036</v>
      </c>
      <c r="L5369" s="63" t="s">
        <v>10785</v>
      </c>
      <c r="M5369" s="63" t="s">
        <v>10786</v>
      </c>
      <c r="N5369" s="63" t="s">
        <v>2087</v>
      </c>
    </row>
    <row r="5370" spans="1:14" x14ac:dyDescent="0.2">
      <c r="A5370" s="51">
        <v>5369</v>
      </c>
      <c r="B5370" s="54" t="s">
        <v>1036</v>
      </c>
      <c r="C5370" s="47" t="s">
        <v>10787</v>
      </c>
      <c r="D5370" s="47" t="s">
        <v>10788</v>
      </c>
      <c r="E5370" s="47" t="s">
        <v>1719</v>
      </c>
      <c r="F5370" s="55" t="b">
        <v>1</v>
      </c>
      <c r="G5370" s="54" t="b">
        <v>1</v>
      </c>
      <c r="H5370" s="54" t="b">
        <v>1</v>
      </c>
      <c r="I5370" s="54" t="b">
        <v>1</v>
      </c>
      <c r="J5370" s="65" t="b">
        <v>0</v>
      </c>
      <c r="K5370" s="63" t="s">
        <v>1036</v>
      </c>
      <c r="L5370" s="63" t="s">
        <v>10787</v>
      </c>
      <c r="M5370" s="63" t="s">
        <v>10788</v>
      </c>
      <c r="N5370" s="63" t="s">
        <v>2087</v>
      </c>
    </row>
    <row r="5371" spans="1:14" x14ac:dyDescent="0.2">
      <c r="A5371" s="51">
        <v>5370</v>
      </c>
      <c r="B5371" s="54" t="s">
        <v>1036</v>
      </c>
      <c r="C5371" s="47" t="s">
        <v>10789</v>
      </c>
      <c r="D5371" s="47" t="s">
        <v>10790</v>
      </c>
      <c r="E5371" s="47" t="s">
        <v>1719</v>
      </c>
      <c r="F5371" s="55" t="b">
        <v>1</v>
      </c>
      <c r="G5371" s="54" t="b">
        <v>1</v>
      </c>
      <c r="H5371" s="54" t="b">
        <v>1</v>
      </c>
      <c r="I5371" s="54" t="b">
        <v>1</v>
      </c>
      <c r="J5371" s="65" t="b">
        <v>0</v>
      </c>
      <c r="K5371" s="63" t="s">
        <v>1036</v>
      </c>
      <c r="L5371" s="63" t="s">
        <v>10789</v>
      </c>
      <c r="M5371" s="63" t="s">
        <v>10790</v>
      </c>
      <c r="N5371" s="63" t="s">
        <v>2087</v>
      </c>
    </row>
    <row r="5372" spans="1:14" x14ac:dyDescent="0.2">
      <c r="A5372" s="51">
        <v>5371</v>
      </c>
      <c r="B5372" s="54" t="s">
        <v>1036</v>
      </c>
      <c r="C5372" s="47" t="s">
        <v>10781</v>
      </c>
      <c r="D5372" s="47" t="s">
        <v>10782</v>
      </c>
      <c r="E5372" s="48" t="s">
        <v>2046</v>
      </c>
      <c r="F5372" s="66" t="b">
        <v>0</v>
      </c>
      <c r="G5372" s="54" t="b">
        <v>1</v>
      </c>
      <c r="H5372" s="54" t="b">
        <v>1</v>
      </c>
      <c r="I5372" s="54" t="b">
        <v>1</v>
      </c>
      <c r="J5372" s="54" t="b">
        <v>1</v>
      </c>
      <c r="K5372" s="63" t="s">
        <v>1036</v>
      </c>
      <c r="L5372" s="63" t="s">
        <v>10781</v>
      </c>
      <c r="M5372" s="63" t="s">
        <v>10782</v>
      </c>
      <c r="N5372" s="63" t="s">
        <v>2046</v>
      </c>
    </row>
    <row r="5373" spans="1:14" x14ac:dyDescent="0.2">
      <c r="A5373" s="51">
        <v>5372</v>
      </c>
      <c r="B5373" s="54" t="s">
        <v>1040</v>
      </c>
      <c r="C5373" s="47" t="s">
        <v>10791</v>
      </c>
      <c r="D5373" s="47" t="s">
        <v>10792</v>
      </c>
      <c r="E5373" s="47" t="s">
        <v>8860</v>
      </c>
      <c r="F5373" s="55" t="b">
        <v>1</v>
      </c>
      <c r="G5373" s="54" t="b">
        <v>1</v>
      </c>
      <c r="H5373" s="54" t="b">
        <v>1</v>
      </c>
      <c r="I5373" s="54" t="b">
        <v>1</v>
      </c>
      <c r="J5373" s="54" t="b">
        <v>1</v>
      </c>
      <c r="K5373" s="63" t="s">
        <v>1040</v>
      </c>
      <c r="L5373" s="63" t="s">
        <v>10791</v>
      </c>
      <c r="M5373" s="63" t="s">
        <v>10792</v>
      </c>
      <c r="N5373" s="63" t="s">
        <v>8860</v>
      </c>
    </row>
    <row r="5374" spans="1:14" x14ac:dyDescent="0.2">
      <c r="A5374" s="51">
        <v>5373</v>
      </c>
      <c r="B5374" s="54" t="s">
        <v>1040</v>
      </c>
      <c r="C5374" s="47" t="s">
        <v>10798</v>
      </c>
      <c r="D5374" s="47" t="s">
        <v>10799</v>
      </c>
      <c r="E5374" s="47" t="s">
        <v>10795</v>
      </c>
      <c r="F5374" s="55" t="b">
        <v>1</v>
      </c>
      <c r="G5374" s="54" t="b">
        <v>1</v>
      </c>
      <c r="H5374" s="54" t="b">
        <v>1</v>
      </c>
      <c r="I5374" s="54" t="b">
        <v>1</v>
      </c>
      <c r="J5374" s="54" t="b">
        <v>1</v>
      </c>
      <c r="K5374" s="63" t="s">
        <v>1040</v>
      </c>
      <c r="L5374" s="63" t="s">
        <v>10798</v>
      </c>
      <c r="M5374" s="63" t="s">
        <v>10799</v>
      </c>
      <c r="N5374" s="63" t="s">
        <v>10795</v>
      </c>
    </row>
    <row r="5375" spans="1:14" x14ac:dyDescent="0.2">
      <c r="A5375" s="51">
        <v>5374</v>
      </c>
      <c r="G5375" s="65" t="b">
        <v>0</v>
      </c>
      <c r="H5375" s="65" t="b">
        <v>0</v>
      </c>
      <c r="I5375" s="65" t="b">
        <v>0</v>
      </c>
      <c r="J5375" s="65" t="b">
        <v>0</v>
      </c>
      <c r="K5375" s="63" t="s">
        <v>1040</v>
      </c>
      <c r="L5375" s="63" t="s">
        <v>10800</v>
      </c>
      <c r="M5375" s="63" t="s">
        <v>10801</v>
      </c>
      <c r="N5375" s="63" t="s">
        <v>10795</v>
      </c>
    </row>
    <row r="5376" spans="1:14" x14ac:dyDescent="0.2">
      <c r="A5376" s="51">
        <v>5375</v>
      </c>
      <c r="B5376" s="54" t="s">
        <v>1040</v>
      </c>
      <c r="C5376" s="47" t="s">
        <v>10802</v>
      </c>
      <c r="D5376" s="47" t="s">
        <v>10803</v>
      </c>
      <c r="E5376" s="47" t="s">
        <v>10795</v>
      </c>
      <c r="F5376" s="55" t="b">
        <v>1</v>
      </c>
      <c r="G5376" s="54" t="b">
        <v>1</v>
      </c>
      <c r="H5376" s="54" t="b">
        <v>1</v>
      </c>
      <c r="I5376" s="54" t="b">
        <v>1</v>
      </c>
      <c r="J5376" s="54" t="b">
        <v>1</v>
      </c>
      <c r="K5376" s="63" t="s">
        <v>1040</v>
      </c>
      <c r="L5376" s="63" t="s">
        <v>10802</v>
      </c>
      <c r="M5376" s="63" t="s">
        <v>10803</v>
      </c>
      <c r="N5376" s="63" t="s">
        <v>10795</v>
      </c>
    </row>
    <row r="5377" spans="1:14" x14ac:dyDescent="0.2">
      <c r="A5377" s="51">
        <v>5376</v>
      </c>
      <c r="B5377" s="54" t="s">
        <v>1040</v>
      </c>
      <c r="C5377" s="47" t="s">
        <v>10804</v>
      </c>
      <c r="D5377" s="47" t="s">
        <v>10805</v>
      </c>
      <c r="E5377" s="47" t="s">
        <v>10795</v>
      </c>
      <c r="F5377" s="55" t="b">
        <v>1</v>
      </c>
      <c r="G5377" s="54" t="b">
        <v>1</v>
      </c>
      <c r="H5377" s="54" t="b">
        <v>1</v>
      </c>
      <c r="I5377" s="54" t="b">
        <v>1</v>
      </c>
      <c r="J5377" s="54" t="b">
        <v>1</v>
      </c>
      <c r="K5377" s="63" t="s">
        <v>1040</v>
      </c>
      <c r="L5377" s="63" t="s">
        <v>10804</v>
      </c>
      <c r="M5377" s="63" t="s">
        <v>10805</v>
      </c>
      <c r="N5377" s="63" t="s">
        <v>10795</v>
      </c>
    </row>
    <row r="5378" spans="1:14" x14ac:dyDescent="0.2">
      <c r="A5378" s="51">
        <v>5377</v>
      </c>
      <c r="B5378" s="54" t="s">
        <v>1040</v>
      </c>
      <c r="C5378" s="47" t="s">
        <v>10796</v>
      </c>
      <c r="D5378" s="47" t="s">
        <v>10797</v>
      </c>
      <c r="E5378" s="47" t="s">
        <v>10795</v>
      </c>
      <c r="F5378" s="55" t="b">
        <v>1</v>
      </c>
      <c r="G5378" s="54" t="b">
        <v>1</v>
      </c>
      <c r="H5378" s="54" t="b">
        <v>1</v>
      </c>
      <c r="I5378" s="54" t="b">
        <v>1</v>
      </c>
      <c r="J5378" s="54" t="b">
        <v>1</v>
      </c>
      <c r="K5378" s="63" t="s">
        <v>1040</v>
      </c>
      <c r="L5378" s="63" t="s">
        <v>10796</v>
      </c>
      <c r="M5378" s="63" t="s">
        <v>10797</v>
      </c>
      <c r="N5378" s="63" t="s">
        <v>10795</v>
      </c>
    </row>
    <row r="5379" spans="1:14" x14ac:dyDescent="0.2">
      <c r="A5379" s="51">
        <v>5378</v>
      </c>
      <c r="B5379" s="54" t="s">
        <v>1040</v>
      </c>
      <c r="C5379" s="47" t="s">
        <v>10793</v>
      </c>
      <c r="D5379" s="47" t="s">
        <v>13774</v>
      </c>
      <c r="E5379" s="47" t="s">
        <v>10795</v>
      </c>
      <c r="F5379" s="55" t="b">
        <v>1</v>
      </c>
      <c r="G5379" s="54" t="b">
        <v>1</v>
      </c>
      <c r="H5379" s="54" t="b">
        <v>1</v>
      </c>
      <c r="I5379" s="65" t="b">
        <v>0</v>
      </c>
      <c r="J5379" s="54" t="b">
        <v>1</v>
      </c>
      <c r="K5379" s="63" t="s">
        <v>1040</v>
      </c>
      <c r="L5379" s="63" t="s">
        <v>10793</v>
      </c>
      <c r="M5379" s="63" t="s">
        <v>10794</v>
      </c>
      <c r="N5379" s="63" t="s">
        <v>10795</v>
      </c>
    </row>
    <row r="5380" spans="1:14" x14ac:dyDescent="0.2">
      <c r="A5380" s="51">
        <v>5379</v>
      </c>
      <c r="B5380" s="54" t="s">
        <v>1040</v>
      </c>
      <c r="C5380" s="47" t="s">
        <v>13775</v>
      </c>
      <c r="D5380" s="47" t="s">
        <v>10801</v>
      </c>
      <c r="E5380" s="47" t="s">
        <v>10795</v>
      </c>
      <c r="F5380" s="55" t="b">
        <v>1</v>
      </c>
      <c r="G5380" s="65" t="b">
        <v>0</v>
      </c>
      <c r="H5380" s="65" t="b">
        <v>0</v>
      </c>
      <c r="I5380" s="65" t="b">
        <v>0</v>
      </c>
      <c r="J5380" s="65" t="b">
        <v>0</v>
      </c>
    </row>
    <row r="5381" spans="1:14" x14ac:dyDescent="0.2">
      <c r="A5381" s="51">
        <v>5380</v>
      </c>
      <c r="B5381" s="54" t="s">
        <v>1040</v>
      </c>
      <c r="C5381" s="47" t="s">
        <v>10806</v>
      </c>
      <c r="D5381" s="47" t="s">
        <v>10807</v>
      </c>
      <c r="E5381" s="47" t="s">
        <v>10795</v>
      </c>
      <c r="F5381" s="55" t="b">
        <v>1</v>
      </c>
      <c r="G5381" s="54" t="b">
        <v>1</v>
      </c>
      <c r="H5381" s="54" t="b">
        <v>1</v>
      </c>
      <c r="I5381" s="54" t="b">
        <v>1</v>
      </c>
      <c r="J5381" s="54" t="b">
        <v>1</v>
      </c>
      <c r="K5381" s="63" t="s">
        <v>1040</v>
      </c>
      <c r="L5381" s="63" t="s">
        <v>10806</v>
      </c>
      <c r="M5381" s="63" t="s">
        <v>10807</v>
      </c>
      <c r="N5381" s="63" t="s">
        <v>10795</v>
      </c>
    </row>
    <row r="5382" spans="1:14" x14ac:dyDescent="0.2">
      <c r="A5382" s="51">
        <v>5381</v>
      </c>
      <c r="B5382" s="54" t="s">
        <v>1042</v>
      </c>
      <c r="C5382" s="47" t="s">
        <v>10866</v>
      </c>
      <c r="D5382" s="47" t="s">
        <v>10867</v>
      </c>
      <c r="E5382" s="47" t="s">
        <v>1790</v>
      </c>
      <c r="F5382" s="55" t="b">
        <v>1</v>
      </c>
      <c r="G5382" s="54" t="b">
        <v>1</v>
      </c>
      <c r="H5382" s="54" t="b">
        <v>1</v>
      </c>
      <c r="I5382" s="54" t="b">
        <v>1</v>
      </c>
      <c r="J5382" s="54" t="b">
        <v>1</v>
      </c>
      <c r="K5382" s="63" t="s">
        <v>1042</v>
      </c>
      <c r="L5382" s="63" t="s">
        <v>10866</v>
      </c>
      <c r="M5382" s="63" t="s">
        <v>10867</v>
      </c>
      <c r="N5382" s="63" t="s">
        <v>1790</v>
      </c>
    </row>
    <row r="5383" spans="1:14" x14ac:dyDescent="0.2">
      <c r="A5383" s="51">
        <v>5382</v>
      </c>
      <c r="B5383" s="54" t="s">
        <v>1042</v>
      </c>
      <c r="C5383" s="47" t="s">
        <v>10870</v>
      </c>
      <c r="D5383" s="47" t="s">
        <v>10871</v>
      </c>
      <c r="E5383" s="47" t="s">
        <v>2046</v>
      </c>
      <c r="F5383" s="55" t="b">
        <v>1</v>
      </c>
      <c r="G5383" s="54" t="b">
        <v>1</v>
      </c>
      <c r="H5383" s="54" t="b">
        <v>1</v>
      </c>
      <c r="I5383" s="54" t="b">
        <v>1</v>
      </c>
      <c r="J5383" s="65" t="b">
        <v>0</v>
      </c>
      <c r="K5383" s="63" t="s">
        <v>1042</v>
      </c>
      <c r="L5383" s="63" t="s">
        <v>10870</v>
      </c>
      <c r="M5383" s="63" t="s">
        <v>10871</v>
      </c>
      <c r="N5383" s="63" t="s">
        <v>1790</v>
      </c>
    </row>
    <row r="5384" spans="1:14" x14ac:dyDescent="0.2">
      <c r="A5384" s="51">
        <v>5383</v>
      </c>
      <c r="B5384" s="54" t="s">
        <v>1042</v>
      </c>
      <c r="C5384" s="47" t="s">
        <v>10888</v>
      </c>
      <c r="D5384" s="47" t="s">
        <v>10889</v>
      </c>
      <c r="E5384" s="47" t="s">
        <v>1790</v>
      </c>
      <c r="F5384" s="55" t="b">
        <v>1</v>
      </c>
      <c r="G5384" s="54" t="b">
        <v>1</v>
      </c>
      <c r="H5384" s="54" t="b">
        <v>1</v>
      </c>
      <c r="I5384" s="54" t="b">
        <v>1</v>
      </c>
      <c r="J5384" s="54" t="b">
        <v>1</v>
      </c>
      <c r="K5384" s="63" t="s">
        <v>1042</v>
      </c>
      <c r="L5384" s="63" t="s">
        <v>10888</v>
      </c>
      <c r="M5384" s="63" t="s">
        <v>10889</v>
      </c>
      <c r="N5384" s="63" t="s">
        <v>1790</v>
      </c>
    </row>
    <row r="5385" spans="1:14" x14ac:dyDescent="0.2">
      <c r="A5385" s="51">
        <v>5384</v>
      </c>
      <c r="B5385" s="54" t="s">
        <v>1042</v>
      </c>
      <c r="C5385" s="47" t="s">
        <v>10906</v>
      </c>
      <c r="D5385" s="47" t="s">
        <v>10907</v>
      </c>
      <c r="E5385" s="47" t="s">
        <v>1790</v>
      </c>
      <c r="F5385" s="55" t="b">
        <v>1</v>
      </c>
      <c r="G5385" s="54" t="b">
        <v>1</v>
      </c>
      <c r="H5385" s="54" t="b">
        <v>1</v>
      </c>
      <c r="I5385" s="54" t="b">
        <v>1</v>
      </c>
      <c r="J5385" s="54" t="b">
        <v>1</v>
      </c>
      <c r="K5385" s="63" t="s">
        <v>1042</v>
      </c>
      <c r="L5385" s="63" t="s">
        <v>10906</v>
      </c>
      <c r="M5385" s="63" t="s">
        <v>10907</v>
      </c>
      <c r="N5385" s="63" t="s">
        <v>1790</v>
      </c>
    </row>
    <row r="5386" spans="1:14" x14ac:dyDescent="0.2">
      <c r="A5386" s="51">
        <v>5385</v>
      </c>
      <c r="B5386" s="54" t="s">
        <v>1042</v>
      </c>
      <c r="C5386" s="47" t="s">
        <v>10914</v>
      </c>
      <c r="D5386" s="47" t="s">
        <v>10915</v>
      </c>
      <c r="E5386" s="47" t="s">
        <v>1790</v>
      </c>
      <c r="F5386" s="55" t="b">
        <v>1</v>
      </c>
      <c r="G5386" s="54" t="b">
        <v>1</v>
      </c>
      <c r="H5386" s="54" t="b">
        <v>1</v>
      </c>
      <c r="I5386" s="54" t="b">
        <v>1</v>
      </c>
      <c r="J5386" s="54" t="b">
        <v>1</v>
      </c>
      <c r="K5386" s="63" t="s">
        <v>1042</v>
      </c>
      <c r="L5386" s="63" t="s">
        <v>10914</v>
      </c>
      <c r="M5386" s="63" t="s">
        <v>10915</v>
      </c>
      <c r="N5386" s="63" t="s">
        <v>1790</v>
      </c>
    </row>
    <row r="5387" spans="1:14" x14ac:dyDescent="0.2">
      <c r="A5387" s="51">
        <v>5386</v>
      </c>
      <c r="B5387" s="54" t="s">
        <v>1042</v>
      </c>
      <c r="C5387" s="47" t="s">
        <v>10930</v>
      </c>
      <c r="D5387" s="47" t="s">
        <v>10931</v>
      </c>
      <c r="E5387" s="47" t="s">
        <v>1790</v>
      </c>
      <c r="F5387" s="55" t="b">
        <v>1</v>
      </c>
      <c r="G5387" s="54" t="b">
        <v>1</v>
      </c>
      <c r="H5387" s="54" t="b">
        <v>1</v>
      </c>
      <c r="I5387" s="54" t="b">
        <v>1</v>
      </c>
      <c r="J5387" s="54" t="b">
        <v>1</v>
      </c>
      <c r="K5387" s="63" t="s">
        <v>1042</v>
      </c>
      <c r="L5387" s="63" t="s">
        <v>10930</v>
      </c>
      <c r="M5387" s="63" t="s">
        <v>10931</v>
      </c>
      <c r="N5387" s="63" t="s">
        <v>1790</v>
      </c>
    </row>
    <row r="5388" spans="1:14" x14ac:dyDescent="0.2">
      <c r="A5388" s="51">
        <v>5387</v>
      </c>
      <c r="B5388" s="54" t="s">
        <v>1042</v>
      </c>
      <c r="C5388" s="47" t="s">
        <v>10932</v>
      </c>
      <c r="D5388" s="47" t="s">
        <v>10933</v>
      </c>
      <c r="E5388" s="47" t="s">
        <v>1790</v>
      </c>
      <c r="F5388" s="55" t="b">
        <v>1</v>
      </c>
      <c r="G5388" s="54" t="b">
        <v>1</v>
      </c>
      <c r="H5388" s="54" t="b">
        <v>1</v>
      </c>
      <c r="I5388" s="54" t="b">
        <v>1</v>
      </c>
      <c r="J5388" s="54" t="b">
        <v>1</v>
      </c>
      <c r="K5388" s="63" t="s">
        <v>1042</v>
      </c>
      <c r="L5388" s="63" t="s">
        <v>10932</v>
      </c>
      <c r="M5388" s="63" t="s">
        <v>10933</v>
      </c>
      <c r="N5388" s="63" t="s">
        <v>1790</v>
      </c>
    </row>
    <row r="5389" spans="1:14" x14ac:dyDescent="0.2">
      <c r="A5389" s="51">
        <v>5388</v>
      </c>
      <c r="B5389" s="54" t="s">
        <v>1042</v>
      </c>
      <c r="C5389" s="47" t="s">
        <v>10934</v>
      </c>
      <c r="D5389" s="47" t="s">
        <v>10935</v>
      </c>
      <c r="E5389" s="47" t="s">
        <v>1790</v>
      </c>
      <c r="F5389" s="55" t="b">
        <v>1</v>
      </c>
      <c r="G5389" s="54" t="b">
        <v>1</v>
      </c>
      <c r="H5389" s="54" t="b">
        <v>1</v>
      </c>
      <c r="I5389" s="54" t="b">
        <v>1</v>
      </c>
      <c r="J5389" s="54" t="b">
        <v>1</v>
      </c>
      <c r="K5389" s="63" t="s">
        <v>1042</v>
      </c>
      <c r="L5389" s="63" t="s">
        <v>10934</v>
      </c>
      <c r="M5389" s="63" t="s">
        <v>10935</v>
      </c>
      <c r="N5389" s="63" t="s">
        <v>1790</v>
      </c>
    </row>
    <row r="5390" spans="1:14" x14ac:dyDescent="0.2">
      <c r="A5390" s="51">
        <v>5389</v>
      </c>
      <c r="B5390" s="54" t="s">
        <v>1042</v>
      </c>
      <c r="C5390" s="47" t="s">
        <v>10940</v>
      </c>
      <c r="D5390" s="47" t="s">
        <v>10941</v>
      </c>
      <c r="E5390" s="47" t="s">
        <v>1790</v>
      </c>
      <c r="F5390" s="55" t="b">
        <v>1</v>
      </c>
      <c r="G5390" s="54" t="b">
        <v>1</v>
      </c>
      <c r="H5390" s="54" t="b">
        <v>1</v>
      </c>
      <c r="I5390" s="54" t="b">
        <v>1</v>
      </c>
      <c r="J5390" s="54" t="b">
        <v>1</v>
      </c>
      <c r="K5390" s="63" t="s">
        <v>1042</v>
      </c>
      <c r="L5390" s="63" t="s">
        <v>10940</v>
      </c>
      <c r="M5390" s="63" t="s">
        <v>10941</v>
      </c>
      <c r="N5390" s="63" t="s">
        <v>1790</v>
      </c>
    </row>
    <row r="5391" spans="1:14" x14ac:dyDescent="0.2">
      <c r="A5391" s="51">
        <v>5390</v>
      </c>
      <c r="B5391" s="54" t="s">
        <v>1042</v>
      </c>
      <c r="C5391" s="47" t="s">
        <v>10955</v>
      </c>
      <c r="D5391" s="47" t="s">
        <v>10956</v>
      </c>
      <c r="E5391" s="47" t="s">
        <v>1790</v>
      </c>
      <c r="F5391" s="55" t="b">
        <v>1</v>
      </c>
      <c r="G5391" s="54" t="b">
        <v>1</v>
      </c>
      <c r="H5391" s="54" t="b">
        <v>1</v>
      </c>
      <c r="I5391" s="54" t="b">
        <v>1</v>
      </c>
      <c r="J5391" s="54" t="b">
        <v>1</v>
      </c>
      <c r="K5391" s="63" t="s">
        <v>1042</v>
      </c>
      <c r="L5391" s="63" t="s">
        <v>10955</v>
      </c>
      <c r="M5391" s="63" t="s">
        <v>10956</v>
      </c>
      <c r="N5391" s="63" t="s">
        <v>1790</v>
      </c>
    </row>
    <row r="5392" spans="1:14" x14ac:dyDescent="0.2">
      <c r="A5392" s="51">
        <v>5391</v>
      </c>
      <c r="B5392" s="54" t="s">
        <v>1042</v>
      </c>
      <c r="C5392" s="47" t="s">
        <v>10959</v>
      </c>
      <c r="D5392" s="47" t="s">
        <v>10960</v>
      </c>
      <c r="E5392" s="47" t="s">
        <v>1790</v>
      </c>
      <c r="F5392" s="55" t="b">
        <v>1</v>
      </c>
      <c r="G5392" s="54" t="b">
        <v>1</v>
      </c>
      <c r="H5392" s="54" t="b">
        <v>1</v>
      </c>
      <c r="I5392" s="54" t="b">
        <v>1</v>
      </c>
      <c r="J5392" s="54" t="b">
        <v>1</v>
      </c>
      <c r="K5392" s="63" t="s">
        <v>1042</v>
      </c>
      <c r="L5392" s="63" t="s">
        <v>10959</v>
      </c>
      <c r="M5392" s="63" t="s">
        <v>10960</v>
      </c>
      <c r="N5392" s="63" t="s">
        <v>1790</v>
      </c>
    </row>
    <row r="5393" spans="1:14" x14ac:dyDescent="0.2">
      <c r="A5393" s="51">
        <v>5392</v>
      </c>
      <c r="B5393" s="54" t="s">
        <v>1042</v>
      </c>
      <c r="C5393" s="47" t="s">
        <v>10884</v>
      </c>
      <c r="D5393" s="47" t="s">
        <v>10885</v>
      </c>
      <c r="E5393" s="47" t="s">
        <v>1790</v>
      </c>
      <c r="F5393" s="55" t="b">
        <v>1</v>
      </c>
      <c r="G5393" s="54" t="b">
        <v>1</v>
      </c>
      <c r="H5393" s="54" t="b">
        <v>1</v>
      </c>
      <c r="I5393" s="54" t="b">
        <v>1</v>
      </c>
      <c r="J5393" s="54" t="b">
        <v>1</v>
      </c>
      <c r="K5393" s="63" t="s">
        <v>1042</v>
      </c>
      <c r="L5393" s="63" t="s">
        <v>10884</v>
      </c>
      <c r="M5393" s="63" t="s">
        <v>10885</v>
      </c>
      <c r="N5393" s="63" t="s">
        <v>1790</v>
      </c>
    </row>
    <row r="5394" spans="1:14" x14ac:dyDescent="0.2">
      <c r="A5394" s="51">
        <v>5393</v>
      </c>
      <c r="B5394" s="54" t="s">
        <v>1042</v>
      </c>
      <c r="C5394" s="47" t="s">
        <v>10967</v>
      </c>
      <c r="D5394" s="47" t="s">
        <v>10968</v>
      </c>
      <c r="E5394" s="47" t="s">
        <v>1790</v>
      </c>
      <c r="F5394" s="55" t="b">
        <v>1</v>
      </c>
      <c r="G5394" s="54" t="b">
        <v>1</v>
      </c>
      <c r="H5394" s="54" t="b">
        <v>1</v>
      </c>
      <c r="I5394" s="54" t="b">
        <v>1</v>
      </c>
      <c r="J5394" s="54" t="b">
        <v>1</v>
      </c>
      <c r="K5394" s="63" t="s">
        <v>1042</v>
      </c>
      <c r="L5394" s="63" t="s">
        <v>10967</v>
      </c>
      <c r="M5394" s="63" t="s">
        <v>10968</v>
      </c>
      <c r="N5394" s="63" t="s">
        <v>1790</v>
      </c>
    </row>
    <row r="5395" spans="1:14" x14ac:dyDescent="0.2">
      <c r="A5395" s="51">
        <v>5394</v>
      </c>
      <c r="B5395" s="54" t="s">
        <v>1042</v>
      </c>
      <c r="C5395" s="47" t="s">
        <v>10924</v>
      </c>
      <c r="D5395" s="47" t="s">
        <v>10925</v>
      </c>
      <c r="E5395" s="47" t="s">
        <v>1790</v>
      </c>
      <c r="F5395" s="55" t="b">
        <v>1</v>
      </c>
      <c r="G5395" s="54" t="b">
        <v>1</v>
      </c>
      <c r="H5395" s="54" t="b">
        <v>1</v>
      </c>
      <c r="I5395" s="54" t="b">
        <v>1</v>
      </c>
      <c r="J5395" s="54" t="b">
        <v>1</v>
      </c>
      <c r="K5395" s="63" t="s">
        <v>1042</v>
      </c>
      <c r="L5395" s="63" t="s">
        <v>10924</v>
      </c>
      <c r="M5395" s="63" t="s">
        <v>10925</v>
      </c>
      <c r="N5395" s="63" t="s">
        <v>1790</v>
      </c>
    </row>
    <row r="5396" spans="1:14" x14ac:dyDescent="0.2">
      <c r="A5396" s="51">
        <v>5395</v>
      </c>
      <c r="B5396" s="54" t="s">
        <v>1042</v>
      </c>
      <c r="C5396" s="47" t="s">
        <v>10938</v>
      </c>
      <c r="D5396" s="47" t="s">
        <v>10939</v>
      </c>
      <c r="E5396" s="47" t="s">
        <v>1790</v>
      </c>
      <c r="F5396" s="55" t="b">
        <v>1</v>
      </c>
      <c r="G5396" s="54" t="b">
        <v>1</v>
      </c>
      <c r="H5396" s="54" t="b">
        <v>1</v>
      </c>
      <c r="I5396" s="54" t="b">
        <v>1</v>
      </c>
      <c r="J5396" s="54" t="b">
        <v>1</v>
      </c>
      <c r="K5396" s="63" t="s">
        <v>1042</v>
      </c>
      <c r="L5396" s="63" t="s">
        <v>10938</v>
      </c>
      <c r="M5396" s="63" t="s">
        <v>10939</v>
      </c>
      <c r="N5396" s="63" t="s">
        <v>1790</v>
      </c>
    </row>
    <row r="5397" spans="1:14" x14ac:dyDescent="0.2">
      <c r="A5397" s="51">
        <v>5396</v>
      </c>
      <c r="B5397" s="54" t="s">
        <v>1042</v>
      </c>
      <c r="C5397" s="47" t="s">
        <v>10908</v>
      </c>
      <c r="D5397" s="47" t="s">
        <v>10909</v>
      </c>
      <c r="E5397" s="47" t="s">
        <v>1790</v>
      </c>
      <c r="F5397" s="55" t="b">
        <v>1</v>
      </c>
      <c r="G5397" s="54" t="b">
        <v>1</v>
      </c>
      <c r="H5397" s="54" t="b">
        <v>1</v>
      </c>
      <c r="I5397" s="54" t="b">
        <v>1</v>
      </c>
      <c r="J5397" s="54" t="b">
        <v>1</v>
      </c>
      <c r="K5397" s="63" t="s">
        <v>1042</v>
      </c>
      <c r="L5397" s="63" t="s">
        <v>10908</v>
      </c>
      <c r="M5397" s="63" t="s">
        <v>10909</v>
      </c>
      <c r="N5397" s="63" t="s">
        <v>1790</v>
      </c>
    </row>
    <row r="5398" spans="1:14" x14ac:dyDescent="0.2">
      <c r="A5398" s="51">
        <v>5397</v>
      </c>
      <c r="B5398" s="54" t="s">
        <v>1042</v>
      </c>
      <c r="C5398" s="47" t="s">
        <v>13785</v>
      </c>
      <c r="D5398" s="47" t="s">
        <v>13786</v>
      </c>
      <c r="E5398" s="47" t="s">
        <v>13778</v>
      </c>
      <c r="F5398" s="55" t="b">
        <v>1</v>
      </c>
      <c r="G5398" s="65" t="b">
        <v>0</v>
      </c>
      <c r="H5398" s="65" t="b">
        <v>0</v>
      </c>
      <c r="I5398" s="65" t="b">
        <v>0</v>
      </c>
      <c r="J5398" s="65" t="b">
        <v>0</v>
      </c>
    </row>
    <row r="5399" spans="1:14" x14ac:dyDescent="0.2">
      <c r="A5399" s="51">
        <v>5398</v>
      </c>
      <c r="B5399" s="54" t="s">
        <v>1042</v>
      </c>
      <c r="C5399" s="47" t="s">
        <v>13787</v>
      </c>
      <c r="D5399" s="47" t="s">
        <v>13788</v>
      </c>
      <c r="E5399" s="47" t="s">
        <v>1790</v>
      </c>
      <c r="F5399" s="55" t="b">
        <v>1</v>
      </c>
      <c r="G5399" s="65" t="b">
        <v>0</v>
      </c>
      <c r="H5399" s="65" t="b">
        <v>0</v>
      </c>
      <c r="I5399" s="65" t="b">
        <v>0</v>
      </c>
      <c r="J5399" s="65" t="b">
        <v>0</v>
      </c>
    </row>
    <row r="5400" spans="1:14" x14ac:dyDescent="0.2">
      <c r="A5400" s="51">
        <v>5399</v>
      </c>
      <c r="B5400" s="54" t="s">
        <v>1042</v>
      </c>
      <c r="C5400" s="47" t="s">
        <v>13791</v>
      </c>
      <c r="D5400" s="47" t="s">
        <v>13792</v>
      </c>
      <c r="E5400" s="47" t="s">
        <v>13778</v>
      </c>
      <c r="F5400" s="55" t="b">
        <v>1</v>
      </c>
      <c r="G5400" s="65" t="b">
        <v>0</v>
      </c>
      <c r="H5400" s="65" t="b">
        <v>0</v>
      </c>
      <c r="I5400" s="65" t="b">
        <v>0</v>
      </c>
      <c r="J5400" s="65" t="b">
        <v>0</v>
      </c>
    </row>
    <row r="5401" spans="1:14" x14ac:dyDescent="0.2">
      <c r="A5401" s="51">
        <v>5400</v>
      </c>
      <c r="B5401" s="54" t="s">
        <v>1042</v>
      </c>
      <c r="C5401" s="47" t="s">
        <v>13793</v>
      </c>
      <c r="D5401" s="47" t="s">
        <v>13794</v>
      </c>
      <c r="E5401" s="47" t="s">
        <v>13778</v>
      </c>
      <c r="F5401" s="55" t="b">
        <v>1</v>
      </c>
      <c r="G5401" s="65" t="b">
        <v>0</v>
      </c>
      <c r="H5401" s="65" t="b">
        <v>0</v>
      </c>
      <c r="I5401" s="65" t="b">
        <v>0</v>
      </c>
      <c r="J5401" s="65" t="b">
        <v>0</v>
      </c>
    </row>
    <row r="5402" spans="1:14" x14ac:dyDescent="0.2">
      <c r="A5402" s="51">
        <v>5401</v>
      </c>
      <c r="B5402" s="54" t="s">
        <v>1042</v>
      </c>
      <c r="C5402" s="47" t="s">
        <v>13797</v>
      </c>
      <c r="D5402" s="47" t="s">
        <v>13798</v>
      </c>
      <c r="E5402" s="47" t="s">
        <v>13778</v>
      </c>
      <c r="F5402" s="55" t="b">
        <v>1</v>
      </c>
      <c r="G5402" s="65" t="b">
        <v>0</v>
      </c>
      <c r="H5402" s="65" t="b">
        <v>0</v>
      </c>
      <c r="I5402" s="65" t="b">
        <v>0</v>
      </c>
      <c r="J5402" s="65" t="b">
        <v>0</v>
      </c>
    </row>
    <row r="5403" spans="1:14" x14ac:dyDescent="0.2">
      <c r="A5403" s="51">
        <v>5402</v>
      </c>
      <c r="B5403" s="54" t="s">
        <v>1042</v>
      </c>
      <c r="C5403" s="47" t="s">
        <v>13799</v>
      </c>
      <c r="D5403" s="47" t="s">
        <v>13800</v>
      </c>
      <c r="E5403" s="47" t="s">
        <v>13778</v>
      </c>
      <c r="F5403" s="55" t="b">
        <v>1</v>
      </c>
      <c r="G5403" s="65" t="b">
        <v>0</v>
      </c>
      <c r="H5403" s="65" t="b">
        <v>0</v>
      </c>
      <c r="I5403" s="65" t="b">
        <v>0</v>
      </c>
      <c r="J5403" s="65" t="b">
        <v>0</v>
      </c>
    </row>
    <row r="5404" spans="1:14" x14ac:dyDescent="0.2">
      <c r="A5404" s="51">
        <v>5403</v>
      </c>
      <c r="B5404" s="54" t="s">
        <v>1042</v>
      </c>
      <c r="C5404" s="47" t="s">
        <v>13809</v>
      </c>
      <c r="D5404" s="47" t="s">
        <v>13810</v>
      </c>
      <c r="E5404" s="47" t="s">
        <v>13778</v>
      </c>
      <c r="F5404" s="55" t="b">
        <v>1</v>
      </c>
      <c r="G5404" s="65" t="b">
        <v>0</v>
      </c>
      <c r="H5404" s="65" t="b">
        <v>0</v>
      </c>
      <c r="I5404" s="65" t="b">
        <v>0</v>
      </c>
      <c r="J5404" s="65" t="b">
        <v>0</v>
      </c>
    </row>
    <row r="5405" spans="1:14" x14ac:dyDescent="0.2">
      <c r="A5405" s="51">
        <v>5404</v>
      </c>
      <c r="B5405" s="54" t="s">
        <v>1042</v>
      </c>
      <c r="C5405" s="47" t="s">
        <v>13817</v>
      </c>
      <c r="D5405" s="47" t="s">
        <v>13818</v>
      </c>
      <c r="E5405" s="47" t="s">
        <v>13778</v>
      </c>
      <c r="F5405" s="55" t="b">
        <v>1</v>
      </c>
      <c r="G5405" s="65" t="b">
        <v>0</v>
      </c>
      <c r="H5405" s="65" t="b">
        <v>0</v>
      </c>
      <c r="I5405" s="65" t="b">
        <v>0</v>
      </c>
      <c r="J5405" s="65" t="b">
        <v>0</v>
      </c>
    </row>
    <row r="5406" spans="1:14" x14ac:dyDescent="0.2">
      <c r="A5406" s="51">
        <v>5405</v>
      </c>
      <c r="B5406" s="54" t="s">
        <v>1042</v>
      </c>
      <c r="C5406" s="47" t="s">
        <v>10826</v>
      </c>
      <c r="D5406" s="47" t="s">
        <v>10827</v>
      </c>
      <c r="E5406" s="47" t="s">
        <v>1790</v>
      </c>
      <c r="F5406" s="55" t="b">
        <v>1</v>
      </c>
      <c r="G5406" s="54" t="b">
        <v>1</v>
      </c>
      <c r="H5406" s="54" t="b">
        <v>1</v>
      </c>
      <c r="I5406" s="54" t="b">
        <v>1</v>
      </c>
      <c r="J5406" s="54" t="b">
        <v>1</v>
      </c>
      <c r="K5406" s="63" t="s">
        <v>1042</v>
      </c>
      <c r="L5406" s="63" t="s">
        <v>10826</v>
      </c>
      <c r="M5406" s="63" t="s">
        <v>10827</v>
      </c>
      <c r="N5406" s="63" t="s">
        <v>1790</v>
      </c>
    </row>
    <row r="5407" spans="1:14" x14ac:dyDescent="0.2">
      <c r="A5407" s="51">
        <v>5406</v>
      </c>
      <c r="B5407" s="54" t="s">
        <v>1042</v>
      </c>
      <c r="C5407" s="47" t="s">
        <v>10838</v>
      </c>
      <c r="D5407" s="47" t="s">
        <v>10839</v>
      </c>
      <c r="E5407" s="47" t="s">
        <v>1790</v>
      </c>
      <c r="F5407" s="55" t="b">
        <v>1</v>
      </c>
      <c r="G5407" s="54" t="b">
        <v>1</v>
      </c>
      <c r="H5407" s="54" t="b">
        <v>1</v>
      </c>
      <c r="I5407" s="54" t="b">
        <v>1</v>
      </c>
      <c r="J5407" s="54" t="b">
        <v>1</v>
      </c>
      <c r="K5407" s="63" t="s">
        <v>1042</v>
      </c>
      <c r="L5407" s="63" t="s">
        <v>10838</v>
      </c>
      <c r="M5407" s="63" t="s">
        <v>10839</v>
      </c>
      <c r="N5407" s="63" t="s">
        <v>1790</v>
      </c>
    </row>
    <row r="5408" spans="1:14" x14ac:dyDescent="0.2">
      <c r="A5408" s="51">
        <v>5407</v>
      </c>
      <c r="B5408" s="54" t="s">
        <v>1042</v>
      </c>
      <c r="C5408" s="47" t="s">
        <v>10852</v>
      </c>
      <c r="D5408" s="47" t="s">
        <v>10853</v>
      </c>
      <c r="E5408" s="47" t="s">
        <v>1790</v>
      </c>
      <c r="F5408" s="55" t="b">
        <v>1</v>
      </c>
      <c r="G5408" s="54" t="b">
        <v>1</v>
      </c>
      <c r="H5408" s="54" t="b">
        <v>1</v>
      </c>
      <c r="I5408" s="54" t="b">
        <v>1</v>
      </c>
      <c r="J5408" s="54" t="b">
        <v>1</v>
      </c>
      <c r="K5408" s="63" t="s">
        <v>1042</v>
      </c>
      <c r="L5408" s="63" t="s">
        <v>10852</v>
      </c>
      <c r="M5408" s="63" t="s">
        <v>10853</v>
      </c>
      <c r="N5408" s="63" t="s">
        <v>1790</v>
      </c>
    </row>
    <row r="5409" spans="1:14" x14ac:dyDescent="0.2">
      <c r="A5409" s="51">
        <v>5408</v>
      </c>
      <c r="B5409" s="54" t="s">
        <v>1042</v>
      </c>
      <c r="C5409" s="47" t="s">
        <v>10856</v>
      </c>
      <c r="D5409" s="47" t="s">
        <v>10857</v>
      </c>
      <c r="E5409" s="47" t="s">
        <v>1790</v>
      </c>
      <c r="F5409" s="55" t="b">
        <v>1</v>
      </c>
      <c r="G5409" s="54" t="b">
        <v>1</v>
      </c>
      <c r="H5409" s="54" t="b">
        <v>1</v>
      </c>
      <c r="I5409" s="54" t="b">
        <v>1</v>
      </c>
      <c r="J5409" s="54" t="b">
        <v>1</v>
      </c>
      <c r="K5409" s="63" t="s">
        <v>1042</v>
      </c>
      <c r="L5409" s="63" t="s">
        <v>10856</v>
      </c>
      <c r="M5409" s="63" t="s">
        <v>10857</v>
      </c>
      <c r="N5409" s="63" t="s">
        <v>1790</v>
      </c>
    </row>
    <row r="5410" spans="1:14" x14ac:dyDescent="0.2">
      <c r="A5410" s="51">
        <v>5409</v>
      </c>
      <c r="B5410" s="54" t="s">
        <v>1042</v>
      </c>
      <c r="C5410" s="47" t="s">
        <v>10872</v>
      </c>
      <c r="D5410" s="47" t="s">
        <v>10873</v>
      </c>
      <c r="E5410" s="47" t="s">
        <v>1790</v>
      </c>
      <c r="F5410" s="55" t="b">
        <v>1</v>
      </c>
      <c r="G5410" s="54" t="b">
        <v>1</v>
      </c>
      <c r="H5410" s="54" t="b">
        <v>1</v>
      </c>
      <c r="I5410" s="54" t="b">
        <v>1</v>
      </c>
      <c r="J5410" s="54" t="b">
        <v>1</v>
      </c>
      <c r="K5410" s="63" t="s">
        <v>1042</v>
      </c>
      <c r="L5410" s="63" t="s">
        <v>10872</v>
      </c>
      <c r="M5410" s="63" t="s">
        <v>10873</v>
      </c>
      <c r="N5410" s="63" t="s">
        <v>1790</v>
      </c>
    </row>
    <row r="5411" spans="1:14" x14ac:dyDescent="0.2">
      <c r="A5411" s="51">
        <v>5410</v>
      </c>
      <c r="B5411" s="54" t="s">
        <v>1042</v>
      </c>
      <c r="C5411" s="47" t="s">
        <v>10878</v>
      </c>
      <c r="D5411" s="47" t="s">
        <v>10879</v>
      </c>
      <c r="E5411" s="47" t="s">
        <v>1790</v>
      </c>
      <c r="F5411" s="55" t="b">
        <v>1</v>
      </c>
      <c r="G5411" s="54" t="b">
        <v>1</v>
      </c>
      <c r="H5411" s="54" t="b">
        <v>1</v>
      </c>
      <c r="I5411" s="54" t="b">
        <v>1</v>
      </c>
      <c r="J5411" s="54" t="b">
        <v>1</v>
      </c>
      <c r="K5411" s="63" t="s">
        <v>1042</v>
      </c>
      <c r="L5411" s="63" t="s">
        <v>10878</v>
      </c>
      <c r="M5411" s="63" t="s">
        <v>10879</v>
      </c>
      <c r="N5411" s="63" t="s">
        <v>1790</v>
      </c>
    </row>
    <row r="5412" spans="1:14" x14ac:dyDescent="0.2">
      <c r="A5412" s="51">
        <v>5411</v>
      </c>
      <c r="B5412" s="54" t="s">
        <v>1042</v>
      </c>
      <c r="C5412" s="47" t="s">
        <v>10882</v>
      </c>
      <c r="D5412" s="47" t="s">
        <v>10883</v>
      </c>
      <c r="E5412" s="47" t="s">
        <v>1790</v>
      </c>
      <c r="F5412" s="55" t="b">
        <v>1</v>
      </c>
      <c r="G5412" s="54" t="b">
        <v>1</v>
      </c>
      <c r="H5412" s="54" t="b">
        <v>1</v>
      </c>
      <c r="I5412" s="54" t="b">
        <v>1</v>
      </c>
      <c r="J5412" s="54" t="b">
        <v>1</v>
      </c>
      <c r="K5412" s="63" t="s">
        <v>1042</v>
      </c>
      <c r="L5412" s="63" t="s">
        <v>10882</v>
      </c>
      <c r="M5412" s="63" t="s">
        <v>10883</v>
      </c>
      <c r="N5412" s="63" t="s">
        <v>1790</v>
      </c>
    </row>
    <row r="5413" spans="1:14" x14ac:dyDescent="0.2">
      <c r="A5413" s="51">
        <v>5412</v>
      </c>
      <c r="B5413" s="54" t="s">
        <v>1042</v>
      </c>
      <c r="C5413" s="47" t="s">
        <v>10900</v>
      </c>
      <c r="D5413" s="47" t="s">
        <v>10901</v>
      </c>
      <c r="E5413" s="47" t="s">
        <v>1790</v>
      </c>
      <c r="F5413" s="55" t="b">
        <v>1</v>
      </c>
      <c r="G5413" s="54" t="b">
        <v>1</v>
      </c>
      <c r="H5413" s="54" t="b">
        <v>1</v>
      </c>
      <c r="I5413" s="54" t="b">
        <v>1</v>
      </c>
      <c r="J5413" s="54" t="b">
        <v>1</v>
      </c>
      <c r="K5413" s="63" t="s">
        <v>1042</v>
      </c>
      <c r="L5413" s="63" t="s">
        <v>10900</v>
      </c>
      <c r="M5413" s="63" t="s">
        <v>10901</v>
      </c>
      <c r="N5413" s="63" t="s">
        <v>1790</v>
      </c>
    </row>
    <row r="5414" spans="1:14" x14ac:dyDescent="0.2">
      <c r="A5414" s="51">
        <v>5413</v>
      </c>
      <c r="B5414" s="54" t="s">
        <v>1042</v>
      </c>
      <c r="C5414" s="47" t="s">
        <v>10920</v>
      </c>
      <c r="D5414" s="47" t="s">
        <v>10921</v>
      </c>
      <c r="E5414" s="47" t="s">
        <v>1790</v>
      </c>
      <c r="F5414" s="55" t="b">
        <v>1</v>
      </c>
      <c r="G5414" s="54" t="b">
        <v>1</v>
      </c>
      <c r="H5414" s="54" t="b">
        <v>1</v>
      </c>
      <c r="I5414" s="54" t="b">
        <v>1</v>
      </c>
      <c r="J5414" s="54" t="b">
        <v>1</v>
      </c>
      <c r="K5414" s="63" t="s">
        <v>1042</v>
      </c>
      <c r="L5414" s="63" t="s">
        <v>10920</v>
      </c>
      <c r="M5414" s="63" t="s">
        <v>10921</v>
      </c>
      <c r="N5414" s="63" t="s">
        <v>1790</v>
      </c>
    </row>
    <row r="5415" spans="1:14" x14ac:dyDescent="0.2">
      <c r="A5415" s="51">
        <v>5414</v>
      </c>
      <c r="B5415" s="54" t="s">
        <v>1042</v>
      </c>
      <c r="C5415" s="47" t="s">
        <v>10953</v>
      </c>
      <c r="D5415" s="47" t="s">
        <v>10954</v>
      </c>
      <c r="E5415" s="47" t="s">
        <v>1790</v>
      </c>
      <c r="F5415" s="55" t="b">
        <v>1</v>
      </c>
      <c r="G5415" s="54" t="b">
        <v>1</v>
      </c>
      <c r="H5415" s="54" t="b">
        <v>1</v>
      </c>
      <c r="I5415" s="54" t="b">
        <v>1</v>
      </c>
      <c r="J5415" s="54" t="b">
        <v>1</v>
      </c>
      <c r="K5415" s="63" t="s">
        <v>1042</v>
      </c>
      <c r="L5415" s="63" t="s">
        <v>10953</v>
      </c>
      <c r="M5415" s="63" t="s">
        <v>10954</v>
      </c>
      <c r="N5415" s="63" t="s">
        <v>1790</v>
      </c>
    </row>
    <row r="5416" spans="1:14" x14ac:dyDescent="0.2">
      <c r="A5416" s="51">
        <v>5415</v>
      </c>
      <c r="B5416" s="54" t="s">
        <v>1042</v>
      </c>
      <c r="C5416" s="47" t="s">
        <v>10963</v>
      </c>
      <c r="D5416" s="47" t="s">
        <v>10964</v>
      </c>
      <c r="E5416" s="47" t="s">
        <v>1790</v>
      </c>
      <c r="F5416" s="55" t="b">
        <v>1</v>
      </c>
      <c r="G5416" s="54" t="b">
        <v>1</v>
      </c>
      <c r="H5416" s="54" t="b">
        <v>1</v>
      </c>
      <c r="I5416" s="54" t="b">
        <v>1</v>
      </c>
      <c r="J5416" s="54" t="b">
        <v>1</v>
      </c>
      <c r="K5416" s="63" t="s">
        <v>1042</v>
      </c>
      <c r="L5416" s="63" t="s">
        <v>10963</v>
      </c>
      <c r="M5416" s="63" t="s">
        <v>10964</v>
      </c>
      <c r="N5416" s="63" t="s">
        <v>1790</v>
      </c>
    </row>
    <row r="5417" spans="1:14" x14ac:dyDescent="0.2">
      <c r="A5417" s="51">
        <v>5416</v>
      </c>
      <c r="B5417" s="54" t="s">
        <v>1042</v>
      </c>
      <c r="C5417" s="47" t="s">
        <v>10965</v>
      </c>
      <c r="D5417" s="47" t="s">
        <v>10966</v>
      </c>
      <c r="E5417" s="47" t="s">
        <v>1790</v>
      </c>
      <c r="F5417" s="55" t="b">
        <v>1</v>
      </c>
      <c r="G5417" s="54" t="b">
        <v>1</v>
      </c>
      <c r="H5417" s="54" t="b">
        <v>1</v>
      </c>
      <c r="I5417" s="54" t="b">
        <v>1</v>
      </c>
      <c r="J5417" s="54" t="b">
        <v>1</v>
      </c>
      <c r="K5417" s="63" t="s">
        <v>1042</v>
      </c>
      <c r="L5417" s="63" t="s">
        <v>10965</v>
      </c>
      <c r="M5417" s="63" t="s">
        <v>10966</v>
      </c>
      <c r="N5417" s="63" t="s">
        <v>1790</v>
      </c>
    </row>
    <row r="5418" spans="1:14" x14ac:dyDescent="0.2">
      <c r="A5418" s="51">
        <v>5417</v>
      </c>
      <c r="B5418" s="54" t="s">
        <v>1042</v>
      </c>
      <c r="C5418" s="47" t="s">
        <v>10864</v>
      </c>
      <c r="D5418" s="47" t="s">
        <v>10865</v>
      </c>
      <c r="E5418" s="47" t="s">
        <v>1790</v>
      </c>
      <c r="F5418" s="55" t="b">
        <v>1</v>
      </c>
      <c r="G5418" s="54" t="b">
        <v>1</v>
      </c>
      <c r="H5418" s="54" t="b">
        <v>1</v>
      </c>
      <c r="I5418" s="54" t="b">
        <v>1</v>
      </c>
      <c r="J5418" s="54" t="b">
        <v>1</v>
      </c>
      <c r="K5418" s="63" t="s">
        <v>1042</v>
      </c>
      <c r="L5418" s="63" t="s">
        <v>10864</v>
      </c>
      <c r="M5418" s="63" t="s">
        <v>10865</v>
      </c>
      <c r="N5418" s="63" t="s">
        <v>1790</v>
      </c>
    </row>
    <row r="5419" spans="1:14" x14ac:dyDescent="0.2">
      <c r="A5419" s="51">
        <v>5418</v>
      </c>
      <c r="B5419" s="54" t="s">
        <v>1042</v>
      </c>
      <c r="C5419" s="47" t="s">
        <v>10918</v>
      </c>
      <c r="D5419" s="47" t="s">
        <v>10919</v>
      </c>
      <c r="E5419" s="47" t="s">
        <v>1790</v>
      </c>
      <c r="F5419" s="55" t="b">
        <v>1</v>
      </c>
      <c r="G5419" s="54" t="b">
        <v>1</v>
      </c>
      <c r="H5419" s="54" t="b">
        <v>1</v>
      </c>
      <c r="I5419" s="54" t="b">
        <v>1</v>
      </c>
      <c r="J5419" s="54" t="b">
        <v>1</v>
      </c>
      <c r="K5419" s="63" t="s">
        <v>1042</v>
      </c>
      <c r="L5419" s="63" t="s">
        <v>10918</v>
      </c>
      <c r="M5419" s="63" t="s">
        <v>10919</v>
      </c>
      <c r="N5419" s="63" t="s">
        <v>1790</v>
      </c>
    </row>
    <row r="5420" spans="1:14" x14ac:dyDescent="0.2">
      <c r="A5420" s="51">
        <v>5419</v>
      </c>
      <c r="B5420" s="54" t="s">
        <v>1042</v>
      </c>
      <c r="C5420" s="47" t="s">
        <v>10961</v>
      </c>
      <c r="D5420" s="47" t="s">
        <v>10962</v>
      </c>
      <c r="E5420" s="47" t="s">
        <v>1790</v>
      </c>
      <c r="F5420" s="55" t="b">
        <v>1</v>
      </c>
      <c r="G5420" s="54" t="b">
        <v>1</v>
      </c>
      <c r="H5420" s="54" t="b">
        <v>1</v>
      </c>
      <c r="I5420" s="54" t="b">
        <v>1</v>
      </c>
      <c r="J5420" s="54" t="b">
        <v>1</v>
      </c>
      <c r="K5420" s="63" t="s">
        <v>1042</v>
      </c>
      <c r="L5420" s="63" t="s">
        <v>10961</v>
      </c>
      <c r="M5420" s="63" t="s">
        <v>10962</v>
      </c>
      <c r="N5420" s="63" t="s">
        <v>1790</v>
      </c>
    </row>
    <row r="5421" spans="1:14" x14ac:dyDescent="0.2">
      <c r="A5421" s="51">
        <v>5420</v>
      </c>
      <c r="B5421" s="54" t="s">
        <v>1042</v>
      </c>
      <c r="C5421" s="47" t="s">
        <v>10814</v>
      </c>
      <c r="D5421" s="47" t="s">
        <v>10815</v>
      </c>
      <c r="E5421" s="47" t="s">
        <v>1790</v>
      </c>
      <c r="F5421" s="55" t="b">
        <v>1</v>
      </c>
      <c r="G5421" s="54" t="b">
        <v>1</v>
      </c>
      <c r="H5421" s="54" t="b">
        <v>1</v>
      </c>
      <c r="I5421" s="54" t="b">
        <v>1</v>
      </c>
      <c r="J5421" s="54" t="b">
        <v>1</v>
      </c>
      <c r="K5421" s="63" t="s">
        <v>1042</v>
      </c>
      <c r="L5421" s="63" t="s">
        <v>10814</v>
      </c>
      <c r="M5421" s="63" t="s">
        <v>10815</v>
      </c>
      <c r="N5421" s="63" t="s">
        <v>1790</v>
      </c>
    </row>
    <row r="5422" spans="1:14" x14ac:dyDescent="0.2">
      <c r="A5422" s="51">
        <v>5421</v>
      </c>
      <c r="B5422" s="54" t="s">
        <v>1042</v>
      </c>
      <c r="C5422" s="47" t="s">
        <v>10822</v>
      </c>
      <c r="D5422" s="47" t="s">
        <v>10823</v>
      </c>
      <c r="E5422" s="47" t="s">
        <v>1790</v>
      </c>
      <c r="F5422" s="55" t="b">
        <v>1</v>
      </c>
      <c r="G5422" s="54" t="b">
        <v>1</v>
      </c>
      <c r="H5422" s="54" t="b">
        <v>1</v>
      </c>
      <c r="I5422" s="54" t="b">
        <v>1</v>
      </c>
      <c r="J5422" s="54" t="b">
        <v>1</v>
      </c>
      <c r="K5422" s="63" t="s">
        <v>1042</v>
      </c>
      <c r="L5422" s="63" t="s">
        <v>10822</v>
      </c>
      <c r="M5422" s="63" t="s">
        <v>10823</v>
      </c>
      <c r="N5422" s="63" t="s">
        <v>1790</v>
      </c>
    </row>
    <row r="5423" spans="1:14" x14ac:dyDescent="0.2">
      <c r="A5423" s="51">
        <v>5422</v>
      </c>
      <c r="B5423" s="54" t="s">
        <v>1042</v>
      </c>
      <c r="C5423" s="47" t="s">
        <v>10830</v>
      </c>
      <c r="D5423" s="47" t="s">
        <v>10831</v>
      </c>
      <c r="E5423" s="47" t="s">
        <v>1790</v>
      </c>
      <c r="F5423" s="55" t="b">
        <v>1</v>
      </c>
      <c r="G5423" s="54" t="b">
        <v>1</v>
      </c>
      <c r="H5423" s="54" t="b">
        <v>1</v>
      </c>
      <c r="I5423" s="54" t="b">
        <v>1</v>
      </c>
      <c r="J5423" s="54" t="b">
        <v>1</v>
      </c>
      <c r="K5423" s="63" t="s">
        <v>1042</v>
      </c>
      <c r="L5423" s="63" t="s">
        <v>10830</v>
      </c>
      <c r="M5423" s="63" t="s">
        <v>10831</v>
      </c>
      <c r="N5423" s="63" t="s">
        <v>1790</v>
      </c>
    </row>
    <row r="5424" spans="1:14" x14ac:dyDescent="0.2">
      <c r="A5424" s="51">
        <v>5423</v>
      </c>
      <c r="B5424" s="54" t="s">
        <v>1042</v>
      </c>
      <c r="C5424" s="47" t="s">
        <v>10840</v>
      </c>
      <c r="D5424" s="47" t="s">
        <v>10841</v>
      </c>
      <c r="E5424" s="47" t="s">
        <v>1790</v>
      </c>
      <c r="F5424" s="55" t="b">
        <v>1</v>
      </c>
      <c r="G5424" s="54" t="b">
        <v>1</v>
      </c>
      <c r="H5424" s="54" t="b">
        <v>1</v>
      </c>
      <c r="I5424" s="54" t="b">
        <v>1</v>
      </c>
      <c r="J5424" s="54" t="b">
        <v>1</v>
      </c>
      <c r="K5424" s="63" t="s">
        <v>1042</v>
      </c>
      <c r="L5424" s="63" t="s">
        <v>10840</v>
      </c>
      <c r="M5424" s="63" t="s">
        <v>10841</v>
      </c>
      <c r="N5424" s="63" t="s">
        <v>1790</v>
      </c>
    </row>
    <row r="5425" spans="1:14" x14ac:dyDescent="0.2">
      <c r="A5425" s="51">
        <v>5424</v>
      </c>
      <c r="B5425" s="54" t="s">
        <v>1042</v>
      </c>
      <c r="C5425" s="47" t="s">
        <v>10868</v>
      </c>
      <c r="D5425" s="47" t="s">
        <v>10869</v>
      </c>
      <c r="E5425" s="47" t="s">
        <v>1790</v>
      </c>
      <c r="F5425" s="55" t="b">
        <v>1</v>
      </c>
      <c r="G5425" s="54" t="b">
        <v>1</v>
      </c>
      <c r="H5425" s="54" t="b">
        <v>1</v>
      </c>
      <c r="I5425" s="54" t="b">
        <v>1</v>
      </c>
      <c r="J5425" s="54" t="b">
        <v>1</v>
      </c>
      <c r="K5425" s="63" t="s">
        <v>1042</v>
      </c>
      <c r="L5425" s="63" t="s">
        <v>10868</v>
      </c>
      <c r="M5425" s="63" t="s">
        <v>10869</v>
      </c>
      <c r="N5425" s="63" t="s">
        <v>1790</v>
      </c>
    </row>
    <row r="5426" spans="1:14" x14ac:dyDescent="0.2">
      <c r="A5426" s="51">
        <v>5425</v>
      </c>
      <c r="B5426" s="54" t="s">
        <v>1042</v>
      </c>
      <c r="C5426" s="47" t="s">
        <v>10910</v>
      </c>
      <c r="D5426" s="47" t="s">
        <v>10911</v>
      </c>
      <c r="E5426" s="47" t="s">
        <v>1790</v>
      </c>
      <c r="F5426" s="55" t="b">
        <v>1</v>
      </c>
      <c r="G5426" s="54" t="b">
        <v>1</v>
      </c>
      <c r="H5426" s="54" t="b">
        <v>1</v>
      </c>
      <c r="I5426" s="54" t="b">
        <v>1</v>
      </c>
      <c r="J5426" s="54" t="b">
        <v>1</v>
      </c>
      <c r="K5426" s="63" t="s">
        <v>1042</v>
      </c>
      <c r="L5426" s="63" t="s">
        <v>10910</v>
      </c>
      <c r="M5426" s="63" t="s">
        <v>10911</v>
      </c>
      <c r="N5426" s="63" t="s">
        <v>1790</v>
      </c>
    </row>
    <row r="5427" spans="1:14" x14ac:dyDescent="0.2">
      <c r="A5427" s="51">
        <v>5426</v>
      </c>
      <c r="B5427" s="54" t="s">
        <v>1042</v>
      </c>
      <c r="C5427" s="47" t="s">
        <v>10942</v>
      </c>
      <c r="D5427" s="47" t="s">
        <v>10943</v>
      </c>
      <c r="E5427" s="47" t="s">
        <v>1790</v>
      </c>
      <c r="F5427" s="55" t="b">
        <v>1</v>
      </c>
      <c r="G5427" s="54" t="b">
        <v>1</v>
      </c>
      <c r="H5427" s="54" t="b">
        <v>1</v>
      </c>
      <c r="I5427" s="54" t="b">
        <v>1</v>
      </c>
      <c r="J5427" s="54" t="b">
        <v>1</v>
      </c>
      <c r="K5427" s="63" t="s">
        <v>1042</v>
      </c>
      <c r="L5427" s="63" t="s">
        <v>10942</v>
      </c>
      <c r="M5427" s="63" t="s">
        <v>10943</v>
      </c>
      <c r="N5427" s="63" t="s">
        <v>1790</v>
      </c>
    </row>
    <row r="5428" spans="1:14" x14ac:dyDescent="0.2">
      <c r="A5428" s="51">
        <v>5427</v>
      </c>
      <c r="B5428" s="54" t="s">
        <v>1042</v>
      </c>
      <c r="C5428" s="47" t="s">
        <v>10824</v>
      </c>
      <c r="D5428" s="47" t="s">
        <v>10825</v>
      </c>
      <c r="E5428" s="47" t="s">
        <v>1790</v>
      </c>
      <c r="F5428" s="55" t="b">
        <v>1</v>
      </c>
      <c r="G5428" s="54" t="b">
        <v>1</v>
      </c>
      <c r="H5428" s="54" t="b">
        <v>1</v>
      </c>
      <c r="I5428" s="54" t="b">
        <v>1</v>
      </c>
      <c r="J5428" s="54" t="b">
        <v>1</v>
      </c>
      <c r="K5428" s="63" t="s">
        <v>1042</v>
      </c>
      <c r="L5428" s="63" t="s">
        <v>10824</v>
      </c>
      <c r="M5428" s="63" t="s">
        <v>10825</v>
      </c>
      <c r="N5428" s="63" t="s">
        <v>1790</v>
      </c>
    </row>
    <row r="5429" spans="1:14" x14ac:dyDescent="0.2">
      <c r="A5429" s="51">
        <v>5428</v>
      </c>
      <c r="B5429" s="54" t="s">
        <v>1042</v>
      </c>
      <c r="C5429" s="47" t="s">
        <v>10828</v>
      </c>
      <c r="D5429" s="47" t="s">
        <v>10829</v>
      </c>
      <c r="E5429" s="47" t="s">
        <v>1790</v>
      </c>
      <c r="F5429" s="55" t="b">
        <v>1</v>
      </c>
      <c r="G5429" s="54" t="b">
        <v>1</v>
      </c>
      <c r="H5429" s="54" t="b">
        <v>1</v>
      </c>
      <c r="I5429" s="54" t="b">
        <v>1</v>
      </c>
      <c r="J5429" s="54" t="b">
        <v>1</v>
      </c>
      <c r="K5429" s="63" t="s">
        <v>1042</v>
      </c>
      <c r="L5429" s="63" t="s">
        <v>10828</v>
      </c>
      <c r="M5429" s="63" t="s">
        <v>10829</v>
      </c>
      <c r="N5429" s="63" t="s">
        <v>1790</v>
      </c>
    </row>
    <row r="5430" spans="1:14" x14ac:dyDescent="0.2">
      <c r="A5430" s="51">
        <v>5429</v>
      </c>
      <c r="B5430" s="54" t="s">
        <v>1042</v>
      </c>
      <c r="C5430" s="47" t="s">
        <v>13789</v>
      </c>
      <c r="D5430" s="47" t="s">
        <v>13790</v>
      </c>
      <c r="E5430" s="47" t="s">
        <v>13778</v>
      </c>
      <c r="F5430" s="55" t="b">
        <v>1</v>
      </c>
      <c r="G5430" s="65" t="b">
        <v>0</v>
      </c>
      <c r="H5430" s="65" t="b">
        <v>0</v>
      </c>
      <c r="I5430" s="65" t="b">
        <v>0</v>
      </c>
      <c r="J5430" s="65" t="b">
        <v>0</v>
      </c>
    </row>
    <row r="5431" spans="1:14" x14ac:dyDescent="0.2">
      <c r="A5431" s="51">
        <v>5430</v>
      </c>
      <c r="B5431" s="54" t="s">
        <v>1042</v>
      </c>
      <c r="C5431" s="47" t="s">
        <v>13795</v>
      </c>
      <c r="D5431" s="47" t="s">
        <v>13796</v>
      </c>
      <c r="E5431" s="47" t="s">
        <v>13778</v>
      </c>
      <c r="F5431" s="55" t="b">
        <v>1</v>
      </c>
      <c r="G5431" s="65" t="b">
        <v>0</v>
      </c>
      <c r="H5431" s="65" t="b">
        <v>0</v>
      </c>
      <c r="I5431" s="65" t="b">
        <v>0</v>
      </c>
      <c r="J5431" s="65" t="b">
        <v>0</v>
      </c>
    </row>
    <row r="5432" spans="1:14" x14ac:dyDescent="0.2">
      <c r="A5432" s="51">
        <v>5431</v>
      </c>
      <c r="B5432" s="54" t="s">
        <v>1042</v>
      </c>
      <c r="C5432" s="47" t="s">
        <v>13801</v>
      </c>
      <c r="D5432" s="47" t="s">
        <v>13802</v>
      </c>
      <c r="E5432" s="47" t="s">
        <v>13778</v>
      </c>
      <c r="F5432" s="55" t="b">
        <v>1</v>
      </c>
      <c r="G5432" s="65" t="b">
        <v>0</v>
      </c>
      <c r="H5432" s="65" t="b">
        <v>0</v>
      </c>
      <c r="I5432" s="65" t="b">
        <v>0</v>
      </c>
      <c r="J5432" s="65" t="b">
        <v>0</v>
      </c>
    </row>
    <row r="5433" spans="1:14" x14ac:dyDescent="0.2">
      <c r="A5433" s="51">
        <v>5432</v>
      </c>
      <c r="B5433" s="54" t="s">
        <v>1042</v>
      </c>
      <c r="C5433" s="47" t="s">
        <v>13807</v>
      </c>
      <c r="D5433" s="47" t="s">
        <v>13808</v>
      </c>
      <c r="E5433" s="47" t="s">
        <v>13778</v>
      </c>
      <c r="F5433" s="55" t="b">
        <v>1</v>
      </c>
      <c r="G5433" s="65" t="b">
        <v>0</v>
      </c>
      <c r="H5433" s="65" t="b">
        <v>0</v>
      </c>
      <c r="I5433" s="65" t="b">
        <v>0</v>
      </c>
      <c r="J5433" s="65" t="b">
        <v>0</v>
      </c>
    </row>
    <row r="5434" spans="1:14" x14ac:dyDescent="0.2">
      <c r="A5434" s="51">
        <v>5433</v>
      </c>
      <c r="B5434" s="54" t="s">
        <v>1042</v>
      </c>
      <c r="C5434" s="47" t="s">
        <v>13815</v>
      </c>
      <c r="D5434" s="47" t="s">
        <v>13816</v>
      </c>
      <c r="E5434" s="47" t="s">
        <v>13778</v>
      </c>
      <c r="F5434" s="55" t="b">
        <v>1</v>
      </c>
      <c r="G5434" s="65" t="b">
        <v>0</v>
      </c>
      <c r="H5434" s="65" t="b">
        <v>0</v>
      </c>
      <c r="I5434" s="65" t="b">
        <v>0</v>
      </c>
      <c r="J5434" s="65" t="b">
        <v>0</v>
      </c>
    </row>
    <row r="5435" spans="1:14" x14ac:dyDescent="0.2">
      <c r="A5435" s="51">
        <v>5434</v>
      </c>
      <c r="B5435" s="54" t="s">
        <v>1042</v>
      </c>
      <c r="C5435" s="47" t="s">
        <v>13821</v>
      </c>
      <c r="D5435" s="47" t="s">
        <v>13822</v>
      </c>
      <c r="E5435" s="47" t="s">
        <v>13778</v>
      </c>
      <c r="F5435" s="55" t="b">
        <v>1</v>
      </c>
      <c r="G5435" s="65" t="b">
        <v>0</v>
      </c>
      <c r="H5435" s="65" t="b">
        <v>0</v>
      </c>
      <c r="I5435" s="65" t="b">
        <v>0</v>
      </c>
      <c r="J5435" s="65" t="b">
        <v>0</v>
      </c>
    </row>
    <row r="5436" spans="1:14" x14ac:dyDescent="0.2">
      <c r="A5436" s="51">
        <v>5435</v>
      </c>
      <c r="B5436" s="54" t="s">
        <v>1042</v>
      </c>
      <c r="C5436" s="47" t="s">
        <v>13825</v>
      </c>
      <c r="D5436" s="47" t="s">
        <v>13826</v>
      </c>
      <c r="E5436" s="47" t="s">
        <v>13778</v>
      </c>
      <c r="F5436" s="55" t="b">
        <v>1</v>
      </c>
      <c r="G5436" s="65" t="b">
        <v>0</v>
      </c>
      <c r="H5436" s="65" t="b">
        <v>0</v>
      </c>
      <c r="I5436" s="65" t="b">
        <v>0</v>
      </c>
      <c r="J5436" s="65" t="b">
        <v>0</v>
      </c>
    </row>
    <row r="5437" spans="1:14" x14ac:dyDescent="0.2">
      <c r="A5437" s="51">
        <v>5436</v>
      </c>
      <c r="B5437" s="54" t="s">
        <v>1042</v>
      </c>
      <c r="C5437" s="47" t="s">
        <v>13835</v>
      </c>
      <c r="D5437" s="47" t="s">
        <v>13836</v>
      </c>
      <c r="E5437" s="47" t="s">
        <v>13778</v>
      </c>
      <c r="F5437" s="55" t="b">
        <v>1</v>
      </c>
      <c r="G5437" s="65" t="b">
        <v>0</v>
      </c>
      <c r="H5437" s="65" t="b">
        <v>0</v>
      </c>
      <c r="I5437" s="65" t="b">
        <v>0</v>
      </c>
      <c r="J5437" s="65" t="b">
        <v>0</v>
      </c>
    </row>
    <row r="5438" spans="1:14" x14ac:dyDescent="0.2">
      <c r="A5438" s="51">
        <v>5437</v>
      </c>
      <c r="B5438" s="54" t="s">
        <v>1042</v>
      </c>
      <c r="C5438" s="47" t="s">
        <v>10810</v>
      </c>
      <c r="D5438" s="47" t="s">
        <v>10811</v>
      </c>
      <c r="E5438" s="47" t="s">
        <v>1790</v>
      </c>
      <c r="F5438" s="55" t="b">
        <v>1</v>
      </c>
      <c r="G5438" s="54" t="b">
        <v>1</v>
      </c>
      <c r="H5438" s="54" t="b">
        <v>1</v>
      </c>
      <c r="I5438" s="54" t="b">
        <v>1</v>
      </c>
      <c r="J5438" s="54" t="b">
        <v>1</v>
      </c>
      <c r="K5438" s="63" t="s">
        <v>1042</v>
      </c>
      <c r="L5438" s="63" t="s">
        <v>10810</v>
      </c>
      <c r="M5438" s="63" t="s">
        <v>10811</v>
      </c>
      <c r="N5438" s="63" t="s">
        <v>1790</v>
      </c>
    </row>
    <row r="5439" spans="1:14" x14ac:dyDescent="0.2">
      <c r="A5439" s="51">
        <v>5438</v>
      </c>
      <c r="B5439" s="54" t="s">
        <v>1042</v>
      </c>
      <c r="C5439" s="47" t="s">
        <v>10818</v>
      </c>
      <c r="D5439" s="47" t="s">
        <v>10819</v>
      </c>
      <c r="E5439" s="47" t="s">
        <v>1790</v>
      </c>
      <c r="F5439" s="55" t="b">
        <v>1</v>
      </c>
      <c r="G5439" s="54" t="b">
        <v>1</v>
      </c>
      <c r="H5439" s="54" t="b">
        <v>1</v>
      </c>
      <c r="I5439" s="54" t="b">
        <v>1</v>
      </c>
      <c r="J5439" s="54" t="b">
        <v>1</v>
      </c>
      <c r="K5439" s="63" t="s">
        <v>1042</v>
      </c>
      <c r="L5439" s="63" t="s">
        <v>10818</v>
      </c>
      <c r="M5439" s="63" t="s">
        <v>10819</v>
      </c>
      <c r="N5439" s="63" t="s">
        <v>1790</v>
      </c>
    </row>
    <row r="5440" spans="1:14" x14ac:dyDescent="0.2">
      <c r="A5440" s="51">
        <v>5439</v>
      </c>
      <c r="B5440" s="54" t="s">
        <v>1042</v>
      </c>
      <c r="C5440" s="47" t="s">
        <v>10820</v>
      </c>
      <c r="D5440" s="47" t="s">
        <v>10821</v>
      </c>
      <c r="E5440" s="47" t="s">
        <v>1790</v>
      </c>
      <c r="F5440" s="55" t="b">
        <v>1</v>
      </c>
      <c r="G5440" s="54" t="b">
        <v>1</v>
      </c>
      <c r="H5440" s="54" t="b">
        <v>1</v>
      </c>
      <c r="I5440" s="54" t="b">
        <v>1</v>
      </c>
      <c r="J5440" s="54" t="b">
        <v>1</v>
      </c>
      <c r="K5440" s="63" t="s">
        <v>1042</v>
      </c>
      <c r="L5440" s="63" t="s">
        <v>10820</v>
      </c>
      <c r="M5440" s="63" t="s">
        <v>10821</v>
      </c>
      <c r="N5440" s="63" t="s">
        <v>1790</v>
      </c>
    </row>
    <row r="5441" spans="1:14" x14ac:dyDescent="0.2">
      <c r="A5441" s="51">
        <v>5440</v>
      </c>
      <c r="B5441" s="54" t="s">
        <v>1042</v>
      </c>
      <c r="C5441" s="47" t="s">
        <v>10846</v>
      </c>
      <c r="D5441" s="47" t="s">
        <v>10847</v>
      </c>
      <c r="E5441" s="47" t="s">
        <v>1790</v>
      </c>
      <c r="F5441" s="55" t="b">
        <v>1</v>
      </c>
      <c r="G5441" s="54" t="b">
        <v>1</v>
      </c>
      <c r="H5441" s="54" t="b">
        <v>1</v>
      </c>
      <c r="I5441" s="54" t="b">
        <v>1</v>
      </c>
      <c r="J5441" s="54" t="b">
        <v>1</v>
      </c>
      <c r="K5441" s="63" t="s">
        <v>1042</v>
      </c>
      <c r="L5441" s="63" t="s">
        <v>10846</v>
      </c>
      <c r="M5441" s="63" t="s">
        <v>10847</v>
      </c>
      <c r="N5441" s="63" t="s">
        <v>1790</v>
      </c>
    </row>
    <row r="5442" spans="1:14" x14ac:dyDescent="0.2">
      <c r="A5442" s="51">
        <v>5441</v>
      </c>
      <c r="B5442" s="54" t="s">
        <v>1042</v>
      </c>
      <c r="C5442" s="47" t="s">
        <v>10894</v>
      </c>
      <c r="D5442" s="47" t="s">
        <v>10895</v>
      </c>
      <c r="E5442" s="47" t="s">
        <v>1790</v>
      </c>
      <c r="F5442" s="55" t="b">
        <v>1</v>
      </c>
      <c r="G5442" s="54" t="b">
        <v>1</v>
      </c>
      <c r="H5442" s="54" t="b">
        <v>1</v>
      </c>
      <c r="I5442" s="54" t="b">
        <v>1</v>
      </c>
      <c r="J5442" s="54" t="b">
        <v>1</v>
      </c>
      <c r="K5442" s="63" t="s">
        <v>1042</v>
      </c>
      <c r="L5442" s="63" t="s">
        <v>10894</v>
      </c>
      <c r="M5442" s="63" t="s">
        <v>10895</v>
      </c>
      <c r="N5442" s="63" t="s">
        <v>1790</v>
      </c>
    </row>
    <row r="5443" spans="1:14" x14ac:dyDescent="0.2">
      <c r="A5443" s="51">
        <v>5442</v>
      </c>
      <c r="B5443" s="54" t="s">
        <v>1042</v>
      </c>
      <c r="C5443" s="47" t="s">
        <v>10898</v>
      </c>
      <c r="D5443" s="47" t="s">
        <v>10899</v>
      </c>
      <c r="E5443" s="47" t="s">
        <v>1790</v>
      </c>
      <c r="F5443" s="55" t="b">
        <v>1</v>
      </c>
      <c r="G5443" s="54" t="b">
        <v>1</v>
      </c>
      <c r="H5443" s="54" t="b">
        <v>1</v>
      </c>
      <c r="I5443" s="54" t="b">
        <v>1</v>
      </c>
      <c r="J5443" s="54" t="b">
        <v>1</v>
      </c>
      <c r="K5443" s="63" t="s">
        <v>1042</v>
      </c>
      <c r="L5443" s="63" t="s">
        <v>10898</v>
      </c>
      <c r="M5443" s="63" t="s">
        <v>10899</v>
      </c>
      <c r="N5443" s="63" t="s">
        <v>1790</v>
      </c>
    </row>
    <row r="5444" spans="1:14" x14ac:dyDescent="0.2">
      <c r="A5444" s="51">
        <v>5443</v>
      </c>
      <c r="B5444" s="54" t="s">
        <v>1042</v>
      </c>
      <c r="C5444" s="47" t="s">
        <v>10904</v>
      </c>
      <c r="D5444" s="47" t="s">
        <v>10905</v>
      </c>
      <c r="E5444" s="47" t="s">
        <v>1790</v>
      </c>
      <c r="F5444" s="55" t="b">
        <v>1</v>
      </c>
      <c r="G5444" s="54" t="b">
        <v>1</v>
      </c>
      <c r="H5444" s="54" t="b">
        <v>1</v>
      </c>
      <c r="I5444" s="54" t="b">
        <v>1</v>
      </c>
      <c r="J5444" s="54" t="b">
        <v>1</v>
      </c>
      <c r="K5444" s="63" t="s">
        <v>1042</v>
      </c>
      <c r="L5444" s="63" t="s">
        <v>10904</v>
      </c>
      <c r="M5444" s="63" t="s">
        <v>10905</v>
      </c>
      <c r="N5444" s="63" t="s">
        <v>1790</v>
      </c>
    </row>
    <row r="5445" spans="1:14" x14ac:dyDescent="0.2">
      <c r="A5445" s="51">
        <v>5444</v>
      </c>
      <c r="B5445" s="54" t="s">
        <v>1042</v>
      </c>
      <c r="C5445" s="47" t="s">
        <v>10926</v>
      </c>
      <c r="D5445" s="47" t="s">
        <v>10927</v>
      </c>
      <c r="E5445" s="47" t="s">
        <v>1790</v>
      </c>
      <c r="F5445" s="55" t="b">
        <v>1</v>
      </c>
      <c r="G5445" s="54" t="b">
        <v>1</v>
      </c>
      <c r="H5445" s="54" t="b">
        <v>1</v>
      </c>
      <c r="I5445" s="54" t="b">
        <v>1</v>
      </c>
      <c r="J5445" s="54" t="b">
        <v>1</v>
      </c>
      <c r="K5445" s="63" t="s">
        <v>1042</v>
      </c>
      <c r="L5445" s="63" t="s">
        <v>10926</v>
      </c>
      <c r="M5445" s="63" t="s">
        <v>10927</v>
      </c>
      <c r="N5445" s="63" t="s">
        <v>1790</v>
      </c>
    </row>
    <row r="5446" spans="1:14" x14ac:dyDescent="0.2">
      <c r="A5446" s="51">
        <v>5445</v>
      </c>
      <c r="B5446" s="54" t="s">
        <v>1042</v>
      </c>
      <c r="C5446" s="47" t="s">
        <v>10928</v>
      </c>
      <c r="D5446" s="47" t="s">
        <v>10929</v>
      </c>
      <c r="E5446" s="47" t="s">
        <v>1790</v>
      </c>
      <c r="F5446" s="55" t="b">
        <v>1</v>
      </c>
      <c r="G5446" s="54" t="b">
        <v>1</v>
      </c>
      <c r="H5446" s="54" t="b">
        <v>1</v>
      </c>
      <c r="I5446" s="54" t="b">
        <v>1</v>
      </c>
      <c r="J5446" s="54" t="b">
        <v>1</v>
      </c>
      <c r="K5446" s="63" t="s">
        <v>1042</v>
      </c>
      <c r="L5446" s="63" t="s">
        <v>10928</v>
      </c>
      <c r="M5446" s="63" t="s">
        <v>10929</v>
      </c>
      <c r="N5446" s="63" t="s">
        <v>1790</v>
      </c>
    </row>
    <row r="5447" spans="1:14" x14ac:dyDescent="0.2">
      <c r="A5447" s="51">
        <v>5446</v>
      </c>
      <c r="B5447" s="54" t="s">
        <v>1042</v>
      </c>
      <c r="C5447" s="47" t="s">
        <v>10944</v>
      </c>
      <c r="D5447" s="47" t="s">
        <v>10945</v>
      </c>
      <c r="E5447" s="47" t="s">
        <v>1790</v>
      </c>
      <c r="F5447" s="55" t="b">
        <v>1</v>
      </c>
      <c r="G5447" s="54" t="b">
        <v>1</v>
      </c>
      <c r="H5447" s="54" t="b">
        <v>1</v>
      </c>
      <c r="I5447" s="54" t="b">
        <v>1</v>
      </c>
      <c r="J5447" s="54" t="b">
        <v>1</v>
      </c>
      <c r="K5447" s="63" t="s">
        <v>1042</v>
      </c>
      <c r="L5447" s="63" t="s">
        <v>10944</v>
      </c>
      <c r="M5447" s="63" t="s">
        <v>10945</v>
      </c>
      <c r="N5447" s="63" t="s">
        <v>1790</v>
      </c>
    </row>
    <row r="5448" spans="1:14" x14ac:dyDescent="0.2">
      <c r="A5448" s="51">
        <v>5447</v>
      </c>
      <c r="B5448" s="54" t="s">
        <v>1042</v>
      </c>
      <c r="C5448" s="47" t="s">
        <v>10936</v>
      </c>
      <c r="D5448" s="47" t="s">
        <v>10937</v>
      </c>
      <c r="E5448" s="47" t="s">
        <v>1790</v>
      </c>
      <c r="F5448" s="55" t="b">
        <v>1</v>
      </c>
      <c r="G5448" s="54" t="b">
        <v>1</v>
      </c>
      <c r="H5448" s="54" t="b">
        <v>1</v>
      </c>
      <c r="I5448" s="54" t="b">
        <v>1</v>
      </c>
      <c r="J5448" s="54" t="b">
        <v>1</v>
      </c>
      <c r="K5448" s="63" t="s">
        <v>1042</v>
      </c>
      <c r="L5448" s="63" t="s">
        <v>10936</v>
      </c>
      <c r="M5448" s="63" t="s">
        <v>10937</v>
      </c>
      <c r="N5448" s="63" t="s">
        <v>1790</v>
      </c>
    </row>
    <row r="5449" spans="1:14" x14ac:dyDescent="0.2">
      <c r="A5449" s="51">
        <v>5448</v>
      </c>
      <c r="B5449" s="54" t="s">
        <v>1042</v>
      </c>
      <c r="C5449" s="47" t="s">
        <v>10951</v>
      </c>
      <c r="D5449" s="47" t="s">
        <v>10952</v>
      </c>
      <c r="E5449" s="47" t="s">
        <v>1790</v>
      </c>
      <c r="F5449" s="55" t="b">
        <v>1</v>
      </c>
      <c r="G5449" s="54" t="b">
        <v>1</v>
      </c>
      <c r="H5449" s="54" t="b">
        <v>1</v>
      </c>
      <c r="I5449" s="54" t="b">
        <v>1</v>
      </c>
      <c r="J5449" s="54" t="b">
        <v>1</v>
      </c>
      <c r="K5449" s="63" t="s">
        <v>1042</v>
      </c>
      <c r="L5449" s="63" t="s">
        <v>10951</v>
      </c>
      <c r="M5449" s="63" t="s">
        <v>10952</v>
      </c>
      <c r="N5449" s="63" t="s">
        <v>1790</v>
      </c>
    </row>
    <row r="5450" spans="1:14" x14ac:dyDescent="0.2">
      <c r="A5450" s="51">
        <v>5449</v>
      </c>
      <c r="B5450" s="54" t="s">
        <v>1042</v>
      </c>
      <c r="C5450" s="47" t="s">
        <v>10970</v>
      </c>
      <c r="D5450" s="47" t="s">
        <v>10971</v>
      </c>
      <c r="E5450" s="47" t="s">
        <v>1790</v>
      </c>
      <c r="F5450" s="55" t="b">
        <v>1</v>
      </c>
      <c r="G5450" s="54" t="b">
        <v>1</v>
      </c>
      <c r="H5450" s="54" t="b">
        <v>1</v>
      </c>
      <c r="I5450" s="54" t="b">
        <v>1</v>
      </c>
      <c r="J5450" s="54" t="b">
        <v>1</v>
      </c>
      <c r="K5450" s="63" t="s">
        <v>1042</v>
      </c>
      <c r="L5450" s="63" t="s">
        <v>10970</v>
      </c>
      <c r="M5450" s="63" t="s">
        <v>10971</v>
      </c>
      <c r="N5450" s="63" t="s">
        <v>1790</v>
      </c>
    </row>
    <row r="5451" spans="1:14" x14ac:dyDescent="0.2">
      <c r="A5451" s="51">
        <v>5450</v>
      </c>
      <c r="B5451" s="54" t="s">
        <v>1042</v>
      </c>
      <c r="C5451" s="47" t="s">
        <v>10812</v>
      </c>
      <c r="D5451" s="47" t="s">
        <v>10813</v>
      </c>
      <c r="E5451" s="47" t="s">
        <v>1790</v>
      </c>
      <c r="F5451" s="55" t="b">
        <v>1</v>
      </c>
      <c r="G5451" s="54" t="b">
        <v>1</v>
      </c>
      <c r="H5451" s="54" t="b">
        <v>1</v>
      </c>
      <c r="I5451" s="54" t="b">
        <v>1</v>
      </c>
      <c r="J5451" s="54" t="b">
        <v>1</v>
      </c>
      <c r="K5451" s="63" t="s">
        <v>1042</v>
      </c>
      <c r="L5451" s="63" t="s">
        <v>10812</v>
      </c>
      <c r="M5451" s="63" t="s">
        <v>10813</v>
      </c>
      <c r="N5451" s="63" t="s">
        <v>1790</v>
      </c>
    </row>
    <row r="5452" spans="1:14" x14ac:dyDescent="0.2">
      <c r="A5452" s="51">
        <v>5451</v>
      </c>
      <c r="B5452" s="54" t="s">
        <v>1042</v>
      </c>
      <c r="C5452" s="47" t="s">
        <v>10858</v>
      </c>
      <c r="D5452" s="47" t="s">
        <v>10859</v>
      </c>
      <c r="E5452" s="47" t="s">
        <v>1790</v>
      </c>
      <c r="F5452" s="55" t="b">
        <v>1</v>
      </c>
      <c r="G5452" s="54" t="b">
        <v>1</v>
      </c>
      <c r="H5452" s="54" t="b">
        <v>1</v>
      </c>
      <c r="I5452" s="54" t="b">
        <v>1</v>
      </c>
      <c r="J5452" s="54" t="b">
        <v>1</v>
      </c>
      <c r="K5452" s="63" t="s">
        <v>1042</v>
      </c>
      <c r="L5452" s="63" t="s">
        <v>10858</v>
      </c>
      <c r="M5452" s="63" t="s">
        <v>10859</v>
      </c>
      <c r="N5452" s="63" t="s">
        <v>1790</v>
      </c>
    </row>
    <row r="5453" spans="1:14" x14ac:dyDescent="0.2">
      <c r="A5453" s="51">
        <v>5452</v>
      </c>
      <c r="B5453" s="54" t="s">
        <v>1042</v>
      </c>
      <c r="C5453" s="47" t="s">
        <v>10896</v>
      </c>
      <c r="D5453" s="47" t="s">
        <v>10897</v>
      </c>
      <c r="E5453" s="47" t="s">
        <v>1790</v>
      </c>
      <c r="F5453" s="55" t="b">
        <v>1</v>
      </c>
      <c r="G5453" s="54" t="b">
        <v>1</v>
      </c>
      <c r="H5453" s="54" t="b">
        <v>1</v>
      </c>
      <c r="I5453" s="54" t="b">
        <v>1</v>
      </c>
      <c r="J5453" s="54" t="b">
        <v>1</v>
      </c>
      <c r="K5453" s="63" t="s">
        <v>1042</v>
      </c>
      <c r="L5453" s="63" t="s">
        <v>10896</v>
      </c>
      <c r="M5453" s="63" t="s">
        <v>10897</v>
      </c>
      <c r="N5453" s="63" t="s">
        <v>1790</v>
      </c>
    </row>
    <row r="5454" spans="1:14" x14ac:dyDescent="0.2">
      <c r="A5454" s="51">
        <v>5453</v>
      </c>
      <c r="B5454" s="54" t="s">
        <v>1042</v>
      </c>
      <c r="C5454" s="47" t="s">
        <v>10808</v>
      </c>
      <c r="D5454" s="47" t="s">
        <v>10809</v>
      </c>
      <c r="E5454" s="47" t="s">
        <v>1790</v>
      </c>
      <c r="F5454" s="55" t="b">
        <v>1</v>
      </c>
      <c r="G5454" s="54" t="b">
        <v>1</v>
      </c>
      <c r="H5454" s="54" t="b">
        <v>1</v>
      </c>
      <c r="I5454" s="54" t="b">
        <v>1</v>
      </c>
      <c r="J5454" s="54" t="b">
        <v>1</v>
      </c>
      <c r="K5454" s="63" t="s">
        <v>1042</v>
      </c>
      <c r="L5454" s="63" t="s">
        <v>10808</v>
      </c>
      <c r="M5454" s="63" t="s">
        <v>10809</v>
      </c>
      <c r="N5454" s="63" t="s">
        <v>1790</v>
      </c>
    </row>
    <row r="5455" spans="1:14" x14ac:dyDescent="0.2">
      <c r="A5455" s="51">
        <v>5454</v>
      </c>
      <c r="B5455" s="54" t="s">
        <v>1042</v>
      </c>
      <c r="C5455" s="47" t="s">
        <v>10843</v>
      </c>
      <c r="D5455" s="47" t="s">
        <v>10844</v>
      </c>
      <c r="E5455" s="47" t="s">
        <v>1790</v>
      </c>
      <c r="F5455" s="55" t="b">
        <v>1</v>
      </c>
      <c r="G5455" s="54" t="b">
        <v>1</v>
      </c>
      <c r="H5455" s="54" t="b">
        <v>1</v>
      </c>
      <c r="I5455" s="54" t="b">
        <v>1</v>
      </c>
      <c r="J5455" s="54" t="b">
        <v>1</v>
      </c>
      <c r="K5455" s="63" t="s">
        <v>1042</v>
      </c>
      <c r="L5455" s="63" t="s">
        <v>10843</v>
      </c>
      <c r="M5455" s="63" t="s">
        <v>10844</v>
      </c>
      <c r="N5455" s="63" t="s">
        <v>1790</v>
      </c>
    </row>
    <row r="5456" spans="1:14" x14ac:dyDescent="0.2">
      <c r="A5456" s="51">
        <v>5455</v>
      </c>
      <c r="B5456" s="54" t="s">
        <v>1042</v>
      </c>
      <c r="C5456" s="47" t="s">
        <v>10816</v>
      </c>
      <c r="D5456" s="47" t="s">
        <v>10817</v>
      </c>
      <c r="E5456" s="47" t="s">
        <v>1790</v>
      </c>
      <c r="F5456" s="55" t="b">
        <v>1</v>
      </c>
      <c r="G5456" s="54" t="b">
        <v>1</v>
      </c>
      <c r="H5456" s="54" t="b">
        <v>1</v>
      </c>
      <c r="I5456" s="54" t="b">
        <v>1</v>
      </c>
      <c r="J5456" s="54" t="b">
        <v>1</v>
      </c>
      <c r="K5456" s="63" t="s">
        <v>1042</v>
      </c>
      <c r="L5456" s="63" t="s">
        <v>10816</v>
      </c>
      <c r="M5456" s="63" t="s">
        <v>10817</v>
      </c>
      <c r="N5456" s="63" t="s">
        <v>1790</v>
      </c>
    </row>
    <row r="5457" spans="1:14" x14ac:dyDescent="0.2">
      <c r="A5457" s="51">
        <v>5456</v>
      </c>
      <c r="B5457" s="54" t="s">
        <v>1042</v>
      </c>
      <c r="C5457" s="47" t="s">
        <v>10912</v>
      </c>
      <c r="D5457" s="47" t="s">
        <v>10913</v>
      </c>
      <c r="E5457" s="47" t="s">
        <v>1790</v>
      </c>
      <c r="F5457" s="55" t="b">
        <v>1</v>
      </c>
      <c r="G5457" s="54" t="b">
        <v>1</v>
      </c>
      <c r="H5457" s="54" t="b">
        <v>1</v>
      </c>
      <c r="I5457" s="54" t="b">
        <v>1</v>
      </c>
      <c r="J5457" s="54" t="b">
        <v>1</v>
      </c>
      <c r="K5457" s="63" t="s">
        <v>1042</v>
      </c>
      <c r="L5457" s="63" t="s">
        <v>10912</v>
      </c>
      <c r="M5457" s="63" t="s">
        <v>10913</v>
      </c>
      <c r="N5457" s="63" t="s">
        <v>1790</v>
      </c>
    </row>
    <row r="5458" spans="1:14" x14ac:dyDescent="0.2">
      <c r="A5458" s="51">
        <v>5457</v>
      </c>
      <c r="B5458" s="54" t="s">
        <v>1042</v>
      </c>
      <c r="C5458" s="47" t="s">
        <v>10949</v>
      </c>
      <c r="D5458" s="47" t="s">
        <v>10950</v>
      </c>
      <c r="E5458" s="47" t="s">
        <v>1790</v>
      </c>
      <c r="F5458" s="55" t="b">
        <v>1</v>
      </c>
      <c r="G5458" s="54" t="b">
        <v>1</v>
      </c>
      <c r="H5458" s="54" t="b">
        <v>1</v>
      </c>
      <c r="I5458" s="54" t="b">
        <v>1</v>
      </c>
      <c r="J5458" s="54" t="b">
        <v>1</v>
      </c>
      <c r="K5458" s="63" t="s">
        <v>1042</v>
      </c>
      <c r="L5458" s="63" t="s">
        <v>10949</v>
      </c>
      <c r="M5458" s="63" t="s">
        <v>10950</v>
      </c>
      <c r="N5458" s="63" t="s">
        <v>1790</v>
      </c>
    </row>
    <row r="5459" spans="1:14" ht="15" x14ac:dyDescent="0.25">
      <c r="A5459" s="51">
        <v>5458</v>
      </c>
      <c r="B5459" s="54" t="s">
        <v>1042</v>
      </c>
      <c r="C5459" s="47" t="s">
        <v>13776</v>
      </c>
      <c r="D5459" s="47" t="s">
        <v>13777</v>
      </c>
      <c r="E5459" s="47" t="s">
        <v>13778</v>
      </c>
      <c r="F5459" s="55" t="b">
        <v>1</v>
      </c>
      <c r="G5459" s="65" t="b">
        <v>0</v>
      </c>
      <c r="H5459" s="65" t="b">
        <v>0</v>
      </c>
      <c r="I5459" s="65" t="b">
        <v>0</v>
      </c>
      <c r="J5459" s="65" t="b">
        <v>0</v>
      </c>
      <c r="K5459" s="64"/>
      <c r="L5459" s="64"/>
      <c r="M5459" s="64"/>
      <c r="N5459" s="64"/>
    </row>
    <row r="5460" spans="1:14" x14ac:dyDescent="0.2">
      <c r="A5460" s="51">
        <v>5459</v>
      </c>
      <c r="B5460" s="54" t="s">
        <v>1042</v>
      </c>
      <c r="C5460" s="47" t="s">
        <v>13779</v>
      </c>
      <c r="D5460" s="47" t="s">
        <v>13780</v>
      </c>
      <c r="E5460" s="47" t="s">
        <v>13778</v>
      </c>
      <c r="F5460" s="55" t="b">
        <v>1</v>
      </c>
      <c r="G5460" s="65" t="b">
        <v>0</v>
      </c>
      <c r="H5460" s="65" t="b">
        <v>0</v>
      </c>
      <c r="I5460" s="65" t="b">
        <v>0</v>
      </c>
      <c r="J5460" s="65" t="b">
        <v>0</v>
      </c>
      <c r="K5460" s="54"/>
      <c r="L5460" s="54"/>
      <c r="M5460" s="54"/>
      <c r="N5460" s="54"/>
    </row>
    <row r="5461" spans="1:14" x14ac:dyDescent="0.2">
      <c r="A5461" s="51">
        <v>5460</v>
      </c>
      <c r="B5461" s="54" t="s">
        <v>1042</v>
      </c>
      <c r="C5461" s="47" t="s">
        <v>13781</v>
      </c>
      <c r="D5461" s="47" t="s">
        <v>13782</v>
      </c>
      <c r="E5461" s="47" t="s">
        <v>13778</v>
      </c>
      <c r="F5461" s="55" t="b">
        <v>1</v>
      </c>
      <c r="G5461" s="65" t="b">
        <v>0</v>
      </c>
      <c r="H5461" s="65" t="b">
        <v>0</v>
      </c>
      <c r="I5461" s="65" t="b">
        <v>0</v>
      </c>
      <c r="J5461" s="65" t="b">
        <v>0</v>
      </c>
      <c r="K5461" s="54"/>
      <c r="L5461" s="54"/>
      <c r="M5461" s="54"/>
      <c r="N5461" s="54"/>
    </row>
    <row r="5462" spans="1:14" x14ac:dyDescent="0.2">
      <c r="A5462" s="51">
        <v>5461</v>
      </c>
      <c r="B5462" s="54" t="s">
        <v>1042</v>
      </c>
      <c r="C5462" s="47" t="s">
        <v>13783</v>
      </c>
      <c r="D5462" s="47" t="s">
        <v>13784</v>
      </c>
      <c r="E5462" s="47" t="s">
        <v>13778</v>
      </c>
      <c r="F5462" s="55" t="b">
        <v>1</v>
      </c>
      <c r="G5462" s="65" t="b">
        <v>0</v>
      </c>
      <c r="H5462" s="65" t="b">
        <v>0</v>
      </c>
      <c r="I5462" s="65" t="b">
        <v>0</v>
      </c>
      <c r="J5462" s="65" t="b">
        <v>0</v>
      </c>
    </row>
    <row r="5463" spans="1:14" x14ac:dyDescent="0.2">
      <c r="A5463" s="51">
        <v>5462</v>
      </c>
      <c r="B5463" s="54" t="s">
        <v>1042</v>
      </c>
      <c r="C5463" s="47" t="s">
        <v>13805</v>
      </c>
      <c r="D5463" s="47" t="s">
        <v>13806</v>
      </c>
      <c r="E5463" s="47" t="s">
        <v>13778</v>
      </c>
      <c r="F5463" s="55" t="b">
        <v>1</v>
      </c>
      <c r="G5463" s="65" t="b">
        <v>0</v>
      </c>
      <c r="H5463" s="65" t="b">
        <v>0</v>
      </c>
      <c r="I5463" s="65" t="b">
        <v>0</v>
      </c>
      <c r="J5463" s="65" t="b">
        <v>0</v>
      </c>
    </row>
    <row r="5464" spans="1:14" x14ac:dyDescent="0.2">
      <c r="A5464" s="51">
        <v>5463</v>
      </c>
      <c r="B5464" s="54" t="s">
        <v>1042</v>
      </c>
      <c r="C5464" s="47" t="s">
        <v>13813</v>
      </c>
      <c r="D5464" s="47" t="s">
        <v>13814</v>
      </c>
      <c r="E5464" s="47" t="s">
        <v>13778</v>
      </c>
      <c r="F5464" s="55" t="b">
        <v>1</v>
      </c>
      <c r="G5464" s="65" t="b">
        <v>0</v>
      </c>
      <c r="H5464" s="65" t="b">
        <v>0</v>
      </c>
      <c r="I5464" s="65" t="b">
        <v>0</v>
      </c>
      <c r="J5464" s="65" t="b">
        <v>0</v>
      </c>
    </row>
    <row r="5465" spans="1:14" x14ac:dyDescent="0.2">
      <c r="A5465" s="51">
        <v>5464</v>
      </c>
      <c r="B5465" s="54" t="s">
        <v>1042</v>
      </c>
      <c r="C5465" s="47" t="s">
        <v>13823</v>
      </c>
      <c r="D5465" s="47" t="s">
        <v>13824</v>
      </c>
      <c r="E5465" s="47" t="s">
        <v>13778</v>
      </c>
      <c r="F5465" s="55" t="b">
        <v>1</v>
      </c>
      <c r="G5465" s="65" t="b">
        <v>0</v>
      </c>
      <c r="H5465" s="65" t="b">
        <v>0</v>
      </c>
      <c r="I5465" s="65" t="b">
        <v>0</v>
      </c>
      <c r="J5465" s="65" t="b">
        <v>0</v>
      </c>
    </row>
    <row r="5466" spans="1:14" x14ac:dyDescent="0.2">
      <c r="A5466" s="51">
        <v>5465</v>
      </c>
      <c r="B5466" s="54" t="s">
        <v>1042</v>
      </c>
      <c r="C5466" s="47" t="s">
        <v>13829</v>
      </c>
      <c r="D5466" s="47" t="s">
        <v>13830</v>
      </c>
      <c r="E5466" s="47" t="s">
        <v>13778</v>
      </c>
      <c r="F5466" s="55" t="b">
        <v>1</v>
      </c>
      <c r="G5466" s="65" t="b">
        <v>0</v>
      </c>
      <c r="H5466" s="65" t="b">
        <v>0</v>
      </c>
      <c r="I5466" s="65" t="b">
        <v>0</v>
      </c>
      <c r="J5466" s="65" t="b">
        <v>0</v>
      </c>
    </row>
    <row r="5467" spans="1:14" x14ac:dyDescent="0.2">
      <c r="A5467" s="51">
        <v>5466</v>
      </c>
      <c r="B5467" s="54" t="s">
        <v>1042</v>
      </c>
      <c r="C5467" s="47" t="s">
        <v>13831</v>
      </c>
      <c r="D5467" s="47" t="s">
        <v>13832</v>
      </c>
      <c r="E5467" s="47" t="s">
        <v>13778</v>
      </c>
      <c r="F5467" s="55" t="b">
        <v>1</v>
      </c>
      <c r="G5467" s="65" t="b">
        <v>0</v>
      </c>
      <c r="H5467" s="65" t="b">
        <v>0</v>
      </c>
      <c r="I5467" s="65" t="b">
        <v>0</v>
      </c>
      <c r="J5467" s="65" t="b">
        <v>0</v>
      </c>
    </row>
    <row r="5468" spans="1:14" x14ac:dyDescent="0.2">
      <c r="A5468" s="51">
        <v>5467</v>
      </c>
      <c r="B5468" s="54" t="s">
        <v>1042</v>
      </c>
      <c r="C5468" s="47" t="s">
        <v>13839</v>
      </c>
      <c r="D5468" s="47" t="s">
        <v>13840</v>
      </c>
      <c r="E5468" s="47" t="s">
        <v>13778</v>
      </c>
      <c r="F5468" s="55" t="b">
        <v>1</v>
      </c>
      <c r="G5468" s="65" t="b">
        <v>0</v>
      </c>
      <c r="H5468" s="65" t="b">
        <v>0</v>
      </c>
      <c r="I5468" s="65" t="b">
        <v>0</v>
      </c>
      <c r="J5468" s="65" t="b">
        <v>0</v>
      </c>
    </row>
    <row r="5469" spans="1:14" x14ac:dyDescent="0.2">
      <c r="A5469" s="51">
        <v>5468</v>
      </c>
      <c r="B5469" s="54" t="s">
        <v>1042</v>
      </c>
      <c r="C5469" s="47" t="s">
        <v>10834</v>
      </c>
      <c r="D5469" s="47" t="s">
        <v>10835</v>
      </c>
      <c r="E5469" s="47" t="s">
        <v>1790</v>
      </c>
      <c r="F5469" s="55" t="b">
        <v>1</v>
      </c>
      <c r="G5469" s="54" t="b">
        <v>1</v>
      </c>
      <c r="H5469" s="54" t="b">
        <v>1</v>
      </c>
      <c r="I5469" s="54" t="b">
        <v>1</v>
      </c>
      <c r="J5469" s="54" t="b">
        <v>1</v>
      </c>
      <c r="K5469" s="63" t="s">
        <v>1042</v>
      </c>
      <c r="L5469" s="63" t="s">
        <v>10834</v>
      </c>
      <c r="M5469" s="63" t="s">
        <v>10835</v>
      </c>
      <c r="N5469" s="63" t="s">
        <v>1790</v>
      </c>
    </row>
    <row r="5470" spans="1:14" x14ac:dyDescent="0.2">
      <c r="A5470" s="51">
        <v>5469</v>
      </c>
      <c r="B5470" s="54" t="s">
        <v>1042</v>
      </c>
      <c r="C5470" s="47" t="s">
        <v>10836</v>
      </c>
      <c r="D5470" s="47" t="s">
        <v>10837</v>
      </c>
      <c r="E5470" s="47" t="s">
        <v>1790</v>
      </c>
      <c r="F5470" s="55" t="b">
        <v>1</v>
      </c>
      <c r="G5470" s="54" t="b">
        <v>1</v>
      </c>
      <c r="H5470" s="54" t="b">
        <v>1</v>
      </c>
      <c r="I5470" s="54" t="b">
        <v>1</v>
      </c>
      <c r="J5470" s="54" t="b">
        <v>1</v>
      </c>
      <c r="K5470" s="63" t="s">
        <v>1042</v>
      </c>
      <c r="L5470" s="63" t="s">
        <v>10836</v>
      </c>
      <c r="M5470" s="63" t="s">
        <v>10837</v>
      </c>
      <c r="N5470" s="63" t="s">
        <v>1790</v>
      </c>
    </row>
    <row r="5471" spans="1:14" x14ac:dyDescent="0.2">
      <c r="A5471" s="51">
        <v>5470</v>
      </c>
      <c r="B5471" s="54" t="s">
        <v>1042</v>
      </c>
      <c r="C5471" s="47" t="s">
        <v>10848</v>
      </c>
      <c r="D5471" s="47" t="s">
        <v>10849</v>
      </c>
      <c r="E5471" s="47" t="s">
        <v>1790</v>
      </c>
      <c r="F5471" s="55" t="b">
        <v>1</v>
      </c>
      <c r="G5471" s="54" t="b">
        <v>1</v>
      </c>
      <c r="H5471" s="54" t="b">
        <v>1</v>
      </c>
      <c r="I5471" s="54" t="b">
        <v>1</v>
      </c>
      <c r="J5471" s="54" t="b">
        <v>1</v>
      </c>
      <c r="K5471" s="63" t="s">
        <v>1042</v>
      </c>
      <c r="L5471" s="63" t="s">
        <v>10848</v>
      </c>
      <c r="M5471" s="63" t="s">
        <v>10849</v>
      </c>
      <c r="N5471" s="63" t="s">
        <v>1790</v>
      </c>
    </row>
    <row r="5472" spans="1:14" x14ac:dyDescent="0.2">
      <c r="A5472" s="51">
        <v>5471</v>
      </c>
      <c r="B5472" s="54" t="s">
        <v>1042</v>
      </c>
      <c r="C5472" s="47" t="s">
        <v>10860</v>
      </c>
      <c r="D5472" s="47" t="s">
        <v>10861</v>
      </c>
      <c r="E5472" s="47" t="s">
        <v>1790</v>
      </c>
      <c r="F5472" s="55" t="b">
        <v>1</v>
      </c>
      <c r="G5472" s="54" t="b">
        <v>1</v>
      </c>
      <c r="H5472" s="54" t="b">
        <v>1</v>
      </c>
      <c r="I5472" s="54" t="b">
        <v>1</v>
      </c>
      <c r="J5472" s="54" t="b">
        <v>1</v>
      </c>
      <c r="K5472" s="63" t="s">
        <v>1042</v>
      </c>
      <c r="L5472" s="63" t="s">
        <v>10860</v>
      </c>
      <c r="M5472" s="63" t="s">
        <v>10861</v>
      </c>
      <c r="N5472" s="63" t="s">
        <v>1790</v>
      </c>
    </row>
    <row r="5473" spans="1:14" x14ac:dyDescent="0.2">
      <c r="A5473" s="51">
        <v>5472</v>
      </c>
      <c r="B5473" s="54" t="s">
        <v>1042</v>
      </c>
      <c r="C5473" s="47" t="s">
        <v>10862</v>
      </c>
      <c r="D5473" s="47" t="s">
        <v>10863</v>
      </c>
      <c r="E5473" s="47" t="s">
        <v>1790</v>
      </c>
      <c r="F5473" s="55" t="b">
        <v>1</v>
      </c>
      <c r="G5473" s="54" t="b">
        <v>1</v>
      </c>
      <c r="H5473" s="54" t="b">
        <v>1</v>
      </c>
      <c r="I5473" s="54" t="b">
        <v>1</v>
      </c>
      <c r="J5473" s="54" t="b">
        <v>1</v>
      </c>
      <c r="K5473" s="63" t="s">
        <v>1042</v>
      </c>
      <c r="L5473" s="63" t="s">
        <v>10862</v>
      </c>
      <c r="M5473" s="63" t="s">
        <v>10863</v>
      </c>
      <c r="N5473" s="63" t="s">
        <v>1790</v>
      </c>
    </row>
    <row r="5474" spans="1:14" x14ac:dyDescent="0.2">
      <c r="A5474" s="51">
        <v>5473</v>
      </c>
      <c r="B5474" s="54" t="s">
        <v>1042</v>
      </c>
      <c r="C5474" s="47" t="s">
        <v>10880</v>
      </c>
      <c r="D5474" s="47" t="s">
        <v>10881</v>
      </c>
      <c r="E5474" s="47" t="s">
        <v>1790</v>
      </c>
      <c r="F5474" s="55" t="b">
        <v>1</v>
      </c>
      <c r="G5474" s="54" t="b">
        <v>1</v>
      </c>
      <c r="H5474" s="54" t="b">
        <v>1</v>
      </c>
      <c r="I5474" s="54" t="b">
        <v>1</v>
      </c>
      <c r="J5474" s="54" t="b">
        <v>1</v>
      </c>
      <c r="K5474" s="63" t="s">
        <v>1042</v>
      </c>
      <c r="L5474" s="63" t="s">
        <v>10880</v>
      </c>
      <c r="M5474" s="63" t="s">
        <v>10881</v>
      </c>
      <c r="N5474" s="63" t="s">
        <v>1790</v>
      </c>
    </row>
    <row r="5475" spans="1:14" x14ac:dyDescent="0.2">
      <c r="A5475" s="51">
        <v>5474</v>
      </c>
      <c r="B5475" s="54" t="s">
        <v>1042</v>
      </c>
      <c r="C5475" s="47" t="s">
        <v>10886</v>
      </c>
      <c r="D5475" s="47" t="s">
        <v>10887</v>
      </c>
      <c r="E5475" s="47" t="s">
        <v>1790</v>
      </c>
      <c r="F5475" s="55" t="b">
        <v>1</v>
      </c>
      <c r="G5475" s="54" t="b">
        <v>1</v>
      </c>
      <c r="H5475" s="54" t="b">
        <v>1</v>
      </c>
      <c r="I5475" s="54" t="b">
        <v>1</v>
      </c>
      <c r="J5475" s="54" t="b">
        <v>1</v>
      </c>
      <c r="K5475" s="63" t="s">
        <v>1042</v>
      </c>
      <c r="L5475" s="63" t="s">
        <v>10886</v>
      </c>
      <c r="M5475" s="63" t="s">
        <v>10887</v>
      </c>
      <c r="N5475" s="63" t="s">
        <v>1790</v>
      </c>
    </row>
    <row r="5476" spans="1:14" x14ac:dyDescent="0.2">
      <c r="A5476" s="51">
        <v>5475</v>
      </c>
      <c r="B5476" s="54" t="s">
        <v>1042</v>
      </c>
      <c r="C5476" s="47" t="s">
        <v>10892</v>
      </c>
      <c r="D5476" s="47" t="s">
        <v>10893</v>
      </c>
      <c r="E5476" s="47" t="s">
        <v>1790</v>
      </c>
      <c r="F5476" s="55" t="b">
        <v>1</v>
      </c>
      <c r="G5476" s="54" t="b">
        <v>1</v>
      </c>
      <c r="H5476" s="54" t="b">
        <v>1</v>
      </c>
      <c r="I5476" s="54" t="b">
        <v>1</v>
      </c>
      <c r="J5476" s="54" t="b">
        <v>1</v>
      </c>
      <c r="K5476" s="63" t="s">
        <v>1042</v>
      </c>
      <c r="L5476" s="63" t="s">
        <v>10892</v>
      </c>
      <c r="M5476" s="63" t="s">
        <v>10893</v>
      </c>
      <c r="N5476" s="63" t="s">
        <v>1790</v>
      </c>
    </row>
    <row r="5477" spans="1:14" x14ac:dyDescent="0.2">
      <c r="A5477" s="51">
        <v>5476</v>
      </c>
      <c r="B5477" s="54" t="s">
        <v>1042</v>
      </c>
      <c r="C5477" s="47" t="s">
        <v>10916</v>
      </c>
      <c r="D5477" s="47" t="s">
        <v>10917</v>
      </c>
      <c r="E5477" s="47" t="s">
        <v>1790</v>
      </c>
      <c r="F5477" s="55" t="b">
        <v>1</v>
      </c>
      <c r="G5477" s="54" t="b">
        <v>1</v>
      </c>
      <c r="H5477" s="54" t="b">
        <v>1</v>
      </c>
      <c r="I5477" s="54" t="b">
        <v>1</v>
      </c>
      <c r="J5477" s="54" t="b">
        <v>1</v>
      </c>
      <c r="K5477" s="63" t="s">
        <v>1042</v>
      </c>
      <c r="L5477" s="63" t="s">
        <v>10916</v>
      </c>
      <c r="M5477" s="63" t="s">
        <v>10917</v>
      </c>
      <c r="N5477" s="63" t="s">
        <v>1790</v>
      </c>
    </row>
    <row r="5478" spans="1:14" x14ac:dyDescent="0.2">
      <c r="A5478" s="51">
        <v>5477</v>
      </c>
      <c r="B5478" s="54" t="s">
        <v>1042</v>
      </c>
      <c r="C5478" s="47" t="s">
        <v>10922</v>
      </c>
      <c r="D5478" s="47" t="s">
        <v>10923</v>
      </c>
      <c r="E5478" s="47" t="s">
        <v>1790</v>
      </c>
      <c r="F5478" s="55" t="b">
        <v>1</v>
      </c>
      <c r="G5478" s="54" t="b">
        <v>1</v>
      </c>
      <c r="H5478" s="54" t="b">
        <v>1</v>
      </c>
      <c r="I5478" s="54" t="b">
        <v>1</v>
      </c>
      <c r="J5478" s="54" t="b">
        <v>1</v>
      </c>
      <c r="K5478" s="63" t="s">
        <v>1042</v>
      </c>
      <c r="L5478" s="63" t="s">
        <v>10922</v>
      </c>
      <c r="M5478" s="63" t="s">
        <v>10923</v>
      </c>
      <c r="N5478" s="63" t="s">
        <v>1790</v>
      </c>
    </row>
    <row r="5479" spans="1:14" x14ac:dyDescent="0.2">
      <c r="A5479" s="51">
        <v>5478</v>
      </c>
      <c r="B5479" s="54" t="s">
        <v>1042</v>
      </c>
      <c r="C5479" s="47" t="s">
        <v>10947</v>
      </c>
      <c r="D5479" s="47" t="s">
        <v>10948</v>
      </c>
      <c r="E5479" s="47" t="s">
        <v>1790</v>
      </c>
      <c r="F5479" s="55" t="b">
        <v>1</v>
      </c>
      <c r="G5479" s="54" t="b">
        <v>1</v>
      </c>
      <c r="H5479" s="54" t="b">
        <v>1</v>
      </c>
      <c r="I5479" s="54" t="b">
        <v>1</v>
      </c>
      <c r="J5479" s="54" t="b">
        <v>1</v>
      </c>
      <c r="K5479" s="63" t="s">
        <v>1042</v>
      </c>
      <c r="L5479" s="63" t="s">
        <v>10947</v>
      </c>
      <c r="M5479" s="63" t="s">
        <v>10948</v>
      </c>
      <c r="N5479" s="63" t="s">
        <v>1790</v>
      </c>
    </row>
    <row r="5480" spans="1:14" x14ac:dyDescent="0.2">
      <c r="A5480" s="51">
        <v>5479</v>
      </c>
      <c r="B5480" s="54" t="s">
        <v>1042</v>
      </c>
      <c r="C5480" s="47" t="s">
        <v>10957</v>
      </c>
      <c r="D5480" s="47" t="s">
        <v>10958</v>
      </c>
      <c r="E5480" s="47" t="s">
        <v>1790</v>
      </c>
      <c r="F5480" s="55" t="b">
        <v>1</v>
      </c>
      <c r="G5480" s="54" t="b">
        <v>1</v>
      </c>
      <c r="H5480" s="54" t="b">
        <v>1</v>
      </c>
      <c r="I5480" s="54" t="b">
        <v>1</v>
      </c>
      <c r="J5480" s="54" t="b">
        <v>1</v>
      </c>
      <c r="K5480" s="63" t="s">
        <v>1042</v>
      </c>
      <c r="L5480" s="63" t="s">
        <v>10957</v>
      </c>
      <c r="M5480" s="63" t="s">
        <v>10958</v>
      </c>
      <c r="N5480" s="63" t="s">
        <v>1790</v>
      </c>
    </row>
    <row r="5481" spans="1:14" x14ac:dyDescent="0.2">
      <c r="A5481" s="51">
        <v>5480</v>
      </c>
      <c r="B5481" s="54" t="s">
        <v>1042</v>
      </c>
      <c r="C5481" s="47" t="s">
        <v>10874</v>
      </c>
      <c r="D5481" s="47" t="s">
        <v>10875</v>
      </c>
      <c r="E5481" s="47" t="s">
        <v>1790</v>
      </c>
      <c r="F5481" s="55" t="b">
        <v>1</v>
      </c>
      <c r="G5481" s="54" t="b">
        <v>1</v>
      </c>
      <c r="H5481" s="54" t="b">
        <v>1</v>
      </c>
      <c r="I5481" s="54" t="b">
        <v>1</v>
      </c>
      <c r="J5481" s="54" t="b">
        <v>1</v>
      </c>
      <c r="K5481" s="63" t="s">
        <v>1042</v>
      </c>
      <c r="L5481" s="63" t="s">
        <v>10874</v>
      </c>
      <c r="M5481" s="63" t="s">
        <v>10875</v>
      </c>
      <c r="N5481" s="63" t="s">
        <v>1790</v>
      </c>
    </row>
    <row r="5482" spans="1:14" x14ac:dyDescent="0.2">
      <c r="A5482" s="51">
        <v>5481</v>
      </c>
      <c r="B5482" s="54" t="s">
        <v>1042</v>
      </c>
      <c r="C5482" s="47" t="s">
        <v>10876</v>
      </c>
      <c r="D5482" s="47" t="s">
        <v>10877</v>
      </c>
      <c r="E5482" s="47" t="s">
        <v>1790</v>
      </c>
      <c r="F5482" s="55" t="b">
        <v>1</v>
      </c>
      <c r="G5482" s="54" t="b">
        <v>1</v>
      </c>
      <c r="H5482" s="54" t="b">
        <v>1</v>
      </c>
      <c r="I5482" s="54" t="b">
        <v>1</v>
      </c>
      <c r="J5482" s="54" t="b">
        <v>1</v>
      </c>
      <c r="K5482" s="63" t="s">
        <v>1042</v>
      </c>
      <c r="L5482" s="63" t="s">
        <v>10876</v>
      </c>
      <c r="M5482" s="63" t="s">
        <v>10877</v>
      </c>
      <c r="N5482" s="63" t="s">
        <v>1790</v>
      </c>
    </row>
    <row r="5483" spans="1:14" x14ac:dyDescent="0.2">
      <c r="A5483" s="51">
        <v>5482</v>
      </c>
      <c r="B5483" s="54" t="s">
        <v>1042</v>
      </c>
      <c r="C5483" s="47" t="s">
        <v>10902</v>
      </c>
      <c r="D5483" s="47" t="s">
        <v>10903</v>
      </c>
      <c r="E5483" s="47" t="s">
        <v>1790</v>
      </c>
      <c r="F5483" s="55" t="b">
        <v>1</v>
      </c>
      <c r="G5483" s="54" t="b">
        <v>1</v>
      </c>
      <c r="H5483" s="54" t="b">
        <v>1</v>
      </c>
      <c r="I5483" s="54" t="b">
        <v>1</v>
      </c>
      <c r="J5483" s="54" t="b">
        <v>1</v>
      </c>
      <c r="K5483" s="63" t="s">
        <v>1042</v>
      </c>
      <c r="L5483" s="63" t="s">
        <v>10902</v>
      </c>
      <c r="M5483" s="63" t="s">
        <v>10903</v>
      </c>
      <c r="N5483" s="63" t="s">
        <v>1790</v>
      </c>
    </row>
    <row r="5484" spans="1:14" x14ac:dyDescent="0.2">
      <c r="A5484" s="51">
        <v>5483</v>
      </c>
      <c r="B5484" s="54" t="s">
        <v>1042</v>
      </c>
      <c r="C5484" s="47" t="s">
        <v>10850</v>
      </c>
      <c r="D5484" s="47" t="s">
        <v>10851</v>
      </c>
      <c r="E5484" s="47" t="s">
        <v>1790</v>
      </c>
      <c r="F5484" s="55" t="b">
        <v>1</v>
      </c>
      <c r="G5484" s="54" t="b">
        <v>1</v>
      </c>
      <c r="H5484" s="54" t="b">
        <v>1</v>
      </c>
      <c r="I5484" s="54" t="b">
        <v>1</v>
      </c>
      <c r="J5484" s="54" t="b">
        <v>1</v>
      </c>
      <c r="K5484" s="63" t="s">
        <v>1042</v>
      </c>
      <c r="L5484" s="63" t="s">
        <v>10850</v>
      </c>
      <c r="M5484" s="63" t="s">
        <v>10851</v>
      </c>
      <c r="N5484" s="63" t="s">
        <v>1790</v>
      </c>
    </row>
    <row r="5485" spans="1:14" x14ac:dyDescent="0.2">
      <c r="A5485" s="51">
        <v>5484</v>
      </c>
      <c r="B5485" s="54" t="s">
        <v>1042</v>
      </c>
      <c r="C5485" s="47" t="s">
        <v>10854</v>
      </c>
      <c r="D5485" s="47" t="s">
        <v>10855</v>
      </c>
      <c r="E5485" s="47" t="s">
        <v>1790</v>
      </c>
      <c r="F5485" s="55" t="b">
        <v>1</v>
      </c>
      <c r="G5485" s="54" t="b">
        <v>1</v>
      </c>
      <c r="H5485" s="54" t="b">
        <v>1</v>
      </c>
      <c r="I5485" s="54" t="b">
        <v>1</v>
      </c>
      <c r="J5485" s="54" t="b">
        <v>1</v>
      </c>
      <c r="K5485" s="63" t="s">
        <v>1042</v>
      </c>
      <c r="L5485" s="63" t="s">
        <v>10854</v>
      </c>
      <c r="M5485" s="63" t="s">
        <v>10855</v>
      </c>
      <c r="N5485" s="63" t="s">
        <v>1790</v>
      </c>
    </row>
    <row r="5486" spans="1:14" x14ac:dyDescent="0.2">
      <c r="A5486" s="51">
        <v>5485</v>
      </c>
      <c r="B5486" s="54" t="s">
        <v>1042</v>
      </c>
      <c r="C5486" s="47" t="s">
        <v>10890</v>
      </c>
      <c r="D5486" s="47" t="s">
        <v>10891</v>
      </c>
      <c r="E5486" s="47" t="s">
        <v>1790</v>
      </c>
      <c r="F5486" s="55" t="b">
        <v>1</v>
      </c>
      <c r="G5486" s="54" t="b">
        <v>1</v>
      </c>
      <c r="H5486" s="54" t="b">
        <v>1</v>
      </c>
      <c r="I5486" s="54" t="b">
        <v>1</v>
      </c>
      <c r="J5486" s="54" t="b">
        <v>1</v>
      </c>
      <c r="K5486" s="63" t="s">
        <v>1042</v>
      </c>
      <c r="L5486" s="63" t="s">
        <v>10890</v>
      </c>
      <c r="M5486" s="63" t="s">
        <v>10891</v>
      </c>
      <c r="N5486" s="63" t="s">
        <v>1790</v>
      </c>
    </row>
    <row r="5487" spans="1:14" x14ac:dyDescent="0.2">
      <c r="A5487" s="51">
        <v>5486</v>
      </c>
      <c r="B5487" s="54" t="s">
        <v>1042</v>
      </c>
      <c r="C5487" s="47" t="s">
        <v>10832</v>
      </c>
      <c r="D5487" s="47" t="s">
        <v>10833</v>
      </c>
      <c r="E5487" s="47" t="s">
        <v>1790</v>
      </c>
      <c r="F5487" s="55" t="b">
        <v>1</v>
      </c>
      <c r="G5487" s="54" t="b">
        <v>1</v>
      </c>
      <c r="H5487" s="54" t="b">
        <v>1</v>
      </c>
      <c r="I5487" s="54" t="b">
        <v>1</v>
      </c>
      <c r="J5487" s="54" t="b">
        <v>1</v>
      </c>
      <c r="K5487" s="63" t="s">
        <v>1042</v>
      </c>
      <c r="L5487" s="63" t="s">
        <v>10832</v>
      </c>
      <c r="M5487" s="63" t="s">
        <v>10833</v>
      </c>
      <c r="N5487" s="63" t="s">
        <v>1790</v>
      </c>
    </row>
    <row r="5488" spans="1:14" x14ac:dyDescent="0.2">
      <c r="A5488" s="51">
        <v>5487</v>
      </c>
      <c r="B5488" s="54" t="s">
        <v>1042</v>
      </c>
      <c r="C5488" s="47" t="s">
        <v>13803</v>
      </c>
      <c r="D5488" s="47" t="s">
        <v>13804</v>
      </c>
      <c r="E5488" s="47" t="s">
        <v>13778</v>
      </c>
      <c r="F5488" s="55" t="b">
        <v>1</v>
      </c>
      <c r="G5488" s="65" t="b">
        <v>0</v>
      </c>
      <c r="H5488" s="65" t="b">
        <v>0</v>
      </c>
      <c r="I5488" s="65" t="b">
        <v>0</v>
      </c>
      <c r="J5488" s="65" t="b">
        <v>0</v>
      </c>
    </row>
    <row r="5489" spans="1:14" x14ac:dyDescent="0.2">
      <c r="A5489" s="51">
        <v>5488</v>
      </c>
      <c r="B5489" s="54" t="s">
        <v>1042</v>
      </c>
      <c r="C5489" s="47" t="s">
        <v>13811</v>
      </c>
      <c r="D5489" s="47" t="s">
        <v>13812</v>
      </c>
      <c r="E5489" s="47" t="s">
        <v>13778</v>
      </c>
      <c r="F5489" s="55" t="b">
        <v>1</v>
      </c>
      <c r="G5489" s="65" t="b">
        <v>0</v>
      </c>
      <c r="H5489" s="65" t="b">
        <v>0</v>
      </c>
      <c r="I5489" s="65" t="b">
        <v>0</v>
      </c>
      <c r="J5489" s="65" t="b">
        <v>0</v>
      </c>
    </row>
    <row r="5490" spans="1:14" x14ac:dyDescent="0.2">
      <c r="A5490" s="51">
        <v>5489</v>
      </c>
      <c r="B5490" s="54" t="s">
        <v>1042</v>
      </c>
      <c r="C5490" s="47" t="s">
        <v>13819</v>
      </c>
      <c r="D5490" s="47" t="s">
        <v>13820</v>
      </c>
      <c r="E5490" s="47" t="s">
        <v>13778</v>
      </c>
      <c r="F5490" s="55" t="b">
        <v>1</v>
      </c>
      <c r="G5490" s="65" t="b">
        <v>0</v>
      </c>
      <c r="H5490" s="65" t="b">
        <v>0</v>
      </c>
      <c r="I5490" s="65" t="b">
        <v>0</v>
      </c>
      <c r="J5490" s="65" t="b">
        <v>0</v>
      </c>
    </row>
    <row r="5491" spans="1:14" x14ac:dyDescent="0.2">
      <c r="A5491" s="51">
        <v>5490</v>
      </c>
      <c r="B5491" s="54" t="s">
        <v>1042</v>
      </c>
      <c r="C5491" s="47" t="s">
        <v>13827</v>
      </c>
      <c r="D5491" s="47" t="s">
        <v>13828</v>
      </c>
      <c r="E5491" s="47" t="s">
        <v>13778</v>
      </c>
      <c r="F5491" s="55" t="b">
        <v>1</v>
      </c>
      <c r="G5491" s="65" t="b">
        <v>0</v>
      </c>
      <c r="H5491" s="65" t="b">
        <v>0</v>
      </c>
      <c r="I5491" s="65" t="b">
        <v>0</v>
      </c>
      <c r="J5491" s="65" t="b">
        <v>0</v>
      </c>
    </row>
    <row r="5492" spans="1:14" x14ac:dyDescent="0.2">
      <c r="A5492" s="51">
        <v>5491</v>
      </c>
      <c r="B5492" s="54" t="s">
        <v>1042</v>
      </c>
      <c r="C5492" s="47" t="s">
        <v>13833</v>
      </c>
      <c r="D5492" s="47" t="s">
        <v>13834</v>
      </c>
      <c r="E5492" s="47" t="s">
        <v>13778</v>
      </c>
      <c r="F5492" s="55" t="b">
        <v>1</v>
      </c>
      <c r="G5492" s="65" t="b">
        <v>0</v>
      </c>
      <c r="H5492" s="65" t="b">
        <v>0</v>
      </c>
      <c r="I5492" s="65" t="b">
        <v>0</v>
      </c>
      <c r="J5492" s="65" t="b">
        <v>0</v>
      </c>
    </row>
    <row r="5493" spans="1:14" x14ac:dyDescent="0.2">
      <c r="A5493" s="51">
        <v>5492</v>
      </c>
      <c r="B5493" s="54" t="s">
        <v>1042</v>
      </c>
      <c r="C5493" s="47" t="s">
        <v>13837</v>
      </c>
      <c r="D5493" s="47" t="s">
        <v>13838</v>
      </c>
      <c r="E5493" s="47" t="s">
        <v>13778</v>
      </c>
      <c r="F5493" s="55" t="b">
        <v>1</v>
      </c>
      <c r="G5493" s="65" t="b">
        <v>0</v>
      </c>
      <c r="H5493" s="65" t="b">
        <v>0</v>
      </c>
      <c r="I5493" s="65" t="b">
        <v>0</v>
      </c>
      <c r="J5493" s="65" t="b">
        <v>0</v>
      </c>
    </row>
    <row r="5494" spans="1:14" x14ac:dyDescent="0.2">
      <c r="A5494" s="51">
        <v>5493</v>
      </c>
      <c r="B5494" s="54" t="s">
        <v>1042</v>
      </c>
      <c r="C5494" s="47" t="s">
        <v>10842</v>
      </c>
      <c r="D5494" s="47" t="s">
        <v>2720</v>
      </c>
      <c r="E5494" s="48" t="s">
        <v>3117</v>
      </c>
      <c r="F5494" s="66" t="b">
        <v>0</v>
      </c>
      <c r="G5494" s="54" t="b">
        <v>1</v>
      </c>
      <c r="H5494" s="54" t="b">
        <v>1</v>
      </c>
      <c r="I5494" s="54" t="b">
        <v>1</v>
      </c>
      <c r="J5494" s="54" t="b">
        <v>1</v>
      </c>
      <c r="K5494" s="63" t="s">
        <v>1042</v>
      </c>
      <c r="L5494" s="63" t="s">
        <v>10842</v>
      </c>
      <c r="M5494" s="63" t="s">
        <v>2720</v>
      </c>
      <c r="N5494" s="63" t="s">
        <v>3117</v>
      </c>
    </row>
    <row r="5495" spans="1:14" x14ac:dyDescent="0.2">
      <c r="A5495" s="51">
        <v>5494</v>
      </c>
      <c r="B5495" s="54" t="s">
        <v>1042</v>
      </c>
      <c r="C5495" s="47" t="s">
        <v>10845</v>
      </c>
      <c r="D5495" s="47" t="s">
        <v>4191</v>
      </c>
      <c r="E5495" s="48" t="s">
        <v>3117</v>
      </c>
      <c r="F5495" s="66" t="b">
        <v>0</v>
      </c>
      <c r="G5495" s="54" t="b">
        <v>1</v>
      </c>
      <c r="H5495" s="54" t="b">
        <v>1</v>
      </c>
      <c r="I5495" s="54" t="b">
        <v>1</v>
      </c>
      <c r="J5495" s="54" t="b">
        <v>1</v>
      </c>
      <c r="K5495" s="63" t="s">
        <v>1042</v>
      </c>
      <c r="L5495" s="63" t="s">
        <v>10845</v>
      </c>
      <c r="M5495" s="63" t="s">
        <v>4191</v>
      </c>
      <c r="N5495" s="63" t="s">
        <v>3117</v>
      </c>
    </row>
    <row r="5496" spans="1:14" x14ac:dyDescent="0.2">
      <c r="A5496" s="51">
        <v>5495</v>
      </c>
      <c r="B5496" s="54" t="s">
        <v>1042</v>
      </c>
      <c r="C5496" s="47" t="s">
        <v>10946</v>
      </c>
      <c r="D5496" s="47" t="s">
        <v>4193</v>
      </c>
      <c r="E5496" s="48" t="s">
        <v>3117</v>
      </c>
      <c r="F5496" s="66" t="b">
        <v>0</v>
      </c>
      <c r="G5496" s="54" t="b">
        <v>1</v>
      </c>
      <c r="H5496" s="54" t="b">
        <v>1</v>
      </c>
      <c r="I5496" s="54" t="b">
        <v>1</v>
      </c>
      <c r="J5496" s="54" t="b">
        <v>1</v>
      </c>
      <c r="K5496" s="63" t="s">
        <v>1042</v>
      </c>
      <c r="L5496" s="63" t="s">
        <v>10946</v>
      </c>
      <c r="M5496" s="63" t="s">
        <v>4193</v>
      </c>
      <c r="N5496" s="63" t="s">
        <v>3117</v>
      </c>
    </row>
    <row r="5497" spans="1:14" x14ac:dyDescent="0.2">
      <c r="A5497" s="51">
        <v>5496</v>
      </c>
      <c r="B5497" s="54" t="s">
        <v>1042</v>
      </c>
      <c r="C5497" s="47" t="s">
        <v>10969</v>
      </c>
      <c r="D5497" s="47" t="s">
        <v>4197</v>
      </c>
      <c r="E5497" s="48" t="s">
        <v>3117</v>
      </c>
      <c r="F5497" s="66" t="b">
        <v>0</v>
      </c>
      <c r="G5497" s="54" t="b">
        <v>1</v>
      </c>
      <c r="H5497" s="54" t="b">
        <v>1</v>
      </c>
      <c r="I5497" s="54" t="b">
        <v>1</v>
      </c>
      <c r="J5497" s="54" t="b">
        <v>1</v>
      </c>
      <c r="K5497" s="63" t="s">
        <v>1042</v>
      </c>
      <c r="L5497" s="63" t="s">
        <v>10969</v>
      </c>
      <c r="M5497" s="63" t="s">
        <v>4197</v>
      </c>
      <c r="N5497" s="63" t="s">
        <v>3117</v>
      </c>
    </row>
    <row r="5498" spans="1:14" x14ac:dyDescent="0.2">
      <c r="A5498" s="51">
        <v>5497</v>
      </c>
      <c r="B5498" s="54" t="s">
        <v>1044</v>
      </c>
      <c r="C5498" s="47" t="s">
        <v>11016</v>
      </c>
      <c r="D5498" s="47" t="s">
        <v>13863</v>
      </c>
      <c r="E5498" s="47" t="s">
        <v>1719</v>
      </c>
      <c r="F5498" s="55" t="b">
        <v>1</v>
      </c>
      <c r="G5498" s="54" t="b">
        <v>1</v>
      </c>
      <c r="H5498" s="54" t="b">
        <v>1</v>
      </c>
      <c r="I5498" s="65" t="b">
        <v>0</v>
      </c>
      <c r="J5498" s="65" t="b">
        <v>0</v>
      </c>
      <c r="K5498" s="63" t="s">
        <v>1044</v>
      </c>
      <c r="L5498" s="63" t="s">
        <v>11016</v>
      </c>
      <c r="M5498" s="63" t="s">
        <v>11017</v>
      </c>
      <c r="N5498" s="63" t="s">
        <v>2087</v>
      </c>
    </row>
    <row r="5499" spans="1:14" x14ac:dyDescent="0.2">
      <c r="A5499" s="51">
        <v>5498</v>
      </c>
      <c r="B5499" s="54" t="s">
        <v>1044</v>
      </c>
      <c r="C5499" s="47" t="s">
        <v>11018</v>
      </c>
      <c r="D5499" s="47" t="s">
        <v>13864</v>
      </c>
      <c r="E5499" s="47" t="s">
        <v>1719</v>
      </c>
      <c r="F5499" s="55" t="b">
        <v>1</v>
      </c>
      <c r="G5499" s="54" t="b">
        <v>1</v>
      </c>
      <c r="H5499" s="54" t="b">
        <v>1</v>
      </c>
      <c r="I5499" s="65" t="b">
        <v>0</v>
      </c>
      <c r="J5499" s="65" t="b">
        <v>0</v>
      </c>
      <c r="K5499" s="63" t="s">
        <v>1044</v>
      </c>
      <c r="L5499" s="63" t="s">
        <v>11018</v>
      </c>
      <c r="M5499" s="63" t="s">
        <v>11019</v>
      </c>
      <c r="N5499" s="63" t="s">
        <v>2087</v>
      </c>
    </row>
    <row r="5500" spans="1:14" x14ac:dyDescent="0.2">
      <c r="A5500" s="51">
        <v>5499</v>
      </c>
      <c r="B5500" s="54" t="s">
        <v>1044</v>
      </c>
      <c r="C5500" s="47" t="s">
        <v>10998</v>
      </c>
      <c r="D5500" s="47" t="s">
        <v>13854</v>
      </c>
      <c r="E5500" s="47" t="s">
        <v>1719</v>
      </c>
      <c r="F5500" s="55" t="b">
        <v>1</v>
      </c>
      <c r="G5500" s="54" t="b">
        <v>1</v>
      </c>
      <c r="H5500" s="54" t="b">
        <v>1</v>
      </c>
      <c r="I5500" s="65" t="b">
        <v>0</v>
      </c>
      <c r="J5500" s="65" t="b">
        <v>0</v>
      </c>
      <c r="K5500" s="63" t="s">
        <v>1044</v>
      </c>
      <c r="L5500" s="63" t="s">
        <v>10998</v>
      </c>
      <c r="M5500" s="63" t="s">
        <v>10999</v>
      </c>
      <c r="N5500" s="63" t="s">
        <v>2087</v>
      </c>
    </row>
    <row r="5501" spans="1:14" x14ac:dyDescent="0.2">
      <c r="A5501" s="51">
        <v>5500</v>
      </c>
      <c r="B5501" s="54" t="s">
        <v>1044</v>
      </c>
      <c r="C5501" s="47" t="s">
        <v>10978</v>
      </c>
      <c r="D5501" s="47" t="s">
        <v>13844</v>
      </c>
      <c r="E5501" s="47" t="s">
        <v>1719</v>
      </c>
      <c r="F5501" s="55" t="b">
        <v>1</v>
      </c>
      <c r="G5501" s="54" t="b">
        <v>1</v>
      </c>
      <c r="H5501" s="54" t="b">
        <v>1</v>
      </c>
      <c r="I5501" s="65" t="b">
        <v>0</v>
      </c>
      <c r="J5501" s="65" t="b">
        <v>0</v>
      </c>
      <c r="K5501" s="63" t="s">
        <v>1044</v>
      </c>
      <c r="L5501" s="63" t="s">
        <v>10978</v>
      </c>
      <c r="M5501" s="63" t="s">
        <v>10979</v>
      </c>
      <c r="N5501" s="63" t="s">
        <v>2087</v>
      </c>
    </row>
    <row r="5502" spans="1:14" x14ac:dyDescent="0.2">
      <c r="A5502" s="51">
        <v>5501</v>
      </c>
      <c r="B5502" s="54" t="s">
        <v>1044</v>
      </c>
      <c r="C5502" s="47" t="s">
        <v>10980</v>
      </c>
      <c r="D5502" s="47" t="s">
        <v>13845</v>
      </c>
      <c r="E5502" s="47" t="s">
        <v>1719</v>
      </c>
      <c r="F5502" s="55" t="b">
        <v>1</v>
      </c>
      <c r="G5502" s="54" t="b">
        <v>1</v>
      </c>
      <c r="H5502" s="54" t="b">
        <v>1</v>
      </c>
      <c r="I5502" s="65" t="b">
        <v>0</v>
      </c>
      <c r="J5502" s="65" t="b">
        <v>0</v>
      </c>
      <c r="K5502" s="63" t="s">
        <v>1044</v>
      </c>
      <c r="L5502" s="63" t="s">
        <v>10980</v>
      </c>
      <c r="M5502" s="63" t="s">
        <v>10981</v>
      </c>
      <c r="N5502" s="63" t="s">
        <v>2087</v>
      </c>
    </row>
    <row r="5503" spans="1:14" x14ac:dyDescent="0.2">
      <c r="A5503" s="51">
        <v>5502</v>
      </c>
      <c r="B5503" s="54" t="s">
        <v>1044</v>
      </c>
      <c r="C5503" s="47" t="s">
        <v>11024</v>
      </c>
      <c r="D5503" s="47" t="s">
        <v>13867</v>
      </c>
      <c r="E5503" s="47" t="s">
        <v>1719</v>
      </c>
      <c r="F5503" s="55" t="b">
        <v>1</v>
      </c>
      <c r="G5503" s="54" t="b">
        <v>1</v>
      </c>
      <c r="H5503" s="54" t="b">
        <v>1</v>
      </c>
      <c r="I5503" s="65" t="b">
        <v>0</v>
      </c>
      <c r="J5503" s="65" t="b">
        <v>0</v>
      </c>
      <c r="K5503" s="63" t="s">
        <v>1044</v>
      </c>
      <c r="L5503" s="63" t="s">
        <v>11024</v>
      </c>
      <c r="M5503" s="63" t="s">
        <v>11025</v>
      </c>
      <c r="N5503" s="63" t="s">
        <v>2087</v>
      </c>
    </row>
    <row r="5504" spans="1:14" x14ac:dyDescent="0.2">
      <c r="A5504" s="51">
        <v>5503</v>
      </c>
      <c r="B5504" s="54" t="s">
        <v>1044</v>
      </c>
      <c r="C5504" s="47" t="s">
        <v>11020</v>
      </c>
      <c r="D5504" s="47" t="s">
        <v>13865</v>
      </c>
      <c r="E5504" s="47" t="s">
        <v>1719</v>
      </c>
      <c r="F5504" s="55" t="b">
        <v>1</v>
      </c>
      <c r="G5504" s="54" t="b">
        <v>1</v>
      </c>
      <c r="H5504" s="54" t="b">
        <v>1</v>
      </c>
      <c r="I5504" s="65" t="b">
        <v>0</v>
      </c>
      <c r="J5504" s="65" t="b">
        <v>0</v>
      </c>
      <c r="K5504" s="63" t="s">
        <v>1044</v>
      </c>
      <c r="L5504" s="63" t="s">
        <v>11020</v>
      </c>
      <c r="M5504" s="63" t="s">
        <v>11021</v>
      </c>
      <c r="N5504" s="63" t="s">
        <v>2087</v>
      </c>
    </row>
    <row r="5505" spans="1:14" x14ac:dyDescent="0.2">
      <c r="A5505" s="51">
        <v>5504</v>
      </c>
      <c r="B5505" s="54" t="s">
        <v>1044</v>
      </c>
      <c r="C5505" s="47" t="s">
        <v>11022</v>
      </c>
      <c r="D5505" s="47" t="s">
        <v>13866</v>
      </c>
      <c r="E5505" s="47" t="s">
        <v>1719</v>
      </c>
      <c r="F5505" s="55" t="b">
        <v>1</v>
      </c>
      <c r="G5505" s="54" t="b">
        <v>1</v>
      </c>
      <c r="H5505" s="54" t="b">
        <v>1</v>
      </c>
      <c r="I5505" s="65" t="b">
        <v>0</v>
      </c>
      <c r="J5505" s="65" t="b">
        <v>0</v>
      </c>
      <c r="K5505" s="63" t="s">
        <v>1044</v>
      </c>
      <c r="L5505" s="63" t="s">
        <v>11022</v>
      </c>
      <c r="M5505" s="63" t="s">
        <v>11023</v>
      </c>
      <c r="N5505" s="63" t="s">
        <v>2087</v>
      </c>
    </row>
    <row r="5506" spans="1:14" x14ac:dyDescent="0.2">
      <c r="A5506" s="51">
        <v>5505</v>
      </c>
      <c r="B5506" s="54" t="s">
        <v>1044</v>
      </c>
      <c r="C5506" s="47" t="s">
        <v>10982</v>
      </c>
      <c r="D5506" s="47" t="s">
        <v>13846</v>
      </c>
      <c r="E5506" s="47" t="s">
        <v>1719</v>
      </c>
      <c r="F5506" s="55" t="b">
        <v>1</v>
      </c>
      <c r="G5506" s="54" t="b">
        <v>1</v>
      </c>
      <c r="H5506" s="54" t="b">
        <v>1</v>
      </c>
      <c r="I5506" s="65" t="b">
        <v>0</v>
      </c>
      <c r="J5506" s="65" t="b">
        <v>0</v>
      </c>
      <c r="K5506" s="63" t="s">
        <v>1044</v>
      </c>
      <c r="L5506" s="63" t="s">
        <v>10982</v>
      </c>
      <c r="M5506" s="63" t="s">
        <v>10983</v>
      </c>
      <c r="N5506" s="63" t="s">
        <v>2087</v>
      </c>
    </row>
    <row r="5507" spans="1:14" x14ac:dyDescent="0.2">
      <c r="A5507" s="51">
        <v>5506</v>
      </c>
      <c r="B5507" s="54" t="s">
        <v>1044</v>
      </c>
      <c r="C5507" s="47" t="s">
        <v>10992</v>
      </c>
      <c r="D5507" s="47" t="s">
        <v>13852</v>
      </c>
      <c r="E5507" s="47" t="s">
        <v>2046</v>
      </c>
      <c r="F5507" s="55" t="b">
        <v>1</v>
      </c>
      <c r="G5507" s="54" t="b">
        <v>1</v>
      </c>
      <c r="H5507" s="54" t="b">
        <v>1</v>
      </c>
      <c r="I5507" s="65" t="b">
        <v>0</v>
      </c>
      <c r="J5507" s="54" t="b">
        <v>1</v>
      </c>
      <c r="K5507" s="63" t="s">
        <v>1044</v>
      </c>
      <c r="L5507" s="63" t="s">
        <v>10992</v>
      </c>
      <c r="M5507" s="63" t="s">
        <v>10993</v>
      </c>
      <c r="N5507" s="63" t="s">
        <v>2046</v>
      </c>
    </row>
    <row r="5508" spans="1:14" x14ac:dyDescent="0.2">
      <c r="A5508" s="51">
        <v>5507</v>
      </c>
      <c r="B5508" s="54" t="s">
        <v>1044</v>
      </c>
      <c r="C5508" s="47" t="s">
        <v>10994</v>
      </c>
      <c r="D5508" s="47" t="s">
        <v>13853</v>
      </c>
      <c r="E5508" s="47" t="s">
        <v>1719</v>
      </c>
      <c r="F5508" s="55" t="b">
        <v>1</v>
      </c>
      <c r="G5508" s="54" t="b">
        <v>1</v>
      </c>
      <c r="H5508" s="54" t="b">
        <v>1</v>
      </c>
      <c r="I5508" s="65" t="b">
        <v>0</v>
      </c>
      <c r="J5508" s="65" t="b">
        <v>0</v>
      </c>
      <c r="K5508" s="63" t="s">
        <v>1044</v>
      </c>
      <c r="L5508" s="63" t="s">
        <v>10994</v>
      </c>
      <c r="M5508" s="63" t="s">
        <v>10995</v>
      </c>
      <c r="N5508" s="63" t="s">
        <v>2087</v>
      </c>
    </row>
    <row r="5509" spans="1:14" x14ac:dyDescent="0.2">
      <c r="A5509" s="51">
        <v>5508</v>
      </c>
      <c r="B5509" s="54" t="s">
        <v>1044</v>
      </c>
      <c r="C5509" s="47" t="s">
        <v>10990</v>
      </c>
      <c r="D5509" s="47" t="s">
        <v>13850</v>
      </c>
      <c r="E5509" s="47" t="s">
        <v>1719</v>
      </c>
      <c r="F5509" s="55" t="b">
        <v>1</v>
      </c>
      <c r="G5509" s="54" t="b">
        <v>1</v>
      </c>
      <c r="H5509" s="54" t="b">
        <v>1</v>
      </c>
      <c r="I5509" s="65" t="b">
        <v>0</v>
      </c>
      <c r="J5509" s="65" t="b">
        <v>0</v>
      </c>
      <c r="K5509" s="63" t="s">
        <v>1044</v>
      </c>
      <c r="L5509" s="63" t="s">
        <v>10990</v>
      </c>
      <c r="M5509" s="63" t="s">
        <v>10991</v>
      </c>
      <c r="N5509" s="63" t="s">
        <v>2087</v>
      </c>
    </row>
    <row r="5510" spans="1:14" x14ac:dyDescent="0.2">
      <c r="A5510" s="51">
        <v>5509</v>
      </c>
      <c r="B5510" s="54" t="s">
        <v>1044</v>
      </c>
      <c r="C5510" s="47" t="s">
        <v>11010</v>
      </c>
      <c r="D5510" s="47" t="s">
        <v>13860</v>
      </c>
      <c r="E5510" s="47" t="s">
        <v>2046</v>
      </c>
      <c r="F5510" s="55" t="b">
        <v>1</v>
      </c>
      <c r="G5510" s="54" t="b">
        <v>1</v>
      </c>
      <c r="H5510" s="54" t="b">
        <v>1</v>
      </c>
      <c r="I5510" s="65" t="b">
        <v>0</v>
      </c>
      <c r="J5510" s="54" t="b">
        <v>1</v>
      </c>
      <c r="K5510" s="63" t="s">
        <v>1044</v>
      </c>
      <c r="L5510" s="63" t="s">
        <v>11010</v>
      </c>
      <c r="M5510" s="63" t="s">
        <v>11011</v>
      </c>
      <c r="N5510" s="63" t="s">
        <v>2046</v>
      </c>
    </row>
    <row r="5511" spans="1:14" x14ac:dyDescent="0.2">
      <c r="A5511" s="51">
        <v>5510</v>
      </c>
      <c r="B5511" s="54" t="s">
        <v>1044</v>
      </c>
      <c r="C5511" s="47" t="s">
        <v>11006</v>
      </c>
      <c r="D5511" s="47" t="s">
        <v>13851</v>
      </c>
      <c r="E5511" s="47" t="s">
        <v>2218</v>
      </c>
      <c r="F5511" s="55" t="b">
        <v>1</v>
      </c>
      <c r="G5511" s="54" t="b">
        <v>1</v>
      </c>
      <c r="H5511" s="54" t="b">
        <v>1</v>
      </c>
      <c r="I5511" s="65" t="b">
        <v>0</v>
      </c>
      <c r="J5511" s="65" t="b">
        <v>0</v>
      </c>
      <c r="K5511" s="63" t="s">
        <v>1044</v>
      </c>
      <c r="L5511" s="63" t="s">
        <v>11006</v>
      </c>
      <c r="M5511" s="63" t="s">
        <v>11007</v>
      </c>
      <c r="N5511" s="63" t="s">
        <v>8683</v>
      </c>
    </row>
    <row r="5512" spans="1:14" x14ac:dyDescent="0.2">
      <c r="A5512" s="51">
        <v>5511</v>
      </c>
      <c r="B5512" s="54" t="s">
        <v>1044</v>
      </c>
      <c r="C5512" s="47" t="s">
        <v>10996</v>
      </c>
      <c r="D5512" s="47" t="s">
        <v>13855</v>
      </c>
      <c r="E5512" s="47" t="s">
        <v>1719</v>
      </c>
      <c r="F5512" s="55" t="b">
        <v>1</v>
      </c>
      <c r="G5512" s="54" t="b">
        <v>1</v>
      </c>
      <c r="H5512" s="54" t="b">
        <v>1</v>
      </c>
      <c r="I5512" s="65" t="b">
        <v>0</v>
      </c>
      <c r="J5512" s="65" t="b">
        <v>0</v>
      </c>
      <c r="K5512" s="63" t="s">
        <v>1044</v>
      </c>
      <c r="L5512" s="63" t="s">
        <v>10996</v>
      </c>
      <c r="M5512" s="63" t="s">
        <v>10997</v>
      </c>
      <c r="N5512" s="63" t="s">
        <v>2087</v>
      </c>
    </row>
    <row r="5513" spans="1:14" x14ac:dyDescent="0.2">
      <c r="A5513" s="51">
        <v>5512</v>
      </c>
      <c r="B5513" s="54" t="s">
        <v>1044</v>
      </c>
      <c r="C5513" s="47" t="s">
        <v>11000</v>
      </c>
      <c r="D5513" s="47" t="s">
        <v>13856</v>
      </c>
      <c r="E5513" s="47" t="s">
        <v>1719</v>
      </c>
      <c r="F5513" s="55" t="b">
        <v>1</v>
      </c>
      <c r="G5513" s="54" t="b">
        <v>1</v>
      </c>
      <c r="H5513" s="54" t="b">
        <v>1</v>
      </c>
      <c r="I5513" s="65" t="b">
        <v>0</v>
      </c>
      <c r="J5513" s="65" t="b">
        <v>0</v>
      </c>
      <c r="K5513" s="63" t="s">
        <v>1044</v>
      </c>
      <c r="L5513" s="63" t="s">
        <v>11000</v>
      </c>
      <c r="M5513" s="63" t="s">
        <v>11001</v>
      </c>
      <c r="N5513" s="63" t="s">
        <v>2087</v>
      </c>
    </row>
    <row r="5514" spans="1:14" x14ac:dyDescent="0.2">
      <c r="A5514" s="51">
        <v>5513</v>
      </c>
      <c r="B5514" s="54" t="s">
        <v>1044</v>
      </c>
      <c r="C5514" s="47" t="s">
        <v>11002</v>
      </c>
      <c r="D5514" s="47" t="s">
        <v>13857</v>
      </c>
      <c r="E5514" s="47" t="s">
        <v>1719</v>
      </c>
      <c r="F5514" s="55" t="b">
        <v>1</v>
      </c>
      <c r="G5514" s="54" t="b">
        <v>1</v>
      </c>
      <c r="H5514" s="54" t="b">
        <v>1</v>
      </c>
      <c r="I5514" s="65" t="b">
        <v>0</v>
      </c>
      <c r="J5514" s="65" t="b">
        <v>0</v>
      </c>
      <c r="K5514" s="63" t="s">
        <v>1044</v>
      </c>
      <c r="L5514" s="63" t="s">
        <v>11002</v>
      </c>
      <c r="M5514" s="63" t="s">
        <v>11003</v>
      </c>
      <c r="N5514" s="63" t="s">
        <v>2087</v>
      </c>
    </row>
    <row r="5515" spans="1:14" x14ac:dyDescent="0.2">
      <c r="A5515" s="51">
        <v>5514</v>
      </c>
      <c r="B5515" s="54" t="s">
        <v>1044</v>
      </c>
      <c r="C5515" s="47" t="s">
        <v>11004</v>
      </c>
      <c r="D5515" s="47" t="s">
        <v>13858</v>
      </c>
      <c r="E5515" s="47" t="s">
        <v>1719</v>
      </c>
      <c r="F5515" s="55" t="b">
        <v>1</v>
      </c>
      <c r="G5515" s="54" t="b">
        <v>1</v>
      </c>
      <c r="H5515" s="54" t="b">
        <v>1</v>
      </c>
      <c r="I5515" s="65" t="b">
        <v>0</v>
      </c>
      <c r="J5515" s="65" t="b">
        <v>0</v>
      </c>
      <c r="K5515" s="63" t="s">
        <v>1044</v>
      </c>
      <c r="L5515" s="63" t="s">
        <v>11004</v>
      </c>
      <c r="M5515" s="63" t="s">
        <v>11005</v>
      </c>
      <c r="N5515" s="63" t="s">
        <v>2087</v>
      </c>
    </row>
    <row r="5516" spans="1:14" x14ac:dyDescent="0.2">
      <c r="A5516" s="51">
        <v>5515</v>
      </c>
      <c r="B5516" s="54" t="s">
        <v>1044</v>
      </c>
      <c r="C5516" s="47" t="s">
        <v>11008</v>
      </c>
      <c r="D5516" s="47" t="s">
        <v>13859</v>
      </c>
      <c r="E5516" s="47" t="s">
        <v>1719</v>
      </c>
      <c r="F5516" s="55" t="b">
        <v>1</v>
      </c>
      <c r="G5516" s="54" t="b">
        <v>1</v>
      </c>
      <c r="H5516" s="54" t="b">
        <v>1</v>
      </c>
      <c r="I5516" s="65" t="b">
        <v>0</v>
      </c>
      <c r="J5516" s="65" t="b">
        <v>0</v>
      </c>
      <c r="K5516" s="63" t="s">
        <v>1044</v>
      </c>
      <c r="L5516" s="63" t="s">
        <v>11008</v>
      </c>
      <c r="M5516" s="63" t="s">
        <v>11009</v>
      </c>
      <c r="N5516" s="63" t="s">
        <v>2087</v>
      </c>
    </row>
    <row r="5517" spans="1:14" x14ac:dyDescent="0.2">
      <c r="A5517" s="51">
        <v>5516</v>
      </c>
      <c r="B5517" s="54" t="s">
        <v>1044</v>
      </c>
      <c r="C5517" s="47" t="s">
        <v>11012</v>
      </c>
      <c r="D5517" s="47" t="s">
        <v>13861</v>
      </c>
      <c r="E5517" s="47" t="s">
        <v>1719</v>
      </c>
      <c r="F5517" s="55" t="b">
        <v>1</v>
      </c>
      <c r="G5517" s="54" t="b">
        <v>1</v>
      </c>
      <c r="H5517" s="54" t="b">
        <v>1</v>
      </c>
      <c r="I5517" s="65" t="b">
        <v>0</v>
      </c>
      <c r="J5517" s="65" t="b">
        <v>0</v>
      </c>
      <c r="K5517" s="63" t="s">
        <v>1044</v>
      </c>
      <c r="L5517" s="63" t="s">
        <v>11012</v>
      </c>
      <c r="M5517" s="63" t="s">
        <v>11013</v>
      </c>
      <c r="N5517" s="63" t="s">
        <v>2087</v>
      </c>
    </row>
    <row r="5518" spans="1:14" x14ac:dyDescent="0.2">
      <c r="A5518" s="51">
        <v>5517</v>
      </c>
      <c r="B5518" s="54" t="s">
        <v>1044</v>
      </c>
      <c r="C5518" s="47" t="s">
        <v>11014</v>
      </c>
      <c r="D5518" s="47" t="s">
        <v>13862</v>
      </c>
      <c r="E5518" s="47" t="s">
        <v>1719</v>
      </c>
      <c r="F5518" s="55" t="b">
        <v>1</v>
      </c>
      <c r="G5518" s="54" t="b">
        <v>1</v>
      </c>
      <c r="H5518" s="54" t="b">
        <v>1</v>
      </c>
      <c r="I5518" s="65" t="b">
        <v>0</v>
      </c>
      <c r="J5518" s="65" t="b">
        <v>0</v>
      </c>
      <c r="K5518" s="63" t="s">
        <v>1044</v>
      </c>
      <c r="L5518" s="63" t="s">
        <v>11014</v>
      </c>
      <c r="M5518" s="63" t="s">
        <v>11015</v>
      </c>
      <c r="N5518" s="63" t="s">
        <v>2087</v>
      </c>
    </row>
    <row r="5519" spans="1:14" x14ac:dyDescent="0.2">
      <c r="A5519" s="51">
        <v>5518</v>
      </c>
      <c r="B5519" s="54" t="s">
        <v>1044</v>
      </c>
      <c r="C5519" s="47" t="s">
        <v>10984</v>
      </c>
      <c r="D5519" s="47" t="s">
        <v>13847</v>
      </c>
      <c r="E5519" s="47" t="s">
        <v>1719</v>
      </c>
      <c r="F5519" s="55" t="b">
        <v>1</v>
      </c>
      <c r="G5519" s="54" t="b">
        <v>1</v>
      </c>
      <c r="H5519" s="54" t="b">
        <v>1</v>
      </c>
      <c r="I5519" s="65" t="b">
        <v>0</v>
      </c>
      <c r="J5519" s="65" t="b">
        <v>0</v>
      </c>
      <c r="K5519" s="63" t="s">
        <v>1044</v>
      </c>
      <c r="L5519" s="63" t="s">
        <v>10984</v>
      </c>
      <c r="M5519" s="63" t="s">
        <v>10985</v>
      </c>
      <c r="N5519" s="63" t="s">
        <v>2087</v>
      </c>
    </row>
    <row r="5520" spans="1:14" x14ac:dyDescent="0.2">
      <c r="A5520" s="51">
        <v>5519</v>
      </c>
      <c r="B5520" s="54" t="s">
        <v>1044</v>
      </c>
      <c r="C5520" s="47" t="s">
        <v>10986</v>
      </c>
      <c r="D5520" s="47" t="s">
        <v>13848</v>
      </c>
      <c r="E5520" s="47" t="s">
        <v>1719</v>
      </c>
      <c r="F5520" s="55" t="b">
        <v>1</v>
      </c>
      <c r="G5520" s="54" t="b">
        <v>1</v>
      </c>
      <c r="H5520" s="54" t="b">
        <v>1</v>
      </c>
      <c r="I5520" s="65" t="b">
        <v>0</v>
      </c>
      <c r="J5520" s="65" t="b">
        <v>0</v>
      </c>
      <c r="K5520" s="63" t="s">
        <v>1044</v>
      </c>
      <c r="L5520" s="63" t="s">
        <v>10986</v>
      </c>
      <c r="M5520" s="63" t="s">
        <v>10987</v>
      </c>
      <c r="N5520" s="63" t="s">
        <v>2087</v>
      </c>
    </row>
    <row r="5521" spans="1:14" x14ac:dyDescent="0.2">
      <c r="A5521" s="51">
        <v>5520</v>
      </c>
      <c r="B5521" s="54" t="s">
        <v>1044</v>
      </c>
      <c r="C5521" s="47" t="s">
        <v>10988</v>
      </c>
      <c r="D5521" s="47" t="s">
        <v>13849</v>
      </c>
      <c r="E5521" s="47" t="s">
        <v>1719</v>
      </c>
      <c r="F5521" s="55" t="b">
        <v>1</v>
      </c>
      <c r="G5521" s="54" t="b">
        <v>1</v>
      </c>
      <c r="H5521" s="54" t="b">
        <v>1</v>
      </c>
      <c r="I5521" s="65" t="b">
        <v>0</v>
      </c>
      <c r="J5521" s="65" t="b">
        <v>0</v>
      </c>
      <c r="K5521" s="63" t="s">
        <v>1044</v>
      </c>
      <c r="L5521" s="63" t="s">
        <v>10988</v>
      </c>
      <c r="M5521" s="63" t="s">
        <v>10989</v>
      </c>
      <c r="N5521" s="63" t="s">
        <v>2087</v>
      </c>
    </row>
    <row r="5522" spans="1:14" x14ac:dyDescent="0.2">
      <c r="A5522" s="51">
        <v>5521</v>
      </c>
      <c r="B5522" s="54" t="s">
        <v>1044</v>
      </c>
      <c r="C5522" s="47" t="s">
        <v>10972</v>
      </c>
      <c r="D5522" s="47" t="s">
        <v>13841</v>
      </c>
      <c r="E5522" s="47" t="s">
        <v>1719</v>
      </c>
      <c r="F5522" s="55" t="b">
        <v>1</v>
      </c>
      <c r="G5522" s="54" t="b">
        <v>1</v>
      </c>
      <c r="H5522" s="54" t="b">
        <v>1</v>
      </c>
      <c r="I5522" s="65" t="b">
        <v>0</v>
      </c>
      <c r="J5522" s="65" t="b">
        <v>0</v>
      </c>
      <c r="K5522" s="63" t="s">
        <v>1044</v>
      </c>
      <c r="L5522" s="63" t="s">
        <v>10972</v>
      </c>
      <c r="M5522" s="63" t="s">
        <v>10973</v>
      </c>
      <c r="N5522" s="63" t="s">
        <v>2087</v>
      </c>
    </row>
    <row r="5523" spans="1:14" x14ac:dyDescent="0.2">
      <c r="A5523" s="51">
        <v>5522</v>
      </c>
      <c r="B5523" s="54" t="s">
        <v>1044</v>
      </c>
      <c r="C5523" s="47" t="s">
        <v>10974</v>
      </c>
      <c r="D5523" s="47" t="s">
        <v>13842</v>
      </c>
      <c r="E5523" s="47" t="s">
        <v>1719</v>
      </c>
      <c r="F5523" s="55" t="b">
        <v>1</v>
      </c>
      <c r="G5523" s="54" t="b">
        <v>1</v>
      </c>
      <c r="H5523" s="54" t="b">
        <v>1</v>
      </c>
      <c r="I5523" s="65" t="b">
        <v>0</v>
      </c>
      <c r="J5523" s="65" t="b">
        <v>0</v>
      </c>
      <c r="K5523" s="63" t="s">
        <v>1044</v>
      </c>
      <c r="L5523" s="63" t="s">
        <v>10974</v>
      </c>
      <c r="M5523" s="63" t="s">
        <v>10975</v>
      </c>
      <c r="N5523" s="63" t="s">
        <v>2087</v>
      </c>
    </row>
    <row r="5524" spans="1:14" x14ac:dyDescent="0.2">
      <c r="A5524" s="51">
        <v>5523</v>
      </c>
      <c r="B5524" s="54" t="s">
        <v>1044</v>
      </c>
      <c r="C5524" s="47" t="s">
        <v>10976</v>
      </c>
      <c r="D5524" s="47" t="s">
        <v>13843</v>
      </c>
      <c r="E5524" s="47" t="s">
        <v>1719</v>
      </c>
      <c r="F5524" s="55" t="b">
        <v>1</v>
      </c>
      <c r="G5524" s="54" t="b">
        <v>1</v>
      </c>
      <c r="H5524" s="54" t="b">
        <v>1</v>
      </c>
      <c r="I5524" s="65" t="b">
        <v>0</v>
      </c>
      <c r="J5524" s="65" t="b">
        <v>0</v>
      </c>
      <c r="K5524" s="63" t="s">
        <v>1044</v>
      </c>
      <c r="L5524" s="63" t="s">
        <v>10976</v>
      </c>
      <c r="M5524" s="63" t="s">
        <v>10977</v>
      </c>
      <c r="N5524" s="63" t="s">
        <v>2087</v>
      </c>
    </row>
    <row r="5525" spans="1:14" x14ac:dyDescent="0.2">
      <c r="A5525" s="51">
        <v>5524</v>
      </c>
      <c r="B5525" s="54" t="s">
        <v>1046</v>
      </c>
      <c r="C5525" s="47" t="s">
        <v>11026</v>
      </c>
      <c r="D5525" s="47" t="s">
        <v>13868</v>
      </c>
      <c r="E5525" s="47" t="s">
        <v>11028</v>
      </c>
      <c r="F5525" s="55" t="b">
        <v>1</v>
      </c>
      <c r="G5525" s="54" t="b">
        <v>1</v>
      </c>
      <c r="H5525" s="54" t="b">
        <v>1</v>
      </c>
      <c r="I5525" s="65" t="b">
        <v>0</v>
      </c>
      <c r="J5525" s="54" t="b">
        <v>1</v>
      </c>
      <c r="K5525" s="63" t="s">
        <v>1046</v>
      </c>
      <c r="L5525" s="63" t="s">
        <v>11026</v>
      </c>
      <c r="M5525" s="63" t="s">
        <v>11027</v>
      </c>
      <c r="N5525" s="63" t="s">
        <v>11028</v>
      </c>
    </row>
    <row r="5526" spans="1:14" x14ac:dyDescent="0.2">
      <c r="A5526" s="51">
        <v>5525</v>
      </c>
      <c r="B5526" s="54" t="s">
        <v>1046</v>
      </c>
      <c r="C5526" s="47" t="s">
        <v>11029</v>
      </c>
      <c r="D5526" s="47" t="s">
        <v>11031</v>
      </c>
      <c r="E5526" s="47" t="s">
        <v>11028</v>
      </c>
      <c r="F5526" s="55" t="b">
        <v>1</v>
      </c>
      <c r="G5526" s="54" t="b">
        <v>1</v>
      </c>
      <c r="H5526" s="54" t="b">
        <v>1</v>
      </c>
      <c r="I5526" s="54" t="b">
        <v>1</v>
      </c>
      <c r="J5526" s="54" t="b">
        <v>1</v>
      </c>
      <c r="K5526" s="63" t="s">
        <v>1046</v>
      </c>
      <c r="L5526" s="63" t="s">
        <v>11029</v>
      </c>
      <c r="M5526" s="63" t="s">
        <v>11031</v>
      </c>
      <c r="N5526" s="63" t="s">
        <v>11028</v>
      </c>
    </row>
    <row r="5527" spans="1:14" x14ac:dyDescent="0.2">
      <c r="A5527" s="51">
        <v>5526</v>
      </c>
      <c r="G5527" s="65" t="b">
        <v>0</v>
      </c>
      <c r="H5527" s="65" t="b">
        <v>0</v>
      </c>
      <c r="I5527" s="65" t="b">
        <v>0</v>
      </c>
      <c r="J5527" s="65" t="b">
        <v>0</v>
      </c>
      <c r="K5527" s="63" t="s">
        <v>1046</v>
      </c>
      <c r="L5527" s="63" t="s">
        <v>11029</v>
      </c>
      <c r="M5527" s="63" t="s">
        <v>11030</v>
      </c>
      <c r="N5527" s="63" t="s">
        <v>11028</v>
      </c>
    </row>
    <row r="5528" spans="1:14" x14ac:dyDescent="0.2">
      <c r="A5528" s="51">
        <v>5527</v>
      </c>
      <c r="B5528" s="54" t="s">
        <v>1046</v>
      </c>
      <c r="C5528" s="47" t="s">
        <v>11036</v>
      </c>
      <c r="D5528" s="47" t="s">
        <v>11038</v>
      </c>
      <c r="E5528" s="47" t="s">
        <v>11028</v>
      </c>
      <c r="F5528" s="55" t="b">
        <v>1</v>
      </c>
      <c r="G5528" s="54" t="b">
        <v>1</v>
      </c>
      <c r="H5528" s="54" t="b">
        <v>1</v>
      </c>
      <c r="I5528" s="65" t="b">
        <v>0</v>
      </c>
      <c r="J5528" s="54" t="b">
        <v>1</v>
      </c>
      <c r="K5528" s="63" t="s">
        <v>1046</v>
      </c>
      <c r="L5528" s="63" t="s">
        <v>11036</v>
      </c>
      <c r="M5528" s="63" t="s">
        <v>11037</v>
      </c>
      <c r="N5528" s="63" t="s">
        <v>11028</v>
      </c>
    </row>
    <row r="5529" spans="1:14" x14ac:dyDescent="0.2">
      <c r="A5529" s="51">
        <v>5528</v>
      </c>
      <c r="G5529" s="65" t="b">
        <v>0</v>
      </c>
      <c r="H5529" s="65" t="b">
        <v>0</v>
      </c>
      <c r="I5529" s="65" t="b">
        <v>0</v>
      </c>
      <c r="J5529" s="65" t="b">
        <v>0</v>
      </c>
      <c r="K5529" s="63" t="s">
        <v>1046</v>
      </c>
      <c r="L5529" s="63" t="s">
        <v>11036</v>
      </c>
      <c r="M5529" s="63" t="s">
        <v>11038</v>
      </c>
      <c r="N5529" s="63" t="s">
        <v>11028</v>
      </c>
    </row>
    <row r="5530" spans="1:14" x14ac:dyDescent="0.2">
      <c r="A5530" s="51">
        <v>5529</v>
      </c>
      <c r="B5530" s="54" t="s">
        <v>1046</v>
      </c>
      <c r="C5530" s="47" t="s">
        <v>11032</v>
      </c>
      <c r="D5530" s="47" t="s">
        <v>11033</v>
      </c>
      <c r="E5530" s="47" t="s">
        <v>11028</v>
      </c>
      <c r="F5530" s="55" t="b">
        <v>1</v>
      </c>
      <c r="G5530" s="54" t="b">
        <v>1</v>
      </c>
      <c r="H5530" s="54" t="b">
        <v>1</v>
      </c>
      <c r="I5530" s="54" t="b">
        <v>1</v>
      </c>
      <c r="J5530" s="54" t="b">
        <v>1</v>
      </c>
      <c r="K5530" s="63" t="s">
        <v>1046</v>
      </c>
      <c r="L5530" s="63" t="s">
        <v>11032</v>
      </c>
      <c r="M5530" s="63" t="s">
        <v>11033</v>
      </c>
      <c r="N5530" s="63" t="s">
        <v>11028</v>
      </c>
    </row>
    <row r="5531" spans="1:14" x14ac:dyDescent="0.2">
      <c r="A5531" s="51">
        <v>5530</v>
      </c>
      <c r="B5531" s="54" t="s">
        <v>1046</v>
      </c>
      <c r="C5531" s="47" t="s">
        <v>11039</v>
      </c>
      <c r="D5531" s="47" t="s">
        <v>13869</v>
      </c>
      <c r="E5531" s="47" t="s">
        <v>11028</v>
      </c>
      <c r="F5531" s="55" t="b">
        <v>1</v>
      </c>
      <c r="G5531" s="54" t="b">
        <v>1</v>
      </c>
      <c r="H5531" s="54" t="b">
        <v>1</v>
      </c>
      <c r="I5531" s="65" t="b">
        <v>0</v>
      </c>
      <c r="J5531" s="54" t="b">
        <v>1</v>
      </c>
      <c r="K5531" s="63" t="s">
        <v>1046</v>
      </c>
      <c r="L5531" s="63" t="s">
        <v>11039</v>
      </c>
      <c r="M5531" s="63" t="s">
        <v>11040</v>
      </c>
      <c r="N5531" s="63" t="s">
        <v>11028</v>
      </c>
    </row>
    <row r="5532" spans="1:14" x14ac:dyDescent="0.2">
      <c r="A5532" s="51">
        <v>5531</v>
      </c>
      <c r="B5532" s="54" t="s">
        <v>1046</v>
      </c>
      <c r="C5532" s="47" t="s">
        <v>11034</v>
      </c>
      <c r="D5532" s="47" t="s">
        <v>11035</v>
      </c>
      <c r="E5532" s="47" t="s">
        <v>11028</v>
      </c>
      <c r="F5532" s="55" t="b">
        <v>1</v>
      </c>
      <c r="G5532" s="54" t="b">
        <v>1</v>
      </c>
      <c r="H5532" s="54" t="b">
        <v>1</v>
      </c>
      <c r="I5532" s="54" t="b">
        <v>1</v>
      </c>
      <c r="J5532" s="54" t="b">
        <v>1</v>
      </c>
      <c r="K5532" s="63" t="s">
        <v>1046</v>
      </c>
      <c r="L5532" s="63" t="s">
        <v>11034</v>
      </c>
      <c r="M5532" s="63" t="s">
        <v>11035</v>
      </c>
      <c r="N5532" s="63" t="s">
        <v>11028</v>
      </c>
    </row>
    <row r="5533" spans="1:14" x14ac:dyDescent="0.2">
      <c r="A5533" s="51">
        <v>5532</v>
      </c>
      <c r="G5533" s="65" t="b">
        <v>0</v>
      </c>
      <c r="H5533" s="65" t="b">
        <v>0</v>
      </c>
      <c r="I5533" s="65" t="b">
        <v>0</v>
      </c>
      <c r="J5533" s="65" t="b">
        <v>0</v>
      </c>
      <c r="K5533" s="63" t="s">
        <v>1046</v>
      </c>
      <c r="L5533" s="63" t="s">
        <v>11034</v>
      </c>
      <c r="M5533" s="63" t="s">
        <v>11041</v>
      </c>
      <c r="N5533" s="63" t="s">
        <v>11028</v>
      </c>
    </row>
    <row r="5534" spans="1:14" x14ac:dyDescent="0.2">
      <c r="A5534" s="51">
        <v>5533</v>
      </c>
      <c r="B5534" s="54" t="s">
        <v>1046</v>
      </c>
      <c r="C5534" s="47" t="s">
        <v>11042</v>
      </c>
      <c r="D5534" s="47" t="s">
        <v>11043</v>
      </c>
      <c r="E5534" s="47" t="s">
        <v>11028</v>
      </c>
      <c r="F5534" s="55" t="b">
        <v>1</v>
      </c>
      <c r="G5534" s="54" t="b">
        <v>1</v>
      </c>
      <c r="H5534" s="54" t="b">
        <v>1</v>
      </c>
      <c r="I5534" s="54" t="b">
        <v>1</v>
      </c>
      <c r="J5534" s="54" t="b">
        <v>1</v>
      </c>
      <c r="K5534" s="63" t="s">
        <v>1046</v>
      </c>
      <c r="L5534" s="63" t="s">
        <v>11042</v>
      </c>
      <c r="M5534" s="63" t="s">
        <v>11043</v>
      </c>
      <c r="N5534" s="63" t="s">
        <v>11028</v>
      </c>
    </row>
    <row r="5535" spans="1:14" x14ac:dyDescent="0.2">
      <c r="A5535" s="51">
        <v>5534</v>
      </c>
      <c r="B5535" s="54" t="s">
        <v>1048</v>
      </c>
      <c r="C5535" s="47" t="s">
        <v>11047</v>
      </c>
      <c r="D5535" s="47" t="s">
        <v>11048</v>
      </c>
      <c r="E5535" s="47" t="s">
        <v>11046</v>
      </c>
      <c r="F5535" s="55" t="b">
        <v>1</v>
      </c>
      <c r="G5535" s="54" t="b">
        <v>1</v>
      </c>
      <c r="H5535" s="54" t="b">
        <v>1</v>
      </c>
      <c r="I5535" s="54" t="b">
        <v>1</v>
      </c>
      <c r="J5535" s="54" t="b">
        <v>1</v>
      </c>
      <c r="K5535" s="63" t="s">
        <v>1048</v>
      </c>
      <c r="L5535" s="63" t="s">
        <v>11047</v>
      </c>
      <c r="M5535" s="63" t="s">
        <v>11048</v>
      </c>
      <c r="N5535" s="63" t="s">
        <v>11046</v>
      </c>
    </row>
    <row r="5536" spans="1:14" x14ac:dyDescent="0.2">
      <c r="A5536" s="51">
        <v>5535</v>
      </c>
      <c r="B5536" s="54" t="s">
        <v>1048</v>
      </c>
      <c r="C5536" s="47" t="s">
        <v>11044</v>
      </c>
      <c r="D5536" s="47" t="s">
        <v>11045</v>
      </c>
      <c r="E5536" s="47" t="s">
        <v>11046</v>
      </c>
      <c r="F5536" s="55" t="b">
        <v>1</v>
      </c>
      <c r="G5536" s="54" t="b">
        <v>1</v>
      </c>
      <c r="H5536" s="54" t="b">
        <v>1</v>
      </c>
      <c r="I5536" s="54" t="b">
        <v>1</v>
      </c>
      <c r="J5536" s="54" t="b">
        <v>1</v>
      </c>
      <c r="K5536" s="63" t="s">
        <v>1048</v>
      </c>
      <c r="L5536" s="63" t="s">
        <v>11044</v>
      </c>
      <c r="M5536" s="63" t="s">
        <v>11045</v>
      </c>
      <c r="N5536" s="63" t="s">
        <v>11046</v>
      </c>
    </row>
    <row r="5537" spans="1:14" x14ac:dyDescent="0.2">
      <c r="A5537" s="51">
        <v>5536</v>
      </c>
      <c r="B5537" s="54" t="s">
        <v>1048</v>
      </c>
      <c r="C5537" s="47" t="s">
        <v>11058</v>
      </c>
      <c r="D5537" s="47" t="s">
        <v>11059</v>
      </c>
      <c r="E5537" s="47" t="s">
        <v>11046</v>
      </c>
      <c r="F5537" s="55" t="b">
        <v>1</v>
      </c>
      <c r="G5537" s="54" t="b">
        <v>1</v>
      </c>
      <c r="H5537" s="54" t="b">
        <v>1</v>
      </c>
      <c r="I5537" s="54" t="b">
        <v>1</v>
      </c>
      <c r="J5537" s="54" t="b">
        <v>1</v>
      </c>
      <c r="K5537" s="63" t="s">
        <v>1048</v>
      </c>
      <c r="L5537" s="63" t="s">
        <v>11058</v>
      </c>
      <c r="M5537" s="63" t="s">
        <v>11059</v>
      </c>
      <c r="N5537" s="63" t="s">
        <v>11046</v>
      </c>
    </row>
    <row r="5538" spans="1:14" x14ac:dyDescent="0.2">
      <c r="A5538" s="51">
        <v>5537</v>
      </c>
      <c r="B5538" s="54" t="s">
        <v>1048</v>
      </c>
      <c r="C5538" s="47" t="s">
        <v>11270</v>
      </c>
      <c r="D5538" s="47" t="s">
        <v>11271</v>
      </c>
      <c r="E5538" s="47" t="s">
        <v>7734</v>
      </c>
      <c r="F5538" s="55" t="b">
        <v>1</v>
      </c>
      <c r="G5538" s="54" t="b">
        <v>1</v>
      </c>
      <c r="H5538" s="54" t="b">
        <v>1</v>
      </c>
      <c r="I5538" s="54" t="b">
        <v>1</v>
      </c>
      <c r="J5538" s="54" t="b">
        <v>1</v>
      </c>
      <c r="K5538" s="63" t="s">
        <v>1048</v>
      </c>
      <c r="L5538" s="63" t="s">
        <v>11270</v>
      </c>
      <c r="M5538" s="63" t="s">
        <v>11271</v>
      </c>
      <c r="N5538" s="63" t="s">
        <v>7734</v>
      </c>
    </row>
    <row r="5539" spans="1:14" x14ac:dyDescent="0.2">
      <c r="A5539" s="51">
        <v>5538</v>
      </c>
      <c r="G5539" s="65" t="b">
        <v>0</v>
      </c>
      <c r="H5539" s="65" t="b">
        <v>0</v>
      </c>
      <c r="I5539" s="65" t="b">
        <v>0</v>
      </c>
      <c r="J5539" s="65" t="b">
        <v>0</v>
      </c>
      <c r="K5539" s="63" t="s">
        <v>1048</v>
      </c>
      <c r="L5539" s="63" t="s">
        <v>11270</v>
      </c>
      <c r="M5539" s="63" t="s">
        <v>11438</v>
      </c>
      <c r="N5539" s="63" t="s">
        <v>7734</v>
      </c>
    </row>
    <row r="5540" spans="1:14" x14ac:dyDescent="0.2">
      <c r="A5540" s="51">
        <v>5539</v>
      </c>
      <c r="B5540" s="54" t="s">
        <v>1048</v>
      </c>
      <c r="C5540" s="47" t="s">
        <v>11051</v>
      </c>
      <c r="D5540" s="47" t="s">
        <v>11052</v>
      </c>
      <c r="E5540" s="47" t="s">
        <v>11046</v>
      </c>
      <c r="F5540" s="55" t="b">
        <v>1</v>
      </c>
      <c r="G5540" s="54" t="b">
        <v>1</v>
      </c>
      <c r="H5540" s="54" t="b">
        <v>1</v>
      </c>
      <c r="I5540" s="54" t="b">
        <v>1</v>
      </c>
      <c r="J5540" s="54" t="b">
        <v>1</v>
      </c>
      <c r="K5540" s="63" t="s">
        <v>1048</v>
      </c>
      <c r="L5540" s="63" t="s">
        <v>11051</v>
      </c>
      <c r="M5540" s="63" t="s">
        <v>11052</v>
      </c>
      <c r="N5540" s="63" t="s">
        <v>11046</v>
      </c>
    </row>
    <row r="5541" spans="1:14" x14ac:dyDescent="0.2">
      <c r="A5541" s="51">
        <v>5540</v>
      </c>
      <c r="B5541" s="54" t="s">
        <v>1048</v>
      </c>
      <c r="C5541" s="47" t="s">
        <v>11053</v>
      </c>
      <c r="D5541" s="47" t="s">
        <v>11054</v>
      </c>
      <c r="E5541" s="47" t="s">
        <v>1790</v>
      </c>
      <c r="F5541" s="55" t="b">
        <v>1</v>
      </c>
      <c r="G5541" s="54" t="b">
        <v>1</v>
      </c>
      <c r="H5541" s="54" t="b">
        <v>1</v>
      </c>
      <c r="I5541" s="54" t="b">
        <v>1</v>
      </c>
      <c r="J5541" s="65" t="b">
        <v>0</v>
      </c>
      <c r="K5541" s="63" t="s">
        <v>1048</v>
      </c>
      <c r="L5541" s="63" t="s">
        <v>11053</v>
      </c>
      <c r="M5541" s="63" t="s">
        <v>11054</v>
      </c>
      <c r="N5541" s="63" t="s">
        <v>11055</v>
      </c>
    </row>
    <row r="5542" spans="1:14" x14ac:dyDescent="0.2">
      <c r="A5542" s="51">
        <v>5541</v>
      </c>
      <c r="B5542" s="54" t="s">
        <v>1048</v>
      </c>
      <c r="C5542" s="47" t="s">
        <v>11056</v>
      </c>
      <c r="D5542" s="47" t="s">
        <v>11057</v>
      </c>
      <c r="E5542" s="47" t="s">
        <v>1790</v>
      </c>
      <c r="F5542" s="55" t="b">
        <v>1</v>
      </c>
      <c r="G5542" s="54" t="b">
        <v>1</v>
      </c>
      <c r="H5542" s="54" t="b">
        <v>1</v>
      </c>
      <c r="I5542" s="54" t="b">
        <v>1</v>
      </c>
      <c r="J5542" s="65" t="b">
        <v>0</v>
      </c>
      <c r="K5542" s="63" t="s">
        <v>1048</v>
      </c>
      <c r="L5542" s="63" t="s">
        <v>11056</v>
      </c>
      <c r="M5542" s="63" t="s">
        <v>11057</v>
      </c>
      <c r="N5542" s="63" t="s">
        <v>11055</v>
      </c>
    </row>
    <row r="5543" spans="1:14" x14ac:dyDescent="0.2">
      <c r="A5543" s="51">
        <v>5542</v>
      </c>
      <c r="B5543" s="54" t="s">
        <v>1048</v>
      </c>
      <c r="C5543" s="47" t="s">
        <v>11060</v>
      </c>
      <c r="D5543" s="47" t="s">
        <v>11061</v>
      </c>
      <c r="E5543" s="47" t="s">
        <v>1790</v>
      </c>
      <c r="F5543" s="55" t="b">
        <v>1</v>
      </c>
      <c r="G5543" s="54" t="b">
        <v>1</v>
      </c>
      <c r="H5543" s="54" t="b">
        <v>1</v>
      </c>
      <c r="I5543" s="54" t="b">
        <v>1</v>
      </c>
      <c r="J5543" s="65" t="b">
        <v>0</v>
      </c>
      <c r="K5543" s="63" t="s">
        <v>1048</v>
      </c>
      <c r="L5543" s="63" t="s">
        <v>11060</v>
      </c>
      <c r="M5543" s="63" t="s">
        <v>11061</v>
      </c>
      <c r="N5543" s="63" t="s">
        <v>11055</v>
      </c>
    </row>
    <row r="5544" spans="1:14" x14ac:dyDescent="0.2">
      <c r="A5544" s="51">
        <v>5543</v>
      </c>
      <c r="B5544" s="54" t="s">
        <v>1048</v>
      </c>
      <c r="C5544" s="47" t="s">
        <v>11076</v>
      </c>
      <c r="D5544" s="47" t="s">
        <v>11077</v>
      </c>
      <c r="E5544" s="47" t="s">
        <v>7734</v>
      </c>
      <c r="F5544" s="55" t="b">
        <v>1</v>
      </c>
      <c r="G5544" s="54" t="b">
        <v>1</v>
      </c>
      <c r="H5544" s="54" t="b">
        <v>1</v>
      </c>
      <c r="I5544" s="54" t="b">
        <v>1</v>
      </c>
      <c r="J5544" s="54" t="b">
        <v>1</v>
      </c>
      <c r="K5544" s="63" t="s">
        <v>1048</v>
      </c>
      <c r="L5544" s="63" t="s">
        <v>11076</v>
      </c>
      <c r="M5544" s="63" t="s">
        <v>11077</v>
      </c>
      <c r="N5544" s="63" t="s">
        <v>7734</v>
      </c>
    </row>
    <row r="5545" spans="1:14" x14ac:dyDescent="0.2">
      <c r="A5545" s="51">
        <v>5544</v>
      </c>
      <c r="B5545" s="54" t="s">
        <v>1048</v>
      </c>
      <c r="C5545" s="47" t="s">
        <v>11086</v>
      </c>
      <c r="D5545" s="47" t="s">
        <v>11087</v>
      </c>
      <c r="E5545" s="47" t="s">
        <v>7734</v>
      </c>
      <c r="F5545" s="55" t="b">
        <v>1</v>
      </c>
      <c r="G5545" s="54" t="b">
        <v>1</v>
      </c>
      <c r="H5545" s="54" t="b">
        <v>1</v>
      </c>
      <c r="I5545" s="54" t="b">
        <v>1</v>
      </c>
      <c r="J5545" s="54" t="b">
        <v>1</v>
      </c>
      <c r="K5545" s="63" t="s">
        <v>1048</v>
      </c>
      <c r="L5545" s="63" t="s">
        <v>11086</v>
      </c>
      <c r="M5545" s="63" t="s">
        <v>11087</v>
      </c>
      <c r="N5545" s="63" t="s">
        <v>7734</v>
      </c>
    </row>
    <row r="5546" spans="1:14" x14ac:dyDescent="0.2">
      <c r="A5546" s="51">
        <v>5545</v>
      </c>
      <c r="B5546" s="54" t="s">
        <v>1048</v>
      </c>
      <c r="C5546" s="47" t="s">
        <v>11078</v>
      </c>
      <c r="D5546" s="47" t="s">
        <v>11079</v>
      </c>
      <c r="E5546" s="47" t="s">
        <v>7734</v>
      </c>
      <c r="F5546" s="55" t="b">
        <v>1</v>
      </c>
      <c r="G5546" s="54" t="b">
        <v>1</v>
      </c>
      <c r="H5546" s="54" t="b">
        <v>1</v>
      </c>
      <c r="I5546" s="54" t="b">
        <v>1</v>
      </c>
      <c r="J5546" s="54" t="b">
        <v>1</v>
      </c>
      <c r="K5546" s="63" t="s">
        <v>1048</v>
      </c>
      <c r="L5546" s="63" t="s">
        <v>11078</v>
      </c>
      <c r="M5546" s="63" t="s">
        <v>11079</v>
      </c>
      <c r="N5546" s="63" t="s">
        <v>7734</v>
      </c>
    </row>
    <row r="5547" spans="1:14" x14ac:dyDescent="0.2">
      <c r="A5547" s="51">
        <v>5546</v>
      </c>
      <c r="B5547" s="54" t="s">
        <v>1048</v>
      </c>
      <c r="C5547" s="47" t="s">
        <v>11068</v>
      </c>
      <c r="D5547" s="47" t="s">
        <v>11069</v>
      </c>
      <c r="E5547" s="47" t="s">
        <v>11070</v>
      </c>
      <c r="F5547" s="55" t="b">
        <v>1</v>
      </c>
      <c r="G5547" s="54" t="b">
        <v>1</v>
      </c>
      <c r="H5547" s="54" t="b">
        <v>1</v>
      </c>
      <c r="I5547" s="54" t="b">
        <v>1</v>
      </c>
      <c r="J5547" s="54" t="b">
        <v>1</v>
      </c>
      <c r="K5547" s="63" t="s">
        <v>1048</v>
      </c>
      <c r="L5547" s="63" t="s">
        <v>11068</v>
      </c>
      <c r="M5547" s="63" t="s">
        <v>11069</v>
      </c>
      <c r="N5547" s="63" t="s">
        <v>11070</v>
      </c>
    </row>
    <row r="5548" spans="1:14" x14ac:dyDescent="0.2">
      <c r="A5548" s="51">
        <v>5547</v>
      </c>
      <c r="B5548" s="54" t="s">
        <v>1048</v>
      </c>
      <c r="C5548" s="47" t="s">
        <v>11100</v>
      </c>
      <c r="D5548" s="47" t="s">
        <v>11101</v>
      </c>
      <c r="E5548" s="47" t="s">
        <v>11070</v>
      </c>
      <c r="F5548" s="55" t="b">
        <v>1</v>
      </c>
      <c r="G5548" s="54" t="b">
        <v>1</v>
      </c>
      <c r="H5548" s="54" t="b">
        <v>1</v>
      </c>
      <c r="I5548" s="54" t="b">
        <v>1</v>
      </c>
      <c r="J5548" s="54" t="b">
        <v>1</v>
      </c>
      <c r="K5548" s="63" t="s">
        <v>1048</v>
      </c>
      <c r="L5548" s="63" t="s">
        <v>11100</v>
      </c>
      <c r="M5548" s="63" t="s">
        <v>11101</v>
      </c>
      <c r="N5548" s="63" t="s">
        <v>11070</v>
      </c>
    </row>
    <row r="5549" spans="1:14" x14ac:dyDescent="0.2">
      <c r="A5549" s="51">
        <v>5548</v>
      </c>
      <c r="B5549" s="54" t="s">
        <v>1048</v>
      </c>
      <c r="C5549" s="47" t="s">
        <v>11082</v>
      </c>
      <c r="D5549" s="47" t="s">
        <v>11083</v>
      </c>
      <c r="E5549" s="47" t="s">
        <v>11070</v>
      </c>
      <c r="F5549" s="55" t="b">
        <v>1</v>
      </c>
      <c r="G5549" s="54" t="b">
        <v>1</v>
      </c>
      <c r="H5549" s="54" t="b">
        <v>1</v>
      </c>
      <c r="I5549" s="54" t="b">
        <v>1</v>
      </c>
      <c r="J5549" s="54" t="b">
        <v>1</v>
      </c>
      <c r="K5549" s="63" t="s">
        <v>1048</v>
      </c>
      <c r="L5549" s="63" t="s">
        <v>11082</v>
      </c>
      <c r="M5549" s="63" t="s">
        <v>11083</v>
      </c>
      <c r="N5549" s="63" t="s">
        <v>11070</v>
      </c>
    </row>
    <row r="5550" spans="1:14" x14ac:dyDescent="0.2">
      <c r="A5550" s="51">
        <v>5549</v>
      </c>
      <c r="B5550" s="54" t="s">
        <v>1048</v>
      </c>
      <c r="C5550" s="47" t="s">
        <v>11080</v>
      </c>
      <c r="D5550" s="47" t="s">
        <v>11081</v>
      </c>
      <c r="E5550" s="47" t="s">
        <v>1790</v>
      </c>
      <c r="F5550" s="55" t="b">
        <v>1</v>
      </c>
      <c r="G5550" s="54" t="b">
        <v>1</v>
      </c>
      <c r="H5550" s="54" t="b">
        <v>1</v>
      </c>
      <c r="I5550" s="54" t="b">
        <v>1</v>
      </c>
      <c r="J5550" s="65" t="b">
        <v>0</v>
      </c>
      <c r="K5550" s="63" t="s">
        <v>1048</v>
      </c>
      <c r="L5550" s="63" t="s">
        <v>11080</v>
      </c>
      <c r="M5550" s="63" t="s">
        <v>11081</v>
      </c>
      <c r="N5550" s="63" t="s">
        <v>11055</v>
      </c>
    </row>
    <row r="5551" spans="1:14" x14ac:dyDescent="0.2">
      <c r="A5551" s="51">
        <v>5550</v>
      </c>
      <c r="B5551" s="54" t="s">
        <v>1048</v>
      </c>
      <c r="C5551" s="47" t="s">
        <v>11102</v>
      </c>
      <c r="D5551" s="47" t="s">
        <v>11103</v>
      </c>
      <c r="E5551" s="47" t="s">
        <v>7734</v>
      </c>
      <c r="F5551" s="55" t="b">
        <v>1</v>
      </c>
      <c r="G5551" s="54" t="b">
        <v>1</v>
      </c>
      <c r="H5551" s="54" t="b">
        <v>1</v>
      </c>
      <c r="I5551" s="54" t="b">
        <v>1</v>
      </c>
      <c r="J5551" s="54" t="b">
        <v>1</v>
      </c>
      <c r="K5551" s="63" t="s">
        <v>1048</v>
      </c>
      <c r="L5551" s="63" t="s">
        <v>11102</v>
      </c>
      <c r="M5551" s="63" t="s">
        <v>11103</v>
      </c>
      <c r="N5551" s="63" t="s">
        <v>7734</v>
      </c>
    </row>
    <row r="5552" spans="1:14" x14ac:dyDescent="0.2">
      <c r="A5552" s="51">
        <v>5551</v>
      </c>
      <c r="G5552" s="65" t="b">
        <v>0</v>
      </c>
      <c r="H5552" s="65" t="b">
        <v>0</v>
      </c>
      <c r="I5552" s="65" t="b">
        <v>0</v>
      </c>
      <c r="J5552" s="65" t="b">
        <v>0</v>
      </c>
      <c r="K5552" s="63" t="s">
        <v>1048</v>
      </c>
      <c r="L5552" s="63" t="s">
        <v>11102</v>
      </c>
      <c r="M5552" s="63" t="s">
        <v>11385</v>
      </c>
      <c r="N5552" s="63" t="s">
        <v>7734</v>
      </c>
    </row>
    <row r="5553" spans="1:14" x14ac:dyDescent="0.2">
      <c r="A5553" s="51">
        <v>5552</v>
      </c>
      <c r="B5553" s="54" t="s">
        <v>1048</v>
      </c>
      <c r="C5553" s="47" t="s">
        <v>11090</v>
      </c>
      <c r="D5553" s="47" t="s">
        <v>11091</v>
      </c>
      <c r="E5553" s="47" t="s">
        <v>7734</v>
      </c>
      <c r="F5553" s="55" t="b">
        <v>1</v>
      </c>
      <c r="G5553" s="54" t="b">
        <v>1</v>
      </c>
      <c r="H5553" s="54" t="b">
        <v>1</v>
      </c>
      <c r="I5553" s="54" t="b">
        <v>1</v>
      </c>
      <c r="J5553" s="54" t="b">
        <v>1</v>
      </c>
      <c r="K5553" s="63" t="s">
        <v>1048</v>
      </c>
      <c r="L5553" s="63" t="s">
        <v>11090</v>
      </c>
      <c r="M5553" s="63" t="s">
        <v>11091</v>
      </c>
      <c r="N5553" s="63" t="s">
        <v>7734</v>
      </c>
    </row>
    <row r="5554" spans="1:14" x14ac:dyDescent="0.2">
      <c r="A5554" s="51">
        <v>5553</v>
      </c>
      <c r="B5554" s="54" t="s">
        <v>1048</v>
      </c>
      <c r="C5554" s="47" t="s">
        <v>11084</v>
      </c>
      <c r="D5554" s="47" t="s">
        <v>11085</v>
      </c>
      <c r="E5554" s="47" t="s">
        <v>11075</v>
      </c>
      <c r="F5554" s="55" t="b">
        <v>1</v>
      </c>
      <c r="G5554" s="54" t="b">
        <v>1</v>
      </c>
      <c r="H5554" s="54" t="b">
        <v>1</v>
      </c>
      <c r="I5554" s="54" t="b">
        <v>1</v>
      </c>
      <c r="J5554" s="54" t="b">
        <v>1</v>
      </c>
      <c r="K5554" s="63" t="s">
        <v>1048</v>
      </c>
      <c r="L5554" s="63" t="s">
        <v>11084</v>
      </c>
      <c r="M5554" s="63" t="s">
        <v>11085</v>
      </c>
      <c r="N5554" s="63" t="s">
        <v>11075</v>
      </c>
    </row>
    <row r="5555" spans="1:14" x14ac:dyDescent="0.2">
      <c r="A5555" s="51">
        <v>5554</v>
      </c>
      <c r="B5555" s="54" t="s">
        <v>1048</v>
      </c>
      <c r="C5555" s="47" t="s">
        <v>11112</v>
      </c>
      <c r="D5555" s="47" t="s">
        <v>11113</v>
      </c>
      <c r="E5555" s="47" t="s">
        <v>1788</v>
      </c>
      <c r="F5555" s="55" t="b">
        <v>1</v>
      </c>
      <c r="G5555" s="54" t="b">
        <v>1</v>
      </c>
      <c r="H5555" s="54" t="b">
        <v>1</v>
      </c>
      <c r="I5555" s="54" t="b">
        <v>1</v>
      </c>
      <c r="J5555" s="65" t="b">
        <v>0</v>
      </c>
      <c r="K5555" s="63" t="s">
        <v>1048</v>
      </c>
      <c r="L5555" s="63" t="s">
        <v>11112</v>
      </c>
      <c r="M5555" s="63" t="s">
        <v>11113</v>
      </c>
      <c r="N5555" s="63" t="s">
        <v>11114</v>
      </c>
    </row>
    <row r="5556" spans="1:14" x14ac:dyDescent="0.2">
      <c r="A5556" s="51">
        <v>5555</v>
      </c>
      <c r="B5556" s="54" t="s">
        <v>1048</v>
      </c>
      <c r="C5556" s="47" t="s">
        <v>11062</v>
      </c>
      <c r="D5556" s="47" t="s">
        <v>11063</v>
      </c>
      <c r="E5556" s="47" t="s">
        <v>1790</v>
      </c>
      <c r="F5556" s="55" t="b">
        <v>1</v>
      </c>
      <c r="G5556" s="54" t="b">
        <v>1</v>
      </c>
      <c r="H5556" s="54" t="b">
        <v>1</v>
      </c>
      <c r="I5556" s="54" t="b">
        <v>1</v>
      </c>
      <c r="J5556" s="65" t="b">
        <v>0</v>
      </c>
      <c r="K5556" s="63" t="s">
        <v>1048</v>
      </c>
      <c r="L5556" s="63" t="s">
        <v>11062</v>
      </c>
      <c r="M5556" s="63" t="s">
        <v>11063</v>
      </c>
      <c r="N5556" s="63" t="s">
        <v>11055</v>
      </c>
    </row>
    <row r="5557" spans="1:14" x14ac:dyDescent="0.2">
      <c r="A5557" s="51">
        <v>5556</v>
      </c>
      <c r="B5557" s="54" t="s">
        <v>1048</v>
      </c>
      <c r="C5557" s="47" t="s">
        <v>11064</v>
      </c>
      <c r="D5557" s="47" t="s">
        <v>11065</v>
      </c>
      <c r="E5557" s="47" t="s">
        <v>1790</v>
      </c>
      <c r="F5557" s="55" t="b">
        <v>1</v>
      </c>
      <c r="G5557" s="54" t="b">
        <v>1</v>
      </c>
      <c r="H5557" s="54" t="b">
        <v>1</v>
      </c>
      <c r="I5557" s="54" t="b">
        <v>1</v>
      </c>
      <c r="J5557" s="65" t="b">
        <v>0</v>
      </c>
      <c r="K5557" s="63" t="s">
        <v>1048</v>
      </c>
      <c r="L5557" s="63" t="s">
        <v>11064</v>
      </c>
      <c r="M5557" s="63" t="s">
        <v>11065</v>
      </c>
      <c r="N5557" s="63" t="s">
        <v>11055</v>
      </c>
    </row>
    <row r="5558" spans="1:14" x14ac:dyDescent="0.2">
      <c r="A5558" s="51">
        <v>5557</v>
      </c>
      <c r="B5558" s="54" t="s">
        <v>1048</v>
      </c>
      <c r="C5558" s="47" t="s">
        <v>11094</v>
      </c>
      <c r="D5558" s="47" t="s">
        <v>11095</v>
      </c>
      <c r="E5558" s="47" t="s">
        <v>7734</v>
      </c>
      <c r="F5558" s="55" t="b">
        <v>1</v>
      </c>
      <c r="G5558" s="54" t="b">
        <v>1</v>
      </c>
      <c r="H5558" s="54" t="b">
        <v>1</v>
      </c>
      <c r="I5558" s="54" t="b">
        <v>1</v>
      </c>
      <c r="J5558" s="54" t="b">
        <v>1</v>
      </c>
      <c r="K5558" s="63" t="s">
        <v>1048</v>
      </c>
      <c r="L5558" s="63" t="s">
        <v>11094</v>
      </c>
      <c r="M5558" s="63" t="s">
        <v>11095</v>
      </c>
      <c r="N5558" s="63" t="s">
        <v>7734</v>
      </c>
    </row>
    <row r="5559" spans="1:14" x14ac:dyDescent="0.2">
      <c r="A5559" s="51">
        <v>5558</v>
      </c>
      <c r="B5559" s="54" t="s">
        <v>1048</v>
      </c>
      <c r="C5559" s="47" t="s">
        <v>11066</v>
      </c>
      <c r="D5559" s="47" t="s">
        <v>11067</v>
      </c>
      <c r="E5559" s="47" t="s">
        <v>1790</v>
      </c>
      <c r="F5559" s="55" t="b">
        <v>1</v>
      </c>
      <c r="G5559" s="54" t="b">
        <v>1</v>
      </c>
      <c r="H5559" s="54" t="b">
        <v>1</v>
      </c>
      <c r="I5559" s="54" t="b">
        <v>1</v>
      </c>
      <c r="J5559" s="65" t="b">
        <v>0</v>
      </c>
      <c r="K5559" s="63" t="s">
        <v>1048</v>
      </c>
      <c r="L5559" s="63" t="s">
        <v>11066</v>
      </c>
      <c r="M5559" s="63" t="s">
        <v>11067</v>
      </c>
      <c r="N5559" s="63" t="s">
        <v>11055</v>
      </c>
    </row>
    <row r="5560" spans="1:14" x14ac:dyDescent="0.2">
      <c r="A5560" s="51">
        <v>5559</v>
      </c>
      <c r="B5560" s="54" t="s">
        <v>1048</v>
      </c>
      <c r="C5560" s="47" t="s">
        <v>11071</v>
      </c>
      <c r="D5560" s="47" t="s">
        <v>11072</v>
      </c>
      <c r="E5560" s="47" t="s">
        <v>11070</v>
      </c>
      <c r="F5560" s="55" t="b">
        <v>1</v>
      </c>
      <c r="G5560" s="54" t="b">
        <v>1</v>
      </c>
      <c r="H5560" s="54" t="b">
        <v>1</v>
      </c>
      <c r="I5560" s="54" t="b">
        <v>1</v>
      </c>
      <c r="J5560" s="54" t="b">
        <v>1</v>
      </c>
      <c r="K5560" s="63" t="s">
        <v>1048</v>
      </c>
      <c r="L5560" s="63" t="s">
        <v>11071</v>
      </c>
      <c r="M5560" s="63" t="s">
        <v>11072</v>
      </c>
      <c r="N5560" s="63" t="s">
        <v>11070</v>
      </c>
    </row>
    <row r="5561" spans="1:14" x14ac:dyDescent="0.2">
      <c r="A5561" s="51">
        <v>5560</v>
      </c>
      <c r="B5561" s="54" t="s">
        <v>1048</v>
      </c>
      <c r="C5561" s="47" t="s">
        <v>11104</v>
      </c>
      <c r="D5561" s="47" t="s">
        <v>11105</v>
      </c>
      <c r="E5561" s="47" t="s">
        <v>7734</v>
      </c>
      <c r="F5561" s="55" t="b">
        <v>1</v>
      </c>
      <c r="G5561" s="54" t="b">
        <v>1</v>
      </c>
      <c r="H5561" s="54" t="b">
        <v>1</v>
      </c>
      <c r="I5561" s="54" t="b">
        <v>1</v>
      </c>
      <c r="J5561" s="54" t="b">
        <v>1</v>
      </c>
      <c r="K5561" s="63" t="s">
        <v>1048</v>
      </c>
      <c r="L5561" s="63" t="s">
        <v>11104</v>
      </c>
      <c r="M5561" s="63" t="s">
        <v>11105</v>
      </c>
      <c r="N5561" s="63" t="s">
        <v>7734</v>
      </c>
    </row>
    <row r="5562" spans="1:14" x14ac:dyDescent="0.2">
      <c r="A5562" s="51">
        <v>5561</v>
      </c>
      <c r="B5562" s="54" t="s">
        <v>1048</v>
      </c>
      <c r="C5562" s="47" t="s">
        <v>11073</v>
      </c>
      <c r="D5562" s="47" t="s">
        <v>11074</v>
      </c>
      <c r="E5562" s="47" t="s">
        <v>11075</v>
      </c>
      <c r="F5562" s="55" t="b">
        <v>1</v>
      </c>
      <c r="G5562" s="54" t="b">
        <v>1</v>
      </c>
      <c r="H5562" s="54" t="b">
        <v>1</v>
      </c>
      <c r="I5562" s="54" t="b">
        <v>1</v>
      </c>
      <c r="J5562" s="54" t="b">
        <v>1</v>
      </c>
      <c r="K5562" s="63" t="s">
        <v>1048</v>
      </c>
      <c r="L5562" s="63" t="s">
        <v>11073</v>
      </c>
      <c r="M5562" s="63" t="s">
        <v>11074</v>
      </c>
      <c r="N5562" s="63" t="s">
        <v>11075</v>
      </c>
    </row>
    <row r="5563" spans="1:14" x14ac:dyDescent="0.2">
      <c r="A5563" s="51">
        <v>5562</v>
      </c>
      <c r="B5563" s="54" t="s">
        <v>1048</v>
      </c>
      <c r="C5563" s="47" t="s">
        <v>11092</v>
      </c>
      <c r="D5563" s="47" t="s">
        <v>11093</v>
      </c>
      <c r="E5563" s="47" t="s">
        <v>11075</v>
      </c>
      <c r="F5563" s="55" t="b">
        <v>1</v>
      </c>
      <c r="G5563" s="54" t="b">
        <v>1</v>
      </c>
      <c r="H5563" s="54" t="b">
        <v>1</v>
      </c>
      <c r="I5563" s="54" t="b">
        <v>1</v>
      </c>
      <c r="J5563" s="54" t="b">
        <v>1</v>
      </c>
      <c r="K5563" s="63" t="s">
        <v>1048</v>
      </c>
      <c r="L5563" s="63" t="s">
        <v>11092</v>
      </c>
      <c r="M5563" s="63" t="s">
        <v>11093</v>
      </c>
      <c r="N5563" s="63" t="s">
        <v>11075</v>
      </c>
    </row>
    <row r="5564" spans="1:14" x14ac:dyDescent="0.2">
      <c r="A5564" s="51">
        <v>5563</v>
      </c>
      <c r="B5564" s="54" t="s">
        <v>1048</v>
      </c>
      <c r="C5564" s="47" t="s">
        <v>11088</v>
      </c>
      <c r="D5564" s="47" t="s">
        <v>11089</v>
      </c>
      <c r="E5564" s="47" t="s">
        <v>7734</v>
      </c>
      <c r="F5564" s="55" t="b">
        <v>1</v>
      </c>
      <c r="G5564" s="54" t="b">
        <v>1</v>
      </c>
      <c r="H5564" s="54" t="b">
        <v>1</v>
      </c>
      <c r="I5564" s="54" t="b">
        <v>1</v>
      </c>
      <c r="J5564" s="54" t="b">
        <v>1</v>
      </c>
      <c r="K5564" s="63" t="s">
        <v>1048</v>
      </c>
      <c r="L5564" s="63" t="s">
        <v>11088</v>
      </c>
      <c r="M5564" s="63" t="s">
        <v>11089</v>
      </c>
      <c r="N5564" s="63" t="s">
        <v>7734</v>
      </c>
    </row>
    <row r="5565" spans="1:14" x14ac:dyDescent="0.2">
      <c r="A5565" s="51">
        <v>5564</v>
      </c>
      <c r="B5565" s="54" t="s">
        <v>1048</v>
      </c>
      <c r="C5565" s="47" t="s">
        <v>11096</v>
      </c>
      <c r="D5565" s="47" t="s">
        <v>11097</v>
      </c>
      <c r="E5565" s="47" t="s">
        <v>7734</v>
      </c>
      <c r="F5565" s="55" t="b">
        <v>1</v>
      </c>
      <c r="G5565" s="54" t="b">
        <v>1</v>
      </c>
      <c r="H5565" s="54" t="b">
        <v>1</v>
      </c>
      <c r="I5565" s="54" t="b">
        <v>1</v>
      </c>
      <c r="J5565" s="54" t="b">
        <v>1</v>
      </c>
      <c r="K5565" s="63" t="s">
        <v>1048</v>
      </c>
      <c r="L5565" s="63" t="s">
        <v>11096</v>
      </c>
      <c r="M5565" s="63" t="s">
        <v>11097</v>
      </c>
      <c r="N5565" s="63" t="s">
        <v>7734</v>
      </c>
    </row>
    <row r="5566" spans="1:14" x14ac:dyDescent="0.2">
      <c r="A5566" s="51">
        <v>5565</v>
      </c>
      <c r="B5566" s="54" t="s">
        <v>1048</v>
      </c>
      <c r="C5566" s="47" t="s">
        <v>11098</v>
      </c>
      <c r="D5566" s="47" t="s">
        <v>11099</v>
      </c>
      <c r="E5566" s="47" t="s">
        <v>11075</v>
      </c>
      <c r="F5566" s="55" t="b">
        <v>1</v>
      </c>
      <c r="G5566" s="54" t="b">
        <v>1</v>
      </c>
      <c r="H5566" s="54" t="b">
        <v>1</v>
      </c>
      <c r="I5566" s="54" t="b">
        <v>1</v>
      </c>
      <c r="J5566" s="54" t="b">
        <v>1</v>
      </c>
      <c r="K5566" s="63" t="s">
        <v>1048</v>
      </c>
      <c r="L5566" s="63" t="s">
        <v>11098</v>
      </c>
      <c r="M5566" s="63" t="s">
        <v>11099</v>
      </c>
      <c r="N5566" s="63" t="s">
        <v>11075</v>
      </c>
    </row>
    <row r="5567" spans="1:14" x14ac:dyDescent="0.2">
      <c r="A5567" s="51">
        <v>5566</v>
      </c>
      <c r="B5567" s="54" t="s">
        <v>1048</v>
      </c>
      <c r="C5567" s="47" t="s">
        <v>11110</v>
      </c>
      <c r="D5567" s="47" t="s">
        <v>11111</v>
      </c>
      <c r="E5567" s="47" t="s">
        <v>11070</v>
      </c>
      <c r="F5567" s="55" t="b">
        <v>1</v>
      </c>
      <c r="G5567" s="54" t="b">
        <v>1</v>
      </c>
      <c r="H5567" s="54" t="b">
        <v>1</v>
      </c>
      <c r="I5567" s="54" t="b">
        <v>1</v>
      </c>
      <c r="J5567" s="54" t="b">
        <v>1</v>
      </c>
      <c r="K5567" s="63" t="s">
        <v>1048</v>
      </c>
      <c r="L5567" s="63" t="s">
        <v>11110</v>
      </c>
      <c r="M5567" s="63" t="s">
        <v>11111</v>
      </c>
      <c r="N5567" s="63" t="s">
        <v>11070</v>
      </c>
    </row>
    <row r="5568" spans="1:14" x14ac:dyDescent="0.2">
      <c r="A5568" s="51">
        <v>5567</v>
      </c>
      <c r="B5568" s="54" t="s">
        <v>1048</v>
      </c>
      <c r="C5568" s="47" t="s">
        <v>11106</v>
      </c>
      <c r="D5568" s="47" t="s">
        <v>11107</v>
      </c>
      <c r="E5568" s="47" t="s">
        <v>7734</v>
      </c>
      <c r="F5568" s="55" t="b">
        <v>1</v>
      </c>
      <c r="G5568" s="54" t="b">
        <v>1</v>
      </c>
      <c r="H5568" s="54" t="b">
        <v>1</v>
      </c>
      <c r="I5568" s="54" t="b">
        <v>1</v>
      </c>
      <c r="J5568" s="54" t="b">
        <v>1</v>
      </c>
      <c r="K5568" s="63" t="s">
        <v>1048</v>
      </c>
      <c r="L5568" s="63" t="s">
        <v>11106</v>
      </c>
      <c r="M5568" s="63" t="s">
        <v>11107</v>
      </c>
      <c r="N5568" s="63" t="s">
        <v>7734</v>
      </c>
    </row>
    <row r="5569" spans="1:14" x14ac:dyDescent="0.2">
      <c r="A5569" s="51">
        <v>5568</v>
      </c>
      <c r="B5569" s="54" t="s">
        <v>1048</v>
      </c>
      <c r="C5569" s="47" t="s">
        <v>11115</v>
      </c>
      <c r="D5569" s="47" t="s">
        <v>11116</v>
      </c>
      <c r="E5569" s="47" t="s">
        <v>11075</v>
      </c>
      <c r="F5569" s="55" t="b">
        <v>1</v>
      </c>
      <c r="G5569" s="54" t="b">
        <v>1</v>
      </c>
      <c r="H5569" s="54" t="b">
        <v>1</v>
      </c>
      <c r="I5569" s="54" t="b">
        <v>1</v>
      </c>
      <c r="J5569" s="54" t="b">
        <v>1</v>
      </c>
      <c r="K5569" s="63" t="s">
        <v>1048</v>
      </c>
      <c r="L5569" s="63" t="s">
        <v>11115</v>
      </c>
      <c r="M5569" s="63" t="s">
        <v>11116</v>
      </c>
      <c r="N5569" s="63" t="s">
        <v>11075</v>
      </c>
    </row>
    <row r="5570" spans="1:14" x14ac:dyDescent="0.2">
      <c r="A5570" s="51">
        <v>5569</v>
      </c>
      <c r="B5570" s="54" t="s">
        <v>1048</v>
      </c>
      <c r="C5570" s="47" t="s">
        <v>11124</v>
      </c>
      <c r="D5570" s="47" t="s">
        <v>11125</v>
      </c>
      <c r="E5570" s="47" t="s">
        <v>1788</v>
      </c>
      <c r="F5570" s="55" t="b">
        <v>1</v>
      </c>
      <c r="G5570" s="54" t="b">
        <v>1</v>
      </c>
      <c r="H5570" s="54" t="b">
        <v>1</v>
      </c>
      <c r="I5570" s="54" t="b">
        <v>1</v>
      </c>
      <c r="J5570" s="65" t="b">
        <v>0</v>
      </c>
      <c r="K5570" s="63" t="s">
        <v>1048</v>
      </c>
      <c r="L5570" s="63" t="s">
        <v>11124</v>
      </c>
      <c r="M5570" s="63" t="s">
        <v>11125</v>
      </c>
      <c r="N5570" s="63" t="s">
        <v>11114</v>
      </c>
    </row>
    <row r="5571" spans="1:14" x14ac:dyDescent="0.2">
      <c r="A5571" s="51">
        <v>5570</v>
      </c>
      <c r="B5571" s="54" t="s">
        <v>1048</v>
      </c>
      <c r="C5571" s="47" t="s">
        <v>11119</v>
      </c>
      <c r="D5571" s="47" t="s">
        <v>11121</v>
      </c>
      <c r="E5571" s="47" t="s">
        <v>7734</v>
      </c>
      <c r="F5571" s="55" t="b">
        <v>1</v>
      </c>
      <c r="G5571" s="54" t="b">
        <v>1</v>
      </c>
      <c r="H5571" s="54" t="b">
        <v>1</v>
      </c>
      <c r="I5571" s="65" t="b">
        <v>0</v>
      </c>
      <c r="J5571" s="54" t="b">
        <v>1</v>
      </c>
      <c r="K5571" s="63" t="s">
        <v>1048</v>
      </c>
      <c r="L5571" s="63" t="s">
        <v>11119</v>
      </c>
      <c r="M5571" s="63" t="s">
        <v>11120</v>
      </c>
      <c r="N5571" s="63" t="s">
        <v>7734</v>
      </c>
    </row>
    <row r="5572" spans="1:14" x14ac:dyDescent="0.2">
      <c r="A5572" s="51">
        <v>5571</v>
      </c>
      <c r="G5572" s="65" t="b">
        <v>0</v>
      </c>
      <c r="H5572" s="65" t="b">
        <v>0</v>
      </c>
      <c r="I5572" s="65" t="b">
        <v>0</v>
      </c>
      <c r="J5572" s="65" t="b">
        <v>0</v>
      </c>
      <c r="K5572" s="63" t="s">
        <v>1048</v>
      </c>
      <c r="L5572" s="63" t="s">
        <v>11119</v>
      </c>
      <c r="M5572" s="63" t="s">
        <v>11121</v>
      </c>
      <c r="N5572" s="63" t="s">
        <v>7734</v>
      </c>
    </row>
    <row r="5573" spans="1:14" x14ac:dyDescent="0.2">
      <c r="A5573" s="51">
        <v>5572</v>
      </c>
      <c r="B5573" s="54" t="s">
        <v>1048</v>
      </c>
      <c r="C5573" s="47" t="s">
        <v>11139</v>
      </c>
      <c r="D5573" s="47" t="s">
        <v>11140</v>
      </c>
      <c r="E5573" s="47" t="s">
        <v>7734</v>
      </c>
      <c r="F5573" s="55" t="b">
        <v>1</v>
      </c>
      <c r="G5573" s="54" t="b">
        <v>1</v>
      </c>
      <c r="H5573" s="54" t="b">
        <v>1</v>
      </c>
      <c r="I5573" s="54" t="b">
        <v>1</v>
      </c>
      <c r="J5573" s="54" t="b">
        <v>1</v>
      </c>
      <c r="K5573" s="63" t="s">
        <v>1048</v>
      </c>
      <c r="L5573" s="63" t="s">
        <v>11139</v>
      </c>
      <c r="M5573" s="63" t="s">
        <v>11140</v>
      </c>
      <c r="N5573" s="63" t="s">
        <v>7734</v>
      </c>
    </row>
    <row r="5574" spans="1:14" x14ac:dyDescent="0.2">
      <c r="A5574" s="51">
        <v>5573</v>
      </c>
      <c r="B5574" s="54" t="s">
        <v>1048</v>
      </c>
      <c r="C5574" s="47" t="s">
        <v>11141</v>
      </c>
      <c r="D5574" s="47" t="s">
        <v>11142</v>
      </c>
      <c r="E5574" s="47" t="s">
        <v>7734</v>
      </c>
      <c r="F5574" s="55" t="b">
        <v>1</v>
      </c>
      <c r="G5574" s="54" t="b">
        <v>1</v>
      </c>
      <c r="H5574" s="54" t="b">
        <v>1</v>
      </c>
      <c r="I5574" s="54" t="b">
        <v>1</v>
      </c>
      <c r="J5574" s="54" t="b">
        <v>1</v>
      </c>
      <c r="K5574" s="63" t="s">
        <v>1048</v>
      </c>
      <c r="L5574" s="63" t="s">
        <v>11141</v>
      </c>
      <c r="M5574" s="63" t="s">
        <v>11142</v>
      </c>
      <c r="N5574" s="63" t="s">
        <v>7734</v>
      </c>
    </row>
    <row r="5575" spans="1:14" x14ac:dyDescent="0.2">
      <c r="A5575" s="51">
        <v>5574</v>
      </c>
      <c r="G5575" s="65" t="b">
        <v>0</v>
      </c>
      <c r="H5575" s="65" t="b">
        <v>0</v>
      </c>
      <c r="I5575" s="65" t="b">
        <v>0</v>
      </c>
      <c r="J5575" s="65" t="b">
        <v>0</v>
      </c>
      <c r="K5575" s="63" t="s">
        <v>1048</v>
      </c>
      <c r="L5575" s="63" t="s">
        <v>11141</v>
      </c>
      <c r="M5575" s="63" t="s">
        <v>11434</v>
      </c>
      <c r="N5575" s="63" t="s">
        <v>7734</v>
      </c>
    </row>
    <row r="5576" spans="1:14" x14ac:dyDescent="0.2">
      <c r="A5576" s="51">
        <v>5575</v>
      </c>
      <c r="B5576" s="54" t="s">
        <v>1048</v>
      </c>
      <c r="C5576" s="47" t="s">
        <v>11159</v>
      </c>
      <c r="D5576" s="47" t="s">
        <v>11160</v>
      </c>
      <c r="E5576" s="47" t="s">
        <v>1790</v>
      </c>
      <c r="F5576" s="55" t="b">
        <v>1</v>
      </c>
      <c r="G5576" s="54" t="b">
        <v>1</v>
      </c>
      <c r="H5576" s="54" t="b">
        <v>1</v>
      </c>
      <c r="I5576" s="54" t="b">
        <v>1</v>
      </c>
      <c r="J5576" s="65" t="b">
        <v>0</v>
      </c>
      <c r="K5576" s="63" t="s">
        <v>1048</v>
      </c>
      <c r="L5576" s="63" t="s">
        <v>11159</v>
      </c>
      <c r="M5576" s="63" t="s">
        <v>11160</v>
      </c>
      <c r="N5576" s="63" t="s">
        <v>11055</v>
      </c>
    </row>
    <row r="5577" spans="1:14" x14ac:dyDescent="0.2">
      <c r="A5577" s="51">
        <v>5576</v>
      </c>
      <c r="B5577" s="54" t="s">
        <v>1048</v>
      </c>
      <c r="C5577" s="47" t="s">
        <v>11143</v>
      </c>
      <c r="D5577" s="47" t="s">
        <v>11144</v>
      </c>
      <c r="E5577" s="47" t="s">
        <v>7734</v>
      </c>
      <c r="F5577" s="55" t="b">
        <v>1</v>
      </c>
      <c r="G5577" s="54" t="b">
        <v>1</v>
      </c>
      <c r="H5577" s="54" t="b">
        <v>1</v>
      </c>
      <c r="I5577" s="54" t="b">
        <v>1</v>
      </c>
      <c r="J5577" s="54" t="b">
        <v>1</v>
      </c>
      <c r="K5577" s="63" t="s">
        <v>1048</v>
      </c>
      <c r="L5577" s="63" t="s">
        <v>11143</v>
      </c>
      <c r="M5577" s="63" t="s">
        <v>11144</v>
      </c>
      <c r="N5577" s="63" t="s">
        <v>7734</v>
      </c>
    </row>
    <row r="5578" spans="1:14" x14ac:dyDescent="0.2">
      <c r="A5578" s="51">
        <v>5577</v>
      </c>
      <c r="B5578" s="54" t="s">
        <v>1048</v>
      </c>
      <c r="C5578" s="47" t="s">
        <v>11145</v>
      </c>
      <c r="D5578" s="47" t="s">
        <v>11146</v>
      </c>
      <c r="E5578" s="47" t="s">
        <v>7734</v>
      </c>
      <c r="F5578" s="55" t="b">
        <v>1</v>
      </c>
      <c r="G5578" s="54" t="b">
        <v>1</v>
      </c>
      <c r="H5578" s="54" t="b">
        <v>1</v>
      </c>
      <c r="I5578" s="54" t="b">
        <v>1</v>
      </c>
      <c r="J5578" s="54" t="b">
        <v>1</v>
      </c>
      <c r="K5578" s="63" t="s">
        <v>1048</v>
      </c>
      <c r="L5578" s="63" t="s">
        <v>11145</v>
      </c>
      <c r="M5578" s="63" t="s">
        <v>11146</v>
      </c>
      <c r="N5578" s="63" t="s">
        <v>7734</v>
      </c>
    </row>
    <row r="5579" spans="1:14" x14ac:dyDescent="0.2">
      <c r="A5579" s="51">
        <v>5578</v>
      </c>
      <c r="B5579" s="54" t="s">
        <v>1048</v>
      </c>
      <c r="C5579" s="47" t="s">
        <v>11131</v>
      </c>
      <c r="D5579" s="47" t="s">
        <v>11132</v>
      </c>
      <c r="E5579" s="47" t="s">
        <v>1790</v>
      </c>
      <c r="F5579" s="55" t="b">
        <v>1</v>
      </c>
      <c r="G5579" s="54" t="b">
        <v>1</v>
      </c>
      <c r="H5579" s="54" t="b">
        <v>1</v>
      </c>
      <c r="I5579" s="54" t="b">
        <v>1</v>
      </c>
      <c r="J5579" s="65" t="b">
        <v>0</v>
      </c>
      <c r="K5579" s="63" t="s">
        <v>1048</v>
      </c>
      <c r="L5579" s="63" t="s">
        <v>11131</v>
      </c>
      <c r="M5579" s="63" t="s">
        <v>11132</v>
      </c>
      <c r="N5579" s="63" t="s">
        <v>11055</v>
      </c>
    </row>
    <row r="5580" spans="1:14" x14ac:dyDescent="0.2">
      <c r="A5580" s="51">
        <v>5579</v>
      </c>
      <c r="B5580" s="54" t="s">
        <v>1048</v>
      </c>
      <c r="C5580" s="47" t="s">
        <v>11153</v>
      </c>
      <c r="D5580" s="47" t="s">
        <v>11154</v>
      </c>
      <c r="E5580" s="47" t="s">
        <v>1790</v>
      </c>
      <c r="F5580" s="55" t="b">
        <v>1</v>
      </c>
      <c r="G5580" s="54" t="b">
        <v>1</v>
      </c>
      <c r="H5580" s="54" t="b">
        <v>1</v>
      </c>
      <c r="I5580" s="54" t="b">
        <v>1</v>
      </c>
      <c r="J5580" s="65" t="b">
        <v>0</v>
      </c>
      <c r="K5580" s="63" t="s">
        <v>1048</v>
      </c>
      <c r="L5580" s="63" t="s">
        <v>11153</v>
      </c>
      <c r="M5580" s="63" t="s">
        <v>11154</v>
      </c>
      <c r="N5580" s="63" t="s">
        <v>11055</v>
      </c>
    </row>
    <row r="5581" spans="1:14" x14ac:dyDescent="0.2">
      <c r="A5581" s="51">
        <v>5580</v>
      </c>
      <c r="B5581" s="54" t="s">
        <v>1048</v>
      </c>
      <c r="C5581" s="47" t="s">
        <v>11122</v>
      </c>
      <c r="D5581" s="47" t="s">
        <v>11123</v>
      </c>
      <c r="E5581" s="47" t="s">
        <v>11075</v>
      </c>
      <c r="F5581" s="55" t="b">
        <v>1</v>
      </c>
      <c r="G5581" s="54" t="b">
        <v>1</v>
      </c>
      <c r="H5581" s="54" t="b">
        <v>1</v>
      </c>
      <c r="I5581" s="54" t="b">
        <v>1</v>
      </c>
      <c r="J5581" s="54" t="b">
        <v>1</v>
      </c>
      <c r="K5581" s="63" t="s">
        <v>1048</v>
      </c>
      <c r="L5581" s="63" t="s">
        <v>11122</v>
      </c>
      <c r="M5581" s="63" t="s">
        <v>11123</v>
      </c>
      <c r="N5581" s="63" t="s">
        <v>11075</v>
      </c>
    </row>
    <row r="5582" spans="1:14" x14ac:dyDescent="0.2">
      <c r="A5582" s="51">
        <v>5581</v>
      </c>
      <c r="B5582" s="54" t="s">
        <v>1048</v>
      </c>
      <c r="C5582" s="47" t="s">
        <v>11147</v>
      </c>
      <c r="D5582" s="47" t="s">
        <v>11148</v>
      </c>
      <c r="E5582" s="47" t="s">
        <v>11046</v>
      </c>
      <c r="F5582" s="55" t="b">
        <v>1</v>
      </c>
      <c r="G5582" s="54" t="b">
        <v>1</v>
      </c>
      <c r="H5582" s="54" t="b">
        <v>1</v>
      </c>
      <c r="I5582" s="54" t="b">
        <v>1</v>
      </c>
      <c r="J5582" s="54" t="b">
        <v>1</v>
      </c>
      <c r="K5582" s="63" t="s">
        <v>1048</v>
      </c>
      <c r="L5582" s="63" t="s">
        <v>11147</v>
      </c>
      <c r="M5582" s="63" t="s">
        <v>11148</v>
      </c>
      <c r="N5582" s="63" t="s">
        <v>11046</v>
      </c>
    </row>
    <row r="5583" spans="1:14" x14ac:dyDescent="0.2">
      <c r="A5583" s="51">
        <v>5582</v>
      </c>
      <c r="B5583" s="54" t="s">
        <v>1048</v>
      </c>
      <c r="C5583" s="47" t="s">
        <v>11149</v>
      </c>
      <c r="D5583" s="47" t="s">
        <v>11150</v>
      </c>
      <c r="E5583" s="47" t="s">
        <v>1790</v>
      </c>
      <c r="F5583" s="55" t="b">
        <v>1</v>
      </c>
      <c r="G5583" s="54" t="b">
        <v>1</v>
      </c>
      <c r="H5583" s="54" t="b">
        <v>1</v>
      </c>
      <c r="I5583" s="54" t="b">
        <v>1</v>
      </c>
      <c r="J5583" s="65" t="b">
        <v>0</v>
      </c>
      <c r="K5583" s="63" t="s">
        <v>1048</v>
      </c>
      <c r="L5583" s="63" t="s">
        <v>11149</v>
      </c>
      <c r="M5583" s="63" t="s">
        <v>11150</v>
      </c>
      <c r="N5583" s="63" t="s">
        <v>11055</v>
      </c>
    </row>
    <row r="5584" spans="1:14" x14ac:dyDescent="0.2">
      <c r="A5584" s="51">
        <v>5583</v>
      </c>
      <c r="B5584" s="54" t="s">
        <v>1048</v>
      </c>
      <c r="C5584" s="47" t="s">
        <v>11163</v>
      </c>
      <c r="D5584" s="47" t="s">
        <v>11164</v>
      </c>
      <c r="E5584" s="47" t="s">
        <v>1788</v>
      </c>
      <c r="F5584" s="55" t="b">
        <v>1</v>
      </c>
      <c r="G5584" s="54" t="b">
        <v>1</v>
      </c>
      <c r="H5584" s="54" t="b">
        <v>1</v>
      </c>
      <c r="I5584" s="54" t="b">
        <v>1</v>
      </c>
      <c r="J5584" s="65" t="b">
        <v>0</v>
      </c>
      <c r="K5584" s="63" t="s">
        <v>1048</v>
      </c>
      <c r="L5584" s="63" t="s">
        <v>11163</v>
      </c>
      <c r="M5584" s="63" t="s">
        <v>11164</v>
      </c>
      <c r="N5584" s="63" t="s">
        <v>11114</v>
      </c>
    </row>
    <row r="5585" spans="1:14" x14ac:dyDescent="0.2">
      <c r="A5585" s="51">
        <v>5584</v>
      </c>
      <c r="B5585" s="54" t="s">
        <v>1048</v>
      </c>
      <c r="C5585" s="47" t="s">
        <v>11126</v>
      </c>
      <c r="D5585" s="47" t="s">
        <v>11127</v>
      </c>
      <c r="E5585" s="47" t="s">
        <v>11070</v>
      </c>
      <c r="F5585" s="55" t="b">
        <v>1</v>
      </c>
      <c r="G5585" s="54" t="b">
        <v>1</v>
      </c>
      <c r="H5585" s="54" t="b">
        <v>1</v>
      </c>
      <c r="I5585" s="54" t="b">
        <v>1</v>
      </c>
      <c r="J5585" s="54" t="b">
        <v>1</v>
      </c>
      <c r="K5585" s="63" t="s">
        <v>1048</v>
      </c>
      <c r="L5585" s="63" t="s">
        <v>11126</v>
      </c>
      <c r="M5585" s="63" t="s">
        <v>11127</v>
      </c>
      <c r="N5585" s="63" t="s">
        <v>11070</v>
      </c>
    </row>
    <row r="5586" spans="1:14" x14ac:dyDescent="0.2">
      <c r="A5586" s="51">
        <v>5585</v>
      </c>
      <c r="B5586" s="54" t="s">
        <v>1048</v>
      </c>
      <c r="C5586" s="47" t="s">
        <v>11129</v>
      </c>
      <c r="D5586" s="47" t="s">
        <v>11130</v>
      </c>
      <c r="E5586" s="47" t="s">
        <v>7734</v>
      </c>
      <c r="F5586" s="55" t="b">
        <v>1</v>
      </c>
      <c r="G5586" s="54" t="b">
        <v>1</v>
      </c>
      <c r="H5586" s="54" t="b">
        <v>1</v>
      </c>
      <c r="I5586" s="54" t="b">
        <v>1</v>
      </c>
      <c r="J5586" s="54" t="b">
        <v>1</v>
      </c>
      <c r="K5586" s="63" t="s">
        <v>1048</v>
      </c>
      <c r="L5586" s="63" t="s">
        <v>11129</v>
      </c>
      <c r="M5586" s="63" t="s">
        <v>11130</v>
      </c>
      <c r="N5586" s="63" t="s">
        <v>7734</v>
      </c>
    </row>
    <row r="5587" spans="1:14" x14ac:dyDescent="0.2">
      <c r="A5587" s="51">
        <v>5586</v>
      </c>
      <c r="G5587" s="65" t="b">
        <v>0</v>
      </c>
      <c r="H5587" s="65" t="b">
        <v>0</v>
      </c>
      <c r="I5587" s="65" t="b">
        <v>0</v>
      </c>
      <c r="J5587" s="65" t="b">
        <v>0</v>
      </c>
      <c r="K5587" s="63" t="s">
        <v>1048</v>
      </c>
      <c r="L5587" s="63" t="s">
        <v>11129</v>
      </c>
      <c r="M5587" s="63" t="s">
        <v>11437</v>
      </c>
      <c r="N5587" s="63" t="s">
        <v>7734</v>
      </c>
    </row>
    <row r="5588" spans="1:14" x14ac:dyDescent="0.2">
      <c r="A5588" s="51">
        <v>5587</v>
      </c>
      <c r="B5588" s="54" t="s">
        <v>1048</v>
      </c>
      <c r="C5588" s="47" t="s">
        <v>11155</v>
      </c>
      <c r="D5588" s="47" t="s">
        <v>11156</v>
      </c>
      <c r="E5588" s="47" t="s">
        <v>7734</v>
      </c>
      <c r="F5588" s="55" t="b">
        <v>1</v>
      </c>
      <c r="G5588" s="54" t="b">
        <v>1</v>
      </c>
      <c r="H5588" s="54" t="b">
        <v>1</v>
      </c>
      <c r="I5588" s="54" t="b">
        <v>1</v>
      </c>
      <c r="J5588" s="54" t="b">
        <v>1</v>
      </c>
      <c r="K5588" s="63" t="s">
        <v>1048</v>
      </c>
      <c r="L5588" s="63" t="s">
        <v>11155</v>
      </c>
      <c r="M5588" s="63" t="s">
        <v>11156</v>
      </c>
      <c r="N5588" s="63" t="s">
        <v>7734</v>
      </c>
    </row>
    <row r="5589" spans="1:14" x14ac:dyDescent="0.2">
      <c r="A5589" s="51">
        <v>5588</v>
      </c>
      <c r="B5589" s="54" t="s">
        <v>1048</v>
      </c>
      <c r="C5589" s="47" t="s">
        <v>11157</v>
      </c>
      <c r="D5589" s="47" t="s">
        <v>11158</v>
      </c>
      <c r="E5589" s="47" t="s">
        <v>11075</v>
      </c>
      <c r="F5589" s="55" t="b">
        <v>1</v>
      </c>
      <c r="G5589" s="54" t="b">
        <v>1</v>
      </c>
      <c r="H5589" s="54" t="b">
        <v>1</v>
      </c>
      <c r="I5589" s="54" t="b">
        <v>1</v>
      </c>
      <c r="J5589" s="54" t="b">
        <v>1</v>
      </c>
      <c r="K5589" s="63" t="s">
        <v>1048</v>
      </c>
      <c r="L5589" s="63" t="s">
        <v>11157</v>
      </c>
      <c r="M5589" s="63" t="s">
        <v>11158</v>
      </c>
      <c r="N5589" s="63" t="s">
        <v>11075</v>
      </c>
    </row>
    <row r="5590" spans="1:14" x14ac:dyDescent="0.2">
      <c r="A5590" s="51">
        <v>5589</v>
      </c>
      <c r="B5590" s="54" t="s">
        <v>1048</v>
      </c>
      <c r="C5590" s="47" t="s">
        <v>11117</v>
      </c>
      <c r="D5590" s="47" t="s">
        <v>11128</v>
      </c>
      <c r="E5590" s="47" t="s">
        <v>7734</v>
      </c>
      <c r="F5590" s="55" t="b">
        <v>1</v>
      </c>
      <c r="G5590" s="54" t="b">
        <v>1</v>
      </c>
      <c r="H5590" s="54" t="b">
        <v>1</v>
      </c>
      <c r="I5590" s="65" t="b">
        <v>0</v>
      </c>
      <c r="J5590" s="54" t="b">
        <v>1</v>
      </c>
      <c r="K5590" s="63" t="s">
        <v>1048</v>
      </c>
      <c r="L5590" s="63" t="s">
        <v>11117</v>
      </c>
      <c r="M5590" s="63" t="s">
        <v>11118</v>
      </c>
      <c r="N5590" s="63" t="s">
        <v>7734</v>
      </c>
    </row>
    <row r="5591" spans="1:14" x14ac:dyDescent="0.2">
      <c r="A5591" s="51">
        <v>5590</v>
      </c>
      <c r="G5591" s="65" t="b">
        <v>0</v>
      </c>
      <c r="H5591" s="65" t="b">
        <v>0</v>
      </c>
      <c r="I5591" s="65" t="b">
        <v>0</v>
      </c>
      <c r="J5591" s="65" t="b">
        <v>0</v>
      </c>
      <c r="K5591" s="63" t="s">
        <v>1048</v>
      </c>
      <c r="L5591" s="63" t="s">
        <v>11117</v>
      </c>
      <c r="M5591" s="63" t="s">
        <v>11128</v>
      </c>
      <c r="N5591" s="63" t="s">
        <v>7734</v>
      </c>
    </row>
    <row r="5592" spans="1:14" x14ac:dyDescent="0.2">
      <c r="A5592" s="51">
        <v>5591</v>
      </c>
      <c r="B5592" s="54" t="s">
        <v>1048</v>
      </c>
      <c r="C5592" s="47" t="s">
        <v>11161</v>
      </c>
      <c r="D5592" s="47" t="s">
        <v>11162</v>
      </c>
      <c r="E5592" s="47" t="s">
        <v>11070</v>
      </c>
      <c r="F5592" s="55" t="b">
        <v>1</v>
      </c>
      <c r="G5592" s="54" t="b">
        <v>1</v>
      </c>
      <c r="H5592" s="54" t="b">
        <v>1</v>
      </c>
      <c r="I5592" s="54" t="b">
        <v>1</v>
      </c>
      <c r="J5592" s="54" t="b">
        <v>1</v>
      </c>
      <c r="K5592" s="63" t="s">
        <v>1048</v>
      </c>
      <c r="L5592" s="63" t="s">
        <v>11161</v>
      </c>
      <c r="M5592" s="63" t="s">
        <v>11162</v>
      </c>
      <c r="N5592" s="63" t="s">
        <v>11070</v>
      </c>
    </row>
    <row r="5593" spans="1:14" x14ac:dyDescent="0.2">
      <c r="A5593" s="51">
        <v>5592</v>
      </c>
      <c r="B5593" s="54" t="s">
        <v>1048</v>
      </c>
      <c r="C5593" s="47" t="s">
        <v>11137</v>
      </c>
      <c r="D5593" s="47" t="s">
        <v>11138</v>
      </c>
      <c r="E5593" s="47" t="s">
        <v>1790</v>
      </c>
      <c r="F5593" s="55" t="b">
        <v>1</v>
      </c>
      <c r="G5593" s="54" t="b">
        <v>1</v>
      </c>
      <c r="H5593" s="54" t="b">
        <v>1</v>
      </c>
      <c r="I5593" s="54" t="b">
        <v>1</v>
      </c>
      <c r="J5593" s="65" t="b">
        <v>0</v>
      </c>
      <c r="K5593" s="63" t="s">
        <v>1048</v>
      </c>
      <c r="L5593" s="63" t="s">
        <v>11137</v>
      </c>
      <c r="M5593" s="63" t="s">
        <v>11138</v>
      </c>
      <c r="N5593" s="63" t="s">
        <v>11055</v>
      </c>
    </row>
    <row r="5594" spans="1:14" x14ac:dyDescent="0.2">
      <c r="A5594" s="51">
        <v>5593</v>
      </c>
      <c r="B5594" s="54" t="s">
        <v>1048</v>
      </c>
      <c r="C5594" s="47" t="s">
        <v>11151</v>
      </c>
      <c r="D5594" s="47" t="s">
        <v>11152</v>
      </c>
      <c r="E5594" s="47" t="s">
        <v>7734</v>
      </c>
      <c r="F5594" s="55" t="b">
        <v>1</v>
      </c>
      <c r="G5594" s="54" t="b">
        <v>1</v>
      </c>
      <c r="H5594" s="54" t="b">
        <v>1</v>
      </c>
      <c r="I5594" s="54" t="b">
        <v>1</v>
      </c>
      <c r="J5594" s="54" t="b">
        <v>1</v>
      </c>
      <c r="K5594" s="63" t="s">
        <v>1048</v>
      </c>
      <c r="L5594" s="63" t="s">
        <v>11151</v>
      </c>
      <c r="M5594" s="63" t="s">
        <v>11152</v>
      </c>
      <c r="N5594" s="63" t="s">
        <v>7734</v>
      </c>
    </row>
    <row r="5595" spans="1:14" x14ac:dyDescent="0.2">
      <c r="A5595" s="51">
        <v>5594</v>
      </c>
      <c r="B5595" s="54" t="s">
        <v>1048</v>
      </c>
      <c r="C5595" s="47" t="s">
        <v>11167</v>
      </c>
      <c r="D5595" s="47" t="s">
        <v>11168</v>
      </c>
      <c r="E5595" s="47" t="s">
        <v>7734</v>
      </c>
      <c r="F5595" s="55" t="b">
        <v>1</v>
      </c>
      <c r="G5595" s="54" t="b">
        <v>1</v>
      </c>
      <c r="H5595" s="54" t="b">
        <v>1</v>
      </c>
      <c r="I5595" s="54" t="b">
        <v>1</v>
      </c>
      <c r="J5595" s="54" t="b">
        <v>1</v>
      </c>
      <c r="K5595" s="63" t="s">
        <v>1048</v>
      </c>
      <c r="L5595" s="63" t="s">
        <v>11167</v>
      </c>
      <c r="M5595" s="63" t="s">
        <v>11168</v>
      </c>
      <c r="N5595" s="63" t="s">
        <v>7734</v>
      </c>
    </row>
    <row r="5596" spans="1:14" x14ac:dyDescent="0.2">
      <c r="A5596" s="51">
        <v>5595</v>
      </c>
      <c r="B5596" s="54" t="s">
        <v>1048</v>
      </c>
      <c r="C5596" s="47" t="s">
        <v>11173</v>
      </c>
      <c r="D5596" s="47" t="s">
        <v>11174</v>
      </c>
      <c r="E5596" s="47" t="s">
        <v>1788</v>
      </c>
      <c r="F5596" s="55" t="b">
        <v>1</v>
      </c>
      <c r="G5596" s="54" t="b">
        <v>1</v>
      </c>
      <c r="H5596" s="54" t="b">
        <v>1</v>
      </c>
      <c r="I5596" s="54" t="b">
        <v>1</v>
      </c>
      <c r="J5596" s="65" t="b">
        <v>0</v>
      </c>
      <c r="K5596" s="63" t="s">
        <v>1048</v>
      </c>
      <c r="L5596" s="63" t="s">
        <v>11173</v>
      </c>
      <c r="M5596" s="63" t="s">
        <v>11174</v>
      </c>
      <c r="N5596" s="63" t="s">
        <v>11114</v>
      </c>
    </row>
    <row r="5597" spans="1:14" x14ac:dyDescent="0.2">
      <c r="A5597" s="51">
        <v>5596</v>
      </c>
      <c r="B5597" s="54" t="s">
        <v>1048</v>
      </c>
      <c r="C5597" s="47" t="s">
        <v>11169</v>
      </c>
      <c r="D5597" s="47" t="s">
        <v>11170</v>
      </c>
      <c r="E5597" s="47" t="s">
        <v>7734</v>
      </c>
      <c r="F5597" s="55" t="b">
        <v>1</v>
      </c>
      <c r="G5597" s="54" t="b">
        <v>1</v>
      </c>
      <c r="H5597" s="54" t="b">
        <v>1</v>
      </c>
      <c r="I5597" s="54" t="b">
        <v>1</v>
      </c>
      <c r="J5597" s="54" t="b">
        <v>1</v>
      </c>
      <c r="K5597" s="63" t="s">
        <v>1048</v>
      </c>
      <c r="L5597" s="63" t="s">
        <v>11169</v>
      </c>
      <c r="M5597" s="63" t="s">
        <v>11170</v>
      </c>
      <c r="N5597" s="63" t="s">
        <v>7734</v>
      </c>
    </row>
    <row r="5598" spans="1:14" x14ac:dyDescent="0.2">
      <c r="A5598" s="51">
        <v>5597</v>
      </c>
      <c r="G5598" s="65" t="b">
        <v>0</v>
      </c>
      <c r="H5598" s="65" t="b">
        <v>0</v>
      </c>
      <c r="I5598" s="65" t="b">
        <v>0</v>
      </c>
      <c r="J5598" s="65" t="b">
        <v>0</v>
      </c>
      <c r="K5598" s="63" t="s">
        <v>1048</v>
      </c>
      <c r="L5598" s="63" t="s">
        <v>11169</v>
      </c>
      <c r="M5598" s="63" t="s">
        <v>11435</v>
      </c>
      <c r="N5598" s="63" t="s">
        <v>7734</v>
      </c>
    </row>
    <row r="5599" spans="1:14" x14ac:dyDescent="0.2">
      <c r="A5599" s="51">
        <v>5598</v>
      </c>
      <c r="B5599" s="54" t="s">
        <v>1048</v>
      </c>
      <c r="C5599" s="47" t="s">
        <v>11171</v>
      </c>
      <c r="D5599" s="47" t="s">
        <v>11172</v>
      </c>
      <c r="E5599" s="47" t="s">
        <v>7734</v>
      </c>
      <c r="F5599" s="55" t="b">
        <v>1</v>
      </c>
      <c r="G5599" s="54" t="b">
        <v>1</v>
      </c>
      <c r="H5599" s="54" t="b">
        <v>1</v>
      </c>
      <c r="I5599" s="54" t="b">
        <v>1</v>
      </c>
      <c r="J5599" s="54" t="b">
        <v>1</v>
      </c>
      <c r="K5599" s="63" t="s">
        <v>1048</v>
      </c>
      <c r="L5599" s="63" t="s">
        <v>11171</v>
      </c>
      <c r="M5599" s="63" t="s">
        <v>11172</v>
      </c>
      <c r="N5599" s="63" t="s">
        <v>7734</v>
      </c>
    </row>
    <row r="5600" spans="1:14" x14ac:dyDescent="0.2">
      <c r="A5600" s="51">
        <v>5599</v>
      </c>
      <c r="B5600" s="54" t="s">
        <v>1048</v>
      </c>
      <c r="C5600" s="47" t="s">
        <v>11177</v>
      </c>
      <c r="D5600" s="47" t="s">
        <v>11178</v>
      </c>
      <c r="E5600" s="47" t="s">
        <v>1788</v>
      </c>
      <c r="F5600" s="55" t="b">
        <v>1</v>
      </c>
      <c r="G5600" s="54" t="b">
        <v>1</v>
      </c>
      <c r="H5600" s="54" t="b">
        <v>1</v>
      </c>
      <c r="I5600" s="54" t="b">
        <v>1</v>
      </c>
      <c r="J5600" s="65" t="b">
        <v>0</v>
      </c>
      <c r="K5600" s="63" t="s">
        <v>1048</v>
      </c>
      <c r="L5600" s="63" t="s">
        <v>11177</v>
      </c>
      <c r="M5600" s="63" t="s">
        <v>11178</v>
      </c>
      <c r="N5600" s="63" t="s">
        <v>11114</v>
      </c>
    </row>
    <row r="5601" spans="1:14" x14ac:dyDescent="0.2">
      <c r="A5601" s="51">
        <v>5600</v>
      </c>
      <c r="B5601" s="54" t="s">
        <v>1048</v>
      </c>
      <c r="C5601" s="47" t="s">
        <v>11191</v>
      </c>
      <c r="D5601" s="47" t="s">
        <v>13870</v>
      </c>
      <c r="E5601" s="47" t="s">
        <v>1790</v>
      </c>
      <c r="F5601" s="55" t="b">
        <v>1</v>
      </c>
      <c r="G5601" s="54" t="b">
        <v>1</v>
      </c>
      <c r="H5601" s="54" t="b">
        <v>1</v>
      </c>
      <c r="I5601" s="65" t="b">
        <v>0</v>
      </c>
      <c r="J5601" s="65" t="b">
        <v>0</v>
      </c>
      <c r="K5601" s="63" t="s">
        <v>1048</v>
      </c>
      <c r="L5601" s="63" t="s">
        <v>11191</v>
      </c>
      <c r="M5601" s="63" t="s">
        <v>11192</v>
      </c>
      <c r="N5601" s="63" t="s">
        <v>11055</v>
      </c>
    </row>
    <row r="5602" spans="1:14" x14ac:dyDescent="0.2">
      <c r="A5602" s="51">
        <v>5601</v>
      </c>
      <c r="B5602" s="54" t="s">
        <v>1048</v>
      </c>
      <c r="C5602" s="47" t="s">
        <v>11187</v>
      </c>
      <c r="D5602" s="47" t="s">
        <v>11188</v>
      </c>
      <c r="E5602" s="47" t="s">
        <v>11046</v>
      </c>
      <c r="F5602" s="55" t="b">
        <v>1</v>
      </c>
      <c r="G5602" s="54" t="b">
        <v>1</v>
      </c>
      <c r="H5602" s="54" t="b">
        <v>1</v>
      </c>
      <c r="I5602" s="54" t="b">
        <v>1</v>
      </c>
      <c r="J5602" s="54" t="b">
        <v>1</v>
      </c>
      <c r="K5602" s="63" t="s">
        <v>1048</v>
      </c>
      <c r="L5602" s="63" t="s">
        <v>11187</v>
      </c>
      <c r="M5602" s="63" t="s">
        <v>11188</v>
      </c>
      <c r="N5602" s="63" t="s">
        <v>11046</v>
      </c>
    </row>
    <row r="5603" spans="1:14" x14ac:dyDescent="0.2">
      <c r="A5603" s="51">
        <v>5602</v>
      </c>
      <c r="B5603" s="54" t="s">
        <v>1048</v>
      </c>
      <c r="C5603" s="47" t="s">
        <v>11179</v>
      </c>
      <c r="D5603" s="47" t="s">
        <v>11180</v>
      </c>
      <c r="E5603" s="47" t="s">
        <v>11075</v>
      </c>
      <c r="F5603" s="55" t="b">
        <v>1</v>
      </c>
      <c r="G5603" s="54" t="b">
        <v>1</v>
      </c>
      <c r="H5603" s="54" t="b">
        <v>1</v>
      </c>
      <c r="I5603" s="54" t="b">
        <v>1</v>
      </c>
      <c r="J5603" s="54" t="b">
        <v>1</v>
      </c>
      <c r="K5603" s="63" t="s">
        <v>1048</v>
      </c>
      <c r="L5603" s="63" t="s">
        <v>11179</v>
      </c>
      <c r="M5603" s="63" t="s">
        <v>11180</v>
      </c>
      <c r="N5603" s="63" t="s">
        <v>11075</v>
      </c>
    </row>
    <row r="5604" spans="1:14" x14ac:dyDescent="0.2">
      <c r="A5604" s="51">
        <v>5603</v>
      </c>
      <c r="B5604" s="54" t="s">
        <v>1048</v>
      </c>
      <c r="C5604" s="47" t="s">
        <v>11189</v>
      </c>
      <c r="D5604" s="47" t="s">
        <v>11190</v>
      </c>
      <c r="E5604" s="47" t="s">
        <v>11046</v>
      </c>
      <c r="F5604" s="55" t="b">
        <v>1</v>
      </c>
      <c r="G5604" s="54" t="b">
        <v>1</v>
      </c>
      <c r="H5604" s="54" t="b">
        <v>1</v>
      </c>
      <c r="I5604" s="54" t="b">
        <v>1</v>
      </c>
      <c r="J5604" s="54" t="b">
        <v>1</v>
      </c>
      <c r="K5604" s="63" t="s">
        <v>1048</v>
      </c>
      <c r="L5604" s="63" t="s">
        <v>11189</v>
      </c>
      <c r="M5604" s="63" t="s">
        <v>11190</v>
      </c>
      <c r="N5604" s="63" t="s">
        <v>11046</v>
      </c>
    </row>
    <row r="5605" spans="1:14" x14ac:dyDescent="0.2">
      <c r="A5605" s="51">
        <v>5604</v>
      </c>
      <c r="B5605" s="54" t="s">
        <v>1048</v>
      </c>
      <c r="C5605" s="47" t="s">
        <v>11181</v>
      </c>
      <c r="D5605" s="47" t="s">
        <v>11182</v>
      </c>
      <c r="E5605" s="47" t="s">
        <v>1788</v>
      </c>
      <c r="F5605" s="55" t="b">
        <v>1</v>
      </c>
      <c r="G5605" s="54" t="b">
        <v>1</v>
      </c>
      <c r="H5605" s="54" t="b">
        <v>1</v>
      </c>
      <c r="I5605" s="54" t="b">
        <v>1</v>
      </c>
      <c r="J5605" s="65" t="b">
        <v>0</v>
      </c>
      <c r="K5605" s="63" t="s">
        <v>1048</v>
      </c>
      <c r="L5605" s="63" t="s">
        <v>11181</v>
      </c>
      <c r="M5605" s="63" t="s">
        <v>11182</v>
      </c>
      <c r="N5605" s="63" t="s">
        <v>11114</v>
      </c>
    </row>
    <row r="5606" spans="1:14" x14ac:dyDescent="0.2">
      <c r="A5606" s="51">
        <v>5605</v>
      </c>
      <c r="B5606" s="54" t="s">
        <v>1048</v>
      </c>
      <c r="C5606" s="47" t="s">
        <v>11183</v>
      </c>
      <c r="D5606" s="47" t="s">
        <v>11184</v>
      </c>
      <c r="E5606" s="47" t="s">
        <v>1790</v>
      </c>
      <c r="F5606" s="55" t="b">
        <v>1</v>
      </c>
      <c r="G5606" s="54" t="b">
        <v>1</v>
      </c>
      <c r="H5606" s="54" t="b">
        <v>1</v>
      </c>
      <c r="I5606" s="54" t="b">
        <v>1</v>
      </c>
      <c r="J5606" s="65" t="b">
        <v>0</v>
      </c>
      <c r="K5606" s="63" t="s">
        <v>1048</v>
      </c>
      <c r="L5606" s="63" t="s">
        <v>11183</v>
      </c>
      <c r="M5606" s="63" t="s">
        <v>11184</v>
      </c>
      <c r="N5606" s="63" t="s">
        <v>11055</v>
      </c>
    </row>
    <row r="5607" spans="1:14" x14ac:dyDescent="0.2">
      <c r="A5607" s="51">
        <v>5606</v>
      </c>
      <c r="B5607" s="54" t="s">
        <v>1048</v>
      </c>
      <c r="C5607" s="47" t="s">
        <v>11175</v>
      </c>
      <c r="D5607" s="47" t="s">
        <v>11176</v>
      </c>
      <c r="E5607" s="47" t="s">
        <v>1790</v>
      </c>
      <c r="F5607" s="55" t="b">
        <v>1</v>
      </c>
      <c r="G5607" s="54" t="b">
        <v>1</v>
      </c>
      <c r="H5607" s="54" t="b">
        <v>1</v>
      </c>
      <c r="I5607" s="54" t="b">
        <v>1</v>
      </c>
      <c r="J5607" s="65" t="b">
        <v>0</v>
      </c>
      <c r="K5607" s="63" t="s">
        <v>1048</v>
      </c>
      <c r="L5607" s="63" t="s">
        <v>11175</v>
      </c>
      <c r="M5607" s="63" t="s">
        <v>11176</v>
      </c>
      <c r="N5607" s="63" t="s">
        <v>11055</v>
      </c>
    </row>
    <row r="5608" spans="1:14" x14ac:dyDescent="0.2">
      <c r="A5608" s="51">
        <v>5607</v>
      </c>
      <c r="B5608" s="54" t="s">
        <v>1048</v>
      </c>
      <c r="C5608" s="47" t="s">
        <v>11185</v>
      </c>
      <c r="D5608" s="47" t="s">
        <v>11186</v>
      </c>
      <c r="E5608" s="47" t="s">
        <v>11075</v>
      </c>
      <c r="F5608" s="55" t="b">
        <v>1</v>
      </c>
      <c r="G5608" s="54" t="b">
        <v>1</v>
      </c>
      <c r="H5608" s="54" t="b">
        <v>1</v>
      </c>
      <c r="I5608" s="54" t="b">
        <v>1</v>
      </c>
      <c r="J5608" s="54" t="b">
        <v>1</v>
      </c>
      <c r="K5608" s="63" t="s">
        <v>1048</v>
      </c>
      <c r="L5608" s="63" t="s">
        <v>11185</v>
      </c>
      <c r="M5608" s="63" t="s">
        <v>11186</v>
      </c>
      <c r="N5608" s="63" t="s">
        <v>11075</v>
      </c>
    </row>
    <row r="5609" spans="1:14" x14ac:dyDescent="0.2">
      <c r="A5609" s="51">
        <v>5608</v>
      </c>
      <c r="B5609" s="54" t="s">
        <v>1048</v>
      </c>
      <c r="C5609" s="47" t="s">
        <v>11193</v>
      </c>
      <c r="D5609" s="47" t="s">
        <v>11194</v>
      </c>
      <c r="E5609" s="47" t="s">
        <v>7734</v>
      </c>
      <c r="F5609" s="55" t="b">
        <v>1</v>
      </c>
      <c r="G5609" s="54" t="b">
        <v>1</v>
      </c>
      <c r="H5609" s="54" t="b">
        <v>1</v>
      </c>
      <c r="I5609" s="54" t="b">
        <v>1</v>
      </c>
      <c r="J5609" s="54" t="b">
        <v>1</v>
      </c>
      <c r="K5609" s="63" t="s">
        <v>1048</v>
      </c>
      <c r="L5609" s="63" t="s">
        <v>11193</v>
      </c>
      <c r="M5609" s="63" t="s">
        <v>11194</v>
      </c>
      <c r="N5609" s="63" t="s">
        <v>7734</v>
      </c>
    </row>
    <row r="5610" spans="1:14" x14ac:dyDescent="0.2">
      <c r="A5610" s="51">
        <v>5609</v>
      </c>
      <c r="B5610" s="54" t="s">
        <v>1048</v>
      </c>
      <c r="C5610" s="47" t="s">
        <v>11195</v>
      </c>
      <c r="D5610" s="47" t="s">
        <v>11196</v>
      </c>
      <c r="E5610" s="47" t="s">
        <v>11070</v>
      </c>
      <c r="F5610" s="55" t="b">
        <v>1</v>
      </c>
      <c r="G5610" s="54" t="b">
        <v>1</v>
      </c>
      <c r="H5610" s="54" t="b">
        <v>1</v>
      </c>
      <c r="I5610" s="54" t="b">
        <v>1</v>
      </c>
      <c r="J5610" s="54" t="b">
        <v>1</v>
      </c>
      <c r="K5610" s="63" t="s">
        <v>1048</v>
      </c>
      <c r="L5610" s="63" t="s">
        <v>11195</v>
      </c>
      <c r="M5610" s="63" t="s">
        <v>11196</v>
      </c>
      <c r="N5610" s="63" t="s">
        <v>11070</v>
      </c>
    </row>
    <row r="5611" spans="1:14" x14ac:dyDescent="0.2">
      <c r="A5611" s="51">
        <v>5610</v>
      </c>
      <c r="G5611" s="65" t="b">
        <v>0</v>
      </c>
      <c r="H5611" s="65" t="b">
        <v>0</v>
      </c>
      <c r="I5611" s="65" t="b">
        <v>0</v>
      </c>
      <c r="J5611" s="65" t="b">
        <v>0</v>
      </c>
      <c r="K5611" s="63" t="s">
        <v>1048</v>
      </c>
      <c r="L5611" s="63" t="s">
        <v>11217</v>
      </c>
      <c r="M5611" s="63" t="s">
        <v>11218</v>
      </c>
      <c r="N5611" s="63" t="s">
        <v>11219</v>
      </c>
    </row>
    <row r="5612" spans="1:14" x14ac:dyDescent="0.2">
      <c r="A5612" s="51">
        <v>5611</v>
      </c>
      <c r="B5612" s="54" t="s">
        <v>1048</v>
      </c>
      <c r="C5612" s="47" t="s">
        <v>11197</v>
      </c>
      <c r="D5612" s="47" t="s">
        <v>11198</v>
      </c>
      <c r="E5612" s="47" t="s">
        <v>11046</v>
      </c>
      <c r="F5612" s="55" t="b">
        <v>1</v>
      </c>
      <c r="G5612" s="54" t="b">
        <v>1</v>
      </c>
      <c r="H5612" s="54" t="b">
        <v>1</v>
      </c>
      <c r="I5612" s="54" t="b">
        <v>1</v>
      </c>
      <c r="J5612" s="54" t="b">
        <v>1</v>
      </c>
      <c r="K5612" s="63" t="s">
        <v>1048</v>
      </c>
      <c r="L5612" s="63" t="s">
        <v>11197</v>
      </c>
      <c r="M5612" s="63" t="s">
        <v>11198</v>
      </c>
      <c r="N5612" s="63" t="s">
        <v>11046</v>
      </c>
    </row>
    <row r="5613" spans="1:14" x14ac:dyDescent="0.2">
      <c r="A5613" s="51">
        <v>5612</v>
      </c>
      <c r="B5613" s="54" t="s">
        <v>1048</v>
      </c>
      <c r="C5613" s="47" t="s">
        <v>11209</v>
      </c>
      <c r="D5613" s="47" t="s">
        <v>11210</v>
      </c>
      <c r="E5613" s="47" t="s">
        <v>11046</v>
      </c>
      <c r="F5613" s="55" t="b">
        <v>1</v>
      </c>
      <c r="G5613" s="54" t="b">
        <v>1</v>
      </c>
      <c r="H5613" s="54" t="b">
        <v>1</v>
      </c>
      <c r="I5613" s="54" t="b">
        <v>1</v>
      </c>
      <c r="J5613" s="54" t="b">
        <v>1</v>
      </c>
      <c r="K5613" s="63" t="s">
        <v>1048</v>
      </c>
      <c r="L5613" s="63" t="s">
        <v>11209</v>
      </c>
      <c r="M5613" s="63" t="s">
        <v>11210</v>
      </c>
      <c r="N5613" s="63" t="s">
        <v>11046</v>
      </c>
    </row>
    <row r="5614" spans="1:14" x14ac:dyDescent="0.2">
      <c r="A5614" s="51">
        <v>5613</v>
      </c>
      <c r="B5614" s="54" t="s">
        <v>1048</v>
      </c>
      <c r="C5614" s="47" t="s">
        <v>11199</v>
      </c>
      <c r="D5614" s="47" t="s">
        <v>11200</v>
      </c>
      <c r="E5614" s="47" t="s">
        <v>11046</v>
      </c>
      <c r="F5614" s="55" t="b">
        <v>1</v>
      </c>
      <c r="G5614" s="54" t="b">
        <v>1</v>
      </c>
      <c r="H5614" s="54" t="b">
        <v>1</v>
      </c>
      <c r="I5614" s="54" t="b">
        <v>1</v>
      </c>
      <c r="J5614" s="54" t="b">
        <v>1</v>
      </c>
      <c r="K5614" s="63" t="s">
        <v>1048</v>
      </c>
      <c r="L5614" s="63" t="s">
        <v>11199</v>
      </c>
      <c r="M5614" s="63" t="s">
        <v>11200</v>
      </c>
      <c r="N5614" s="63" t="s">
        <v>11046</v>
      </c>
    </row>
    <row r="5615" spans="1:14" x14ac:dyDescent="0.2">
      <c r="A5615" s="51">
        <v>5614</v>
      </c>
      <c r="B5615" s="54" t="s">
        <v>1048</v>
      </c>
      <c r="C5615" s="47" t="s">
        <v>11201</v>
      </c>
      <c r="D5615" s="47" t="s">
        <v>11202</v>
      </c>
      <c r="E5615" s="47" t="s">
        <v>11046</v>
      </c>
      <c r="F5615" s="55" t="b">
        <v>1</v>
      </c>
      <c r="G5615" s="54" t="b">
        <v>1</v>
      </c>
      <c r="H5615" s="54" t="b">
        <v>1</v>
      </c>
      <c r="I5615" s="54" t="b">
        <v>1</v>
      </c>
      <c r="J5615" s="54" t="b">
        <v>1</v>
      </c>
      <c r="K5615" s="63" t="s">
        <v>1048</v>
      </c>
      <c r="L5615" s="63" t="s">
        <v>11201</v>
      </c>
      <c r="M5615" s="63" t="s">
        <v>11202</v>
      </c>
      <c r="N5615" s="63" t="s">
        <v>11046</v>
      </c>
    </row>
    <row r="5616" spans="1:14" x14ac:dyDescent="0.2">
      <c r="A5616" s="51">
        <v>5615</v>
      </c>
      <c r="B5616" s="54" t="s">
        <v>1048</v>
      </c>
      <c r="C5616" s="47" t="s">
        <v>11211</v>
      </c>
      <c r="D5616" s="47" t="s">
        <v>11212</v>
      </c>
      <c r="E5616" s="47" t="s">
        <v>11046</v>
      </c>
      <c r="F5616" s="55" t="b">
        <v>1</v>
      </c>
      <c r="G5616" s="54" t="b">
        <v>1</v>
      </c>
      <c r="H5616" s="54" t="b">
        <v>1</v>
      </c>
      <c r="I5616" s="54" t="b">
        <v>1</v>
      </c>
      <c r="J5616" s="54" t="b">
        <v>1</v>
      </c>
      <c r="K5616" s="63" t="s">
        <v>1048</v>
      </c>
      <c r="L5616" s="63" t="s">
        <v>11211</v>
      </c>
      <c r="M5616" s="63" t="s">
        <v>11212</v>
      </c>
      <c r="N5616" s="63" t="s">
        <v>11046</v>
      </c>
    </row>
    <row r="5617" spans="1:14" x14ac:dyDescent="0.2">
      <c r="A5617" s="51">
        <v>5616</v>
      </c>
      <c r="B5617" s="54" t="s">
        <v>1048</v>
      </c>
      <c r="C5617" s="47" t="s">
        <v>11213</v>
      </c>
      <c r="D5617" s="47" t="s">
        <v>11214</v>
      </c>
      <c r="E5617" s="47" t="s">
        <v>11070</v>
      </c>
      <c r="F5617" s="55" t="b">
        <v>1</v>
      </c>
      <c r="G5617" s="54" t="b">
        <v>1</v>
      </c>
      <c r="H5617" s="54" t="b">
        <v>1</v>
      </c>
      <c r="I5617" s="54" t="b">
        <v>1</v>
      </c>
      <c r="J5617" s="54" t="b">
        <v>1</v>
      </c>
      <c r="K5617" s="63" t="s">
        <v>1048</v>
      </c>
      <c r="L5617" s="63" t="s">
        <v>11213</v>
      </c>
      <c r="M5617" s="63" t="s">
        <v>11214</v>
      </c>
      <c r="N5617" s="63" t="s">
        <v>11070</v>
      </c>
    </row>
    <row r="5618" spans="1:14" x14ac:dyDescent="0.2">
      <c r="A5618" s="51">
        <v>5617</v>
      </c>
      <c r="B5618" s="54" t="s">
        <v>1048</v>
      </c>
      <c r="C5618" s="47" t="s">
        <v>11215</v>
      </c>
      <c r="D5618" s="47" t="s">
        <v>11216</v>
      </c>
      <c r="E5618" s="48" t="s">
        <v>7688</v>
      </c>
      <c r="F5618" s="66" t="b">
        <v>0</v>
      </c>
      <c r="G5618" s="54" t="b">
        <v>1</v>
      </c>
      <c r="H5618" s="54" t="b">
        <v>1</v>
      </c>
      <c r="I5618" s="54" t="b">
        <v>1</v>
      </c>
      <c r="J5618" s="54" t="b">
        <v>1</v>
      </c>
      <c r="K5618" s="63" t="s">
        <v>1048</v>
      </c>
      <c r="L5618" s="63" t="s">
        <v>11215</v>
      </c>
      <c r="M5618" s="63" t="s">
        <v>11216</v>
      </c>
      <c r="N5618" s="63" t="s">
        <v>7688</v>
      </c>
    </row>
    <row r="5619" spans="1:14" x14ac:dyDescent="0.2">
      <c r="A5619" s="51">
        <v>5618</v>
      </c>
      <c r="B5619" s="54" t="s">
        <v>1048</v>
      </c>
      <c r="C5619" s="47" t="s">
        <v>11203</v>
      </c>
      <c r="D5619" s="47" t="s">
        <v>11204</v>
      </c>
      <c r="E5619" s="47" t="s">
        <v>11046</v>
      </c>
      <c r="F5619" s="55" t="b">
        <v>1</v>
      </c>
      <c r="G5619" s="54" t="b">
        <v>1</v>
      </c>
      <c r="H5619" s="54" t="b">
        <v>1</v>
      </c>
      <c r="I5619" s="54" t="b">
        <v>1</v>
      </c>
      <c r="J5619" s="54" t="b">
        <v>1</v>
      </c>
      <c r="K5619" s="63" t="s">
        <v>1048</v>
      </c>
      <c r="L5619" s="63" t="s">
        <v>11203</v>
      </c>
      <c r="M5619" s="63" t="s">
        <v>11204</v>
      </c>
      <c r="N5619" s="63" t="s">
        <v>11046</v>
      </c>
    </row>
    <row r="5620" spans="1:14" x14ac:dyDescent="0.2">
      <c r="A5620" s="51">
        <v>5619</v>
      </c>
      <c r="B5620" s="54" t="s">
        <v>1048</v>
      </c>
      <c r="C5620" s="47" t="s">
        <v>11205</v>
      </c>
      <c r="D5620" s="47" t="s">
        <v>11206</v>
      </c>
      <c r="E5620" s="47" t="s">
        <v>7734</v>
      </c>
      <c r="F5620" s="55" t="b">
        <v>1</v>
      </c>
      <c r="G5620" s="54" t="b">
        <v>1</v>
      </c>
      <c r="H5620" s="54" t="b">
        <v>1</v>
      </c>
      <c r="I5620" s="54" t="b">
        <v>1</v>
      </c>
      <c r="J5620" s="54" t="b">
        <v>1</v>
      </c>
      <c r="K5620" s="63" t="s">
        <v>1048</v>
      </c>
      <c r="L5620" s="63" t="s">
        <v>11205</v>
      </c>
      <c r="M5620" s="63" t="s">
        <v>11206</v>
      </c>
      <c r="N5620" s="63" t="s">
        <v>7734</v>
      </c>
    </row>
    <row r="5621" spans="1:14" x14ac:dyDescent="0.2">
      <c r="A5621" s="51">
        <v>5620</v>
      </c>
      <c r="B5621" s="54" t="s">
        <v>1048</v>
      </c>
      <c r="C5621" s="47" t="s">
        <v>11220</v>
      </c>
      <c r="D5621" s="47" t="s">
        <v>11221</v>
      </c>
      <c r="E5621" s="47" t="s">
        <v>1788</v>
      </c>
      <c r="F5621" s="55" t="b">
        <v>1</v>
      </c>
      <c r="G5621" s="54" t="b">
        <v>1</v>
      </c>
      <c r="H5621" s="54" t="b">
        <v>1</v>
      </c>
      <c r="I5621" s="54" t="b">
        <v>1</v>
      </c>
      <c r="J5621" s="65" t="b">
        <v>0</v>
      </c>
      <c r="K5621" s="63" t="s">
        <v>1048</v>
      </c>
      <c r="L5621" s="63" t="s">
        <v>11220</v>
      </c>
      <c r="M5621" s="63" t="s">
        <v>11221</v>
      </c>
      <c r="N5621" s="63" t="s">
        <v>11114</v>
      </c>
    </row>
    <row r="5622" spans="1:14" x14ac:dyDescent="0.2">
      <c r="A5622" s="51">
        <v>5621</v>
      </c>
      <c r="B5622" s="54" t="s">
        <v>1048</v>
      </c>
      <c r="C5622" s="47" t="s">
        <v>11207</v>
      </c>
      <c r="D5622" s="47" t="s">
        <v>11208</v>
      </c>
      <c r="E5622" s="47" t="s">
        <v>1788</v>
      </c>
      <c r="F5622" s="55" t="b">
        <v>1</v>
      </c>
      <c r="G5622" s="54" t="b">
        <v>1</v>
      </c>
      <c r="H5622" s="54" t="b">
        <v>1</v>
      </c>
      <c r="I5622" s="54" t="b">
        <v>1</v>
      </c>
      <c r="J5622" s="65" t="b">
        <v>0</v>
      </c>
      <c r="K5622" s="63" t="s">
        <v>1048</v>
      </c>
      <c r="L5622" s="63" t="s">
        <v>11207</v>
      </c>
      <c r="M5622" s="63" t="s">
        <v>11208</v>
      </c>
      <c r="N5622" s="63" t="s">
        <v>11114</v>
      </c>
    </row>
    <row r="5623" spans="1:14" x14ac:dyDescent="0.2">
      <c r="A5623" s="51">
        <v>5622</v>
      </c>
      <c r="B5623" s="54" t="s">
        <v>1048</v>
      </c>
      <c r="C5623" s="47" t="s">
        <v>11222</v>
      </c>
      <c r="D5623" s="47" t="s">
        <v>11223</v>
      </c>
      <c r="E5623" s="47" t="s">
        <v>11046</v>
      </c>
      <c r="F5623" s="55" t="b">
        <v>1</v>
      </c>
      <c r="G5623" s="54" t="b">
        <v>1</v>
      </c>
      <c r="H5623" s="54" t="b">
        <v>1</v>
      </c>
      <c r="I5623" s="54" t="b">
        <v>1</v>
      </c>
      <c r="J5623" s="54" t="b">
        <v>1</v>
      </c>
      <c r="K5623" s="63" t="s">
        <v>1048</v>
      </c>
      <c r="L5623" s="63" t="s">
        <v>11222</v>
      </c>
      <c r="M5623" s="63" t="s">
        <v>11223</v>
      </c>
      <c r="N5623" s="63" t="s">
        <v>11046</v>
      </c>
    </row>
    <row r="5624" spans="1:14" x14ac:dyDescent="0.2">
      <c r="A5624" s="51">
        <v>5623</v>
      </c>
      <c r="B5624" s="54" t="s">
        <v>1048</v>
      </c>
      <c r="C5624" s="47" t="s">
        <v>11224</v>
      </c>
      <c r="D5624" s="47" t="s">
        <v>11225</v>
      </c>
      <c r="E5624" s="47" t="s">
        <v>1790</v>
      </c>
      <c r="F5624" s="55" t="b">
        <v>1</v>
      </c>
      <c r="G5624" s="54" t="b">
        <v>1</v>
      </c>
      <c r="H5624" s="54" t="b">
        <v>1</v>
      </c>
      <c r="I5624" s="54" t="b">
        <v>1</v>
      </c>
      <c r="J5624" s="65" t="b">
        <v>0</v>
      </c>
      <c r="K5624" s="63" t="s">
        <v>1048</v>
      </c>
      <c r="L5624" s="63" t="s">
        <v>11224</v>
      </c>
      <c r="M5624" s="63" t="s">
        <v>11225</v>
      </c>
      <c r="N5624" s="63" t="s">
        <v>11055</v>
      </c>
    </row>
    <row r="5625" spans="1:14" x14ac:dyDescent="0.2">
      <c r="A5625" s="51">
        <v>5624</v>
      </c>
      <c r="B5625" s="54" t="s">
        <v>1048</v>
      </c>
      <c r="C5625" s="47" t="s">
        <v>11226</v>
      </c>
      <c r="D5625" s="47" t="s">
        <v>11227</v>
      </c>
      <c r="E5625" s="47" t="s">
        <v>11046</v>
      </c>
      <c r="F5625" s="55" t="b">
        <v>1</v>
      </c>
      <c r="G5625" s="54" t="b">
        <v>1</v>
      </c>
      <c r="H5625" s="54" t="b">
        <v>1</v>
      </c>
      <c r="I5625" s="54" t="b">
        <v>1</v>
      </c>
      <c r="J5625" s="54" t="b">
        <v>1</v>
      </c>
      <c r="K5625" s="63" t="s">
        <v>1048</v>
      </c>
      <c r="L5625" s="63" t="s">
        <v>11226</v>
      </c>
      <c r="M5625" s="63" t="s">
        <v>11227</v>
      </c>
      <c r="N5625" s="63" t="s">
        <v>11046</v>
      </c>
    </row>
    <row r="5626" spans="1:14" x14ac:dyDescent="0.2">
      <c r="A5626" s="51">
        <v>5625</v>
      </c>
      <c r="B5626" s="54" t="s">
        <v>1048</v>
      </c>
      <c r="C5626" s="47" t="s">
        <v>11228</v>
      </c>
      <c r="D5626" s="47" t="s">
        <v>11229</v>
      </c>
      <c r="E5626" s="47" t="s">
        <v>7734</v>
      </c>
      <c r="F5626" s="55" t="b">
        <v>1</v>
      </c>
      <c r="G5626" s="54" t="b">
        <v>1</v>
      </c>
      <c r="H5626" s="54" t="b">
        <v>1</v>
      </c>
      <c r="I5626" s="54" t="b">
        <v>1</v>
      </c>
      <c r="J5626" s="54" t="b">
        <v>1</v>
      </c>
      <c r="K5626" s="63" t="s">
        <v>1048</v>
      </c>
      <c r="L5626" s="63" t="s">
        <v>11228</v>
      </c>
      <c r="M5626" s="63" t="s">
        <v>11229</v>
      </c>
      <c r="N5626" s="63" t="s">
        <v>7734</v>
      </c>
    </row>
    <row r="5627" spans="1:14" x14ac:dyDescent="0.2">
      <c r="A5627" s="51">
        <v>5626</v>
      </c>
      <c r="G5627" s="65" t="b">
        <v>0</v>
      </c>
      <c r="H5627" s="65" t="b">
        <v>0</v>
      </c>
      <c r="I5627" s="65" t="b">
        <v>0</v>
      </c>
      <c r="J5627" s="65" t="b">
        <v>0</v>
      </c>
      <c r="K5627" s="63" t="s">
        <v>1048</v>
      </c>
      <c r="L5627" s="63" t="s">
        <v>11228</v>
      </c>
      <c r="M5627" s="63" t="s">
        <v>11439</v>
      </c>
      <c r="N5627" s="63" t="s">
        <v>7734</v>
      </c>
    </row>
    <row r="5628" spans="1:14" x14ac:dyDescent="0.2">
      <c r="A5628" s="51">
        <v>5627</v>
      </c>
      <c r="B5628" s="54" t="s">
        <v>1048</v>
      </c>
      <c r="C5628" s="47" t="s">
        <v>11230</v>
      </c>
      <c r="D5628" s="47" t="s">
        <v>11231</v>
      </c>
      <c r="E5628" s="47" t="s">
        <v>11075</v>
      </c>
      <c r="F5628" s="55" t="b">
        <v>1</v>
      </c>
      <c r="G5628" s="54" t="b">
        <v>1</v>
      </c>
      <c r="H5628" s="54" t="b">
        <v>1</v>
      </c>
      <c r="I5628" s="54" t="b">
        <v>1</v>
      </c>
      <c r="J5628" s="54" t="b">
        <v>1</v>
      </c>
      <c r="K5628" s="63" t="s">
        <v>1048</v>
      </c>
      <c r="L5628" s="63" t="s">
        <v>11230</v>
      </c>
      <c r="M5628" s="63" t="s">
        <v>11231</v>
      </c>
      <c r="N5628" s="63" t="s">
        <v>11075</v>
      </c>
    </row>
    <row r="5629" spans="1:14" x14ac:dyDescent="0.2">
      <c r="A5629" s="51">
        <v>5628</v>
      </c>
      <c r="G5629" s="65" t="b">
        <v>0</v>
      </c>
      <c r="H5629" s="65" t="b">
        <v>0</v>
      </c>
      <c r="I5629" s="65" t="b">
        <v>0</v>
      </c>
      <c r="J5629" s="65" t="b">
        <v>0</v>
      </c>
      <c r="K5629" s="63" t="s">
        <v>1048</v>
      </c>
      <c r="L5629" s="63" t="s">
        <v>11236</v>
      </c>
      <c r="M5629" s="63" t="s">
        <v>11237</v>
      </c>
      <c r="N5629" s="63" t="s">
        <v>11219</v>
      </c>
    </row>
    <row r="5630" spans="1:14" x14ac:dyDescent="0.2">
      <c r="A5630" s="51">
        <v>5629</v>
      </c>
      <c r="B5630" s="54" t="s">
        <v>1048</v>
      </c>
      <c r="C5630" s="47" t="s">
        <v>11232</v>
      </c>
      <c r="D5630" s="47" t="s">
        <v>11233</v>
      </c>
      <c r="E5630" s="47" t="s">
        <v>11046</v>
      </c>
      <c r="F5630" s="55" t="b">
        <v>1</v>
      </c>
      <c r="G5630" s="54" t="b">
        <v>1</v>
      </c>
      <c r="H5630" s="54" t="b">
        <v>1</v>
      </c>
      <c r="I5630" s="54" t="b">
        <v>1</v>
      </c>
      <c r="J5630" s="54" t="b">
        <v>1</v>
      </c>
      <c r="K5630" s="63" t="s">
        <v>1048</v>
      </c>
      <c r="L5630" s="63" t="s">
        <v>11232</v>
      </c>
      <c r="M5630" s="63" t="s">
        <v>11233</v>
      </c>
      <c r="N5630" s="63" t="s">
        <v>11046</v>
      </c>
    </row>
    <row r="5631" spans="1:14" x14ac:dyDescent="0.2">
      <c r="A5631" s="51">
        <v>5630</v>
      </c>
      <c r="B5631" s="54" t="s">
        <v>1048</v>
      </c>
      <c r="C5631" s="47" t="s">
        <v>11234</v>
      </c>
      <c r="D5631" s="47" t="s">
        <v>11235</v>
      </c>
      <c r="E5631" s="47" t="s">
        <v>1788</v>
      </c>
      <c r="F5631" s="55" t="b">
        <v>1</v>
      </c>
      <c r="G5631" s="54" t="b">
        <v>1</v>
      </c>
      <c r="H5631" s="54" t="b">
        <v>1</v>
      </c>
      <c r="I5631" s="54" t="b">
        <v>1</v>
      </c>
      <c r="J5631" s="65" t="b">
        <v>0</v>
      </c>
      <c r="K5631" s="63" t="s">
        <v>1048</v>
      </c>
      <c r="L5631" s="63" t="s">
        <v>11234</v>
      </c>
      <c r="M5631" s="63" t="s">
        <v>11235</v>
      </c>
      <c r="N5631" s="63" t="s">
        <v>11114</v>
      </c>
    </row>
    <row r="5632" spans="1:14" x14ac:dyDescent="0.2">
      <c r="A5632" s="51">
        <v>5631</v>
      </c>
      <c r="B5632" s="54" t="s">
        <v>1048</v>
      </c>
      <c r="C5632" s="47" t="s">
        <v>11238</v>
      </c>
      <c r="D5632" s="47" t="s">
        <v>11239</v>
      </c>
      <c r="E5632" s="47" t="s">
        <v>11070</v>
      </c>
      <c r="F5632" s="55" t="b">
        <v>1</v>
      </c>
      <c r="G5632" s="54" t="b">
        <v>1</v>
      </c>
      <c r="H5632" s="54" t="b">
        <v>1</v>
      </c>
      <c r="I5632" s="54" t="b">
        <v>1</v>
      </c>
      <c r="J5632" s="54" t="b">
        <v>1</v>
      </c>
      <c r="K5632" s="63" t="s">
        <v>1048</v>
      </c>
      <c r="L5632" s="63" t="s">
        <v>11238</v>
      </c>
      <c r="M5632" s="63" t="s">
        <v>11239</v>
      </c>
      <c r="N5632" s="63" t="s">
        <v>11070</v>
      </c>
    </row>
    <row r="5633" spans="1:14" x14ac:dyDescent="0.2">
      <c r="A5633" s="51">
        <v>5632</v>
      </c>
      <c r="B5633" s="54" t="s">
        <v>1048</v>
      </c>
      <c r="C5633" s="47" t="s">
        <v>11240</v>
      </c>
      <c r="D5633" s="47" t="s">
        <v>11241</v>
      </c>
      <c r="E5633" s="47" t="s">
        <v>7734</v>
      </c>
      <c r="F5633" s="55" t="b">
        <v>1</v>
      </c>
      <c r="G5633" s="54" t="b">
        <v>1</v>
      </c>
      <c r="H5633" s="54" t="b">
        <v>1</v>
      </c>
      <c r="I5633" s="54" t="b">
        <v>1</v>
      </c>
      <c r="J5633" s="54" t="b">
        <v>1</v>
      </c>
      <c r="K5633" s="63" t="s">
        <v>1048</v>
      </c>
      <c r="L5633" s="63" t="s">
        <v>11240</v>
      </c>
      <c r="M5633" s="63" t="s">
        <v>11241</v>
      </c>
      <c r="N5633" s="63" t="s">
        <v>7734</v>
      </c>
    </row>
    <row r="5634" spans="1:14" x14ac:dyDescent="0.2">
      <c r="A5634" s="51">
        <v>5633</v>
      </c>
      <c r="B5634" s="54" t="s">
        <v>1048</v>
      </c>
      <c r="C5634" s="47" t="s">
        <v>11244</v>
      </c>
      <c r="D5634" s="47" t="s">
        <v>11245</v>
      </c>
      <c r="E5634" s="47" t="s">
        <v>7734</v>
      </c>
      <c r="F5634" s="55" t="b">
        <v>1</v>
      </c>
      <c r="G5634" s="54" t="b">
        <v>1</v>
      </c>
      <c r="H5634" s="54" t="b">
        <v>1</v>
      </c>
      <c r="I5634" s="54" t="b">
        <v>1</v>
      </c>
      <c r="J5634" s="54" t="b">
        <v>1</v>
      </c>
      <c r="K5634" s="63" t="s">
        <v>1048</v>
      </c>
      <c r="L5634" s="63" t="s">
        <v>11244</v>
      </c>
      <c r="M5634" s="63" t="s">
        <v>11245</v>
      </c>
      <c r="N5634" s="63" t="s">
        <v>7734</v>
      </c>
    </row>
    <row r="5635" spans="1:14" x14ac:dyDescent="0.2">
      <c r="A5635" s="51">
        <v>5634</v>
      </c>
      <c r="B5635" s="54" t="s">
        <v>1048</v>
      </c>
      <c r="C5635" s="47" t="s">
        <v>11248</v>
      </c>
      <c r="D5635" s="47" t="s">
        <v>11249</v>
      </c>
      <c r="E5635" s="47" t="s">
        <v>1788</v>
      </c>
      <c r="F5635" s="55" t="b">
        <v>1</v>
      </c>
      <c r="G5635" s="54" t="b">
        <v>1</v>
      </c>
      <c r="H5635" s="54" t="b">
        <v>1</v>
      </c>
      <c r="I5635" s="54" t="b">
        <v>1</v>
      </c>
      <c r="J5635" s="65" t="b">
        <v>0</v>
      </c>
      <c r="K5635" s="63" t="s">
        <v>1048</v>
      </c>
      <c r="L5635" s="63" t="s">
        <v>11248</v>
      </c>
      <c r="M5635" s="63" t="s">
        <v>11249</v>
      </c>
      <c r="N5635" s="63" t="s">
        <v>11114</v>
      </c>
    </row>
    <row r="5636" spans="1:14" x14ac:dyDescent="0.2">
      <c r="A5636" s="51">
        <v>5635</v>
      </c>
      <c r="B5636" s="54" t="s">
        <v>1048</v>
      </c>
      <c r="C5636" s="47" t="s">
        <v>11256</v>
      </c>
      <c r="D5636" s="47" t="s">
        <v>11257</v>
      </c>
      <c r="E5636" s="47" t="s">
        <v>11070</v>
      </c>
      <c r="F5636" s="55" t="b">
        <v>1</v>
      </c>
      <c r="G5636" s="54" t="b">
        <v>1</v>
      </c>
      <c r="H5636" s="54" t="b">
        <v>1</v>
      </c>
      <c r="I5636" s="54" t="b">
        <v>1</v>
      </c>
      <c r="J5636" s="54" t="b">
        <v>1</v>
      </c>
      <c r="K5636" s="63" t="s">
        <v>1048</v>
      </c>
      <c r="L5636" s="63" t="s">
        <v>11256</v>
      </c>
      <c r="M5636" s="63" t="s">
        <v>11257</v>
      </c>
      <c r="N5636" s="63" t="s">
        <v>11070</v>
      </c>
    </row>
    <row r="5637" spans="1:14" x14ac:dyDescent="0.2">
      <c r="A5637" s="51">
        <v>5636</v>
      </c>
      <c r="B5637" s="54" t="s">
        <v>1048</v>
      </c>
      <c r="C5637" s="47" t="s">
        <v>11242</v>
      </c>
      <c r="D5637" s="47" t="s">
        <v>11243</v>
      </c>
      <c r="E5637" s="47" t="s">
        <v>11070</v>
      </c>
      <c r="F5637" s="55" t="b">
        <v>1</v>
      </c>
      <c r="G5637" s="54" t="b">
        <v>1</v>
      </c>
      <c r="H5637" s="54" t="b">
        <v>1</v>
      </c>
      <c r="I5637" s="54" t="b">
        <v>1</v>
      </c>
      <c r="J5637" s="54" t="b">
        <v>1</v>
      </c>
      <c r="K5637" s="63" t="s">
        <v>1048</v>
      </c>
      <c r="L5637" s="63" t="s">
        <v>11242</v>
      </c>
      <c r="M5637" s="63" t="s">
        <v>11243</v>
      </c>
      <c r="N5637" s="63" t="s">
        <v>11070</v>
      </c>
    </row>
    <row r="5638" spans="1:14" x14ac:dyDescent="0.2">
      <c r="A5638" s="51">
        <v>5637</v>
      </c>
      <c r="B5638" s="54" t="s">
        <v>1048</v>
      </c>
      <c r="C5638" s="47" t="s">
        <v>11258</v>
      </c>
      <c r="D5638" s="47" t="s">
        <v>11259</v>
      </c>
      <c r="E5638" s="47" t="s">
        <v>7734</v>
      </c>
      <c r="F5638" s="55" t="b">
        <v>1</v>
      </c>
      <c r="G5638" s="54" t="b">
        <v>1</v>
      </c>
      <c r="H5638" s="54" t="b">
        <v>1</v>
      </c>
      <c r="I5638" s="54" t="b">
        <v>1</v>
      </c>
      <c r="J5638" s="54" t="b">
        <v>1</v>
      </c>
      <c r="K5638" s="63" t="s">
        <v>1048</v>
      </c>
      <c r="L5638" s="63" t="s">
        <v>11258</v>
      </c>
      <c r="M5638" s="63" t="s">
        <v>11259</v>
      </c>
      <c r="N5638" s="63" t="s">
        <v>7734</v>
      </c>
    </row>
    <row r="5639" spans="1:14" x14ac:dyDescent="0.2">
      <c r="A5639" s="51">
        <v>5638</v>
      </c>
      <c r="B5639" s="54" t="s">
        <v>1048</v>
      </c>
      <c r="C5639" s="47" t="s">
        <v>11264</v>
      </c>
      <c r="D5639" s="47" t="s">
        <v>11265</v>
      </c>
      <c r="E5639" s="47" t="s">
        <v>11070</v>
      </c>
      <c r="F5639" s="55" t="b">
        <v>1</v>
      </c>
      <c r="G5639" s="54" t="b">
        <v>1</v>
      </c>
      <c r="H5639" s="54" t="b">
        <v>1</v>
      </c>
      <c r="I5639" s="54" t="b">
        <v>1</v>
      </c>
      <c r="J5639" s="54" t="b">
        <v>1</v>
      </c>
      <c r="K5639" s="63" t="s">
        <v>1048</v>
      </c>
      <c r="L5639" s="63" t="s">
        <v>11264</v>
      </c>
      <c r="M5639" s="63" t="s">
        <v>11265</v>
      </c>
      <c r="N5639" s="63" t="s">
        <v>11070</v>
      </c>
    </row>
    <row r="5640" spans="1:14" x14ac:dyDescent="0.2">
      <c r="A5640" s="51">
        <v>5639</v>
      </c>
      <c r="B5640" s="54" t="s">
        <v>1048</v>
      </c>
      <c r="C5640" s="47" t="s">
        <v>11262</v>
      </c>
      <c r="D5640" s="47" t="s">
        <v>11263</v>
      </c>
      <c r="E5640" s="47" t="s">
        <v>11046</v>
      </c>
      <c r="F5640" s="55" t="b">
        <v>1</v>
      </c>
      <c r="G5640" s="54" t="b">
        <v>1</v>
      </c>
      <c r="H5640" s="54" t="b">
        <v>1</v>
      </c>
      <c r="I5640" s="54" t="b">
        <v>1</v>
      </c>
      <c r="J5640" s="54" t="b">
        <v>1</v>
      </c>
      <c r="K5640" s="63" t="s">
        <v>1048</v>
      </c>
      <c r="L5640" s="63" t="s">
        <v>11262</v>
      </c>
      <c r="M5640" s="63" t="s">
        <v>11263</v>
      </c>
      <c r="N5640" s="63" t="s">
        <v>11046</v>
      </c>
    </row>
    <row r="5641" spans="1:14" x14ac:dyDescent="0.2">
      <c r="A5641" s="51">
        <v>5640</v>
      </c>
      <c r="B5641" s="54" t="s">
        <v>1048</v>
      </c>
      <c r="C5641" s="47" t="s">
        <v>11246</v>
      </c>
      <c r="D5641" s="47" t="s">
        <v>11247</v>
      </c>
      <c r="E5641" s="47" t="s">
        <v>11070</v>
      </c>
      <c r="F5641" s="55" t="b">
        <v>1</v>
      </c>
      <c r="G5641" s="54" t="b">
        <v>1</v>
      </c>
      <c r="H5641" s="54" t="b">
        <v>1</v>
      </c>
      <c r="I5641" s="54" t="b">
        <v>1</v>
      </c>
      <c r="J5641" s="54" t="b">
        <v>1</v>
      </c>
      <c r="K5641" s="63" t="s">
        <v>1048</v>
      </c>
      <c r="L5641" s="63" t="s">
        <v>11246</v>
      </c>
      <c r="M5641" s="63" t="s">
        <v>11247</v>
      </c>
      <c r="N5641" s="63" t="s">
        <v>11070</v>
      </c>
    </row>
    <row r="5642" spans="1:14" x14ac:dyDescent="0.2">
      <c r="A5642" s="51">
        <v>5641</v>
      </c>
      <c r="B5642" s="54" t="s">
        <v>1048</v>
      </c>
      <c r="C5642" s="47" t="s">
        <v>11266</v>
      </c>
      <c r="D5642" s="47" t="s">
        <v>11267</v>
      </c>
      <c r="E5642" s="47" t="s">
        <v>11070</v>
      </c>
      <c r="F5642" s="55" t="b">
        <v>1</v>
      </c>
      <c r="G5642" s="54" t="b">
        <v>1</v>
      </c>
      <c r="H5642" s="54" t="b">
        <v>1</v>
      </c>
      <c r="I5642" s="54" t="b">
        <v>1</v>
      </c>
      <c r="J5642" s="54" t="b">
        <v>1</v>
      </c>
      <c r="K5642" s="63" t="s">
        <v>1048</v>
      </c>
      <c r="L5642" s="63" t="s">
        <v>11266</v>
      </c>
      <c r="M5642" s="63" t="s">
        <v>11267</v>
      </c>
      <c r="N5642" s="63" t="s">
        <v>11070</v>
      </c>
    </row>
    <row r="5643" spans="1:14" x14ac:dyDescent="0.2">
      <c r="A5643" s="51">
        <v>5642</v>
      </c>
      <c r="B5643" s="54" t="s">
        <v>1048</v>
      </c>
      <c r="C5643" s="47" t="s">
        <v>11254</v>
      </c>
      <c r="D5643" s="47" t="s">
        <v>11255</v>
      </c>
      <c r="E5643" s="47" t="s">
        <v>7734</v>
      </c>
      <c r="F5643" s="55" t="b">
        <v>1</v>
      </c>
      <c r="G5643" s="54" t="b">
        <v>1</v>
      </c>
      <c r="H5643" s="54" t="b">
        <v>1</v>
      </c>
      <c r="I5643" s="54" t="b">
        <v>1</v>
      </c>
      <c r="J5643" s="54" t="b">
        <v>1</v>
      </c>
      <c r="K5643" s="63" t="s">
        <v>1048</v>
      </c>
      <c r="L5643" s="63" t="s">
        <v>11254</v>
      </c>
      <c r="M5643" s="63" t="s">
        <v>11255</v>
      </c>
      <c r="N5643" s="63" t="s">
        <v>7734</v>
      </c>
    </row>
    <row r="5644" spans="1:14" x14ac:dyDescent="0.2">
      <c r="A5644" s="51">
        <v>5643</v>
      </c>
      <c r="B5644" s="54" t="s">
        <v>1048</v>
      </c>
      <c r="C5644" s="47" t="s">
        <v>11260</v>
      </c>
      <c r="D5644" s="47" t="s">
        <v>11261</v>
      </c>
      <c r="E5644" s="47" t="s">
        <v>1788</v>
      </c>
      <c r="F5644" s="55" t="b">
        <v>1</v>
      </c>
      <c r="G5644" s="54" t="b">
        <v>1</v>
      </c>
      <c r="H5644" s="54" t="b">
        <v>1</v>
      </c>
      <c r="I5644" s="54" t="b">
        <v>1</v>
      </c>
      <c r="J5644" s="65" t="b">
        <v>0</v>
      </c>
      <c r="K5644" s="63" t="s">
        <v>1048</v>
      </c>
      <c r="L5644" s="63" t="s">
        <v>11260</v>
      </c>
      <c r="M5644" s="63" t="s">
        <v>11261</v>
      </c>
      <c r="N5644" s="63" t="s">
        <v>11114</v>
      </c>
    </row>
    <row r="5645" spans="1:14" x14ac:dyDescent="0.2">
      <c r="A5645" s="51">
        <v>5644</v>
      </c>
      <c r="B5645" s="54" t="s">
        <v>1048</v>
      </c>
      <c r="C5645" s="47" t="s">
        <v>11252</v>
      </c>
      <c r="D5645" s="47" t="s">
        <v>11253</v>
      </c>
      <c r="E5645" s="47" t="s">
        <v>11070</v>
      </c>
      <c r="F5645" s="55" t="b">
        <v>1</v>
      </c>
      <c r="G5645" s="54" t="b">
        <v>1</v>
      </c>
      <c r="H5645" s="54" t="b">
        <v>1</v>
      </c>
      <c r="I5645" s="54" t="b">
        <v>1</v>
      </c>
      <c r="J5645" s="54" t="b">
        <v>1</v>
      </c>
      <c r="K5645" s="63" t="s">
        <v>1048</v>
      </c>
      <c r="L5645" s="63" t="s">
        <v>11252</v>
      </c>
      <c r="M5645" s="63" t="s">
        <v>11253</v>
      </c>
      <c r="N5645" s="63" t="s">
        <v>11070</v>
      </c>
    </row>
    <row r="5646" spans="1:14" x14ac:dyDescent="0.2">
      <c r="A5646" s="51">
        <v>5645</v>
      </c>
      <c r="B5646" s="54" t="s">
        <v>1048</v>
      </c>
      <c r="C5646" s="47" t="s">
        <v>11250</v>
      </c>
      <c r="D5646" s="47" t="s">
        <v>11251</v>
      </c>
      <c r="E5646" s="47" t="s">
        <v>11070</v>
      </c>
      <c r="F5646" s="55" t="b">
        <v>1</v>
      </c>
      <c r="G5646" s="54" t="b">
        <v>1</v>
      </c>
      <c r="H5646" s="54" t="b">
        <v>1</v>
      </c>
      <c r="I5646" s="54" t="b">
        <v>1</v>
      </c>
      <c r="J5646" s="54" t="b">
        <v>1</v>
      </c>
      <c r="K5646" s="63" t="s">
        <v>1048</v>
      </c>
      <c r="L5646" s="63" t="s">
        <v>11250</v>
      </c>
      <c r="M5646" s="63" t="s">
        <v>11251</v>
      </c>
      <c r="N5646" s="63" t="s">
        <v>11070</v>
      </c>
    </row>
    <row r="5647" spans="1:14" x14ac:dyDescent="0.2">
      <c r="A5647" s="51">
        <v>5646</v>
      </c>
      <c r="B5647" s="54" t="s">
        <v>1048</v>
      </c>
      <c r="C5647" s="47" t="s">
        <v>13871</v>
      </c>
      <c r="D5647" s="47" t="s">
        <v>13872</v>
      </c>
      <c r="E5647" s="47" t="s">
        <v>7734</v>
      </c>
      <c r="F5647" s="55" t="b">
        <v>1</v>
      </c>
      <c r="G5647" s="65" t="b">
        <v>0</v>
      </c>
      <c r="H5647" s="65" t="b">
        <v>0</v>
      </c>
      <c r="I5647" s="65" t="b">
        <v>0</v>
      </c>
      <c r="J5647" s="65" t="b">
        <v>0</v>
      </c>
    </row>
    <row r="5648" spans="1:14" x14ac:dyDescent="0.2">
      <c r="A5648" s="51">
        <v>5647</v>
      </c>
      <c r="B5648" s="54" t="s">
        <v>1048</v>
      </c>
      <c r="C5648" s="47" t="s">
        <v>11272</v>
      </c>
      <c r="D5648" s="47" t="s">
        <v>11273</v>
      </c>
      <c r="E5648" s="47" t="s">
        <v>7734</v>
      </c>
      <c r="F5648" s="55" t="b">
        <v>1</v>
      </c>
      <c r="G5648" s="54" t="b">
        <v>1</v>
      </c>
      <c r="H5648" s="54" t="b">
        <v>1</v>
      </c>
      <c r="I5648" s="54" t="b">
        <v>1</v>
      </c>
      <c r="J5648" s="54" t="b">
        <v>1</v>
      </c>
      <c r="K5648" s="63" t="s">
        <v>1048</v>
      </c>
      <c r="L5648" s="63" t="s">
        <v>11272</v>
      </c>
      <c r="M5648" s="63" t="s">
        <v>11273</v>
      </c>
      <c r="N5648" s="63" t="s">
        <v>7734</v>
      </c>
    </row>
    <row r="5649" spans="1:14" x14ac:dyDescent="0.2">
      <c r="A5649" s="51">
        <v>5648</v>
      </c>
      <c r="B5649" s="54" t="s">
        <v>1048</v>
      </c>
      <c r="C5649" s="47" t="s">
        <v>11274</v>
      </c>
      <c r="D5649" s="47" t="s">
        <v>11275</v>
      </c>
      <c r="E5649" s="47" t="s">
        <v>11070</v>
      </c>
      <c r="F5649" s="55" t="b">
        <v>1</v>
      </c>
      <c r="G5649" s="54" t="b">
        <v>1</v>
      </c>
      <c r="H5649" s="54" t="b">
        <v>1</v>
      </c>
      <c r="I5649" s="54" t="b">
        <v>1</v>
      </c>
      <c r="J5649" s="54" t="b">
        <v>1</v>
      </c>
      <c r="K5649" s="63" t="s">
        <v>1048</v>
      </c>
      <c r="L5649" s="63" t="s">
        <v>11274</v>
      </c>
      <c r="M5649" s="63" t="s">
        <v>11275</v>
      </c>
      <c r="N5649" s="63" t="s">
        <v>11070</v>
      </c>
    </row>
    <row r="5650" spans="1:14" x14ac:dyDescent="0.2">
      <c r="A5650" s="51">
        <v>5649</v>
      </c>
      <c r="B5650" s="54" t="s">
        <v>1048</v>
      </c>
      <c r="C5650" s="47" t="s">
        <v>11268</v>
      </c>
      <c r="D5650" s="47" t="s">
        <v>11269</v>
      </c>
      <c r="E5650" s="47" t="s">
        <v>11046</v>
      </c>
      <c r="F5650" s="55" t="b">
        <v>1</v>
      </c>
      <c r="G5650" s="54" t="b">
        <v>1</v>
      </c>
      <c r="H5650" s="54" t="b">
        <v>1</v>
      </c>
      <c r="I5650" s="54" t="b">
        <v>1</v>
      </c>
      <c r="J5650" s="54" t="b">
        <v>1</v>
      </c>
      <c r="K5650" s="63" t="s">
        <v>1048</v>
      </c>
      <c r="L5650" s="63" t="s">
        <v>11268</v>
      </c>
      <c r="M5650" s="63" t="s">
        <v>11269</v>
      </c>
      <c r="N5650" s="63" t="s">
        <v>11046</v>
      </c>
    </row>
    <row r="5651" spans="1:14" x14ac:dyDescent="0.2">
      <c r="A5651" s="51">
        <v>5650</v>
      </c>
      <c r="B5651" s="54" t="s">
        <v>1048</v>
      </c>
      <c r="C5651" s="47" t="s">
        <v>11276</v>
      </c>
      <c r="D5651" s="47" t="s">
        <v>11277</v>
      </c>
      <c r="E5651" s="47" t="s">
        <v>11070</v>
      </c>
      <c r="F5651" s="55" t="b">
        <v>1</v>
      </c>
      <c r="G5651" s="54" t="b">
        <v>1</v>
      </c>
      <c r="H5651" s="54" t="b">
        <v>1</v>
      </c>
      <c r="I5651" s="54" t="b">
        <v>1</v>
      </c>
      <c r="J5651" s="54" t="b">
        <v>1</v>
      </c>
      <c r="K5651" s="63" t="s">
        <v>1048</v>
      </c>
      <c r="L5651" s="63" t="s">
        <v>11276</v>
      </c>
      <c r="M5651" s="63" t="s">
        <v>11277</v>
      </c>
      <c r="N5651" s="63" t="s">
        <v>11070</v>
      </c>
    </row>
    <row r="5652" spans="1:14" x14ac:dyDescent="0.2">
      <c r="A5652" s="51">
        <v>5651</v>
      </c>
      <c r="B5652" s="54" t="s">
        <v>1048</v>
      </c>
      <c r="C5652" s="47" t="s">
        <v>11278</v>
      </c>
      <c r="D5652" s="47" t="s">
        <v>11279</v>
      </c>
      <c r="E5652" s="47" t="s">
        <v>1788</v>
      </c>
      <c r="F5652" s="55" t="b">
        <v>1</v>
      </c>
      <c r="G5652" s="54" t="b">
        <v>1</v>
      </c>
      <c r="H5652" s="54" t="b">
        <v>1</v>
      </c>
      <c r="I5652" s="54" t="b">
        <v>1</v>
      </c>
      <c r="J5652" s="65" t="b">
        <v>0</v>
      </c>
      <c r="K5652" s="63" t="s">
        <v>1048</v>
      </c>
      <c r="L5652" s="63" t="s">
        <v>11278</v>
      </c>
      <c r="M5652" s="63" t="s">
        <v>11279</v>
      </c>
      <c r="N5652" s="63" t="s">
        <v>11114</v>
      </c>
    </row>
    <row r="5653" spans="1:14" x14ac:dyDescent="0.2">
      <c r="A5653" s="51">
        <v>5652</v>
      </c>
      <c r="B5653" s="54" t="s">
        <v>1048</v>
      </c>
      <c r="C5653" s="47" t="s">
        <v>11280</v>
      </c>
      <c r="D5653" s="47" t="s">
        <v>13873</v>
      </c>
      <c r="E5653" s="47" t="s">
        <v>7734</v>
      </c>
      <c r="F5653" s="55" t="b">
        <v>1</v>
      </c>
      <c r="G5653" s="54" t="b">
        <v>1</v>
      </c>
      <c r="H5653" s="54" t="b">
        <v>1</v>
      </c>
      <c r="I5653" s="65" t="b">
        <v>0</v>
      </c>
      <c r="J5653" s="54" t="b">
        <v>1</v>
      </c>
      <c r="K5653" s="63" t="s">
        <v>1048</v>
      </c>
      <c r="L5653" s="63" t="s">
        <v>11280</v>
      </c>
      <c r="M5653" s="63" t="s">
        <v>11281</v>
      </c>
      <c r="N5653" s="63" t="s">
        <v>7734</v>
      </c>
    </row>
    <row r="5654" spans="1:14" x14ac:dyDescent="0.2">
      <c r="A5654" s="51">
        <v>5653</v>
      </c>
      <c r="B5654" s="54" t="s">
        <v>1048</v>
      </c>
      <c r="C5654" s="47" t="s">
        <v>11284</v>
      </c>
      <c r="D5654" s="47" t="s">
        <v>11285</v>
      </c>
      <c r="E5654" s="47" t="s">
        <v>11075</v>
      </c>
      <c r="F5654" s="55" t="b">
        <v>1</v>
      </c>
      <c r="G5654" s="54" t="b">
        <v>1</v>
      </c>
      <c r="H5654" s="54" t="b">
        <v>1</v>
      </c>
      <c r="I5654" s="54" t="b">
        <v>1</v>
      </c>
      <c r="J5654" s="54" t="b">
        <v>1</v>
      </c>
      <c r="K5654" s="63" t="s">
        <v>1048</v>
      </c>
      <c r="L5654" s="63" t="s">
        <v>11284</v>
      </c>
      <c r="M5654" s="63" t="s">
        <v>11285</v>
      </c>
      <c r="N5654" s="63" t="s">
        <v>11075</v>
      </c>
    </row>
    <row r="5655" spans="1:14" x14ac:dyDescent="0.2">
      <c r="A5655" s="51">
        <v>5654</v>
      </c>
      <c r="B5655" s="54" t="s">
        <v>1048</v>
      </c>
      <c r="C5655" s="47" t="s">
        <v>11282</v>
      </c>
      <c r="D5655" s="47" t="s">
        <v>11283</v>
      </c>
      <c r="E5655" s="47" t="s">
        <v>11070</v>
      </c>
      <c r="F5655" s="55" t="b">
        <v>1</v>
      </c>
      <c r="G5655" s="54" t="b">
        <v>1</v>
      </c>
      <c r="H5655" s="54" t="b">
        <v>1</v>
      </c>
      <c r="I5655" s="54" t="b">
        <v>1</v>
      </c>
      <c r="J5655" s="54" t="b">
        <v>1</v>
      </c>
      <c r="K5655" s="63" t="s">
        <v>1048</v>
      </c>
      <c r="L5655" s="63" t="s">
        <v>11282</v>
      </c>
      <c r="M5655" s="63" t="s">
        <v>11283</v>
      </c>
      <c r="N5655" s="63" t="s">
        <v>11070</v>
      </c>
    </row>
    <row r="5656" spans="1:14" x14ac:dyDescent="0.2">
      <c r="A5656" s="51">
        <v>5655</v>
      </c>
      <c r="B5656" s="54" t="s">
        <v>1048</v>
      </c>
      <c r="C5656" s="47" t="s">
        <v>11286</v>
      </c>
      <c r="D5656" s="47" t="s">
        <v>11287</v>
      </c>
      <c r="E5656" s="47" t="s">
        <v>11075</v>
      </c>
      <c r="F5656" s="55" t="b">
        <v>1</v>
      </c>
      <c r="G5656" s="54" t="b">
        <v>1</v>
      </c>
      <c r="H5656" s="54" t="b">
        <v>1</v>
      </c>
      <c r="I5656" s="54" t="b">
        <v>1</v>
      </c>
      <c r="J5656" s="54" t="b">
        <v>1</v>
      </c>
      <c r="K5656" s="63" t="s">
        <v>1048</v>
      </c>
      <c r="L5656" s="63" t="s">
        <v>11286</v>
      </c>
      <c r="M5656" s="63" t="s">
        <v>11287</v>
      </c>
      <c r="N5656" s="63" t="s">
        <v>11075</v>
      </c>
    </row>
    <row r="5657" spans="1:14" x14ac:dyDescent="0.2">
      <c r="A5657" s="51">
        <v>5656</v>
      </c>
      <c r="B5657" s="54" t="s">
        <v>1048</v>
      </c>
      <c r="C5657" s="47" t="s">
        <v>11290</v>
      </c>
      <c r="D5657" s="47" t="s">
        <v>11291</v>
      </c>
      <c r="E5657" s="47" t="s">
        <v>1788</v>
      </c>
      <c r="F5657" s="55" t="b">
        <v>1</v>
      </c>
      <c r="G5657" s="54" t="b">
        <v>1</v>
      </c>
      <c r="H5657" s="54" t="b">
        <v>1</v>
      </c>
      <c r="I5657" s="54" t="b">
        <v>1</v>
      </c>
      <c r="J5657" s="65" t="b">
        <v>0</v>
      </c>
      <c r="K5657" s="63" t="s">
        <v>1048</v>
      </c>
      <c r="L5657" s="63" t="s">
        <v>11290</v>
      </c>
      <c r="M5657" s="63" t="s">
        <v>11291</v>
      </c>
      <c r="N5657" s="63" t="s">
        <v>11114</v>
      </c>
    </row>
    <row r="5658" spans="1:14" x14ac:dyDescent="0.2">
      <c r="A5658" s="51">
        <v>5657</v>
      </c>
      <c r="B5658" s="54" t="s">
        <v>1048</v>
      </c>
      <c r="C5658" s="47" t="s">
        <v>11288</v>
      </c>
      <c r="D5658" s="47" t="s">
        <v>11289</v>
      </c>
      <c r="E5658" s="47" t="s">
        <v>11070</v>
      </c>
      <c r="F5658" s="55" t="b">
        <v>1</v>
      </c>
      <c r="G5658" s="54" t="b">
        <v>1</v>
      </c>
      <c r="H5658" s="54" t="b">
        <v>1</v>
      </c>
      <c r="I5658" s="54" t="b">
        <v>1</v>
      </c>
      <c r="J5658" s="54" t="b">
        <v>1</v>
      </c>
      <c r="K5658" s="63" t="s">
        <v>1048</v>
      </c>
      <c r="L5658" s="63" t="s">
        <v>11288</v>
      </c>
      <c r="M5658" s="63" t="s">
        <v>11289</v>
      </c>
      <c r="N5658" s="63" t="s">
        <v>11070</v>
      </c>
    </row>
    <row r="5659" spans="1:14" x14ac:dyDescent="0.2">
      <c r="A5659" s="51">
        <v>5658</v>
      </c>
      <c r="B5659" s="54" t="s">
        <v>1048</v>
      </c>
      <c r="C5659" s="47" t="s">
        <v>11296</v>
      </c>
      <c r="D5659" s="47" t="s">
        <v>11297</v>
      </c>
      <c r="E5659" s="47" t="s">
        <v>7734</v>
      </c>
      <c r="F5659" s="55" t="b">
        <v>1</v>
      </c>
      <c r="G5659" s="54" t="b">
        <v>1</v>
      </c>
      <c r="H5659" s="54" t="b">
        <v>1</v>
      </c>
      <c r="I5659" s="54" t="b">
        <v>1</v>
      </c>
      <c r="J5659" s="54" t="b">
        <v>1</v>
      </c>
      <c r="K5659" s="63" t="s">
        <v>1048</v>
      </c>
      <c r="L5659" s="63" t="s">
        <v>11296</v>
      </c>
      <c r="M5659" s="63" t="s">
        <v>11297</v>
      </c>
      <c r="N5659" s="63" t="s">
        <v>7734</v>
      </c>
    </row>
    <row r="5660" spans="1:14" x14ac:dyDescent="0.2">
      <c r="A5660" s="51">
        <v>5659</v>
      </c>
      <c r="B5660" s="54" t="s">
        <v>1048</v>
      </c>
      <c r="C5660" s="47" t="s">
        <v>11294</v>
      </c>
      <c r="D5660" s="47" t="s">
        <v>11295</v>
      </c>
      <c r="E5660" s="47" t="s">
        <v>11075</v>
      </c>
      <c r="F5660" s="55" t="b">
        <v>1</v>
      </c>
      <c r="G5660" s="54" t="b">
        <v>1</v>
      </c>
      <c r="H5660" s="54" t="b">
        <v>1</v>
      </c>
      <c r="I5660" s="54" t="b">
        <v>1</v>
      </c>
      <c r="J5660" s="54" t="b">
        <v>1</v>
      </c>
      <c r="K5660" s="63" t="s">
        <v>1048</v>
      </c>
      <c r="L5660" s="63" t="s">
        <v>11294</v>
      </c>
      <c r="M5660" s="63" t="s">
        <v>11295</v>
      </c>
      <c r="N5660" s="63" t="s">
        <v>11075</v>
      </c>
    </row>
    <row r="5661" spans="1:14" x14ac:dyDescent="0.2">
      <c r="A5661" s="51">
        <v>5660</v>
      </c>
      <c r="B5661" s="54" t="s">
        <v>1048</v>
      </c>
      <c r="C5661" s="47" t="s">
        <v>11298</v>
      </c>
      <c r="D5661" s="47" t="s">
        <v>11299</v>
      </c>
      <c r="E5661" s="47" t="s">
        <v>1788</v>
      </c>
      <c r="F5661" s="55" t="b">
        <v>1</v>
      </c>
      <c r="G5661" s="54" t="b">
        <v>1</v>
      </c>
      <c r="H5661" s="54" t="b">
        <v>1</v>
      </c>
      <c r="I5661" s="54" t="b">
        <v>1</v>
      </c>
      <c r="J5661" s="65" t="b">
        <v>0</v>
      </c>
      <c r="K5661" s="63" t="s">
        <v>1048</v>
      </c>
      <c r="L5661" s="63" t="s">
        <v>11298</v>
      </c>
      <c r="M5661" s="63" t="s">
        <v>11299</v>
      </c>
      <c r="N5661" s="63" t="s">
        <v>11114</v>
      </c>
    </row>
    <row r="5662" spans="1:14" x14ac:dyDescent="0.2">
      <c r="A5662" s="51">
        <v>5661</v>
      </c>
      <c r="B5662" s="54" t="s">
        <v>1048</v>
      </c>
      <c r="C5662" s="47" t="s">
        <v>11300</v>
      </c>
      <c r="D5662" s="47" t="s">
        <v>11301</v>
      </c>
      <c r="E5662" s="47" t="s">
        <v>11070</v>
      </c>
      <c r="F5662" s="55" t="b">
        <v>1</v>
      </c>
      <c r="G5662" s="54" t="b">
        <v>1</v>
      </c>
      <c r="H5662" s="54" t="b">
        <v>1</v>
      </c>
      <c r="I5662" s="54" t="b">
        <v>1</v>
      </c>
      <c r="J5662" s="54" t="b">
        <v>1</v>
      </c>
      <c r="K5662" s="63" t="s">
        <v>1048</v>
      </c>
      <c r="L5662" s="63" t="s">
        <v>11300</v>
      </c>
      <c r="M5662" s="63" t="s">
        <v>11301</v>
      </c>
      <c r="N5662" s="63" t="s">
        <v>11070</v>
      </c>
    </row>
    <row r="5663" spans="1:14" x14ac:dyDescent="0.2">
      <c r="A5663" s="51">
        <v>5662</v>
      </c>
      <c r="B5663" s="54" t="s">
        <v>1048</v>
      </c>
      <c r="C5663" s="47" t="s">
        <v>11304</v>
      </c>
      <c r="D5663" s="47" t="s">
        <v>11305</v>
      </c>
      <c r="E5663" s="47" t="s">
        <v>1788</v>
      </c>
      <c r="F5663" s="55" t="b">
        <v>1</v>
      </c>
      <c r="G5663" s="54" t="b">
        <v>1</v>
      </c>
      <c r="H5663" s="54" t="b">
        <v>1</v>
      </c>
      <c r="I5663" s="54" t="b">
        <v>1</v>
      </c>
      <c r="J5663" s="65" t="b">
        <v>0</v>
      </c>
      <c r="K5663" s="63" t="s">
        <v>1048</v>
      </c>
      <c r="L5663" s="63" t="s">
        <v>11304</v>
      </c>
      <c r="M5663" s="63" t="s">
        <v>11305</v>
      </c>
      <c r="N5663" s="63" t="s">
        <v>11114</v>
      </c>
    </row>
    <row r="5664" spans="1:14" x14ac:dyDescent="0.2">
      <c r="A5664" s="51">
        <v>5663</v>
      </c>
      <c r="B5664" s="54" t="s">
        <v>1048</v>
      </c>
      <c r="C5664" s="47" t="s">
        <v>11308</v>
      </c>
      <c r="D5664" s="47" t="s">
        <v>11309</v>
      </c>
      <c r="E5664" s="47" t="s">
        <v>11075</v>
      </c>
      <c r="F5664" s="55" t="b">
        <v>1</v>
      </c>
      <c r="G5664" s="54" t="b">
        <v>1</v>
      </c>
      <c r="H5664" s="54" t="b">
        <v>1</v>
      </c>
      <c r="I5664" s="54" t="b">
        <v>1</v>
      </c>
      <c r="J5664" s="54" t="b">
        <v>1</v>
      </c>
      <c r="K5664" s="63" t="s">
        <v>1048</v>
      </c>
      <c r="L5664" s="63" t="s">
        <v>11308</v>
      </c>
      <c r="M5664" s="63" t="s">
        <v>11309</v>
      </c>
      <c r="N5664" s="63" t="s">
        <v>11075</v>
      </c>
    </row>
    <row r="5665" spans="1:14" x14ac:dyDescent="0.2">
      <c r="A5665" s="51">
        <v>5664</v>
      </c>
      <c r="B5665" s="54" t="s">
        <v>1048</v>
      </c>
      <c r="C5665" s="47" t="s">
        <v>11302</v>
      </c>
      <c r="D5665" s="47" t="s">
        <v>11303</v>
      </c>
      <c r="E5665" s="47" t="s">
        <v>1790</v>
      </c>
      <c r="F5665" s="55" t="b">
        <v>1</v>
      </c>
      <c r="G5665" s="54" t="b">
        <v>1</v>
      </c>
      <c r="H5665" s="54" t="b">
        <v>1</v>
      </c>
      <c r="I5665" s="54" t="b">
        <v>1</v>
      </c>
      <c r="J5665" s="65" t="b">
        <v>0</v>
      </c>
      <c r="K5665" s="63" t="s">
        <v>1048</v>
      </c>
      <c r="L5665" s="63" t="s">
        <v>11302</v>
      </c>
      <c r="M5665" s="63" t="s">
        <v>11303</v>
      </c>
      <c r="N5665" s="63" t="s">
        <v>11055</v>
      </c>
    </row>
    <row r="5666" spans="1:14" x14ac:dyDescent="0.2">
      <c r="A5666" s="51">
        <v>5665</v>
      </c>
      <c r="B5666" s="54" t="s">
        <v>1048</v>
      </c>
      <c r="C5666" s="47" t="s">
        <v>11310</v>
      </c>
      <c r="D5666" s="47" t="s">
        <v>11311</v>
      </c>
      <c r="E5666" s="47" t="s">
        <v>11312</v>
      </c>
      <c r="F5666" s="55" t="b">
        <v>1</v>
      </c>
      <c r="G5666" s="54" t="b">
        <v>1</v>
      </c>
      <c r="H5666" s="54" t="b">
        <v>1</v>
      </c>
      <c r="I5666" s="54" t="b">
        <v>1</v>
      </c>
      <c r="J5666" s="54" t="b">
        <v>1</v>
      </c>
      <c r="K5666" s="63" t="s">
        <v>1048</v>
      </c>
      <c r="L5666" s="63" t="s">
        <v>11310</v>
      </c>
      <c r="M5666" s="63" t="s">
        <v>11311</v>
      </c>
      <c r="N5666" s="63" t="s">
        <v>11312</v>
      </c>
    </row>
    <row r="5667" spans="1:14" x14ac:dyDescent="0.2">
      <c r="A5667" s="51">
        <v>5666</v>
      </c>
      <c r="B5667" s="54" t="s">
        <v>1048</v>
      </c>
      <c r="C5667" s="47" t="s">
        <v>11292</v>
      </c>
      <c r="D5667" s="47" t="s">
        <v>11293</v>
      </c>
      <c r="E5667" s="47" t="s">
        <v>1790</v>
      </c>
      <c r="F5667" s="55" t="b">
        <v>1</v>
      </c>
      <c r="G5667" s="54" t="b">
        <v>1</v>
      </c>
      <c r="H5667" s="54" t="b">
        <v>1</v>
      </c>
      <c r="I5667" s="54" t="b">
        <v>1</v>
      </c>
      <c r="J5667" s="65" t="b">
        <v>0</v>
      </c>
      <c r="K5667" s="63" t="s">
        <v>1048</v>
      </c>
      <c r="L5667" s="63" t="s">
        <v>11292</v>
      </c>
      <c r="M5667" s="63" t="s">
        <v>11293</v>
      </c>
      <c r="N5667" s="63" t="s">
        <v>11055</v>
      </c>
    </row>
    <row r="5668" spans="1:14" x14ac:dyDescent="0.2">
      <c r="A5668" s="51">
        <v>5667</v>
      </c>
      <c r="B5668" s="54" t="s">
        <v>1048</v>
      </c>
      <c r="C5668" s="47" t="s">
        <v>11306</v>
      </c>
      <c r="D5668" s="47" t="s">
        <v>11307</v>
      </c>
      <c r="E5668" s="47" t="s">
        <v>1790</v>
      </c>
      <c r="F5668" s="55" t="b">
        <v>1</v>
      </c>
      <c r="G5668" s="54" t="b">
        <v>1</v>
      </c>
      <c r="H5668" s="54" t="b">
        <v>1</v>
      </c>
      <c r="I5668" s="54" t="b">
        <v>1</v>
      </c>
      <c r="J5668" s="65" t="b">
        <v>0</v>
      </c>
      <c r="K5668" s="63" t="s">
        <v>1048</v>
      </c>
      <c r="L5668" s="63" t="s">
        <v>11306</v>
      </c>
      <c r="M5668" s="63" t="s">
        <v>11307</v>
      </c>
      <c r="N5668" s="63" t="s">
        <v>11055</v>
      </c>
    </row>
    <row r="5669" spans="1:14" x14ac:dyDescent="0.2">
      <c r="A5669" s="51">
        <v>5668</v>
      </c>
      <c r="B5669" s="54" t="s">
        <v>1048</v>
      </c>
      <c r="C5669" s="47" t="s">
        <v>11313</v>
      </c>
      <c r="D5669" s="47" t="s">
        <v>11314</v>
      </c>
      <c r="E5669" s="47" t="s">
        <v>7734</v>
      </c>
      <c r="F5669" s="55" t="b">
        <v>1</v>
      </c>
      <c r="G5669" s="54" t="b">
        <v>1</v>
      </c>
      <c r="H5669" s="54" t="b">
        <v>1</v>
      </c>
      <c r="I5669" s="54" t="b">
        <v>1</v>
      </c>
      <c r="J5669" s="54" t="b">
        <v>1</v>
      </c>
      <c r="K5669" s="63" t="s">
        <v>1048</v>
      </c>
      <c r="L5669" s="63" t="s">
        <v>11313</v>
      </c>
      <c r="M5669" s="63" t="s">
        <v>11314</v>
      </c>
      <c r="N5669" s="63" t="s">
        <v>7734</v>
      </c>
    </row>
    <row r="5670" spans="1:14" x14ac:dyDescent="0.2">
      <c r="A5670" s="51">
        <v>5669</v>
      </c>
      <c r="B5670" s="54" t="s">
        <v>1048</v>
      </c>
      <c r="C5670" s="47" t="s">
        <v>11317</v>
      </c>
      <c r="D5670" s="47" t="s">
        <v>5720</v>
      </c>
      <c r="E5670" s="47" t="s">
        <v>11075</v>
      </c>
      <c r="F5670" s="55" t="b">
        <v>1</v>
      </c>
      <c r="G5670" s="54" t="b">
        <v>1</v>
      </c>
      <c r="H5670" s="54" t="b">
        <v>1</v>
      </c>
      <c r="I5670" s="54" t="b">
        <v>1</v>
      </c>
      <c r="J5670" s="54" t="b">
        <v>1</v>
      </c>
      <c r="K5670" s="63" t="s">
        <v>1048</v>
      </c>
      <c r="L5670" s="63" t="s">
        <v>11317</v>
      </c>
      <c r="M5670" s="63" t="s">
        <v>5720</v>
      </c>
      <c r="N5670" s="63" t="s">
        <v>11075</v>
      </c>
    </row>
    <row r="5671" spans="1:14" x14ac:dyDescent="0.2">
      <c r="A5671" s="51">
        <v>5670</v>
      </c>
      <c r="B5671" s="54" t="s">
        <v>1048</v>
      </c>
      <c r="C5671" s="47" t="s">
        <v>11325</v>
      </c>
      <c r="D5671" s="47" t="s">
        <v>11326</v>
      </c>
      <c r="E5671" s="47" t="s">
        <v>7734</v>
      </c>
      <c r="F5671" s="55" t="b">
        <v>1</v>
      </c>
      <c r="G5671" s="54" t="b">
        <v>1</v>
      </c>
      <c r="H5671" s="54" t="b">
        <v>1</v>
      </c>
      <c r="I5671" s="54" t="b">
        <v>1</v>
      </c>
      <c r="J5671" s="54" t="b">
        <v>1</v>
      </c>
      <c r="K5671" s="63" t="s">
        <v>1048</v>
      </c>
      <c r="L5671" s="63" t="s">
        <v>11325</v>
      </c>
      <c r="M5671" s="63" t="s">
        <v>11326</v>
      </c>
      <c r="N5671" s="63" t="s">
        <v>7734</v>
      </c>
    </row>
    <row r="5672" spans="1:14" x14ac:dyDescent="0.2">
      <c r="A5672" s="51">
        <v>5671</v>
      </c>
      <c r="B5672" s="54" t="s">
        <v>1048</v>
      </c>
      <c r="C5672" s="47" t="s">
        <v>11318</v>
      </c>
      <c r="D5672" s="47" t="s">
        <v>11319</v>
      </c>
      <c r="E5672" s="47" t="s">
        <v>7734</v>
      </c>
      <c r="F5672" s="55" t="b">
        <v>1</v>
      </c>
      <c r="G5672" s="54" t="b">
        <v>1</v>
      </c>
      <c r="H5672" s="54" t="b">
        <v>1</v>
      </c>
      <c r="I5672" s="54" t="b">
        <v>1</v>
      </c>
      <c r="J5672" s="54" t="b">
        <v>1</v>
      </c>
      <c r="K5672" s="63" t="s">
        <v>1048</v>
      </c>
      <c r="L5672" s="63" t="s">
        <v>11318</v>
      </c>
      <c r="M5672" s="63" t="s">
        <v>11319</v>
      </c>
      <c r="N5672" s="63" t="s">
        <v>7734</v>
      </c>
    </row>
    <row r="5673" spans="1:14" x14ac:dyDescent="0.2">
      <c r="A5673" s="51">
        <v>5672</v>
      </c>
      <c r="B5673" s="54" t="s">
        <v>1048</v>
      </c>
      <c r="C5673" s="47" t="s">
        <v>11315</v>
      </c>
      <c r="D5673" s="47" t="s">
        <v>11316</v>
      </c>
      <c r="E5673" s="47" t="s">
        <v>1790</v>
      </c>
      <c r="F5673" s="55" t="b">
        <v>1</v>
      </c>
      <c r="G5673" s="54" t="b">
        <v>1</v>
      </c>
      <c r="H5673" s="54" t="b">
        <v>1</v>
      </c>
      <c r="I5673" s="54" t="b">
        <v>1</v>
      </c>
      <c r="J5673" s="65" t="b">
        <v>0</v>
      </c>
      <c r="K5673" s="63" t="s">
        <v>1048</v>
      </c>
      <c r="L5673" s="63" t="s">
        <v>11315</v>
      </c>
      <c r="M5673" s="63" t="s">
        <v>11316</v>
      </c>
      <c r="N5673" s="63" t="s">
        <v>11055</v>
      </c>
    </row>
    <row r="5674" spans="1:14" x14ac:dyDescent="0.2">
      <c r="A5674" s="51">
        <v>5673</v>
      </c>
      <c r="B5674" s="54" t="s">
        <v>1048</v>
      </c>
      <c r="C5674" s="47" t="s">
        <v>11329</v>
      </c>
      <c r="D5674" s="47" t="s">
        <v>11330</v>
      </c>
      <c r="E5674" s="47" t="s">
        <v>7734</v>
      </c>
      <c r="F5674" s="55" t="b">
        <v>1</v>
      </c>
      <c r="G5674" s="54" t="b">
        <v>1</v>
      </c>
      <c r="H5674" s="54" t="b">
        <v>1</v>
      </c>
      <c r="I5674" s="54" t="b">
        <v>1</v>
      </c>
      <c r="J5674" s="54" t="b">
        <v>1</v>
      </c>
      <c r="K5674" s="63" t="s">
        <v>1048</v>
      </c>
      <c r="L5674" s="63" t="s">
        <v>11329</v>
      </c>
      <c r="M5674" s="63" t="s">
        <v>11330</v>
      </c>
      <c r="N5674" s="63" t="s">
        <v>7734</v>
      </c>
    </row>
    <row r="5675" spans="1:14" x14ac:dyDescent="0.2">
      <c r="A5675" s="51">
        <v>5674</v>
      </c>
      <c r="B5675" s="54" t="s">
        <v>1048</v>
      </c>
      <c r="C5675" s="47" t="s">
        <v>11327</v>
      </c>
      <c r="D5675" s="47" t="s">
        <v>11328</v>
      </c>
      <c r="E5675" s="47" t="s">
        <v>11046</v>
      </c>
      <c r="F5675" s="55" t="b">
        <v>1</v>
      </c>
      <c r="G5675" s="54" t="b">
        <v>1</v>
      </c>
      <c r="H5675" s="54" t="b">
        <v>1</v>
      </c>
      <c r="I5675" s="54" t="b">
        <v>1</v>
      </c>
      <c r="J5675" s="54" t="b">
        <v>1</v>
      </c>
      <c r="K5675" s="63" t="s">
        <v>1048</v>
      </c>
      <c r="L5675" s="63" t="s">
        <v>11327</v>
      </c>
      <c r="M5675" s="63" t="s">
        <v>11328</v>
      </c>
      <c r="N5675" s="63" t="s">
        <v>11046</v>
      </c>
    </row>
    <row r="5676" spans="1:14" x14ac:dyDescent="0.2">
      <c r="A5676" s="51">
        <v>5675</v>
      </c>
      <c r="B5676" s="54" t="s">
        <v>1048</v>
      </c>
      <c r="C5676" s="47" t="s">
        <v>11331</v>
      </c>
      <c r="D5676" s="47" t="s">
        <v>11332</v>
      </c>
      <c r="E5676" s="47" t="s">
        <v>7734</v>
      </c>
      <c r="F5676" s="55" t="b">
        <v>1</v>
      </c>
      <c r="G5676" s="54" t="b">
        <v>1</v>
      </c>
      <c r="H5676" s="54" t="b">
        <v>1</v>
      </c>
      <c r="I5676" s="54" t="b">
        <v>1</v>
      </c>
      <c r="J5676" s="54" t="b">
        <v>1</v>
      </c>
      <c r="K5676" s="63" t="s">
        <v>1048</v>
      </c>
      <c r="L5676" s="63" t="s">
        <v>11331</v>
      </c>
      <c r="M5676" s="63" t="s">
        <v>11332</v>
      </c>
      <c r="N5676" s="63" t="s">
        <v>7734</v>
      </c>
    </row>
    <row r="5677" spans="1:14" x14ac:dyDescent="0.2">
      <c r="A5677" s="51">
        <v>5676</v>
      </c>
      <c r="G5677" s="65" t="b">
        <v>0</v>
      </c>
      <c r="H5677" s="65" t="b">
        <v>0</v>
      </c>
      <c r="I5677" s="65" t="b">
        <v>0</v>
      </c>
      <c r="J5677" s="65" t="b">
        <v>0</v>
      </c>
      <c r="K5677" s="63" t="s">
        <v>1048</v>
      </c>
      <c r="L5677" s="63" t="s">
        <v>11331</v>
      </c>
      <c r="M5677" s="63" t="s">
        <v>11436</v>
      </c>
      <c r="N5677" s="63" t="s">
        <v>7734</v>
      </c>
    </row>
    <row r="5678" spans="1:14" x14ac:dyDescent="0.2">
      <c r="A5678" s="51">
        <v>5677</v>
      </c>
      <c r="B5678" s="54" t="s">
        <v>1048</v>
      </c>
      <c r="C5678" s="47" t="s">
        <v>11323</v>
      </c>
      <c r="D5678" s="47" t="s">
        <v>11324</v>
      </c>
      <c r="E5678" s="47" t="s">
        <v>11070</v>
      </c>
      <c r="F5678" s="55" t="b">
        <v>1</v>
      </c>
      <c r="G5678" s="54" t="b">
        <v>1</v>
      </c>
      <c r="H5678" s="54" t="b">
        <v>1</v>
      </c>
      <c r="I5678" s="54" t="b">
        <v>1</v>
      </c>
      <c r="J5678" s="54" t="b">
        <v>1</v>
      </c>
      <c r="K5678" s="63" t="s">
        <v>1048</v>
      </c>
      <c r="L5678" s="63" t="s">
        <v>11323</v>
      </c>
      <c r="M5678" s="63" t="s">
        <v>11324</v>
      </c>
      <c r="N5678" s="63" t="s">
        <v>11070</v>
      </c>
    </row>
    <row r="5679" spans="1:14" x14ac:dyDescent="0.2">
      <c r="A5679" s="51">
        <v>5678</v>
      </c>
      <c r="B5679" s="54" t="s">
        <v>1048</v>
      </c>
      <c r="C5679" s="47" t="s">
        <v>11333</v>
      </c>
      <c r="D5679" s="47" t="s">
        <v>11334</v>
      </c>
      <c r="E5679" s="47" t="s">
        <v>11046</v>
      </c>
      <c r="F5679" s="55" t="b">
        <v>1</v>
      </c>
      <c r="G5679" s="54" t="b">
        <v>1</v>
      </c>
      <c r="H5679" s="54" t="b">
        <v>1</v>
      </c>
      <c r="I5679" s="54" t="b">
        <v>1</v>
      </c>
      <c r="J5679" s="54" t="b">
        <v>1</v>
      </c>
      <c r="K5679" s="63" t="s">
        <v>1048</v>
      </c>
      <c r="L5679" s="63" t="s">
        <v>11333</v>
      </c>
      <c r="M5679" s="63" t="s">
        <v>11334</v>
      </c>
      <c r="N5679" s="63" t="s">
        <v>11046</v>
      </c>
    </row>
    <row r="5680" spans="1:14" x14ac:dyDescent="0.2">
      <c r="A5680" s="51">
        <v>5679</v>
      </c>
      <c r="B5680" s="54" t="s">
        <v>1048</v>
      </c>
      <c r="C5680" s="47" t="s">
        <v>11320</v>
      </c>
      <c r="D5680" s="47" t="s">
        <v>11322</v>
      </c>
      <c r="E5680" s="47" t="s">
        <v>7734</v>
      </c>
      <c r="F5680" s="55" t="b">
        <v>1</v>
      </c>
      <c r="G5680" s="54" t="b">
        <v>1</v>
      </c>
      <c r="H5680" s="54" t="b">
        <v>1</v>
      </c>
      <c r="I5680" s="65" t="b">
        <v>0</v>
      </c>
      <c r="J5680" s="54" t="b">
        <v>1</v>
      </c>
      <c r="K5680" s="63" t="s">
        <v>1048</v>
      </c>
      <c r="L5680" s="63" t="s">
        <v>11320</v>
      </c>
      <c r="M5680" s="63" t="s">
        <v>11321</v>
      </c>
      <c r="N5680" s="63" t="s">
        <v>7734</v>
      </c>
    </row>
    <row r="5681" spans="1:14" x14ac:dyDescent="0.2">
      <c r="A5681" s="51">
        <v>5680</v>
      </c>
      <c r="G5681" s="65" t="b">
        <v>0</v>
      </c>
      <c r="H5681" s="65" t="b">
        <v>0</v>
      </c>
      <c r="I5681" s="65" t="b">
        <v>0</v>
      </c>
      <c r="J5681" s="65" t="b">
        <v>0</v>
      </c>
      <c r="K5681" s="63" t="s">
        <v>1048</v>
      </c>
      <c r="L5681" s="63" t="s">
        <v>11320</v>
      </c>
      <c r="M5681" s="63" t="s">
        <v>11322</v>
      </c>
      <c r="N5681" s="63" t="s">
        <v>7734</v>
      </c>
    </row>
    <row r="5682" spans="1:14" x14ac:dyDescent="0.2">
      <c r="A5682" s="51">
        <v>5681</v>
      </c>
      <c r="B5682" s="54" t="s">
        <v>1048</v>
      </c>
      <c r="C5682" s="47" t="s">
        <v>11335</v>
      </c>
      <c r="D5682" s="47" t="s">
        <v>11336</v>
      </c>
      <c r="E5682" s="47" t="s">
        <v>1790</v>
      </c>
      <c r="F5682" s="55" t="b">
        <v>1</v>
      </c>
      <c r="G5682" s="54" t="b">
        <v>1</v>
      </c>
      <c r="H5682" s="54" t="b">
        <v>1</v>
      </c>
      <c r="I5682" s="54" t="b">
        <v>1</v>
      </c>
      <c r="J5682" s="65" t="b">
        <v>0</v>
      </c>
      <c r="K5682" s="63" t="s">
        <v>1048</v>
      </c>
      <c r="L5682" s="63" t="s">
        <v>11335</v>
      </c>
      <c r="M5682" s="63" t="s">
        <v>11336</v>
      </c>
      <c r="N5682" s="63" t="s">
        <v>11055</v>
      </c>
    </row>
    <row r="5683" spans="1:14" x14ac:dyDescent="0.2">
      <c r="A5683" s="51">
        <v>5682</v>
      </c>
      <c r="B5683" s="54" t="s">
        <v>1048</v>
      </c>
      <c r="C5683" s="47" t="s">
        <v>11349</v>
      </c>
      <c r="D5683" s="47" t="s">
        <v>11350</v>
      </c>
      <c r="E5683" s="47" t="s">
        <v>11046</v>
      </c>
      <c r="F5683" s="55" t="b">
        <v>1</v>
      </c>
      <c r="G5683" s="54" t="b">
        <v>1</v>
      </c>
      <c r="H5683" s="54" t="b">
        <v>1</v>
      </c>
      <c r="I5683" s="54" t="b">
        <v>1</v>
      </c>
      <c r="J5683" s="54" t="b">
        <v>1</v>
      </c>
      <c r="K5683" s="63" t="s">
        <v>1048</v>
      </c>
      <c r="L5683" s="63" t="s">
        <v>11349</v>
      </c>
      <c r="M5683" s="63" t="s">
        <v>11350</v>
      </c>
      <c r="N5683" s="63" t="s">
        <v>11046</v>
      </c>
    </row>
    <row r="5684" spans="1:14" x14ac:dyDescent="0.2">
      <c r="A5684" s="51">
        <v>5683</v>
      </c>
      <c r="B5684" s="54" t="s">
        <v>1048</v>
      </c>
      <c r="C5684" s="47" t="s">
        <v>11369</v>
      </c>
      <c r="D5684" s="47" t="s">
        <v>11370</v>
      </c>
      <c r="E5684" s="47" t="s">
        <v>7734</v>
      </c>
      <c r="F5684" s="55" t="b">
        <v>1</v>
      </c>
      <c r="G5684" s="54" t="b">
        <v>1</v>
      </c>
      <c r="H5684" s="54" t="b">
        <v>1</v>
      </c>
      <c r="I5684" s="54" t="b">
        <v>1</v>
      </c>
      <c r="J5684" s="54" t="b">
        <v>1</v>
      </c>
      <c r="K5684" s="63" t="s">
        <v>1048</v>
      </c>
      <c r="L5684" s="63" t="s">
        <v>11369</v>
      </c>
      <c r="M5684" s="63" t="s">
        <v>11370</v>
      </c>
      <c r="N5684" s="63" t="s">
        <v>7734</v>
      </c>
    </row>
    <row r="5685" spans="1:14" x14ac:dyDescent="0.2">
      <c r="A5685" s="51">
        <v>5684</v>
      </c>
      <c r="B5685" s="54" t="s">
        <v>1048</v>
      </c>
      <c r="C5685" s="47" t="s">
        <v>11351</v>
      </c>
      <c r="D5685" s="47" t="s">
        <v>11352</v>
      </c>
      <c r="E5685" s="47" t="s">
        <v>1790</v>
      </c>
      <c r="F5685" s="55" t="b">
        <v>1</v>
      </c>
      <c r="G5685" s="54" t="b">
        <v>1</v>
      </c>
      <c r="H5685" s="54" t="b">
        <v>1</v>
      </c>
      <c r="I5685" s="54" t="b">
        <v>1</v>
      </c>
      <c r="J5685" s="65" t="b">
        <v>0</v>
      </c>
      <c r="K5685" s="63" t="s">
        <v>1048</v>
      </c>
      <c r="L5685" s="63" t="s">
        <v>11351</v>
      </c>
      <c r="M5685" s="63" t="s">
        <v>11352</v>
      </c>
      <c r="N5685" s="63" t="s">
        <v>11055</v>
      </c>
    </row>
    <row r="5686" spans="1:14" x14ac:dyDescent="0.2">
      <c r="A5686" s="51">
        <v>5685</v>
      </c>
      <c r="B5686" s="54" t="s">
        <v>1048</v>
      </c>
      <c r="C5686" s="47" t="s">
        <v>11353</v>
      </c>
      <c r="D5686" s="47" t="s">
        <v>11354</v>
      </c>
      <c r="E5686" s="47" t="s">
        <v>7734</v>
      </c>
      <c r="F5686" s="55" t="b">
        <v>1</v>
      </c>
      <c r="G5686" s="54" t="b">
        <v>1</v>
      </c>
      <c r="H5686" s="54" t="b">
        <v>1</v>
      </c>
      <c r="I5686" s="54" t="b">
        <v>1</v>
      </c>
      <c r="J5686" s="54" t="b">
        <v>1</v>
      </c>
      <c r="K5686" s="63" t="s">
        <v>1048</v>
      </c>
      <c r="L5686" s="63" t="s">
        <v>11353</v>
      </c>
      <c r="M5686" s="63" t="s">
        <v>11354</v>
      </c>
      <c r="N5686" s="63" t="s">
        <v>7734</v>
      </c>
    </row>
    <row r="5687" spans="1:14" x14ac:dyDescent="0.2">
      <c r="A5687" s="51">
        <v>5686</v>
      </c>
      <c r="B5687" s="54" t="s">
        <v>1048</v>
      </c>
      <c r="C5687" s="47" t="s">
        <v>11338</v>
      </c>
      <c r="D5687" s="47" t="s">
        <v>11339</v>
      </c>
      <c r="E5687" s="47" t="s">
        <v>11075</v>
      </c>
      <c r="F5687" s="55" t="b">
        <v>1</v>
      </c>
      <c r="G5687" s="54" t="b">
        <v>1</v>
      </c>
      <c r="H5687" s="54" t="b">
        <v>1</v>
      </c>
      <c r="I5687" s="54" t="b">
        <v>1</v>
      </c>
      <c r="J5687" s="54" t="b">
        <v>1</v>
      </c>
      <c r="K5687" s="63" t="s">
        <v>1048</v>
      </c>
      <c r="L5687" s="63" t="s">
        <v>11338</v>
      </c>
      <c r="M5687" s="63" t="s">
        <v>11339</v>
      </c>
      <c r="N5687" s="63" t="s">
        <v>11075</v>
      </c>
    </row>
    <row r="5688" spans="1:14" x14ac:dyDescent="0.2">
      <c r="A5688" s="51">
        <v>5687</v>
      </c>
      <c r="B5688" s="54" t="s">
        <v>1048</v>
      </c>
      <c r="C5688" s="47" t="s">
        <v>11347</v>
      </c>
      <c r="D5688" s="47" t="s">
        <v>11348</v>
      </c>
      <c r="E5688" s="47" t="s">
        <v>1788</v>
      </c>
      <c r="F5688" s="55" t="b">
        <v>1</v>
      </c>
      <c r="G5688" s="54" t="b">
        <v>1</v>
      </c>
      <c r="H5688" s="54" t="b">
        <v>1</v>
      </c>
      <c r="I5688" s="54" t="b">
        <v>1</v>
      </c>
      <c r="J5688" s="65" t="b">
        <v>0</v>
      </c>
      <c r="K5688" s="63" t="s">
        <v>1048</v>
      </c>
      <c r="L5688" s="63" t="s">
        <v>11347</v>
      </c>
      <c r="M5688" s="63" t="s">
        <v>11348</v>
      </c>
      <c r="N5688" s="63" t="s">
        <v>11114</v>
      </c>
    </row>
    <row r="5689" spans="1:14" x14ac:dyDescent="0.2">
      <c r="A5689" s="51">
        <v>5688</v>
      </c>
      <c r="B5689" s="54" t="s">
        <v>1048</v>
      </c>
      <c r="C5689" s="47" t="s">
        <v>11371</v>
      </c>
      <c r="D5689" s="47" t="s">
        <v>11372</v>
      </c>
      <c r="E5689" s="47" t="s">
        <v>7734</v>
      </c>
      <c r="F5689" s="55" t="b">
        <v>1</v>
      </c>
      <c r="G5689" s="54" t="b">
        <v>1</v>
      </c>
      <c r="H5689" s="54" t="b">
        <v>1</v>
      </c>
      <c r="I5689" s="54" t="b">
        <v>1</v>
      </c>
      <c r="J5689" s="54" t="b">
        <v>1</v>
      </c>
      <c r="K5689" s="63" t="s">
        <v>1048</v>
      </c>
      <c r="L5689" s="63" t="s">
        <v>11371</v>
      </c>
      <c r="M5689" s="63" t="s">
        <v>11372</v>
      </c>
      <c r="N5689" s="63" t="s">
        <v>7734</v>
      </c>
    </row>
    <row r="5690" spans="1:14" x14ac:dyDescent="0.2">
      <c r="A5690" s="51">
        <v>5689</v>
      </c>
      <c r="B5690" s="54" t="s">
        <v>1048</v>
      </c>
      <c r="C5690" s="47" t="s">
        <v>11367</v>
      </c>
      <c r="D5690" s="47" t="s">
        <v>11368</v>
      </c>
      <c r="E5690" s="48" t="s">
        <v>1719</v>
      </c>
      <c r="F5690" s="66" t="b">
        <v>0</v>
      </c>
      <c r="G5690" s="54" t="b">
        <v>1</v>
      </c>
      <c r="H5690" s="54" t="b">
        <v>1</v>
      </c>
      <c r="I5690" s="54" t="b">
        <v>1</v>
      </c>
      <c r="J5690" s="54" t="b">
        <v>1</v>
      </c>
      <c r="K5690" s="63" t="s">
        <v>1048</v>
      </c>
      <c r="L5690" s="63" t="s">
        <v>11367</v>
      </c>
      <c r="M5690" s="63" t="s">
        <v>11368</v>
      </c>
      <c r="N5690" s="63" t="s">
        <v>1719</v>
      </c>
    </row>
    <row r="5691" spans="1:14" x14ac:dyDescent="0.2">
      <c r="A5691" s="51">
        <v>5690</v>
      </c>
      <c r="B5691" s="54" t="s">
        <v>1048</v>
      </c>
      <c r="C5691" s="47" t="s">
        <v>11355</v>
      </c>
      <c r="D5691" s="47" t="s">
        <v>11356</v>
      </c>
      <c r="E5691" s="47" t="s">
        <v>11046</v>
      </c>
      <c r="F5691" s="55" t="b">
        <v>1</v>
      </c>
      <c r="G5691" s="54" t="b">
        <v>1</v>
      </c>
      <c r="H5691" s="54" t="b">
        <v>1</v>
      </c>
      <c r="I5691" s="54" t="b">
        <v>1</v>
      </c>
      <c r="J5691" s="54" t="b">
        <v>1</v>
      </c>
      <c r="K5691" s="63" t="s">
        <v>1048</v>
      </c>
      <c r="L5691" s="63" t="s">
        <v>11355</v>
      </c>
      <c r="M5691" s="63" t="s">
        <v>11356</v>
      </c>
      <c r="N5691" s="63" t="s">
        <v>11046</v>
      </c>
    </row>
    <row r="5692" spans="1:14" x14ac:dyDescent="0.2">
      <c r="A5692" s="51">
        <v>5691</v>
      </c>
      <c r="B5692" s="54" t="s">
        <v>1048</v>
      </c>
      <c r="C5692" s="47" t="s">
        <v>11357</v>
      </c>
      <c r="D5692" s="47" t="s">
        <v>11358</v>
      </c>
      <c r="E5692" s="47" t="s">
        <v>7734</v>
      </c>
      <c r="F5692" s="55" t="b">
        <v>1</v>
      </c>
      <c r="G5692" s="54" t="b">
        <v>1</v>
      </c>
      <c r="H5692" s="54" t="b">
        <v>1</v>
      </c>
      <c r="I5692" s="54" t="b">
        <v>1</v>
      </c>
      <c r="J5692" s="54" t="b">
        <v>1</v>
      </c>
      <c r="K5692" s="63" t="s">
        <v>1048</v>
      </c>
      <c r="L5692" s="63" t="s">
        <v>11357</v>
      </c>
      <c r="M5692" s="63" t="s">
        <v>11358</v>
      </c>
      <c r="N5692" s="63" t="s">
        <v>7734</v>
      </c>
    </row>
    <row r="5693" spans="1:14" x14ac:dyDescent="0.2">
      <c r="A5693" s="51">
        <v>5692</v>
      </c>
      <c r="B5693" s="54" t="s">
        <v>1048</v>
      </c>
      <c r="C5693" s="47" t="s">
        <v>11359</v>
      </c>
      <c r="D5693" s="47" t="s">
        <v>11360</v>
      </c>
      <c r="E5693" s="47" t="s">
        <v>7734</v>
      </c>
      <c r="F5693" s="55" t="b">
        <v>1</v>
      </c>
      <c r="G5693" s="54" t="b">
        <v>1</v>
      </c>
      <c r="H5693" s="54" t="b">
        <v>1</v>
      </c>
      <c r="I5693" s="54" t="b">
        <v>1</v>
      </c>
      <c r="J5693" s="54" t="b">
        <v>1</v>
      </c>
      <c r="K5693" s="63" t="s">
        <v>1048</v>
      </c>
      <c r="L5693" s="63" t="s">
        <v>11359</v>
      </c>
      <c r="M5693" s="63" t="s">
        <v>11360</v>
      </c>
      <c r="N5693" s="63" t="s">
        <v>7734</v>
      </c>
    </row>
    <row r="5694" spans="1:14" x14ac:dyDescent="0.2">
      <c r="A5694" s="51">
        <v>5693</v>
      </c>
      <c r="B5694" s="54" t="s">
        <v>1048</v>
      </c>
      <c r="C5694" s="47" t="s">
        <v>11345</v>
      </c>
      <c r="D5694" s="47" t="s">
        <v>11346</v>
      </c>
      <c r="E5694" s="47" t="s">
        <v>1790</v>
      </c>
      <c r="F5694" s="55" t="b">
        <v>1</v>
      </c>
      <c r="G5694" s="54" t="b">
        <v>1</v>
      </c>
      <c r="H5694" s="54" t="b">
        <v>1</v>
      </c>
      <c r="I5694" s="54" t="b">
        <v>1</v>
      </c>
      <c r="J5694" s="65" t="b">
        <v>0</v>
      </c>
      <c r="K5694" s="63" t="s">
        <v>1048</v>
      </c>
      <c r="L5694" s="63" t="s">
        <v>11345</v>
      </c>
      <c r="M5694" s="63" t="s">
        <v>11346</v>
      </c>
      <c r="N5694" s="63" t="s">
        <v>11055</v>
      </c>
    </row>
    <row r="5695" spans="1:14" x14ac:dyDescent="0.2">
      <c r="A5695" s="51">
        <v>5694</v>
      </c>
      <c r="B5695" s="54" t="s">
        <v>1048</v>
      </c>
      <c r="C5695" s="47" t="s">
        <v>11365</v>
      </c>
      <c r="D5695" s="47" t="s">
        <v>11366</v>
      </c>
      <c r="E5695" s="47" t="s">
        <v>1788</v>
      </c>
      <c r="F5695" s="55" t="b">
        <v>1</v>
      </c>
      <c r="G5695" s="54" t="b">
        <v>1</v>
      </c>
      <c r="H5695" s="54" t="b">
        <v>1</v>
      </c>
      <c r="I5695" s="54" t="b">
        <v>1</v>
      </c>
      <c r="J5695" s="65" t="b">
        <v>0</v>
      </c>
      <c r="K5695" s="63" t="s">
        <v>1048</v>
      </c>
      <c r="L5695" s="63" t="s">
        <v>11365</v>
      </c>
      <c r="M5695" s="63" t="s">
        <v>11366</v>
      </c>
      <c r="N5695" s="63" t="s">
        <v>11114</v>
      </c>
    </row>
    <row r="5696" spans="1:14" x14ac:dyDescent="0.2">
      <c r="A5696" s="51">
        <v>5695</v>
      </c>
      <c r="B5696" s="54" t="s">
        <v>1048</v>
      </c>
      <c r="C5696" s="47" t="s">
        <v>11135</v>
      </c>
      <c r="D5696" s="47" t="s">
        <v>11337</v>
      </c>
      <c r="E5696" s="47" t="s">
        <v>7734</v>
      </c>
      <c r="F5696" s="55" t="b">
        <v>1</v>
      </c>
      <c r="G5696" s="54" t="b">
        <v>1</v>
      </c>
      <c r="H5696" s="54" t="b">
        <v>1</v>
      </c>
      <c r="I5696" s="65" t="b">
        <v>0</v>
      </c>
      <c r="J5696" s="54" t="b">
        <v>1</v>
      </c>
      <c r="K5696" s="63" t="s">
        <v>1048</v>
      </c>
      <c r="L5696" s="63" t="s">
        <v>11135</v>
      </c>
      <c r="M5696" s="63" t="s">
        <v>11136</v>
      </c>
      <c r="N5696" s="63" t="s">
        <v>7734</v>
      </c>
    </row>
    <row r="5697" spans="1:14" x14ac:dyDescent="0.2">
      <c r="A5697" s="51">
        <v>5696</v>
      </c>
      <c r="G5697" s="65" t="b">
        <v>0</v>
      </c>
      <c r="H5697" s="65" t="b">
        <v>0</v>
      </c>
      <c r="I5697" s="65" t="b">
        <v>0</v>
      </c>
      <c r="J5697" s="65" t="b">
        <v>0</v>
      </c>
      <c r="K5697" s="63" t="s">
        <v>1048</v>
      </c>
      <c r="L5697" s="63" t="s">
        <v>11135</v>
      </c>
      <c r="M5697" s="63" t="s">
        <v>11337</v>
      </c>
      <c r="N5697" s="63" t="s">
        <v>7734</v>
      </c>
    </row>
    <row r="5698" spans="1:14" x14ac:dyDescent="0.2">
      <c r="A5698" s="51">
        <v>5697</v>
      </c>
      <c r="B5698" s="54" t="s">
        <v>1048</v>
      </c>
      <c r="C5698" s="47" t="s">
        <v>11373</v>
      </c>
      <c r="D5698" s="47" t="s">
        <v>11374</v>
      </c>
      <c r="E5698" s="47" t="s">
        <v>1788</v>
      </c>
      <c r="F5698" s="55" t="b">
        <v>1</v>
      </c>
      <c r="G5698" s="54" t="b">
        <v>1</v>
      </c>
      <c r="H5698" s="54" t="b">
        <v>1</v>
      </c>
      <c r="I5698" s="54" t="b">
        <v>1</v>
      </c>
      <c r="J5698" s="65" t="b">
        <v>0</v>
      </c>
      <c r="K5698" s="63" t="s">
        <v>1048</v>
      </c>
      <c r="L5698" s="63" t="s">
        <v>11373</v>
      </c>
      <c r="M5698" s="63" t="s">
        <v>11374</v>
      </c>
      <c r="N5698" s="63" t="s">
        <v>11114</v>
      </c>
    </row>
    <row r="5699" spans="1:14" x14ac:dyDescent="0.2">
      <c r="A5699" s="51">
        <v>5698</v>
      </c>
      <c r="B5699" s="54" t="s">
        <v>1048</v>
      </c>
      <c r="C5699" s="47" t="s">
        <v>11361</v>
      </c>
      <c r="D5699" s="47" t="s">
        <v>11362</v>
      </c>
      <c r="E5699" s="47" t="s">
        <v>11075</v>
      </c>
      <c r="F5699" s="55" t="b">
        <v>1</v>
      </c>
      <c r="G5699" s="54" t="b">
        <v>1</v>
      </c>
      <c r="H5699" s="54" t="b">
        <v>1</v>
      </c>
      <c r="I5699" s="54" t="b">
        <v>1</v>
      </c>
      <c r="J5699" s="54" t="b">
        <v>1</v>
      </c>
      <c r="K5699" s="63" t="s">
        <v>1048</v>
      </c>
      <c r="L5699" s="63" t="s">
        <v>11361</v>
      </c>
      <c r="M5699" s="63" t="s">
        <v>11362</v>
      </c>
      <c r="N5699" s="63" t="s">
        <v>11075</v>
      </c>
    </row>
    <row r="5700" spans="1:14" x14ac:dyDescent="0.2">
      <c r="A5700" s="51">
        <v>5699</v>
      </c>
      <c r="B5700" s="54" t="s">
        <v>1048</v>
      </c>
      <c r="C5700" s="47" t="s">
        <v>11340</v>
      </c>
      <c r="D5700" s="47" t="s">
        <v>11341</v>
      </c>
      <c r="E5700" s="47" t="s">
        <v>11070</v>
      </c>
      <c r="F5700" s="55" t="b">
        <v>1</v>
      </c>
      <c r="G5700" s="54" t="b">
        <v>1</v>
      </c>
      <c r="H5700" s="54" t="b">
        <v>1</v>
      </c>
      <c r="I5700" s="54" t="b">
        <v>1</v>
      </c>
      <c r="J5700" s="54" t="b">
        <v>1</v>
      </c>
      <c r="K5700" s="63" t="s">
        <v>1048</v>
      </c>
      <c r="L5700" s="63" t="s">
        <v>11340</v>
      </c>
      <c r="M5700" s="63" t="s">
        <v>11341</v>
      </c>
      <c r="N5700" s="63" t="s">
        <v>11070</v>
      </c>
    </row>
    <row r="5701" spans="1:14" x14ac:dyDescent="0.2">
      <c r="A5701" s="51">
        <v>5700</v>
      </c>
      <c r="B5701" s="54" t="s">
        <v>1048</v>
      </c>
      <c r="C5701" s="47" t="s">
        <v>11133</v>
      </c>
      <c r="D5701" s="47" t="s">
        <v>11342</v>
      </c>
      <c r="E5701" s="47" t="s">
        <v>7734</v>
      </c>
      <c r="F5701" s="55" t="b">
        <v>1</v>
      </c>
      <c r="G5701" s="54" t="b">
        <v>1</v>
      </c>
      <c r="H5701" s="54" t="b">
        <v>1</v>
      </c>
      <c r="I5701" s="65" t="b">
        <v>0</v>
      </c>
      <c r="J5701" s="54" t="b">
        <v>1</v>
      </c>
      <c r="K5701" s="63" t="s">
        <v>1048</v>
      </c>
      <c r="L5701" s="63" t="s">
        <v>11133</v>
      </c>
      <c r="M5701" s="63" t="s">
        <v>11134</v>
      </c>
      <c r="N5701" s="63" t="s">
        <v>7734</v>
      </c>
    </row>
    <row r="5702" spans="1:14" x14ac:dyDescent="0.2">
      <c r="A5702" s="51">
        <v>5701</v>
      </c>
      <c r="G5702" s="65" t="b">
        <v>0</v>
      </c>
      <c r="H5702" s="65" t="b">
        <v>0</v>
      </c>
      <c r="I5702" s="65" t="b">
        <v>0</v>
      </c>
      <c r="J5702" s="65" t="b">
        <v>0</v>
      </c>
      <c r="K5702" s="63" t="s">
        <v>1048</v>
      </c>
      <c r="L5702" s="63" t="s">
        <v>11133</v>
      </c>
      <c r="M5702" s="63" t="s">
        <v>11342</v>
      </c>
      <c r="N5702" s="63" t="s">
        <v>7734</v>
      </c>
    </row>
    <row r="5703" spans="1:14" x14ac:dyDescent="0.2">
      <c r="A5703" s="51">
        <v>5702</v>
      </c>
      <c r="B5703" s="54" t="s">
        <v>1048</v>
      </c>
      <c r="C5703" s="47" t="s">
        <v>11363</v>
      </c>
      <c r="D5703" s="47" t="s">
        <v>11364</v>
      </c>
      <c r="E5703" s="47" t="s">
        <v>1788</v>
      </c>
      <c r="F5703" s="55" t="b">
        <v>1</v>
      </c>
      <c r="G5703" s="54" t="b">
        <v>1</v>
      </c>
      <c r="H5703" s="54" t="b">
        <v>1</v>
      </c>
      <c r="I5703" s="54" t="b">
        <v>1</v>
      </c>
      <c r="J5703" s="65" t="b">
        <v>0</v>
      </c>
      <c r="K5703" s="63" t="s">
        <v>1048</v>
      </c>
      <c r="L5703" s="63" t="s">
        <v>11363</v>
      </c>
      <c r="M5703" s="63" t="s">
        <v>11364</v>
      </c>
      <c r="N5703" s="63" t="s">
        <v>11114</v>
      </c>
    </row>
    <row r="5704" spans="1:14" x14ac:dyDescent="0.2">
      <c r="A5704" s="51">
        <v>5703</v>
      </c>
      <c r="B5704" s="54" t="s">
        <v>1048</v>
      </c>
      <c r="C5704" s="47" t="s">
        <v>11343</v>
      </c>
      <c r="D5704" s="47" t="s">
        <v>11344</v>
      </c>
      <c r="E5704" s="47" t="s">
        <v>1790</v>
      </c>
      <c r="F5704" s="55" t="b">
        <v>1</v>
      </c>
      <c r="G5704" s="54" t="b">
        <v>1</v>
      </c>
      <c r="H5704" s="54" t="b">
        <v>1</v>
      </c>
      <c r="I5704" s="54" t="b">
        <v>1</v>
      </c>
      <c r="J5704" s="65" t="b">
        <v>0</v>
      </c>
      <c r="K5704" s="63" t="s">
        <v>1048</v>
      </c>
      <c r="L5704" s="63" t="s">
        <v>11343</v>
      </c>
      <c r="M5704" s="63" t="s">
        <v>11344</v>
      </c>
      <c r="N5704" s="63" t="s">
        <v>11055</v>
      </c>
    </row>
    <row r="5705" spans="1:14" x14ac:dyDescent="0.2">
      <c r="A5705" s="51">
        <v>5704</v>
      </c>
      <c r="B5705" s="54" t="s">
        <v>1048</v>
      </c>
      <c r="C5705" s="47" t="s">
        <v>11375</v>
      </c>
      <c r="D5705" s="47" t="s">
        <v>11376</v>
      </c>
      <c r="E5705" s="47" t="s">
        <v>11075</v>
      </c>
      <c r="F5705" s="55" t="b">
        <v>1</v>
      </c>
      <c r="G5705" s="54" t="b">
        <v>1</v>
      </c>
      <c r="H5705" s="54" t="b">
        <v>1</v>
      </c>
      <c r="I5705" s="54" t="b">
        <v>1</v>
      </c>
      <c r="J5705" s="54" t="b">
        <v>1</v>
      </c>
      <c r="K5705" s="63" t="s">
        <v>1048</v>
      </c>
      <c r="L5705" s="63" t="s">
        <v>11375</v>
      </c>
      <c r="M5705" s="63" t="s">
        <v>11376</v>
      </c>
      <c r="N5705" s="63" t="s">
        <v>11075</v>
      </c>
    </row>
    <row r="5706" spans="1:14" x14ac:dyDescent="0.2">
      <c r="A5706" s="51">
        <v>5705</v>
      </c>
      <c r="B5706" s="54" t="s">
        <v>1048</v>
      </c>
      <c r="C5706" s="47" t="s">
        <v>11377</v>
      </c>
      <c r="D5706" s="47" t="s">
        <v>11378</v>
      </c>
      <c r="E5706" s="47" t="s">
        <v>1790</v>
      </c>
      <c r="F5706" s="55" t="b">
        <v>1</v>
      </c>
      <c r="G5706" s="54" t="b">
        <v>1</v>
      </c>
      <c r="H5706" s="54" t="b">
        <v>1</v>
      </c>
      <c r="I5706" s="54" t="b">
        <v>1</v>
      </c>
      <c r="J5706" s="65" t="b">
        <v>0</v>
      </c>
      <c r="K5706" s="63" t="s">
        <v>1048</v>
      </c>
      <c r="L5706" s="63" t="s">
        <v>11377</v>
      </c>
      <c r="M5706" s="63" t="s">
        <v>11378</v>
      </c>
      <c r="N5706" s="63" t="s">
        <v>11055</v>
      </c>
    </row>
    <row r="5707" spans="1:14" x14ac:dyDescent="0.2">
      <c r="A5707" s="51">
        <v>5706</v>
      </c>
      <c r="B5707" s="54" t="s">
        <v>1048</v>
      </c>
      <c r="C5707" s="47" t="s">
        <v>11379</v>
      </c>
      <c r="D5707" s="47" t="s">
        <v>11380</v>
      </c>
      <c r="E5707" s="47" t="s">
        <v>11046</v>
      </c>
      <c r="F5707" s="55" t="b">
        <v>1</v>
      </c>
      <c r="G5707" s="54" t="b">
        <v>1</v>
      </c>
      <c r="H5707" s="54" t="b">
        <v>1</v>
      </c>
      <c r="I5707" s="54" t="b">
        <v>1</v>
      </c>
      <c r="J5707" s="54" t="b">
        <v>1</v>
      </c>
      <c r="K5707" s="63" t="s">
        <v>1048</v>
      </c>
      <c r="L5707" s="63" t="s">
        <v>11379</v>
      </c>
      <c r="M5707" s="63" t="s">
        <v>11380</v>
      </c>
      <c r="N5707" s="63" t="s">
        <v>11046</v>
      </c>
    </row>
    <row r="5708" spans="1:14" x14ac:dyDescent="0.2">
      <c r="A5708" s="51">
        <v>5707</v>
      </c>
      <c r="B5708" s="54" t="s">
        <v>1048</v>
      </c>
      <c r="C5708" s="47" t="s">
        <v>11381</v>
      </c>
      <c r="D5708" s="47" t="s">
        <v>11382</v>
      </c>
      <c r="E5708" s="47" t="s">
        <v>1788</v>
      </c>
      <c r="F5708" s="55" t="b">
        <v>1</v>
      </c>
      <c r="G5708" s="54" t="b">
        <v>1</v>
      </c>
      <c r="H5708" s="54" t="b">
        <v>1</v>
      </c>
      <c r="I5708" s="54" t="b">
        <v>1</v>
      </c>
      <c r="J5708" s="65" t="b">
        <v>0</v>
      </c>
      <c r="K5708" s="63" t="s">
        <v>1048</v>
      </c>
      <c r="L5708" s="63" t="s">
        <v>11381</v>
      </c>
      <c r="M5708" s="63" t="s">
        <v>11382</v>
      </c>
      <c r="N5708" s="63" t="s">
        <v>11114</v>
      </c>
    </row>
    <row r="5709" spans="1:14" x14ac:dyDescent="0.2">
      <c r="A5709" s="51">
        <v>5708</v>
      </c>
      <c r="B5709" s="54" t="s">
        <v>1048</v>
      </c>
      <c r="C5709" s="47" t="s">
        <v>11383</v>
      </c>
      <c r="D5709" s="47" t="s">
        <v>11384</v>
      </c>
      <c r="E5709" s="47" t="s">
        <v>7734</v>
      </c>
      <c r="F5709" s="55" t="b">
        <v>1</v>
      </c>
      <c r="G5709" s="54" t="b">
        <v>1</v>
      </c>
      <c r="H5709" s="54" t="b">
        <v>1</v>
      </c>
      <c r="I5709" s="54" t="b">
        <v>1</v>
      </c>
      <c r="J5709" s="54" t="b">
        <v>1</v>
      </c>
      <c r="K5709" s="63" t="s">
        <v>1048</v>
      </c>
      <c r="L5709" s="63" t="s">
        <v>11383</v>
      </c>
      <c r="M5709" s="63" t="s">
        <v>11384</v>
      </c>
      <c r="N5709" s="63" t="s">
        <v>7734</v>
      </c>
    </row>
    <row r="5710" spans="1:14" x14ac:dyDescent="0.2">
      <c r="A5710" s="51">
        <v>5709</v>
      </c>
      <c r="G5710" s="65" t="b">
        <v>0</v>
      </c>
      <c r="H5710" s="65" t="b">
        <v>0</v>
      </c>
      <c r="I5710" s="65" t="b">
        <v>0</v>
      </c>
      <c r="J5710" s="65" t="b">
        <v>0</v>
      </c>
      <c r="K5710" s="63" t="s">
        <v>1048</v>
      </c>
      <c r="L5710" s="63" t="s">
        <v>11383</v>
      </c>
      <c r="M5710" s="63" t="s">
        <v>11433</v>
      </c>
      <c r="N5710" s="63" t="s">
        <v>7734</v>
      </c>
    </row>
    <row r="5711" spans="1:14" x14ac:dyDescent="0.2">
      <c r="A5711" s="51">
        <v>5710</v>
      </c>
      <c r="B5711" s="54" t="s">
        <v>1048</v>
      </c>
      <c r="C5711" s="47" t="s">
        <v>11386</v>
      </c>
      <c r="D5711" s="47" t="s">
        <v>11387</v>
      </c>
      <c r="E5711" s="47" t="s">
        <v>11046</v>
      </c>
      <c r="F5711" s="55" t="b">
        <v>1</v>
      </c>
      <c r="G5711" s="54" t="b">
        <v>1</v>
      </c>
      <c r="H5711" s="54" t="b">
        <v>1</v>
      </c>
      <c r="I5711" s="54" t="b">
        <v>1</v>
      </c>
      <c r="J5711" s="54" t="b">
        <v>1</v>
      </c>
      <c r="K5711" s="63" t="s">
        <v>1048</v>
      </c>
      <c r="L5711" s="63" t="s">
        <v>11386</v>
      </c>
      <c r="M5711" s="63" t="s">
        <v>11387</v>
      </c>
      <c r="N5711" s="63" t="s">
        <v>11046</v>
      </c>
    </row>
    <row r="5712" spans="1:14" x14ac:dyDescent="0.2">
      <c r="A5712" s="51">
        <v>5711</v>
      </c>
      <c r="B5712" s="54" t="s">
        <v>1048</v>
      </c>
      <c r="C5712" s="47" t="s">
        <v>11390</v>
      </c>
      <c r="D5712" s="47" t="s">
        <v>11391</v>
      </c>
      <c r="E5712" s="47" t="s">
        <v>7734</v>
      </c>
      <c r="F5712" s="55" t="b">
        <v>1</v>
      </c>
      <c r="G5712" s="54" t="b">
        <v>1</v>
      </c>
      <c r="H5712" s="54" t="b">
        <v>1</v>
      </c>
      <c r="I5712" s="54" t="b">
        <v>1</v>
      </c>
      <c r="J5712" s="54" t="b">
        <v>1</v>
      </c>
      <c r="K5712" s="63" t="s">
        <v>1048</v>
      </c>
      <c r="L5712" s="63" t="s">
        <v>11390</v>
      </c>
      <c r="M5712" s="63" t="s">
        <v>11391</v>
      </c>
      <c r="N5712" s="63" t="s">
        <v>7734</v>
      </c>
    </row>
    <row r="5713" spans="1:14" x14ac:dyDescent="0.2">
      <c r="A5713" s="51">
        <v>5712</v>
      </c>
      <c r="B5713" s="54" t="s">
        <v>1048</v>
      </c>
      <c r="C5713" s="47" t="s">
        <v>11392</v>
      </c>
      <c r="D5713" s="47" t="s">
        <v>11393</v>
      </c>
      <c r="E5713" s="47" t="s">
        <v>7734</v>
      </c>
      <c r="F5713" s="55" t="b">
        <v>1</v>
      </c>
      <c r="G5713" s="54" t="b">
        <v>1</v>
      </c>
      <c r="H5713" s="54" t="b">
        <v>1</v>
      </c>
      <c r="I5713" s="54" t="b">
        <v>1</v>
      </c>
      <c r="J5713" s="54" t="b">
        <v>1</v>
      </c>
      <c r="K5713" s="63" t="s">
        <v>1048</v>
      </c>
      <c r="L5713" s="63" t="s">
        <v>11392</v>
      </c>
      <c r="M5713" s="63" t="s">
        <v>11393</v>
      </c>
      <c r="N5713" s="63" t="s">
        <v>7734</v>
      </c>
    </row>
    <row r="5714" spans="1:14" x14ac:dyDescent="0.2">
      <c r="A5714" s="51">
        <v>5713</v>
      </c>
      <c r="B5714" s="54" t="s">
        <v>1048</v>
      </c>
      <c r="C5714" s="47" t="s">
        <v>11394</v>
      </c>
      <c r="D5714" s="47" t="s">
        <v>11395</v>
      </c>
      <c r="E5714" s="47" t="s">
        <v>7734</v>
      </c>
      <c r="F5714" s="55" t="b">
        <v>1</v>
      </c>
      <c r="G5714" s="54" t="b">
        <v>1</v>
      </c>
      <c r="H5714" s="54" t="b">
        <v>1</v>
      </c>
      <c r="I5714" s="54" t="b">
        <v>1</v>
      </c>
      <c r="J5714" s="54" t="b">
        <v>1</v>
      </c>
      <c r="K5714" s="63" t="s">
        <v>1048</v>
      </c>
      <c r="L5714" s="63" t="s">
        <v>11394</v>
      </c>
      <c r="M5714" s="63" t="s">
        <v>11395</v>
      </c>
      <c r="N5714" s="63" t="s">
        <v>7734</v>
      </c>
    </row>
    <row r="5715" spans="1:14" x14ac:dyDescent="0.2">
      <c r="A5715" s="51">
        <v>5714</v>
      </c>
      <c r="B5715" s="54" t="s">
        <v>1048</v>
      </c>
      <c r="C5715" s="47" t="s">
        <v>11396</v>
      </c>
      <c r="D5715" s="47" t="s">
        <v>11397</v>
      </c>
      <c r="E5715" s="47" t="s">
        <v>7734</v>
      </c>
      <c r="F5715" s="55" t="b">
        <v>1</v>
      </c>
      <c r="G5715" s="54" t="b">
        <v>1</v>
      </c>
      <c r="H5715" s="54" t="b">
        <v>1</v>
      </c>
      <c r="I5715" s="54" t="b">
        <v>1</v>
      </c>
      <c r="J5715" s="54" t="b">
        <v>1</v>
      </c>
      <c r="K5715" s="63" t="s">
        <v>1048</v>
      </c>
      <c r="L5715" s="63" t="s">
        <v>11396</v>
      </c>
      <c r="M5715" s="63" t="s">
        <v>11397</v>
      </c>
      <c r="N5715" s="63" t="s">
        <v>7734</v>
      </c>
    </row>
    <row r="5716" spans="1:14" x14ac:dyDescent="0.2">
      <c r="A5716" s="51">
        <v>5715</v>
      </c>
      <c r="B5716" s="54" t="s">
        <v>1048</v>
      </c>
      <c r="C5716" s="47" t="s">
        <v>11388</v>
      </c>
      <c r="D5716" s="47" t="s">
        <v>11389</v>
      </c>
      <c r="E5716" s="47" t="s">
        <v>7734</v>
      </c>
      <c r="F5716" s="55" t="b">
        <v>1</v>
      </c>
      <c r="G5716" s="54" t="b">
        <v>1</v>
      </c>
      <c r="H5716" s="54" t="b">
        <v>1</v>
      </c>
      <c r="I5716" s="54" t="b">
        <v>1</v>
      </c>
      <c r="J5716" s="54" t="b">
        <v>1</v>
      </c>
      <c r="K5716" s="63" t="s">
        <v>1048</v>
      </c>
      <c r="L5716" s="63" t="s">
        <v>11388</v>
      </c>
      <c r="M5716" s="63" t="s">
        <v>11389</v>
      </c>
      <c r="N5716" s="63" t="s">
        <v>7734</v>
      </c>
    </row>
    <row r="5717" spans="1:14" x14ac:dyDescent="0.2">
      <c r="A5717" s="51">
        <v>5716</v>
      </c>
      <c r="B5717" s="54" t="s">
        <v>1048</v>
      </c>
      <c r="C5717" s="47" t="s">
        <v>11402</v>
      </c>
      <c r="D5717" s="47" t="s">
        <v>11403</v>
      </c>
      <c r="E5717" s="47" t="s">
        <v>7734</v>
      </c>
      <c r="F5717" s="55" t="b">
        <v>1</v>
      </c>
      <c r="G5717" s="54" t="b">
        <v>1</v>
      </c>
      <c r="H5717" s="54" t="b">
        <v>1</v>
      </c>
      <c r="I5717" s="54" t="b">
        <v>1</v>
      </c>
      <c r="J5717" s="54" t="b">
        <v>1</v>
      </c>
      <c r="K5717" s="63" t="s">
        <v>1048</v>
      </c>
      <c r="L5717" s="63" t="s">
        <v>11402</v>
      </c>
      <c r="M5717" s="63" t="s">
        <v>11403</v>
      </c>
      <c r="N5717" s="63" t="s">
        <v>7734</v>
      </c>
    </row>
    <row r="5718" spans="1:14" x14ac:dyDescent="0.2">
      <c r="A5718" s="51">
        <v>5717</v>
      </c>
      <c r="B5718" s="54" t="s">
        <v>1048</v>
      </c>
      <c r="C5718" s="47" t="s">
        <v>11411</v>
      </c>
      <c r="D5718" s="47" t="s">
        <v>11412</v>
      </c>
      <c r="E5718" s="47" t="s">
        <v>11075</v>
      </c>
      <c r="F5718" s="55" t="b">
        <v>1</v>
      </c>
      <c r="G5718" s="54" t="b">
        <v>1</v>
      </c>
      <c r="H5718" s="54" t="b">
        <v>1</v>
      </c>
      <c r="I5718" s="54" t="b">
        <v>1</v>
      </c>
      <c r="J5718" s="54" t="b">
        <v>1</v>
      </c>
      <c r="K5718" s="63" t="s">
        <v>1048</v>
      </c>
      <c r="L5718" s="63" t="s">
        <v>11411</v>
      </c>
      <c r="M5718" s="63" t="s">
        <v>11412</v>
      </c>
      <c r="N5718" s="63" t="s">
        <v>11075</v>
      </c>
    </row>
    <row r="5719" spans="1:14" x14ac:dyDescent="0.2">
      <c r="A5719" s="51">
        <v>5718</v>
      </c>
      <c r="B5719" s="54" t="s">
        <v>1048</v>
      </c>
      <c r="C5719" s="47" t="s">
        <v>11406</v>
      </c>
      <c r="D5719" s="47" t="s">
        <v>13874</v>
      </c>
      <c r="E5719" s="47" t="s">
        <v>7734</v>
      </c>
      <c r="F5719" s="55" t="b">
        <v>1</v>
      </c>
      <c r="G5719" s="54" t="b">
        <v>1</v>
      </c>
      <c r="H5719" s="54" t="b">
        <v>1</v>
      </c>
      <c r="I5719" s="65" t="b">
        <v>0</v>
      </c>
      <c r="J5719" s="54" t="b">
        <v>1</v>
      </c>
      <c r="K5719" s="63" t="s">
        <v>1048</v>
      </c>
      <c r="L5719" s="63" t="s">
        <v>11406</v>
      </c>
      <c r="M5719" s="63" t="s">
        <v>11407</v>
      </c>
      <c r="N5719" s="63" t="s">
        <v>7734</v>
      </c>
    </row>
    <row r="5720" spans="1:14" x14ac:dyDescent="0.2">
      <c r="A5720" s="51">
        <v>5719</v>
      </c>
      <c r="G5720" s="65" t="b">
        <v>0</v>
      </c>
      <c r="H5720" s="65" t="b">
        <v>0</v>
      </c>
      <c r="I5720" s="65" t="b">
        <v>0</v>
      </c>
      <c r="J5720" s="65" t="b">
        <v>0</v>
      </c>
      <c r="K5720" s="63" t="s">
        <v>1048</v>
      </c>
      <c r="L5720" s="63" t="s">
        <v>11406</v>
      </c>
      <c r="M5720" s="63" t="s">
        <v>11408</v>
      </c>
      <c r="N5720" s="63" t="s">
        <v>7734</v>
      </c>
    </row>
    <row r="5721" spans="1:14" x14ac:dyDescent="0.2">
      <c r="A5721" s="51">
        <v>5720</v>
      </c>
      <c r="B5721" s="54" t="s">
        <v>1048</v>
      </c>
      <c r="C5721" s="47" t="s">
        <v>11400</v>
      </c>
      <c r="D5721" s="47" t="s">
        <v>11401</v>
      </c>
      <c r="E5721" s="47" t="s">
        <v>11070</v>
      </c>
      <c r="F5721" s="55" t="b">
        <v>1</v>
      </c>
      <c r="G5721" s="54" t="b">
        <v>1</v>
      </c>
      <c r="H5721" s="54" t="b">
        <v>1</v>
      </c>
      <c r="I5721" s="54" t="b">
        <v>1</v>
      </c>
      <c r="J5721" s="54" t="b">
        <v>1</v>
      </c>
      <c r="K5721" s="63" t="s">
        <v>1048</v>
      </c>
      <c r="L5721" s="63" t="s">
        <v>11400</v>
      </c>
      <c r="M5721" s="63" t="s">
        <v>11401</v>
      </c>
      <c r="N5721" s="63" t="s">
        <v>11070</v>
      </c>
    </row>
    <row r="5722" spans="1:14" x14ac:dyDescent="0.2">
      <c r="A5722" s="51">
        <v>5721</v>
      </c>
      <c r="B5722" s="54" t="s">
        <v>1048</v>
      </c>
      <c r="C5722" s="47" t="s">
        <v>11398</v>
      </c>
      <c r="D5722" s="47" t="s">
        <v>11399</v>
      </c>
      <c r="E5722" s="47" t="s">
        <v>7734</v>
      </c>
      <c r="F5722" s="55" t="b">
        <v>1</v>
      </c>
      <c r="G5722" s="54" t="b">
        <v>1</v>
      </c>
      <c r="H5722" s="54" t="b">
        <v>1</v>
      </c>
      <c r="I5722" s="54" t="b">
        <v>1</v>
      </c>
      <c r="J5722" s="54" t="b">
        <v>1</v>
      </c>
      <c r="K5722" s="63" t="s">
        <v>1048</v>
      </c>
      <c r="L5722" s="63" t="s">
        <v>11398</v>
      </c>
      <c r="M5722" s="63" t="s">
        <v>11399</v>
      </c>
      <c r="N5722" s="63" t="s">
        <v>7734</v>
      </c>
    </row>
    <row r="5723" spans="1:14" x14ac:dyDescent="0.2">
      <c r="A5723" s="51">
        <v>5722</v>
      </c>
      <c r="B5723" s="54" t="s">
        <v>1048</v>
      </c>
      <c r="C5723" s="47" t="s">
        <v>11404</v>
      </c>
      <c r="D5723" s="47" t="s">
        <v>11405</v>
      </c>
      <c r="E5723" s="47" t="s">
        <v>11046</v>
      </c>
      <c r="F5723" s="55" t="b">
        <v>1</v>
      </c>
      <c r="G5723" s="54" t="b">
        <v>1</v>
      </c>
      <c r="H5723" s="54" t="b">
        <v>1</v>
      </c>
      <c r="I5723" s="54" t="b">
        <v>1</v>
      </c>
      <c r="J5723" s="54" t="b">
        <v>1</v>
      </c>
      <c r="K5723" s="63" t="s">
        <v>1048</v>
      </c>
      <c r="L5723" s="63" t="s">
        <v>11404</v>
      </c>
      <c r="M5723" s="63" t="s">
        <v>11405</v>
      </c>
      <c r="N5723" s="63" t="s">
        <v>11046</v>
      </c>
    </row>
    <row r="5724" spans="1:14" x14ac:dyDescent="0.2">
      <c r="A5724" s="51">
        <v>5723</v>
      </c>
      <c r="B5724" s="54" t="s">
        <v>1048</v>
      </c>
      <c r="C5724" s="47" t="s">
        <v>11409</v>
      </c>
      <c r="D5724" s="47" t="s">
        <v>11410</v>
      </c>
      <c r="E5724" s="47" t="s">
        <v>11070</v>
      </c>
      <c r="F5724" s="55" t="b">
        <v>1</v>
      </c>
      <c r="G5724" s="54" t="b">
        <v>1</v>
      </c>
      <c r="H5724" s="54" t="b">
        <v>1</v>
      </c>
      <c r="I5724" s="54" t="b">
        <v>1</v>
      </c>
      <c r="J5724" s="54" t="b">
        <v>1</v>
      </c>
      <c r="K5724" s="63" t="s">
        <v>1048</v>
      </c>
      <c r="L5724" s="63" t="s">
        <v>11409</v>
      </c>
      <c r="M5724" s="63" t="s">
        <v>11410</v>
      </c>
      <c r="N5724" s="63" t="s">
        <v>11070</v>
      </c>
    </row>
    <row r="5725" spans="1:14" x14ac:dyDescent="0.2">
      <c r="A5725" s="51">
        <v>5724</v>
      </c>
      <c r="B5725" s="54" t="s">
        <v>1048</v>
      </c>
      <c r="C5725" s="47" t="s">
        <v>11413</v>
      </c>
      <c r="D5725" s="47" t="s">
        <v>11414</v>
      </c>
      <c r="E5725" s="47" t="s">
        <v>11075</v>
      </c>
      <c r="F5725" s="55" t="b">
        <v>1</v>
      </c>
      <c r="G5725" s="54" t="b">
        <v>1</v>
      </c>
      <c r="H5725" s="54" t="b">
        <v>1</v>
      </c>
      <c r="I5725" s="54" t="b">
        <v>1</v>
      </c>
      <c r="J5725" s="54" t="b">
        <v>1</v>
      </c>
      <c r="K5725" s="63" t="s">
        <v>1048</v>
      </c>
      <c r="L5725" s="63" t="s">
        <v>11413</v>
      </c>
      <c r="M5725" s="63" t="s">
        <v>11414</v>
      </c>
      <c r="N5725" s="63" t="s">
        <v>11075</v>
      </c>
    </row>
    <row r="5726" spans="1:14" x14ac:dyDescent="0.2">
      <c r="A5726" s="51">
        <v>5725</v>
      </c>
      <c r="B5726" s="54" t="s">
        <v>1048</v>
      </c>
      <c r="C5726" s="47" t="s">
        <v>11415</v>
      </c>
      <c r="D5726" s="47" t="s">
        <v>11416</v>
      </c>
      <c r="E5726" s="47" t="s">
        <v>7734</v>
      </c>
      <c r="F5726" s="55" t="b">
        <v>1</v>
      </c>
      <c r="G5726" s="54" t="b">
        <v>1</v>
      </c>
      <c r="H5726" s="54" t="b">
        <v>1</v>
      </c>
      <c r="I5726" s="54" t="b">
        <v>1</v>
      </c>
      <c r="J5726" s="54" t="b">
        <v>1</v>
      </c>
      <c r="K5726" s="63" t="s">
        <v>1048</v>
      </c>
      <c r="L5726" s="63" t="s">
        <v>11415</v>
      </c>
      <c r="M5726" s="63" t="s">
        <v>11416</v>
      </c>
      <c r="N5726" s="63" t="s">
        <v>7734</v>
      </c>
    </row>
    <row r="5727" spans="1:14" x14ac:dyDescent="0.2">
      <c r="A5727" s="51">
        <v>5726</v>
      </c>
      <c r="B5727" s="54" t="s">
        <v>1048</v>
      </c>
      <c r="C5727" s="47" t="s">
        <v>11419</v>
      </c>
      <c r="D5727" s="47" t="s">
        <v>11420</v>
      </c>
      <c r="E5727" s="47" t="s">
        <v>11075</v>
      </c>
      <c r="F5727" s="55" t="b">
        <v>1</v>
      </c>
      <c r="G5727" s="54" t="b">
        <v>1</v>
      </c>
      <c r="H5727" s="54" t="b">
        <v>1</v>
      </c>
      <c r="I5727" s="54" t="b">
        <v>1</v>
      </c>
      <c r="J5727" s="54" t="b">
        <v>1</v>
      </c>
      <c r="K5727" s="63" t="s">
        <v>1048</v>
      </c>
      <c r="L5727" s="63" t="s">
        <v>11419</v>
      </c>
      <c r="M5727" s="63" t="s">
        <v>11420</v>
      </c>
      <c r="N5727" s="63" t="s">
        <v>11075</v>
      </c>
    </row>
    <row r="5728" spans="1:14" x14ac:dyDescent="0.2">
      <c r="A5728" s="51">
        <v>5727</v>
      </c>
      <c r="B5728" s="54" t="s">
        <v>1048</v>
      </c>
      <c r="C5728" s="47" t="s">
        <v>11446</v>
      </c>
      <c r="D5728" s="47" t="s">
        <v>11447</v>
      </c>
      <c r="E5728" s="47" t="s">
        <v>11046</v>
      </c>
      <c r="F5728" s="55" t="b">
        <v>1</v>
      </c>
      <c r="G5728" s="54" t="b">
        <v>1</v>
      </c>
      <c r="H5728" s="54" t="b">
        <v>1</v>
      </c>
      <c r="I5728" s="54" t="b">
        <v>1</v>
      </c>
      <c r="J5728" s="54" t="b">
        <v>1</v>
      </c>
      <c r="K5728" s="63" t="s">
        <v>1048</v>
      </c>
      <c r="L5728" s="63" t="s">
        <v>11446</v>
      </c>
      <c r="M5728" s="63" t="s">
        <v>11447</v>
      </c>
      <c r="N5728" s="63" t="s">
        <v>11046</v>
      </c>
    </row>
    <row r="5729" spans="1:14" x14ac:dyDescent="0.2">
      <c r="A5729" s="51">
        <v>5728</v>
      </c>
      <c r="B5729" s="54" t="s">
        <v>1048</v>
      </c>
      <c r="C5729" s="47" t="s">
        <v>11423</v>
      </c>
      <c r="D5729" s="47" t="s">
        <v>11424</v>
      </c>
      <c r="E5729" s="47" t="s">
        <v>11046</v>
      </c>
      <c r="F5729" s="55" t="b">
        <v>1</v>
      </c>
      <c r="G5729" s="54" t="b">
        <v>1</v>
      </c>
      <c r="H5729" s="54" t="b">
        <v>1</v>
      </c>
      <c r="I5729" s="54" t="b">
        <v>1</v>
      </c>
      <c r="J5729" s="54" t="b">
        <v>1</v>
      </c>
      <c r="K5729" s="63" t="s">
        <v>1048</v>
      </c>
      <c r="L5729" s="63" t="s">
        <v>11423</v>
      </c>
      <c r="M5729" s="63" t="s">
        <v>11424</v>
      </c>
      <c r="N5729" s="63" t="s">
        <v>11046</v>
      </c>
    </row>
    <row r="5730" spans="1:14" x14ac:dyDescent="0.2">
      <c r="A5730" s="51">
        <v>5729</v>
      </c>
      <c r="B5730" s="54" t="s">
        <v>1048</v>
      </c>
      <c r="C5730" s="47" t="s">
        <v>11421</v>
      </c>
      <c r="D5730" s="47" t="s">
        <v>11422</v>
      </c>
      <c r="E5730" s="48" t="s">
        <v>7688</v>
      </c>
      <c r="F5730" s="66" t="b">
        <v>0</v>
      </c>
      <c r="G5730" s="54" t="b">
        <v>1</v>
      </c>
      <c r="H5730" s="54" t="b">
        <v>1</v>
      </c>
      <c r="I5730" s="54" t="b">
        <v>1</v>
      </c>
      <c r="J5730" s="54" t="b">
        <v>1</v>
      </c>
      <c r="K5730" s="63" t="s">
        <v>1048</v>
      </c>
      <c r="L5730" s="63" t="s">
        <v>11421</v>
      </c>
      <c r="M5730" s="63" t="s">
        <v>11422</v>
      </c>
      <c r="N5730" s="63" t="s">
        <v>7688</v>
      </c>
    </row>
    <row r="5731" spans="1:14" x14ac:dyDescent="0.2">
      <c r="A5731" s="51">
        <v>5730</v>
      </c>
      <c r="B5731" s="54" t="s">
        <v>1048</v>
      </c>
      <c r="C5731" s="47" t="s">
        <v>11474</v>
      </c>
      <c r="D5731" s="47" t="s">
        <v>11475</v>
      </c>
      <c r="E5731" s="47" t="s">
        <v>1788</v>
      </c>
      <c r="F5731" s="55" t="b">
        <v>1</v>
      </c>
      <c r="G5731" s="54" t="b">
        <v>1</v>
      </c>
      <c r="H5731" s="54" t="b">
        <v>1</v>
      </c>
      <c r="I5731" s="54" t="b">
        <v>1</v>
      </c>
      <c r="J5731" s="65" t="b">
        <v>0</v>
      </c>
      <c r="K5731" s="63" t="s">
        <v>1048</v>
      </c>
      <c r="L5731" s="63" t="s">
        <v>11474</v>
      </c>
      <c r="M5731" s="63" t="s">
        <v>11475</v>
      </c>
      <c r="N5731" s="63" t="s">
        <v>11114</v>
      </c>
    </row>
    <row r="5732" spans="1:14" x14ac:dyDescent="0.2">
      <c r="A5732" s="51">
        <v>5731</v>
      </c>
      <c r="B5732" s="54" t="s">
        <v>1048</v>
      </c>
      <c r="C5732" s="47" t="s">
        <v>11425</v>
      </c>
      <c r="D5732" s="47" t="s">
        <v>11426</v>
      </c>
      <c r="E5732" s="47" t="s">
        <v>11075</v>
      </c>
      <c r="F5732" s="55" t="b">
        <v>1</v>
      </c>
      <c r="G5732" s="54" t="b">
        <v>1</v>
      </c>
      <c r="H5732" s="54" t="b">
        <v>1</v>
      </c>
      <c r="I5732" s="54" t="b">
        <v>1</v>
      </c>
      <c r="J5732" s="54" t="b">
        <v>1</v>
      </c>
      <c r="K5732" s="63" t="s">
        <v>1048</v>
      </c>
      <c r="L5732" s="63" t="s">
        <v>11425</v>
      </c>
      <c r="M5732" s="63" t="s">
        <v>11426</v>
      </c>
      <c r="N5732" s="63" t="s">
        <v>11075</v>
      </c>
    </row>
    <row r="5733" spans="1:14" x14ac:dyDescent="0.2">
      <c r="A5733" s="51">
        <v>5732</v>
      </c>
      <c r="B5733" s="54" t="s">
        <v>1048</v>
      </c>
      <c r="C5733" s="47" t="s">
        <v>11448</v>
      </c>
      <c r="D5733" s="47" t="s">
        <v>11449</v>
      </c>
      <c r="E5733" s="47" t="s">
        <v>7734</v>
      </c>
      <c r="F5733" s="55" t="b">
        <v>1</v>
      </c>
      <c r="G5733" s="54" t="b">
        <v>1</v>
      </c>
      <c r="H5733" s="54" t="b">
        <v>1</v>
      </c>
      <c r="I5733" s="54" t="b">
        <v>1</v>
      </c>
      <c r="J5733" s="54" t="b">
        <v>1</v>
      </c>
      <c r="K5733" s="63" t="s">
        <v>1048</v>
      </c>
      <c r="L5733" s="63" t="s">
        <v>11448</v>
      </c>
      <c r="M5733" s="63" t="s">
        <v>11449</v>
      </c>
      <c r="N5733" s="63" t="s">
        <v>7734</v>
      </c>
    </row>
    <row r="5734" spans="1:14" x14ac:dyDescent="0.2">
      <c r="A5734" s="51">
        <v>5733</v>
      </c>
      <c r="B5734" s="54" t="s">
        <v>1048</v>
      </c>
      <c r="C5734" s="47" t="s">
        <v>11427</v>
      </c>
      <c r="D5734" s="47" t="s">
        <v>11428</v>
      </c>
      <c r="E5734" s="47" t="s">
        <v>11075</v>
      </c>
      <c r="F5734" s="55" t="b">
        <v>1</v>
      </c>
      <c r="G5734" s="54" t="b">
        <v>1</v>
      </c>
      <c r="H5734" s="54" t="b">
        <v>1</v>
      </c>
      <c r="I5734" s="54" t="b">
        <v>1</v>
      </c>
      <c r="J5734" s="54" t="b">
        <v>1</v>
      </c>
      <c r="K5734" s="63" t="s">
        <v>1048</v>
      </c>
      <c r="L5734" s="63" t="s">
        <v>11427</v>
      </c>
      <c r="M5734" s="63" t="s">
        <v>11428</v>
      </c>
      <c r="N5734" s="63" t="s">
        <v>11075</v>
      </c>
    </row>
    <row r="5735" spans="1:14" x14ac:dyDescent="0.2">
      <c r="A5735" s="51">
        <v>5734</v>
      </c>
      <c r="B5735" s="54" t="s">
        <v>1048</v>
      </c>
      <c r="C5735" s="47" t="s">
        <v>11460</v>
      </c>
      <c r="D5735" s="47" t="s">
        <v>11461</v>
      </c>
      <c r="E5735" s="47" t="s">
        <v>11075</v>
      </c>
      <c r="F5735" s="55" t="b">
        <v>1</v>
      </c>
      <c r="G5735" s="54" t="b">
        <v>1</v>
      </c>
      <c r="H5735" s="54" t="b">
        <v>1</v>
      </c>
      <c r="I5735" s="54" t="b">
        <v>1</v>
      </c>
      <c r="J5735" s="54" t="b">
        <v>1</v>
      </c>
      <c r="K5735" s="63" t="s">
        <v>1048</v>
      </c>
      <c r="L5735" s="63" t="s">
        <v>11460</v>
      </c>
      <c r="M5735" s="63" t="s">
        <v>11461</v>
      </c>
      <c r="N5735" s="63" t="s">
        <v>11075</v>
      </c>
    </row>
    <row r="5736" spans="1:14" x14ac:dyDescent="0.2">
      <c r="A5736" s="51">
        <v>5735</v>
      </c>
      <c r="B5736" s="54" t="s">
        <v>1048</v>
      </c>
      <c r="C5736" s="47" t="s">
        <v>11431</v>
      </c>
      <c r="D5736" s="47" t="s">
        <v>11432</v>
      </c>
      <c r="E5736" s="47" t="s">
        <v>7734</v>
      </c>
      <c r="F5736" s="55" t="b">
        <v>1</v>
      </c>
      <c r="G5736" s="54" t="b">
        <v>1</v>
      </c>
      <c r="H5736" s="54" t="b">
        <v>1</v>
      </c>
      <c r="I5736" s="54" t="b">
        <v>1</v>
      </c>
      <c r="J5736" s="54" t="b">
        <v>1</v>
      </c>
      <c r="K5736" s="63" t="s">
        <v>1048</v>
      </c>
      <c r="L5736" s="63" t="s">
        <v>11431</v>
      </c>
      <c r="M5736" s="63" t="s">
        <v>11432</v>
      </c>
      <c r="N5736" s="63" t="s">
        <v>7734</v>
      </c>
    </row>
    <row r="5737" spans="1:14" x14ac:dyDescent="0.2">
      <c r="A5737" s="51">
        <v>5736</v>
      </c>
      <c r="B5737" s="54" t="s">
        <v>1048</v>
      </c>
      <c r="C5737" s="47" t="s">
        <v>11466</v>
      </c>
      <c r="D5737" s="47" t="s">
        <v>11467</v>
      </c>
      <c r="E5737" s="47" t="s">
        <v>11075</v>
      </c>
      <c r="F5737" s="55" t="b">
        <v>1</v>
      </c>
      <c r="G5737" s="54" t="b">
        <v>1</v>
      </c>
      <c r="H5737" s="54" t="b">
        <v>1</v>
      </c>
      <c r="I5737" s="54" t="b">
        <v>1</v>
      </c>
      <c r="J5737" s="54" t="b">
        <v>1</v>
      </c>
      <c r="K5737" s="63" t="s">
        <v>1048</v>
      </c>
      <c r="L5737" s="63" t="s">
        <v>11466</v>
      </c>
      <c r="M5737" s="63" t="s">
        <v>11467</v>
      </c>
      <c r="N5737" s="63" t="s">
        <v>11075</v>
      </c>
    </row>
    <row r="5738" spans="1:14" x14ac:dyDescent="0.2">
      <c r="A5738" s="51">
        <v>5737</v>
      </c>
      <c r="B5738" s="54" t="s">
        <v>1048</v>
      </c>
      <c r="C5738" s="47" t="s">
        <v>11417</v>
      </c>
      <c r="D5738" s="47" t="s">
        <v>11418</v>
      </c>
      <c r="E5738" s="47" t="s">
        <v>11075</v>
      </c>
      <c r="F5738" s="55" t="b">
        <v>1</v>
      </c>
      <c r="G5738" s="54" t="b">
        <v>1</v>
      </c>
      <c r="H5738" s="54" t="b">
        <v>1</v>
      </c>
      <c r="I5738" s="54" t="b">
        <v>1</v>
      </c>
      <c r="J5738" s="54" t="b">
        <v>1</v>
      </c>
      <c r="K5738" s="63" t="s">
        <v>1048</v>
      </c>
      <c r="L5738" s="63" t="s">
        <v>11417</v>
      </c>
      <c r="M5738" s="63" t="s">
        <v>11418</v>
      </c>
      <c r="N5738" s="63" t="s">
        <v>11075</v>
      </c>
    </row>
    <row r="5739" spans="1:14" x14ac:dyDescent="0.2">
      <c r="A5739" s="51">
        <v>5738</v>
      </c>
      <c r="B5739" s="54" t="s">
        <v>1048</v>
      </c>
      <c r="C5739" s="47" t="s">
        <v>11440</v>
      </c>
      <c r="D5739" s="47" t="s">
        <v>11441</v>
      </c>
      <c r="E5739" s="47" t="s">
        <v>7734</v>
      </c>
      <c r="F5739" s="55" t="b">
        <v>1</v>
      </c>
      <c r="G5739" s="54" t="b">
        <v>1</v>
      </c>
      <c r="H5739" s="54" t="b">
        <v>1</v>
      </c>
      <c r="I5739" s="54" t="b">
        <v>1</v>
      </c>
      <c r="J5739" s="54" t="b">
        <v>1</v>
      </c>
      <c r="K5739" s="63" t="s">
        <v>1048</v>
      </c>
      <c r="L5739" s="63" t="s">
        <v>11440</v>
      </c>
      <c r="M5739" s="63" t="s">
        <v>11441</v>
      </c>
      <c r="N5739" s="63" t="s">
        <v>7734</v>
      </c>
    </row>
    <row r="5740" spans="1:14" x14ac:dyDescent="0.2">
      <c r="A5740" s="51">
        <v>5739</v>
      </c>
      <c r="B5740" s="54" t="s">
        <v>1048</v>
      </c>
      <c r="C5740" s="47" t="s">
        <v>11450</v>
      </c>
      <c r="D5740" s="47" t="s">
        <v>11451</v>
      </c>
      <c r="E5740" s="47" t="s">
        <v>11046</v>
      </c>
      <c r="F5740" s="55" t="b">
        <v>1</v>
      </c>
      <c r="G5740" s="54" t="b">
        <v>1</v>
      </c>
      <c r="H5740" s="54" t="b">
        <v>1</v>
      </c>
      <c r="I5740" s="54" t="b">
        <v>1</v>
      </c>
      <c r="J5740" s="54" t="b">
        <v>1</v>
      </c>
      <c r="K5740" s="63" t="s">
        <v>1048</v>
      </c>
      <c r="L5740" s="63" t="s">
        <v>11450</v>
      </c>
      <c r="M5740" s="63" t="s">
        <v>11451</v>
      </c>
      <c r="N5740" s="63" t="s">
        <v>11046</v>
      </c>
    </row>
    <row r="5741" spans="1:14" x14ac:dyDescent="0.2">
      <c r="A5741" s="51">
        <v>5740</v>
      </c>
      <c r="B5741" s="54" t="s">
        <v>1048</v>
      </c>
      <c r="C5741" s="47" t="s">
        <v>11476</v>
      </c>
      <c r="D5741" s="47" t="s">
        <v>11477</v>
      </c>
      <c r="E5741" s="47" t="s">
        <v>11075</v>
      </c>
      <c r="F5741" s="55" t="b">
        <v>1</v>
      </c>
      <c r="G5741" s="54" t="b">
        <v>1</v>
      </c>
      <c r="H5741" s="54" t="b">
        <v>1</v>
      </c>
      <c r="I5741" s="54" t="b">
        <v>1</v>
      </c>
      <c r="J5741" s="54" t="b">
        <v>1</v>
      </c>
      <c r="K5741" s="63" t="s">
        <v>1048</v>
      </c>
      <c r="L5741" s="63" t="s">
        <v>11476</v>
      </c>
      <c r="M5741" s="63" t="s">
        <v>11477</v>
      </c>
      <c r="N5741" s="63" t="s">
        <v>11075</v>
      </c>
    </row>
    <row r="5742" spans="1:14" x14ac:dyDescent="0.2">
      <c r="A5742" s="51">
        <v>5741</v>
      </c>
      <c r="B5742" s="54" t="s">
        <v>1048</v>
      </c>
      <c r="C5742" s="47" t="s">
        <v>11442</v>
      </c>
      <c r="D5742" s="47" t="s">
        <v>11443</v>
      </c>
      <c r="E5742" s="47" t="s">
        <v>11075</v>
      </c>
      <c r="F5742" s="55" t="b">
        <v>1</v>
      </c>
      <c r="G5742" s="54" t="b">
        <v>1</v>
      </c>
      <c r="H5742" s="54" t="b">
        <v>1</v>
      </c>
      <c r="I5742" s="54" t="b">
        <v>1</v>
      </c>
      <c r="J5742" s="54" t="b">
        <v>1</v>
      </c>
      <c r="K5742" s="63" t="s">
        <v>1048</v>
      </c>
      <c r="L5742" s="63" t="s">
        <v>11442</v>
      </c>
      <c r="M5742" s="63" t="s">
        <v>11443</v>
      </c>
      <c r="N5742" s="63" t="s">
        <v>11075</v>
      </c>
    </row>
    <row r="5743" spans="1:14" x14ac:dyDescent="0.2">
      <c r="A5743" s="51">
        <v>5742</v>
      </c>
      <c r="B5743" s="54" t="s">
        <v>1048</v>
      </c>
      <c r="C5743" s="47" t="s">
        <v>11444</v>
      </c>
      <c r="D5743" s="47" t="s">
        <v>11445</v>
      </c>
      <c r="E5743" s="47" t="s">
        <v>1788</v>
      </c>
      <c r="F5743" s="55" t="b">
        <v>1</v>
      </c>
      <c r="G5743" s="54" t="b">
        <v>1</v>
      </c>
      <c r="H5743" s="54" t="b">
        <v>1</v>
      </c>
      <c r="I5743" s="54" t="b">
        <v>1</v>
      </c>
      <c r="J5743" s="65" t="b">
        <v>0</v>
      </c>
      <c r="K5743" s="63" t="s">
        <v>1048</v>
      </c>
      <c r="L5743" s="63" t="s">
        <v>11444</v>
      </c>
      <c r="M5743" s="63" t="s">
        <v>11445</v>
      </c>
      <c r="N5743" s="63" t="s">
        <v>11114</v>
      </c>
    </row>
    <row r="5744" spans="1:14" x14ac:dyDescent="0.2">
      <c r="A5744" s="51">
        <v>5743</v>
      </c>
      <c r="B5744" s="54" t="s">
        <v>1048</v>
      </c>
      <c r="C5744" s="47" t="s">
        <v>11456</v>
      </c>
      <c r="D5744" s="47" t="s">
        <v>11457</v>
      </c>
      <c r="E5744" s="47" t="s">
        <v>7734</v>
      </c>
      <c r="F5744" s="55" t="b">
        <v>1</v>
      </c>
      <c r="G5744" s="54" t="b">
        <v>1</v>
      </c>
      <c r="H5744" s="54" t="b">
        <v>1</v>
      </c>
      <c r="I5744" s="54" t="b">
        <v>1</v>
      </c>
      <c r="J5744" s="54" t="b">
        <v>1</v>
      </c>
      <c r="K5744" s="63" t="s">
        <v>1048</v>
      </c>
      <c r="L5744" s="63" t="s">
        <v>11456</v>
      </c>
      <c r="M5744" s="63" t="s">
        <v>11457</v>
      </c>
      <c r="N5744" s="63" t="s">
        <v>7734</v>
      </c>
    </row>
    <row r="5745" spans="1:14" x14ac:dyDescent="0.2">
      <c r="A5745" s="51">
        <v>5744</v>
      </c>
      <c r="B5745" s="54" t="s">
        <v>1048</v>
      </c>
      <c r="C5745" s="47" t="s">
        <v>11478</v>
      </c>
      <c r="D5745" s="47" t="s">
        <v>11479</v>
      </c>
      <c r="E5745" s="47" t="s">
        <v>1788</v>
      </c>
      <c r="F5745" s="55" t="b">
        <v>1</v>
      </c>
      <c r="G5745" s="54" t="b">
        <v>1</v>
      </c>
      <c r="H5745" s="54" t="b">
        <v>1</v>
      </c>
      <c r="I5745" s="54" t="b">
        <v>1</v>
      </c>
      <c r="J5745" s="65" t="b">
        <v>0</v>
      </c>
      <c r="K5745" s="63" t="s">
        <v>1048</v>
      </c>
      <c r="L5745" s="63" t="s">
        <v>11478</v>
      </c>
      <c r="M5745" s="63" t="s">
        <v>11479</v>
      </c>
      <c r="N5745" s="63" t="s">
        <v>11114</v>
      </c>
    </row>
    <row r="5746" spans="1:14" x14ac:dyDescent="0.2">
      <c r="A5746" s="51">
        <v>5745</v>
      </c>
      <c r="B5746" s="54" t="s">
        <v>1048</v>
      </c>
      <c r="C5746" s="47" t="s">
        <v>11472</v>
      </c>
      <c r="D5746" s="47" t="s">
        <v>11473</v>
      </c>
      <c r="E5746" s="47" t="s">
        <v>1790</v>
      </c>
      <c r="F5746" s="55" t="b">
        <v>1</v>
      </c>
      <c r="G5746" s="54" t="b">
        <v>1</v>
      </c>
      <c r="H5746" s="54" t="b">
        <v>1</v>
      </c>
      <c r="I5746" s="54" t="b">
        <v>1</v>
      </c>
      <c r="J5746" s="65" t="b">
        <v>0</v>
      </c>
      <c r="K5746" s="63" t="s">
        <v>1048</v>
      </c>
      <c r="L5746" s="63" t="s">
        <v>11472</v>
      </c>
      <c r="M5746" s="63" t="s">
        <v>11473</v>
      </c>
      <c r="N5746" s="63" t="s">
        <v>11055</v>
      </c>
    </row>
    <row r="5747" spans="1:14" x14ac:dyDescent="0.2">
      <c r="A5747" s="51">
        <v>5746</v>
      </c>
      <c r="B5747" s="54" t="s">
        <v>1048</v>
      </c>
      <c r="C5747" s="47" t="s">
        <v>11470</v>
      </c>
      <c r="D5747" s="47" t="s">
        <v>11471</v>
      </c>
      <c r="E5747" s="47" t="s">
        <v>7734</v>
      </c>
      <c r="F5747" s="55" t="b">
        <v>1</v>
      </c>
      <c r="G5747" s="54" t="b">
        <v>1</v>
      </c>
      <c r="H5747" s="54" t="b">
        <v>1</v>
      </c>
      <c r="I5747" s="54" t="b">
        <v>1</v>
      </c>
      <c r="J5747" s="54" t="b">
        <v>1</v>
      </c>
      <c r="K5747" s="63" t="s">
        <v>1048</v>
      </c>
      <c r="L5747" s="63" t="s">
        <v>11470</v>
      </c>
      <c r="M5747" s="63" t="s">
        <v>11471</v>
      </c>
      <c r="N5747" s="63" t="s">
        <v>7734</v>
      </c>
    </row>
    <row r="5748" spans="1:14" x14ac:dyDescent="0.2">
      <c r="A5748" s="51">
        <v>5747</v>
      </c>
      <c r="B5748" s="54" t="s">
        <v>1048</v>
      </c>
      <c r="C5748" s="47" t="s">
        <v>11464</v>
      </c>
      <c r="D5748" s="47" t="s">
        <v>11465</v>
      </c>
      <c r="E5748" s="47" t="s">
        <v>11046</v>
      </c>
      <c r="F5748" s="55" t="b">
        <v>1</v>
      </c>
      <c r="G5748" s="54" t="b">
        <v>1</v>
      </c>
      <c r="H5748" s="54" t="b">
        <v>1</v>
      </c>
      <c r="I5748" s="54" t="b">
        <v>1</v>
      </c>
      <c r="J5748" s="54" t="b">
        <v>1</v>
      </c>
      <c r="K5748" s="63" t="s">
        <v>1048</v>
      </c>
      <c r="L5748" s="63" t="s">
        <v>11464</v>
      </c>
      <c r="M5748" s="63" t="s">
        <v>11465</v>
      </c>
      <c r="N5748" s="63" t="s">
        <v>11046</v>
      </c>
    </row>
    <row r="5749" spans="1:14" x14ac:dyDescent="0.2">
      <c r="A5749" s="51">
        <v>5748</v>
      </c>
      <c r="B5749" s="54" t="s">
        <v>1048</v>
      </c>
      <c r="C5749" s="47" t="s">
        <v>11454</v>
      </c>
      <c r="D5749" s="47" t="s">
        <v>11455</v>
      </c>
      <c r="E5749" s="47" t="s">
        <v>7734</v>
      </c>
      <c r="F5749" s="55" t="b">
        <v>1</v>
      </c>
      <c r="G5749" s="54" t="b">
        <v>1</v>
      </c>
      <c r="H5749" s="54" t="b">
        <v>1</v>
      </c>
      <c r="I5749" s="54" t="b">
        <v>1</v>
      </c>
      <c r="J5749" s="54" t="b">
        <v>1</v>
      </c>
      <c r="K5749" s="63" t="s">
        <v>1048</v>
      </c>
      <c r="L5749" s="63" t="s">
        <v>11454</v>
      </c>
      <c r="M5749" s="63" t="s">
        <v>11455</v>
      </c>
      <c r="N5749" s="63" t="s">
        <v>7734</v>
      </c>
    </row>
    <row r="5750" spans="1:14" x14ac:dyDescent="0.2">
      <c r="A5750" s="51">
        <v>5749</v>
      </c>
      <c r="B5750" s="54" t="s">
        <v>1048</v>
      </c>
      <c r="C5750" s="47" t="s">
        <v>11480</v>
      </c>
      <c r="D5750" s="47" t="s">
        <v>11481</v>
      </c>
      <c r="E5750" s="47" t="s">
        <v>11070</v>
      </c>
      <c r="F5750" s="55" t="b">
        <v>1</v>
      </c>
      <c r="G5750" s="54" t="b">
        <v>1</v>
      </c>
      <c r="H5750" s="54" t="b">
        <v>1</v>
      </c>
      <c r="I5750" s="54" t="b">
        <v>1</v>
      </c>
      <c r="J5750" s="54" t="b">
        <v>1</v>
      </c>
      <c r="K5750" s="63" t="s">
        <v>1048</v>
      </c>
      <c r="L5750" s="63" t="s">
        <v>11480</v>
      </c>
      <c r="M5750" s="63" t="s">
        <v>11481</v>
      </c>
      <c r="N5750" s="63" t="s">
        <v>11070</v>
      </c>
    </row>
    <row r="5751" spans="1:14" x14ac:dyDescent="0.2">
      <c r="A5751" s="51">
        <v>5750</v>
      </c>
      <c r="B5751" s="54" t="s">
        <v>1048</v>
      </c>
      <c r="C5751" s="47" t="s">
        <v>11462</v>
      </c>
      <c r="D5751" s="47" t="s">
        <v>11463</v>
      </c>
      <c r="E5751" s="47" t="s">
        <v>1788</v>
      </c>
      <c r="F5751" s="55" t="b">
        <v>1</v>
      </c>
      <c r="G5751" s="54" t="b">
        <v>1</v>
      </c>
      <c r="H5751" s="54" t="b">
        <v>1</v>
      </c>
      <c r="I5751" s="54" t="b">
        <v>1</v>
      </c>
      <c r="J5751" s="65" t="b">
        <v>0</v>
      </c>
      <c r="K5751" s="63" t="s">
        <v>1048</v>
      </c>
      <c r="L5751" s="63" t="s">
        <v>11462</v>
      </c>
      <c r="M5751" s="63" t="s">
        <v>11463</v>
      </c>
      <c r="N5751" s="63" t="s">
        <v>11114</v>
      </c>
    </row>
    <row r="5752" spans="1:14" x14ac:dyDescent="0.2">
      <c r="A5752" s="51">
        <v>5751</v>
      </c>
      <c r="B5752" s="54" t="s">
        <v>1048</v>
      </c>
      <c r="C5752" s="47" t="s">
        <v>11468</v>
      </c>
      <c r="D5752" s="47" t="s">
        <v>11469</v>
      </c>
      <c r="E5752" s="47" t="s">
        <v>7734</v>
      </c>
      <c r="F5752" s="55" t="b">
        <v>1</v>
      </c>
      <c r="G5752" s="54" t="b">
        <v>1</v>
      </c>
      <c r="H5752" s="54" t="b">
        <v>1</v>
      </c>
      <c r="I5752" s="54" t="b">
        <v>1</v>
      </c>
      <c r="J5752" s="54" t="b">
        <v>1</v>
      </c>
      <c r="K5752" s="63" t="s">
        <v>1048</v>
      </c>
      <c r="L5752" s="63" t="s">
        <v>11468</v>
      </c>
      <c r="M5752" s="63" t="s">
        <v>11469</v>
      </c>
      <c r="N5752" s="63" t="s">
        <v>7734</v>
      </c>
    </row>
    <row r="5753" spans="1:14" x14ac:dyDescent="0.2">
      <c r="A5753" s="51">
        <v>5752</v>
      </c>
      <c r="B5753" s="54" t="s">
        <v>1048</v>
      </c>
      <c r="C5753" s="47" t="s">
        <v>11452</v>
      </c>
      <c r="D5753" s="47" t="s">
        <v>11453</v>
      </c>
      <c r="E5753" s="47" t="s">
        <v>11075</v>
      </c>
      <c r="F5753" s="55" t="b">
        <v>1</v>
      </c>
      <c r="G5753" s="54" t="b">
        <v>1</v>
      </c>
      <c r="H5753" s="54" t="b">
        <v>1</v>
      </c>
      <c r="I5753" s="54" t="b">
        <v>1</v>
      </c>
      <c r="J5753" s="54" t="b">
        <v>1</v>
      </c>
      <c r="K5753" s="63" t="s">
        <v>1048</v>
      </c>
      <c r="L5753" s="63" t="s">
        <v>11452</v>
      </c>
      <c r="M5753" s="63" t="s">
        <v>11453</v>
      </c>
      <c r="N5753" s="63" t="s">
        <v>11075</v>
      </c>
    </row>
    <row r="5754" spans="1:14" x14ac:dyDescent="0.2">
      <c r="A5754" s="51">
        <v>5753</v>
      </c>
      <c r="B5754" s="54" t="s">
        <v>1048</v>
      </c>
      <c r="C5754" s="47" t="s">
        <v>11049</v>
      </c>
      <c r="D5754" s="47" t="s">
        <v>11482</v>
      </c>
      <c r="E5754" s="47" t="s">
        <v>7734</v>
      </c>
      <c r="F5754" s="55" t="b">
        <v>1</v>
      </c>
      <c r="G5754" s="54" t="b">
        <v>1</v>
      </c>
      <c r="H5754" s="54" t="b">
        <v>1</v>
      </c>
      <c r="I5754" s="65" t="b">
        <v>0</v>
      </c>
      <c r="J5754" s="54" t="b">
        <v>1</v>
      </c>
      <c r="K5754" s="63" t="s">
        <v>1048</v>
      </c>
      <c r="L5754" s="63" t="s">
        <v>11049</v>
      </c>
      <c r="M5754" s="63" t="s">
        <v>11050</v>
      </c>
      <c r="N5754" s="63" t="s">
        <v>7734</v>
      </c>
    </row>
    <row r="5755" spans="1:14" x14ac:dyDescent="0.2">
      <c r="A5755" s="51">
        <v>5754</v>
      </c>
      <c r="G5755" s="65" t="b">
        <v>0</v>
      </c>
      <c r="H5755" s="65" t="b">
        <v>0</v>
      </c>
      <c r="I5755" s="65" t="b">
        <v>0</v>
      </c>
      <c r="J5755" s="65" t="b">
        <v>0</v>
      </c>
      <c r="K5755" s="63" t="s">
        <v>1048</v>
      </c>
      <c r="L5755" s="63" t="s">
        <v>11049</v>
      </c>
      <c r="M5755" s="63" t="s">
        <v>11482</v>
      </c>
      <c r="N5755" s="63" t="s">
        <v>7734</v>
      </c>
    </row>
    <row r="5756" spans="1:14" x14ac:dyDescent="0.2">
      <c r="A5756" s="51">
        <v>5755</v>
      </c>
      <c r="B5756" s="54" t="s">
        <v>1048</v>
      </c>
      <c r="C5756" s="47" t="s">
        <v>11483</v>
      </c>
      <c r="D5756" s="47" t="s">
        <v>11484</v>
      </c>
      <c r="E5756" s="47" t="s">
        <v>7734</v>
      </c>
      <c r="F5756" s="55" t="b">
        <v>1</v>
      </c>
      <c r="G5756" s="54" t="b">
        <v>1</v>
      </c>
      <c r="H5756" s="54" t="b">
        <v>1</v>
      </c>
      <c r="I5756" s="54" t="b">
        <v>1</v>
      </c>
      <c r="J5756" s="54" t="b">
        <v>1</v>
      </c>
      <c r="K5756" s="63" t="s">
        <v>1048</v>
      </c>
      <c r="L5756" s="63" t="s">
        <v>11483</v>
      </c>
      <c r="M5756" s="63" t="s">
        <v>11484</v>
      </c>
      <c r="N5756" s="63" t="s">
        <v>7734</v>
      </c>
    </row>
    <row r="5757" spans="1:14" x14ac:dyDescent="0.2">
      <c r="A5757" s="51">
        <v>5756</v>
      </c>
      <c r="B5757" s="54" t="s">
        <v>1048</v>
      </c>
      <c r="C5757" s="47" t="s">
        <v>11458</v>
      </c>
      <c r="D5757" s="47" t="s">
        <v>11459</v>
      </c>
      <c r="E5757" s="47" t="s">
        <v>11070</v>
      </c>
      <c r="F5757" s="55" t="b">
        <v>1</v>
      </c>
      <c r="G5757" s="54" t="b">
        <v>1</v>
      </c>
      <c r="H5757" s="54" t="b">
        <v>1</v>
      </c>
      <c r="I5757" s="54" t="b">
        <v>1</v>
      </c>
      <c r="J5757" s="54" t="b">
        <v>1</v>
      </c>
      <c r="K5757" s="63" t="s">
        <v>1048</v>
      </c>
      <c r="L5757" s="63" t="s">
        <v>11458</v>
      </c>
      <c r="M5757" s="63" t="s">
        <v>11459</v>
      </c>
      <c r="N5757" s="63" t="s">
        <v>11070</v>
      </c>
    </row>
    <row r="5758" spans="1:14" x14ac:dyDescent="0.2">
      <c r="A5758" s="51">
        <v>5757</v>
      </c>
      <c r="B5758" s="54" t="s">
        <v>1048</v>
      </c>
      <c r="C5758" s="47" t="s">
        <v>11485</v>
      </c>
      <c r="D5758" s="47" t="s">
        <v>11486</v>
      </c>
      <c r="E5758" s="47" t="s">
        <v>11075</v>
      </c>
      <c r="F5758" s="55" t="b">
        <v>1</v>
      </c>
      <c r="G5758" s="54" t="b">
        <v>1</v>
      </c>
      <c r="H5758" s="54" t="b">
        <v>1</v>
      </c>
      <c r="I5758" s="54" t="b">
        <v>1</v>
      </c>
      <c r="J5758" s="54" t="b">
        <v>1</v>
      </c>
      <c r="K5758" s="63" t="s">
        <v>1048</v>
      </c>
      <c r="L5758" s="63" t="s">
        <v>11485</v>
      </c>
      <c r="M5758" s="63" t="s">
        <v>11486</v>
      </c>
      <c r="N5758" s="63" t="s">
        <v>11075</v>
      </c>
    </row>
    <row r="5759" spans="1:14" x14ac:dyDescent="0.2">
      <c r="A5759" s="51">
        <v>5758</v>
      </c>
      <c r="B5759" s="54" t="s">
        <v>1048</v>
      </c>
      <c r="C5759" s="47" t="s">
        <v>11487</v>
      </c>
      <c r="D5759" s="47" t="s">
        <v>11488</v>
      </c>
      <c r="E5759" s="47" t="s">
        <v>7734</v>
      </c>
      <c r="F5759" s="55" t="b">
        <v>1</v>
      </c>
      <c r="G5759" s="54" t="b">
        <v>1</v>
      </c>
      <c r="H5759" s="54" t="b">
        <v>1</v>
      </c>
      <c r="I5759" s="54" t="b">
        <v>1</v>
      </c>
      <c r="J5759" s="54" t="b">
        <v>1</v>
      </c>
      <c r="K5759" s="63" t="s">
        <v>1048</v>
      </c>
      <c r="L5759" s="63" t="s">
        <v>11487</v>
      </c>
      <c r="M5759" s="63" t="s">
        <v>11488</v>
      </c>
      <c r="N5759" s="63" t="s">
        <v>7734</v>
      </c>
    </row>
    <row r="5760" spans="1:14" x14ac:dyDescent="0.2">
      <c r="A5760" s="51">
        <v>5759</v>
      </c>
      <c r="B5760" s="54" t="s">
        <v>1048</v>
      </c>
      <c r="C5760" s="47" t="s">
        <v>11489</v>
      </c>
      <c r="D5760" s="47" t="s">
        <v>11490</v>
      </c>
      <c r="E5760" s="47" t="s">
        <v>7734</v>
      </c>
      <c r="F5760" s="55" t="b">
        <v>1</v>
      </c>
      <c r="G5760" s="54" t="b">
        <v>1</v>
      </c>
      <c r="H5760" s="54" t="b">
        <v>1</v>
      </c>
      <c r="I5760" s="54" t="b">
        <v>1</v>
      </c>
      <c r="J5760" s="54" t="b">
        <v>1</v>
      </c>
      <c r="K5760" s="63" t="s">
        <v>1048</v>
      </c>
      <c r="L5760" s="63" t="s">
        <v>11489</v>
      </c>
      <c r="M5760" s="63" t="s">
        <v>11490</v>
      </c>
      <c r="N5760" s="63" t="s">
        <v>7734</v>
      </c>
    </row>
    <row r="5761" spans="1:14" x14ac:dyDescent="0.2">
      <c r="A5761" s="51">
        <v>5760</v>
      </c>
      <c r="B5761" s="54" t="s">
        <v>1048</v>
      </c>
      <c r="C5761" s="47" t="s">
        <v>11493</v>
      </c>
      <c r="D5761" s="47" t="s">
        <v>11494</v>
      </c>
      <c r="E5761" s="47" t="s">
        <v>7734</v>
      </c>
      <c r="F5761" s="55" t="b">
        <v>1</v>
      </c>
      <c r="G5761" s="54" t="b">
        <v>1</v>
      </c>
      <c r="H5761" s="54" t="b">
        <v>1</v>
      </c>
      <c r="I5761" s="54" t="b">
        <v>1</v>
      </c>
      <c r="J5761" s="54" t="b">
        <v>1</v>
      </c>
      <c r="K5761" s="63" t="s">
        <v>1048</v>
      </c>
      <c r="L5761" s="63" t="s">
        <v>11493</v>
      </c>
      <c r="M5761" s="63" t="s">
        <v>11494</v>
      </c>
      <c r="N5761" s="63" t="s">
        <v>7734</v>
      </c>
    </row>
    <row r="5762" spans="1:14" x14ac:dyDescent="0.2">
      <c r="A5762" s="51">
        <v>5761</v>
      </c>
      <c r="B5762" s="54" t="s">
        <v>1048</v>
      </c>
      <c r="C5762" s="47" t="s">
        <v>11491</v>
      </c>
      <c r="D5762" s="47" t="s">
        <v>11495</v>
      </c>
      <c r="E5762" s="47" t="s">
        <v>7734</v>
      </c>
      <c r="F5762" s="55" t="b">
        <v>1</v>
      </c>
      <c r="G5762" s="54" t="b">
        <v>1</v>
      </c>
      <c r="H5762" s="54" t="b">
        <v>1</v>
      </c>
      <c r="I5762" s="65" t="b">
        <v>0</v>
      </c>
      <c r="J5762" s="54" t="b">
        <v>1</v>
      </c>
      <c r="K5762" s="63" t="s">
        <v>1048</v>
      </c>
      <c r="L5762" s="63" t="s">
        <v>11491</v>
      </c>
      <c r="M5762" s="63" t="s">
        <v>11492</v>
      </c>
      <c r="N5762" s="63" t="s">
        <v>7734</v>
      </c>
    </row>
    <row r="5763" spans="1:14" x14ac:dyDescent="0.2">
      <c r="A5763" s="51">
        <v>5762</v>
      </c>
      <c r="G5763" s="65" t="b">
        <v>0</v>
      </c>
      <c r="H5763" s="65" t="b">
        <v>0</v>
      </c>
      <c r="I5763" s="65" t="b">
        <v>0</v>
      </c>
      <c r="J5763" s="65" t="b">
        <v>0</v>
      </c>
      <c r="K5763" s="63" t="s">
        <v>1048</v>
      </c>
      <c r="L5763" s="63" t="s">
        <v>11491</v>
      </c>
      <c r="M5763" s="63" t="s">
        <v>11495</v>
      </c>
      <c r="N5763" s="63" t="s">
        <v>7734</v>
      </c>
    </row>
    <row r="5764" spans="1:14" x14ac:dyDescent="0.2">
      <c r="A5764" s="51">
        <v>5763</v>
      </c>
      <c r="B5764" s="54" t="s">
        <v>1048</v>
      </c>
      <c r="C5764" s="47" t="s">
        <v>11498</v>
      </c>
      <c r="D5764" s="47" t="s">
        <v>11499</v>
      </c>
      <c r="E5764" s="47" t="s">
        <v>11075</v>
      </c>
      <c r="F5764" s="55" t="b">
        <v>1</v>
      </c>
      <c r="G5764" s="54" t="b">
        <v>1</v>
      </c>
      <c r="H5764" s="54" t="b">
        <v>1</v>
      </c>
      <c r="I5764" s="54" t="b">
        <v>1</v>
      </c>
      <c r="J5764" s="54" t="b">
        <v>1</v>
      </c>
      <c r="K5764" s="63" t="s">
        <v>1048</v>
      </c>
      <c r="L5764" s="63" t="s">
        <v>11498</v>
      </c>
      <c r="M5764" s="63" t="s">
        <v>11499</v>
      </c>
      <c r="N5764" s="63" t="s">
        <v>11075</v>
      </c>
    </row>
    <row r="5765" spans="1:14" x14ac:dyDescent="0.2">
      <c r="A5765" s="51">
        <v>5764</v>
      </c>
      <c r="B5765" s="54" t="s">
        <v>1048</v>
      </c>
      <c r="C5765" s="47" t="s">
        <v>11496</v>
      </c>
      <c r="D5765" s="47" t="s">
        <v>11497</v>
      </c>
      <c r="E5765" s="47" t="s">
        <v>11070</v>
      </c>
      <c r="F5765" s="55" t="b">
        <v>1</v>
      </c>
      <c r="G5765" s="54" t="b">
        <v>1</v>
      </c>
      <c r="H5765" s="54" t="b">
        <v>1</v>
      </c>
      <c r="I5765" s="54" t="b">
        <v>1</v>
      </c>
      <c r="J5765" s="54" t="b">
        <v>1</v>
      </c>
      <c r="K5765" s="63" t="s">
        <v>1048</v>
      </c>
      <c r="L5765" s="63" t="s">
        <v>11496</v>
      </c>
      <c r="M5765" s="63" t="s">
        <v>11497</v>
      </c>
      <c r="N5765" s="63" t="s">
        <v>11070</v>
      </c>
    </row>
    <row r="5766" spans="1:14" x14ac:dyDescent="0.2">
      <c r="A5766" s="51">
        <v>5765</v>
      </c>
      <c r="G5766" s="65" t="b">
        <v>0</v>
      </c>
      <c r="H5766" s="65" t="b">
        <v>0</v>
      </c>
      <c r="I5766" s="65" t="b">
        <v>0</v>
      </c>
      <c r="J5766" s="65" t="b">
        <v>0</v>
      </c>
      <c r="K5766" s="63" t="s">
        <v>1048</v>
      </c>
      <c r="L5766" s="63" t="s">
        <v>11500</v>
      </c>
      <c r="M5766" s="63" t="s">
        <v>1539</v>
      </c>
      <c r="N5766" s="63" t="s">
        <v>11219</v>
      </c>
    </row>
    <row r="5767" spans="1:14" x14ac:dyDescent="0.2">
      <c r="A5767" s="51">
        <v>5766</v>
      </c>
      <c r="B5767" s="54" t="s">
        <v>1048</v>
      </c>
      <c r="C5767" s="47" t="s">
        <v>11108</v>
      </c>
      <c r="D5767" s="47" t="s">
        <v>11501</v>
      </c>
      <c r="E5767" s="47" t="s">
        <v>7734</v>
      </c>
      <c r="F5767" s="55" t="b">
        <v>1</v>
      </c>
      <c r="G5767" s="54" t="b">
        <v>1</v>
      </c>
      <c r="H5767" s="54" t="b">
        <v>1</v>
      </c>
      <c r="I5767" s="65" t="b">
        <v>0</v>
      </c>
      <c r="J5767" s="54" t="b">
        <v>1</v>
      </c>
      <c r="K5767" s="63" t="s">
        <v>1048</v>
      </c>
      <c r="L5767" s="63" t="s">
        <v>11108</v>
      </c>
      <c r="M5767" s="63" t="s">
        <v>11109</v>
      </c>
      <c r="N5767" s="63" t="s">
        <v>7734</v>
      </c>
    </row>
    <row r="5768" spans="1:14" x14ac:dyDescent="0.2">
      <c r="A5768" s="51">
        <v>5767</v>
      </c>
      <c r="G5768" s="65" t="b">
        <v>0</v>
      </c>
      <c r="H5768" s="65" t="b">
        <v>0</v>
      </c>
      <c r="I5768" s="65" t="b">
        <v>0</v>
      </c>
      <c r="J5768" s="65" t="b">
        <v>0</v>
      </c>
      <c r="K5768" s="63" t="s">
        <v>1048</v>
      </c>
      <c r="L5768" s="63" t="s">
        <v>11108</v>
      </c>
      <c r="M5768" s="63" t="s">
        <v>11501</v>
      </c>
      <c r="N5768" s="63" t="s">
        <v>7734</v>
      </c>
    </row>
    <row r="5769" spans="1:14" x14ac:dyDescent="0.2">
      <c r="A5769" s="51">
        <v>5768</v>
      </c>
      <c r="B5769" s="54" t="s">
        <v>1048</v>
      </c>
      <c r="C5769" s="47" t="s">
        <v>11513</v>
      </c>
      <c r="D5769" s="47" t="s">
        <v>11514</v>
      </c>
      <c r="E5769" s="47" t="s">
        <v>11114</v>
      </c>
      <c r="F5769" s="55" t="b">
        <v>1</v>
      </c>
      <c r="G5769" s="54" t="b">
        <v>1</v>
      </c>
      <c r="H5769" s="54" t="b">
        <v>1</v>
      </c>
      <c r="I5769" s="54" t="b">
        <v>1</v>
      </c>
      <c r="J5769" s="54" t="b">
        <v>1</v>
      </c>
      <c r="K5769" s="63" t="s">
        <v>1048</v>
      </c>
      <c r="L5769" s="63" t="s">
        <v>11513</v>
      </c>
      <c r="M5769" s="63" t="s">
        <v>11514</v>
      </c>
      <c r="N5769" s="63" t="s">
        <v>11114</v>
      </c>
    </row>
    <row r="5770" spans="1:14" x14ac:dyDescent="0.2">
      <c r="A5770" s="51">
        <v>5769</v>
      </c>
      <c r="B5770" s="54" t="s">
        <v>1048</v>
      </c>
      <c r="C5770" s="47" t="s">
        <v>11515</v>
      </c>
      <c r="D5770" s="47" t="s">
        <v>11516</v>
      </c>
      <c r="E5770" s="47" t="s">
        <v>7734</v>
      </c>
      <c r="F5770" s="55" t="b">
        <v>1</v>
      </c>
      <c r="G5770" s="54" t="b">
        <v>1</v>
      </c>
      <c r="H5770" s="54" t="b">
        <v>1</v>
      </c>
      <c r="I5770" s="54" t="b">
        <v>1</v>
      </c>
      <c r="J5770" s="54" t="b">
        <v>1</v>
      </c>
      <c r="K5770" s="63" t="s">
        <v>1048</v>
      </c>
      <c r="L5770" s="63" t="s">
        <v>11515</v>
      </c>
      <c r="M5770" s="63" t="s">
        <v>11516</v>
      </c>
      <c r="N5770" s="63" t="s">
        <v>7734</v>
      </c>
    </row>
    <row r="5771" spans="1:14" x14ac:dyDescent="0.2">
      <c r="A5771" s="51">
        <v>5770</v>
      </c>
      <c r="B5771" s="54" t="s">
        <v>1048</v>
      </c>
      <c r="C5771" s="47" t="s">
        <v>11517</v>
      </c>
      <c r="D5771" s="47" t="s">
        <v>11518</v>
      </c>
      <c r="E5771" s="47" t="s">
        <v>11046</v>
      </c>
      <c r="F5771" s="55" t="b">
        <v>1</v>
      </c>
      <c r="G5771" s="54" t="b">
        <v>1</v>
      </c>
      <c r="H5771" s="54" t="b">
        <v>1</v>
      </c>
      <c r="I5771" s="54" t="b">
        <v>1</v>
      </c>
      <c r="J5771" s="54" t="b">
        <v>1</v>
      </c>
      <c r="K5771" s="63" t="s">
        <v>1048</v>
      </c>
      <c r="L5771" s="63" t="s">
        <v>11517</v>
      </c>
      <c r="M5771" s="63" t="s">
        <v>11518</v>
      </c>
      <c r="N5771" s="63" t="s">
        <v>11046</v>
      </c>
    </row>
    <row r="5772" spans="1:14" x14ac:dyDescent="0.2">
      <c r="A5772" s="51">
        <v>5771</v>
      </c>
      <c r="B5772" s="54" t="s">
        <v>1048</v>
      </c>
      <c r="C5772" s="47" t="s">
        <v>11507</v>
      </c>
      <c r="D5772" s="47" t="s">
        <v>11508</v>
      </c>
      <c r="E5772" s="47" t="s">
        <v>11070</v>
      </c>
      <c r="F5772" s="55" t="b">
        <v>1</v>
      </c>
      <c r="G5772" s="54" t="b">
        <v>1</v>
      </c>
      <c r="H5772" s="54" t="b">
        <v>1</v>
      </c>
      <c r="I5772" s="54" t="b">
        <v>1</v>
      </c>
      <c r="J5772" s="54" t="b">
        <v>1</v>
      </c>
      <c r="K5772" s="63" t="s">
        <v>1048</v>
      </c>
      <c r="L5772" s="63" t="s">
        <v>11507</v>
      </c>
      <c r="M5772" s="63" t="s">
        <v>11508</v>
      </c>
      <c r="N5772" s="63" t="s">
        <v>11070</v>
      </c>
    </row>
    <row r="5773" spans="1:14" x14ac:dyDescent="0.2">
      <c r="A5773" s="51">
        <v>5772</v>
      </c>
      <c r="B5773" s="54" t="s">
        <v>1048</v>
      </c>
      <c r="C5773" s="47" t="s">
        <v>11525</v>
      </c>
      <c r="D5773" s="47" t="s">
        <v>11526</v>
      </c>
      <c r="E5773" s="47" t="s">
        <v>11075</v>
      </c>
      <c r="F5773" s="55" t="b">
        <v>1</v>
      </c>
      <c r="G5773" s="54" t="b">
        <v>1</v>
      </c>
      <c r="H5773" s="54" t="b">
        <v>1</v>
      </c>
      <c r="I5773" s="54" t="b">
        <v>1</v>
      </c>
      <c r="J5773" s="54" t="b">
        <v>1</v>
      </c>
      <c r="K5773" s="63" t="s">
        <v>1048</v>
      </c>
      <c r="L5773" s="63" t="s">
        <v>11525</v>
      </c>
      <c r="M5773" s="63" t="s">
        <v>11526</v>
      </c>
      <c r="N5773" s="63" t="s">
        <v>11075</v>
      </c>
    </row>
    <row r="5774" spans="1:14" x14ac:dyDescent="0.2">
      <c r="A5774" s="51">
        <v>5773</v>
      </c>
      <c r="B5774" s="54" t="s">
        <v>1048</v>
      </c>
      <c r="C5774" s="47" t="s">
        <v>11527</v>
      </c>
      <c r="D5774" s="47" t="s">
        <v>11528</v>
      </c>
      <c r="E5774" s="47" t="s">
        <v>7734</v>
      </c>
      <c r="F5774" s="55" t="b">
        <v>1</v>
      </c>
      <c r="G5774" s="54" t="b">
        <v>1</v>
      </c>
      <c r="H5774" s="54" t="b">
        <v>1</v>
      </c>
      <c r="I5774" s="54" t="b">
        <v>1</v>
      </c>
      <c r="J5774" s="54" t="b">
        <v>1</v>
      </c>
      <c r="K5774" s="63" t="s">
        <v>1048</v>
      </c>
      <c r="L5774" s="63" t="s">
        <v>11527</v>
      </c>
      <c r="M5774" s="63" t="s">
        <v>11528</v>
      </c>
      <c r="N5774" s="63" t="s">
        <v>7734</v>
      </c>
    </row>
    <row r="5775" spans="1:14" x14ac:dyDescent="0.2">
      <c r="A5775" s="51">
        <v>5774</v>
      </c>
      <c r="B5775" s="54" t="s">
        <v>1048</v>
      </c>
      <c r="C5775" s="47" t="s">
        <v>11502</v>
      </c>
      <c r="D5775" s="47" t="s">
        <v>11503</v>
      </c>
      <c r="E5775" s="47" t="s">
        <v>11075</v>
      </c>
      <c r="F5775" s="55" t="b">
        <v>1</v>
      </c>
      <c r="G5775" s="54" t="b">
        <v>1</v>
      </c>
      <c r="H5775" s="54" t="b">
        <v>1</v>
      </c>
      <c r="I5775" s="54" t="b">
        <v>1</v>
      </c>
      <c r="J5775" s="54" t="b">
        <v>1</v>
      </c>
      <c r="K5775" s="63" t="s">
        <v>1048</v>
      </c>
      <c r="L5775" s="63" t="s">
        <v>11502</v>
      </c>
      <c r="M5775" s="63" t="s">
        <v>11503</v>
      </c>
      <c r="N5775" s="63" t="s">
        <v>11075</v>
      </c>
    </row>
    <row r="5776" spans="1:14" x14ac:dyDescent="0.2">
      <c r="A5776" s="51">
        <v>5775</v>
      </c>
      <c r="B5776" s="54" t="s">
        <v>1048</v>
      </c>
      <c r="C5776" s="47" t="s">
        <v>11505</v>
      </c>
      <c r="D5776" s="47" t="s">
        <v>11506</v>
      </c>
      <c r="E5776" s="47" t="s">
        <v>11075</v>
      </c>
      <c r="F5776" s="55" t="b">
        <v>1</v>
      </c>
      <c r="G5776" s="54" t="b">
        <v>1</v>
      </c>
      <c r="H5776" s="54" t="b">
        <v>1</v>
      </c>
      <c r="I5776" s="54" t="b">
        <v>1</v>
      </c>
      <c r="J5776" s="54" t="b">
        <v>1</v>
      </c>
      <c r="K5776" s="63" t="s">
        <v>1048</v>
      </c>
      <c r="L5776" s="63" t="s">
        <v>11505</v>
      </c>
      <c r="M5776" s="63" t="s">
        <v>11506</v>
      </c>
      <c r="N5776" s="63" t="s">
        <v>11075</v>
      </c>
    </row>
    <row r="5777" spans="1:14" x14ac:dyDescent="0.2">
      <c r="A5777" s="51">
        <v>5776</v>
      </c>
      <c r="B5777" s="54" t="s">
        <v>1048</v>
      </c>
      <c r="C5777" s="47" t="s">
        <v>11519</v>
      </c>
      <c r="D5777" s="47" t="s">
        <v>11520</v>
      </c>
      <c r="E5777" s="47" t="s">
        <v>11046</v>
      </c>
      <c r="F5777" s="55" t="b">
        <v>1</v>
      </c>
      <c r="G5777" s="54" t="b">
        <v>1</v>
      </c>
      <c r="H5777" s="54" t="b">
        <v>1</v>
      </c>
      <c r="I5777" s="54" t="b">
        <v>1</v>
      </c>
      <c r="J5777" s="54" t="b">
        <v>1</v>
      </c>
      <c r="K5777" s="63" t="s">
        <v>1048</v>
      </c>
      <c r="L5777" s="63" t="s">
        <v>11519</v>
      </c>
      <c r="M5777" s="63" t="s">
        <v>11520</v>
      </c>
      <c r="N5777" s="63" t="s">
        <v>11046</v>
      </c>
    </row>
    <row r="5778" spans="1:14" x14ac:dyDescent="0.2">
      <c r="A5778" s="51">
        <v>5777</v>
      </c>
      <c r="F5778" s="55" t="b">
        <v>1</v>
      </c>
      <c r="G5778" s="65" t="b">
        <v>0</v>
      </c>
      <c r="H5778" s="65" t="b">
        <v>0</v>
      </c>
      <c r="I5778" s="65" t="b">
        <v>0</v>
      </c>
      <c r="J5778" s="65" t="b">
        <v>0</v>
      </c>
      <c r="K5778" s="63" t="s">
        <v>1048</v>
      </c>
      <c r="L5778" s="63" t="s">
        <v>11165</v>
      </c>
      <c r="M5778" s="63" t="s">
        <v>11166</v>
      </c>
      <c r="N5778" s="63" t="s">
        <v>7688</v>
      </c>
    </row>
    <row r="5779" spans="1:14" x14ac:dyDescent="0.2">
      <c r="A5779" s="51">
        <v>5778</v>
      </c>
      <c r="B5779" s="54" t="s">
        <v>1048</v>
      </c>
      <c r="C5779" s="47" t="s">
        <v>11165</v>
      </c>
      <c r="D5779" s="47" t="s">
        <v>11504</v>
      </c>
      <c r="E5779" s="48" t="s">
        <v>7688</v>
      </c>
      <c r="F5779" s="55" t="b">
        <v>1</v>
      </c>
      <c r="G5779" s="54" t="b">
        <v>1</v>
      </c>
      <c r="H5779" s="54" t="b">
        <v>1</v>
      </c>
      <c r="I5779" s="54" t="b">
        <v>1</v>
      </c>
      <c r="J5779" s="54" t="b">
        <v>1</v>
      </c>
      <c r="K5779" s="63" t="s">
        <v>1048</v>
      </c>
      <c r="L5779" s="63" t="s">
        <v>11165</v>
      </c>
      <c r="M5779" s="63" t="s">
        <v>11504</v>
      </c>
      <c r="N5779" s="63" t="s">
        <v>7688</v>
      </c>
    </row>
    <row r="5780" spans="1:14" x14ac:dyDescent="0.2">
      <c r="A5780" s="51">
        <v>5779</v>
      </c>
      <c r="B5780" s="54" t="s">
        <v>1048</v>
      </c>
      <c r="C5780" s="47" t="s">
        <v>11535</v>
      </c>
      <c r="D5780" s="47" t="s">
        <v>11536</v>
      </c>
      <c r="E5780" s="47" t="s">
        <v>11075</v>
      </c>
      <c r="F5780" s="55" t="b">
        <v>1</v>
      </c>
      <c r="G5780" s="54" t="b">
        <v>1</v>
      </c>
      <c r="H5780" s="54" t="b">
        <v>1</v>
      </c>
      <c r="I5780" s="54" t="b">
        <v>1</v>
      </c>
      <c r="J5780" s="54" t="b">
        <v>1</v>
      </c>
      <c r="K5780" s="63" t="s">
        <v>1048</v>
      </c>
      <c r="L5780" s="63" t="s">
        <v>11535</v>
      </c>
      <c r="M5780" s="63" t="s">
        <v>11536</v>
      </c>
      <c r="N5780" s="63" t="s">
        <v>11075</v>
      </c>
    </row>
    <row r="5781" spans="1:14" x14ac:dyDescent="0.2">
      <c r="A5781" s="51">
        <v>5780</v>
      </c>
      <c r="B5781" s="54" t="s">
        <v>1048</v>
      </c>
      <c r="C5781" s="47" t="s">
        <v>11509</v>
      </c>
      <c r="D5781" s="47" t="s">
        <v>11510</v>
      </c>
      <c r="E5781" s="47" t="s">
        <v>11070</v>
      </c>
      <c r="F5781" s="55" t="b">
        <v>1</v>
      </c>
      <c r="G5781" s="54" t="b">
        <v>1</v>
      </c>
      <c r="H5781" s="54" t="b">
        <v>1</v>
      </c>
      <c r="I5781" s="54" t="b">
        <v>1</v>
      </c>
      <c r="J5781" s="54" t="b">
        <v>1</v>
      </c>
      <c r="K5781" s="63" t="s">
        <v>1048</v>
      </c>
      <c r="L5781" s="63" t="s">
        <v>11509</v>
      </c>
      <c r="M5781" s="63" t="s">
        <v>11510</v>
      </c>
      <c r="N5781" s="63" t="s">
        <v>11070</v>
      </c>
    </row>
    <row r="5782" spans="1:14" x14ac:dyDescent="0.2">
      <c r="A5782" s="51">
        <v>5781</v>
      </c>
      <c r="B5782" s="54" t="s">
        <v>1048</v>
      </c>
      <c r="C5782" s="47" t="s">
        <v>11529</v>
      </c>
      <c r="D5782" s="47" t="s">
        <v>11530</v>
      </c>
      <c r="E5782" s="47" t="s">
        <v>7734</v>
      </c>
      <c r="F5782" s="55" t="b">
        <v>1</v>
      </c>
      <c r="G5782" s="54" t="b">
        <v>1</v>
      </c>
      <c r="H5782" s="54" t="b">
        <v>1</v>
      </c>
      <c r="I5782" s="54" t="b">
        <v>1</v>
      </c>
      <c r="J5782" s="54" t="b">
        <v>1</v>
      </c>
      <c r="K5782" s="63" t="s">
        <v>1048</v>
      </c>
      <c r="L5782" s="63" t="s">
        <v>11529</v>
      </c>
      <c r="M5782" s="63" t="s">
        <v>11530</v>
      </c>
      <c r="N5782" s="63" t="s">
        <v>7734</v>
      </c>
    </row>
    <row r="5783" spans="1:14" x14ac:dyDescent="0.2">
      <c r="A5783" s="51">
        <v>5782</v>
      </c>
      <c r="B5783" s="54" t="s">
        <v>1048</v>
      </c>
      <c r="C5783" s="47" t="s">
        <v>11533</v>
      </c>
      <c r="D5783" s="47" t="s">
        <v>11534</v>
      </c>
      <c r="E5783" s="47" t="s">
        <v>7734</v>
      </c>
      <c r="F5783" s="55" t="b">
        <v>1</v>
      </c>
      <c r="G5783" s="54" t="b">
        <v>1</v>
      </c>
      <c r="H5783" s="54" t="b">
        <v>1</v>
      </c>
      <c r="I5783" s="54" t="b">
        <v>1</v>
      </c>
      <c r="J5783" s="54" t="b">
        <v>1</v>
      </c>
      <c r="K5783" s="63" t="s">
        <v>1048</v>
      </c>
      <c r="L5783" s="63" t="s">
        <v>11533</v>
      </c>
      <c r="M5783" s="63" t="s">
        <v>11534</v>
      </c>
      <c r="N5783" s="63" t="s">
        <v>7734</v>
      </c>
    </row>
    <row r="5784" spans="1:14" x14ac:dyDescent="0.2">
      <c r="A5784" s="51">
        <v>5783</v>
      </c>
      <c r="B5784" s="54" t="s">
        <v>1048</v>
      </c>
      <c r="C5784" s="47" t="s">
        <v>11537</v>
      </c>
      <c r="D5784" s="47" t="s">
        <v>11538</v>
      </c>
      <c r="E5784" s="47" t="s">
        <v>1788</v>
      </c>
      <c r="F5784" s="55" t="b">
        <v>1</v>
      </c>
      <c r="G5784" s="54" t="b">
        <v>1</v>
      </c>
      <c r="H5784" s="54" t="b">
        <v>1</v>
      </c>
      <c r="I5784" s="54" t="b">
        <v>1</v>
      </c>
      <c r="J5784" s="65" t="b">
        <v>0</v>
      </c>
      <c r="K5784" s="63" t="s">
        <v>1048</v>
      </c>
      <c r="L5784" s="63" t="s">
        <v>11537</v>
      </c>
      <c r="M5784" s="63" t="s">
        <v>11538</v>
      </c>
      <c r="N5784" s="63" t="s">
        <v>11114</v>
      </c>
    </row>
    <row r="5785" spans="1:14" x14ac:dyDescent="0.2">
      <c r="A5785" s="51">
        <v>5784</v>
      </c>
      <c r="B5785" s="54" t="s">
        <v>1048</v>
      </c>
      <c r="C5785" s="47" t="s">
        <v>11531</v>
      </c>
      <c r="D5785" s="47" t="s">
        <v>11532</v>
      </c>
      <c r="E5785" s="47" t="s">
        <v>11075</v>
      </c>
      <c r="F5785" s="55" t="b">
        <v>1</v>
      </c>
      <c r="G5785" s="54" t="b">
        <v>1</v>
      </c>
      <c r="H5785" s="54" t="b">
        <v>1</v>
      </c>
      <c r="I5785" s="54" t="b">
        <v>1</v>
      </c>
      <c r="J5785" s="54" t="b">
        <v>1</v>
      </c>
      <c r="K5785" s="63" t="s">
        <v>1048</v>
      </c>
      <c r="L5785" s="63" t="s">
        <v>11531</v>
      </c>
      <c r="M5785" s="63" t="s">
        <v>11532</v>
      </c>
      <c r="N5785" s="63" t="s">
        <v>11075</v>
      </c>
    </row>
    <row r="5786" spans="1:14" x14ac:dyDescent="0.2">
      <c r="A5786" s="51">
        <v>5785</v>
      </c>
      <c r="B5786" s="54" t="s">
        <v>1048</v>
      </c>
      <c r="C5786" s="47" t="s">
        <v>11511</v>
      </c>
      <c r="D5786" s="47" t="s">
        <v>11512</v>
      </c>
      <c r="E5786" s="47" t="s">
        <v>7734</v>
      </c>
      <c r="F5786" s="55" t="b">
        <v>1</v>
      </c>
      <c r="G5786" s="54" t="b">
        <v>1</v>
      </c>
      <c r="H5786" s="54" t="b">
        <v>1</v>
      </c>
      <c r="I5786" s="54" t="b">
        <v>1</v>
      </c>
      <c r="J5786" s="54" t="b">
        <v>1</v>
      </c>
      <c r="K5786" s="63" t="s">
        <v>1048</v>
      </c>
      <c r="L5786" s="63" t="s">
        <v>11511</v>
      </c>
      <c r="M5786" s="63" t="s">
        <v>11512</v>
      </c>
      <c r="N5786" s="63" t="s">
        <v>7734</v>
      </c>
    </row>
    <row r="5787" spans="1:14" x14ac:dyDescent="0.2">
      <c r="A5787" s="51">
        <v>5786</v>
      </c>
      <c r="B5787" s="54" t="s">
        <v>1048</v>
      </c>
      <c r="C5787" s="47" t="s">
        <v>11539</v>
      </c>
      <c r="D5787" s="47" t="s">
        <v>11541</v>
      </c>
      <c r="E5787" s="47" t="s">
        <v>7734</v>
      </c>
      <c r="F5787" s="55" t="b">
        <v>1</v>
      </c>
      <c r="G5787" s="54" t="b">
        <v>1</v>
      </c>
      <c r="H5787" s="54" t="b">
        <v>1</v>
      </c>
      <c r="I5787" s="65" t="b">
        <v>0</v>
      </c>
      <c r="J5787" s="54" t="b">
        <v>1</v>
      </c>
      <c r="K5787" s="63" t="s">
        <v>1048</v>
      </c>
      <c r="L5787" s="63" t="s">
        <v>11539</v>
      </c>
      <c r="M5787" s="63" t="s">
        <v>11540</v>
      </c>
      <c r="N5787" s="63" t="s">
        <v>7734</v>
      </c>
    </row>
    <row r="5788" spans="1:14" x14ac:dyDescent="0.2">
      <c r="A5788" s="51">
        <v>5787</v>
      </c>
      <c r="G5788" s="65" t="b">
        <v>0</v>
      </c>
      <c r="H5788" s="65" t="b">
        <v>0</v>
      </c>
      <c r="I5788" s="65" t="b">
        <v>0</v>
      </c>
      <c r="J5788" s="65" t="b">
        <v>0</v>
      </c>
      <c r="K5788" s="63" t="s">
        <v>1048</v>
      </c>
      <c r="L5788" s="63" t="s">
        <v>11539</v>
      </c>
      <c r="M5788" s="63" t="s">
        <v>11541</v>
      </c>
      <c r="N5788" s="63" t="s">
        <v>7734</v>
      </c>
    </row>
    <row r="5789" spans="1:14" x14ac:dyDescent="0.2">
      <c r="A5789" s="51">
        <v>5788</v>
      </c>
      <c r="B5789" s="54" t="s">
        <v>1048</v>
      </c>
      <c r="C5789" s="47" t="s">
        <v>11523</v>
      </c>
      <c r="D5789" s="47" t="s">
        <v>11524</v>
      </c>
      <c r="E5789" s="47" t="s">
        <v>11070</v>
      </c>
      <c r="F5789" s="55" t="b">
        <v>1</v>
      </c>
      <c r="G5789" s="54" t="b">
        <v>1</v>
      </c>
      <c r="H5789" s="54" t="b">
        <v>1</v>
      </c>
      <c r="I5789" s="54" t="b">
        <v>1</v>
      </c>
      <c r="J5789" s="54" t="b">
        <v>1</v>
      </c>
      <c r="K5789" s="63" t="s">
        <v>1048</v>
      </c>
      <c r="L5789" s="63" t="s">
        <v>11523</v>
      </c>
      <c r="M5789" s="63" t="s">
        <v>11524</v>
      </c>
      <c r="N5789" s="63" t="s">
        <v>11070</v>
      </c>
    </row>
    <row r="5790" spans="1:14" x14ac:dyDescent="0.2">
      <c r="A5790" s="51">
        <v>5789</v>
      </c>
      <c r="B5790" s="54" t="s">
        <v>1048</v>
      </c>
      <c r="C5790" s="47" t="s">
        <v>11521</v>
      </c>
      <c r="D5790" s="47" t="s">
        <v>11522</v>
      </c>
      <c r="E5790" s="47" t="s">
        <v>1788</v>
      </c>
      <c r="F5790" s="55" t="b">
        <v>1</v>
      </c>
      <c r="G5790" s="54" t="b">
        <v>1</v>
      </c>
      <c r="H5790" s="54" t="b">
        <v>1</v>
      </c>
      <c r="I5790" s="54" t="b">
        <v>1</v>
      </c>
      <c r="J5790" s="65" t="b">
        <v>0</v>
      </c>
      <c r="K5790" s="63" t="s">
        <v>1048</v>
      </c>
      <c r="L5790" s="63" t="s">
        <v>11521</v>
      </c>
      <c r="M5790" s="63" t="s">
        <v>11522</v>
      </c>
      <c r="N5790" s="63" t="s">
        <v>11114</v>
      </c>
    </row>
    <row r="5791" spans="1:14" x14ac:dyDescent="0.2">
      <c r="A5791" s="51">
        <v>5790</v>
      </c>
      <c r="B5791" s="54" t="s">
        <v>1048</v>
      </c>
      <c r="C5791" s="47" t="s">
        <v>11542</v>
      </c>
      <c r="D5791" s="47" t="s">
        <v>11543</v>
      </c>
      <c r="E5791" s="47" t="s">
        <v>7734</v>
      </c>
      <c r="F5791" s="55" t="b">
        <v>1</v>
      </c>
      <c r="G5791" s="54" t="b">
        <v>1</v>
      </c>
      <c r="H5791" s="54" t="b">
        <v>1</v>
      </c>
      <c r="I5791" s="54" t="b">
        <v>1</v>
      </c>
      <c r="J5791" s="54" t="b">
        <v>1</v>
      </c>
      <c r="K5791" s="63" t="s">
        <v>1048</v>
      </c>
      <c r="L5791" s="63" t="s">
        <v>11542</v>
      </c>
      <c r="M5791" s="63" t="s">
        <v>11543</v>
      </c>
      <c r="N5791" s="63" t="s">
        <v>7734</v>
      </c>
    </row>
    <row r="5792" spans="1:14" x14ac:dyDescent="0.2">
      <c r="A5792" s="51">
        <v>5791</v>
      </c>
      <c r="B5792" s="54" t="s">
        <v>1048</v>
      </c>
      <c r="C5792" s="47" t="s">
        <v>11429</v>
      </c>
      <c r="D5792" s="47" t="s">
        <v>11430</v>
      </c>
      <c r="E5792" s="47" t="s">
        <v>11046</v>
      </c>
      <c r="F5792" s="55" t="b">
        <v>1</v>
      </c>
      <c r="G5792" s="54" t="b">
        <v>1</v>
      </c>
      <c r="H5792" s="54" t="b">
        <v>1</v>
      </c>
      <c r="I5792" s="54" t="b">
        <v>1</v>
      </c>
      <c r="J5792" s="54" t="b">
        <v>1</v>
      </c>
      <c r="K5792" s="63" t="s">
        <v>1048</v>
      </c>
      <c r="L5792" s="63" t="s">
        <v>11429</v>
      </c>
      <c r="M5792" s="63" t="s">
        <v>11430</v>
      </c>
      <c r="N5792" s="63" t="s">
        <v>11046</v>
      </c>
    </row>
    <row r="5793" spans="1:14" x14ac:dyDescent="0.2">
      <c r="A5793" s="51">
        <v>5792</v>
      </c>
      <c r="B5793" s="54" t="s">
        <v>1050</v>
      </c>
      <c r="C5793" s="47" t="s">
        <v>11546</v>
      </c>
      <c r="D5793" s="47" t="s">
        <v>11547</v>
      </c>
      <c r="E5793" s="47" t="s">
        <v>2113</v>
      </c>
      <c r="G5793" s="54" t="b">
        <v>1</v>
      </c>
      <c r="H5793" s="54" t="b">
        <v>1</v>
      </c>
      <c r="I5793" s="54" t="b">
        <v>1</v>
      </c>
      <c r="J5793" s="54" t="b">
        <v>1</v>
      </c>
      <c r="K5793" s="63" t="s">
        <v>1050</v>
      </c>
      <c r="L5793" s="63" t="s">
        <v>11546</v>
      </c>
      <c r="M5793" s="63" t="s">
        <v>11547</v>
      </c>
      <c r="N5793" s="63" t="s">
        <v>2113</v>
      </c>
    </row>
    <row r="5794" spans="1:14" x14ac:dyDescent="0.2">
      <c r="A5794" s="51">
        <v>5793</v>
      </c>
      <c r="B5794" s="54" t="s">
        <v>1050</v>
      </c>
      <c r="C5794" s="47" t="s">
        <v>11544</v>
      </c>
      <c r="D5794" s="47" t="s">
        <v>11545</v>
      </c>
      <c r="E5794" s="47" t="s">
        <v>2113</v>
      </c>
      <c r="G5794" s="54" t="b">
        <v>1</v>
      </c>
      <c r="H5794" s="54" t="b">
        <v>1</v>
      </c>
      <c r="I5794" s="54" t="b">
        <v>1</v>
      </c>
      <c r="J5794" s="54" t="b">
        <v>1</v>
      </c>
      <c r="K5794" s="63" t="s">
        <v>1050</v>
      </c>
      <c r="L5794" s="63" t="s">
        <v>11544</v>
      </c>
      <c r="M5794" s="63" t="s">
        <v>11545</v>
      </c>
      <c r="N5794" s="63" t="s">
        <v>2113</v>
      </c>
    </row>
    <row r="5795" spans="1:14" x14ac:dyDescent="0.2">
      <c r="A5795" s="51">
        <v>5794</v>
      </c>
      <c r="B5795" s="54" t="s">
        <v>1050</v>
      </c>
      <c r="C5795" s="47" t="s">
        <v>11553</v>
      </c>
      <c r="D5795" s="47" t="s">
        <v>11554</v>
      </c>
      <c r="E5795" s="47" t="s">
        <v>2113</v>
      </c>
      <c r="F5795" s="55" t="b">
        <v>1</v>
      </c>
      <c r="G5795" s="54" t="b">
        <v>1</v>
      </c>
      <c r="H5795" s="54" t="b">
        <v>1</v>
      </c>
      <c r="I5795" s="54" t="b">
        <v>1</v>
      </c>
      <c r="J5795" s="54" t="b">
        <v>1</v>
      </c>
      <c r="K5795" s="63" t="s">
        <v>1050</v>
      </c>
      <c r="L5795" s="63" t="s">
        <v>11553</v>
      </c>
      <c r="M5795" s="63" t="s">
        <v>11554</v>
      </c>
      <c r="N5795" s="63" t="s">
        <v>2113</v>
      </c>
    </row>
    <row r="5796" spans="1:14" x14ac:dyDescent="0.2">
      <c r="A5796" s="51">
        <v>5795</v>
      </c>
      <c r="F5796" s="55" t="b">
        <v>1</v>
      </c>
      <c r="G5796" s="65" t="b">
        <v>0</v>
      </c>
      <c r="H5796" s="65" t="b">
        <v>0</v>
      </c>
      <c r="I5796" s="65" t="b">
        <v>0</v>
      </c>
      <c r="J5796" s="65" t="b">
        <v>0</v>
      </c>
      <c r="K5796" s="63" t="s">
        <v>1050</v>
      </c>
      <c r="L5796" s="63" t="s">
        <v>11548</v>
      </c>
      <c r="M5796" s="63" t="s">
        <v>11549</v>
      </c>
      <c r="N5796" s="63" t="s">
        <v>11550</v>
      </c>
    </row>
    <row r="5797" spans="1:14" x14ac:dyDescent="0.2">
      <c r="A5797" s="51">
        <v>5796</v>
      </c>
      <c r="B5797" s="54" t="s">
        <v>1050</v>
      </c>
      <c r="C5797" s="47" t="s">
        <v>11551</v>
      </c>
      <c r="D5797" s="47" t="s">
        <v>11552</v>
      </c>
      <c r="E5797" s="47" t="s">
        <v>2113</v>
      </c>
      <c r="F5797" s="55" t="b">
        <v>1</v>
      </c>
      <c r="G5797" s="54" t="b">
        <v>1</v>
      </c>
      <c r="H5797" s="54" t="b">
        <v>1</v>
      </c>
      <c r="I5797" s="54" t="b">
        <v>1</v>
      </c>
      <c r="J5797" s="54" t="b">
        <v>1</v>
      </c>
      <c r="K5797" s="63" t="s">
        <v>1050</v>
      </c>
      <c r="L5797" s="63" t="s">
        <v>11551</v>
      </c>
      <c r="M5797" s="63" t="s">
        <v>11552</v>
      </c>
      <c r="N5797" s="63" t="s">
        <v>2113</v>
      </c>
    </row>
    <row r="5798" spans="1:14" x14ac:dyDescent="0.2">
      <c r="A5798" s="51">
        <v>5797</v>
      </c>
      <c r="B5798" s="54" t="s">
        <v>1050</v>
      </c>
      <c r="C5798" s="47" t="s">
        <v>11555</v>
      </c>
      <c r="D5798" s="47" t="s">
        <v>11556</v>
      </c>
      <c r="E5798" s="47" t="s">
        <v>2113</v>
      </c>
      <c r="G5798" s="54" t="b">
        <v>1</v>
      </c>
      <c r="H5798" s="54" t="b">
        <v>1</v>
      </c>
      <c r="I5798" s="54" t="b">
        <v>1</v>
      </c>
      <c r="J5798" s="54" t="b">
        <v>1</v>
      </c>
      <c r="K5798" s="63" t="s">
        <v>1050</v>
      </c>
      <c r="L5798" s="63" t="s">
        <v>11555</v>
      </c>
      <c r="M5798" s="63" t="s">
        <v>11556</v>
      </c>
      <c r="N5798" s="63" t="s">
        <v>2113</v>
      </c>
    </row>
    <row r="5799" spans="1:14" x14ac:dyDescent="0.2">
      <c r="A5799" s="51">
        <v>5798</v>
      </c>
      <c r="B5799" s="54" t="s">
        <v>1050</v>
      </c>
      <c r="C5799" s="47" t="s">
        <v>11557</v>
      </c>
      <c r="D5799" s="47" t="s">
        <v>11558</v>
      </c>
      <c r="E5799" s="47" t="s">
        <v>2113</v>
      </c>
      <c r="F5799" s="55" t="b">
        <v>1</v>
      </c>
      <c r="G5799" s="54" t="b">
        <v>1</v>
      </c>
      <c r="H5799" s="54" t="b">
        <v>1</v>
      </c>
      <c r="I5799" s="54" t="b">
        <v>1</v>
      </c>
      <c r="J5799" s="54" t="b">
        <v>1</v>
      </c>
      <c r="K5799" s="63" t="s">
        <v>1050</v>
      </c>
      <c r="L5799" s="63" t="s">
        <v>11557</v>
      </c>
      <c r="M5799" s="63" t="s">
        <v>11558</v>
      </c>
      <c r="N5799" s="63" t="s">
        <v>2113</v>
      </c>
    </row>
    <row r="5800" spans="1:14" x14ac:dyDescent="0.2">
      <c r="A5800" s="51">
        <v>5799</v>
      </c>
      <c r="B5800" s="54" t="s">
        <v>1050</v>
      </c>
      <c r="C5800" s="47" t="s">
        <v>11559</v>
      </c>
      <c r="D5800" s="47" t="s">
        <v>11560</v>
      </c>
      <c r="E5800" s="47" t="s">
        <v>2113</v>
      </c>
      <c r="F5800" s="55" t="b">
        <v>1</v>
      </c>
      <c r="G5800" s="54" t="b">
        <v>1</v>
      </c>
      <c r="H5800" s="54" t="b">
        <v>1</v>
      </c>
      <c r="I5800" s="54" t="b">
        <v>1</v>
      </c>
      <c r="J5800" s="54" t="b">
        <v>1</v>
      </c>
      <c r="K5800" s="63" t="s">
        <v>1050</v>
      </c>
      <c r="L5800" s="63" t="s">
        <v>11559</v>
      </c>
      <c r="M5800" s="63" t="s">
        <v>11560</v>
      </c>
      <c r="N5800" s="63" t="s">
        <v>2113</v>
      </c>
    </row>
    <row r="5801" spans="1:14" x14ac:dyDescent="0.2">
      <c r="A5801" s="51">
        <v>5800</v>
      </c>
      <c r="B5801" s="54" t="s">
        <v>1050</v>
      </c>
      <c r="C5801" s="47" t="s">
        <v>11563</v>
      </c>
      <c r="D5801" s="47" t="s">
        <v>11564</v>
      </c>
      <c r="E5801" s="47" t="s">
        <v>1790</v>
      </c>
      <c r="F5801" s="55" t="b">
        <v>1</v>
      </c>
      <c r="G5801" s="54" t="b">
        <v>1</v>
      </c>
      <c r="H5801" s="54" t="b">
        <v>1</v>
      </c>
      <c r="I5801" s="54" t="b">
        <v>1</v>
      </c>
      <c r="J5801" s="54" t="b">
        <v>1</v>
      </c>
      <c r="K5801" s="63" t="s">
        <v>1050</v>
      </c>
      <c r="L5801" s="63" t="s">
        <v>11563</v>
      </c>
      <c r="M5801" s="63" t="s">
        <v>11564</v>
      </c>
      <c r="N5801" s="63" t="s">
        <v>1790</v>
      </c>
    </row>
    <row r="5802" spans="1:14" x14ac:dyDescent="0.2">
      <c r="A5802" s="51">
        <v>5801</v>
      </c>
      <c r="B5802" s="54" t="s">
        <v>1050</v>
      </c>
      <c r="C5802" s="47" t="s">
        <v>11561</v>
      </c>
      <c r="D5802" s="47" t="s">
        <v>11562</v>
      </c>
      <c r="E5802" s="47" t="s">
        <v>2113</v>
      </c>
      <c r="F5802" s="55" t="b">
        <v>1</v>
      </c>
      <c r="G5802" s="54" t="b">
        <v>1</v>
      </c>
      <c r="H5802" s="54" t="b">
        <v>1</v>
      </c>
      <c r="I5802" s="54" t="b">
        <v>1</v>
      </c>
      <c r="J5802" s="54" t="b">
        <v>1</v>
      </c>
      <c r="K5802" s="63" t="s">
        <v>1050</v>
      </c>
      <c r="L5802" s="63" t="s">
        <v>11561</v>
      </c>
      <c r="M5802" s="63" t="s">
        <v>11562</v>
      </c>
      <c r="N5802" s="63" t="s">
        <v>2113</v>
      </c>
    </row>
    <row r="5803" spans="1:14" x14ac:dyDescent="0.2">
      <c r="A5803" s="51">
        <v>5802</v>
      </c>
      <c r="B5803" s="54" t="s">
        <v>1050</v>
      </c>
      <c r="C5803" s="47" t="s">
        <v>11565</v>
      </c>
      <c r="D5803" s="47" t="s">
        <v>11566</v>
      </c>
      <c r="E5803" s="47" t="s">
        <v>2113</v>
      </c>
      <c r="F5803" s="55" t="b">
        <v>1</v>
      </c>
      <c r="G5803" s="54" t="b">
        <v>1</v>
      </c>
      <c r="H5803" s="54" t="b">
        <v>1</v>
      </c>
      <c r="I5803" s="54" t="b">
        <v>1</v>
      </c>
      <c r="J5803" s="54" t="b">
        <v>1</v>
      </c>
      <c r="K5803" s="63" t="s">
        <v>1050</v>
      </c>
      <c r="L5803" s="63" t="s">
        <v>11565</v>
      </c>
      <c r="M5803" s="63" t="s">
        <v>11566</v>
      </c>
      <c r="N5803" s="63" t="s">
        <v>2113</v>
      </c>
    </row>
    <row r="5804" spans="1:14" x14ac:dyDescent="0.2">
      <c r="A5804" s="51">
        <v>5803</v>
      </c>
      <c r="B5804" s="54" t="s">
        <v>1050</v>
      </c>
      <c r="C5804" s="47" t="s">
        <v>11567</v>
      </c>
      <c r="D5804" s="47" t="s">
        <v>11568</v>
      </c>
      <c r="E5804" s="47" t="s">
        <v>2113</v>
      </c>
      <c r="F5804" s="55" t="b">
        <v>1</v>
      </c>
      <c r="G5804" s="54" t="b">
        <v>1</v>
      </c>
      <c r="H5804" s="54" t="b">
        <v>1</v>
      </c>
      <c r="I5804" s="54" t="b">
        <v>1</v>
      </c>
      <c r="J5804" s="54" t="b">
        <v>1</v>
      </c>
      <c r="K5804" s="63" t="s">
        <v>1050</v>
      </c>
      <c r="L5804" s="63" t="s">
        <v>11567</v>
      </c>
      <c r="M5804" s="63" t="s">
        <v>11568</v>
      </c>
      <c r="N5804" s="63" t="s">
        <v>2113</v>
      </c>
    </row>
    <row r="5805" spans="1:14" x14ac:dyDescent="0.2">
      <c r="A5805" s="51">
        <v>5804</v>
      </c>
      <c r="F5805" s="55" t="b">
        <v>1</v>
      </c>
      <c r="G5805" s="65" t="b">
        <v>0</v>
      </c>
      <c r="H5805" s="65" t="b">
        <v>0</v>
      </c>
      <c r="I5805" s="65" t="b">
        <v>0</v>
      </c>
      <c r="J5805" s="65" t="b">
        <v>0</v>
      </c>
      <c r="K5805" s="63" t="s">
        <v>1050</v>
      </c>
      <c r="L5805" s="63" t="s">
        <v>11569</v>
      </c>
      <c r="M5805" s="63" t="s">
        <v>11570</v>
      </c>
      <c r="N5805" s="63" t="s">
        <v>11550</v>
      </c>
    </row>
    <row r="5806" spans="1:14" x14ac:dyDescent="0.2">
      <c r="A5806" s="51">
        <v>5805</v>
      </c>
      <c r="B5806" s="54" t="s">
        <v>1050</v>
      </c>
      <c r="C5806" s="47" t="s">
        <v>11571</v>
      </c>
      <c r="D5806" s="47" t="s">
        <v>11572</v>
      </c>
      <c r="E5806" s="47" t="s">
        <v>2113</v>
      </c>
      <c r="F5806" s="55" t="b">
        <v>1</v>
      </c>
      <c r="G5806" s="54" t="b">
        <v>1</v>
      </c>
      <c r="H5806" s="54" t="b">
        <v>1</v>
      </c>
      <c r="I5806" s="54" t="b">
        <v>1</v>
      </c>
      <c r="J5806" s="54" t="b">
        <v>1</v>
      </c>
      <c r="K5806" s="63" t="s">
        <v>1050</v>
      </c>
      <c r="L5806" s="63" t="s">
        <v>11571</v>
      </c>
      <c r="M5806" s="63" t="s">
        <v>11572</v>
      </c>
      <c r="N5806" s="63" t="s">
        <v>2113</v>
      </c>
    </row>
    <row r="5807" spans="1:14" x14ac:dyDescent="0.2">
      <c r="A5807" s="51">
        <v>5806</v>
      </c>
      <c r="B5807" s="54" t="s">
        <v>1050</v>
      </c>
      <c r="C5807" s="47" t="s">
        <v>11579</v>
      </c>
      <c r="D5807" s="47" t="s">
        <v>11580</v>
      </c>
      <c r="E5807" s="47" t="s">
        <v>2113</v>
      </c>
      <c r="G5807" s="54" t="b">
        <v>1</v>
      </c>
      <c r="H5807" s="54" t="b">
        <v>1</v>
      </c>
      <c r="I5807" s="54" t="b">
        <v>1</v>
      </c>
      <c r="J5807" s="54" t="b">
        <v>1</v>
      </c>
      <c r="K5807" s="63" t="s">
        <v>1050</v>
      </c>
      <c r="L5807" s="63" t="s">
        <v>11579</v>
      </c>
      <c r="M5807" s="63" t="s">
        <v>11580</v>
      </c>
      <c r="N5807" s="63" t="s">
        <v>2113</v>
      </c>
    </row>
    <row r="5808" spans="1:14" x14ac:dyDescent="0.2">
      <c r="A5808" s="51">
        <v>5807</v>
      </c>
      <c r="B5808" s="54" t="s">
        <v>1050</v>
      </c>
      <c r="C5808" s="47" t="s">
        <v>11573</v>
      </c>
      <c r="D5808" s="47" t="s">
        <v>11574</v>
      </c>
      <c r="E5808" s="47" t="s">
        <v>2113</v>
      </c>
      <c r="F5808" s="55" t="b">
        <v>1</v>
      </c>
      <c r="G5808" s="54" t="b">
        <v>1</v>
      </c>
      <c r="H5808" s="54" t="b">
        <v>1</v>
      </c>
      <c r="I5808" s="54" t="b">
        <v>1</v>
      </c>
      <c r="J5808" s="54" t="b">
        <v>1</v>
      </c>
      <c r="K5808" s="63" t="s">
        <v>1050</v>
      </c>
      <c r="L5808" s="63" t="s">
        <v>11573</v>
      </c>
      <c r="M5808" s="63" t="s">
        <v>11574</v>
      </c>
      <c r="N5808" s="63" t="s">
        <v>2113</v>
      </c>
    </row>
    <row r="5809" spans="1:14" x14ac:dyDescent="0.2">
      <c r="A5809" s="51">
        <v>5808</v>
      </c>
      <c r="B5809" s="54" t="s">
        <v>1050</v>
      </c>
      <c r="C5809" s="47" t="s">
        <v>11575</v>
      </c>
      <c r="D5809" s="47" t="s">
        <v>11576</v>
      </c>
      <c r="E5809" s="47" t="s">
        <v>2113</v>
      </c>
      <c r="F5809" s="55" t="b">
        <v>1</v>
      </c>
      <c r="G5809" s="54" t="b">
        <v>1</v>
      </c>
      <c r="H5809" s="54" t="b">
        <v>1</v>
      </c>
      <c r="I5809" s="54" t="b">
        <v>1</v>
      </c>
      <c r="J5809" s="54" t="b">
        <v>1</v>
      </c>
      <c r="K5809" s="63" t="s">
        <v>1050</v>
      </c>
      <c r="L5809" s="63" t="s">
        <v>11575</v>
      </c>
      <c r="M5809" s="63" t="s">
        <v>11576</v>
      </c>
      <c r="N5809" s="63" t="s">
        <v>2113</v>
      </c>
    </row>
    <row r="5810" spans="1:14" x14ac:dyDescent="0.2">
      <c r="A5810" s="51">
        <v>5809</v>
      </c>
      <c r="B5810" s="54" t="s">
        <v>1050</v>
      </c>
      <c r="C5810" s="47" t="s">
        <v>11577</v>
      </c>
      <c r="D5810" s="47" t="s">
        <v>11578</v>
      </c>
      <c r="E5810" s="47" t="s">
        <v>2113</v>
      </c>
      <c r="F5810" s="55" t="b">
        <v>1</v>
      </c>
      <c r="G5810" s="54" t="b">
        <v>1</v>
      </c>
      <c r="H5810" s="54" t="b">
        <v>1</v>
      </c>
      <c r="I5810" s="54" t="b">
        <v>1</v>
      </c>
      <c r="J5810" s="54" t="b">
        <v>1</v>
      </c>
      <c r="K5810" s="63" t="s">
        <v>1050</v>
      </c>
      <c r="L5810" s="63" t="s">
        <v>11577</v>
      </c>
      <c r="M5810" s="63" t="s">
        <v>11578</v>
      </c>
      <c r="N5810" s="63" t="s">
        <v>2113</v>
      </c>
    </row>
    <row r="5811" spans="1:14" x14ac:dyDescent="0.2">
      <c r="A5811" s="51">
        <v>5810</v>
      </c>
      <c r="B5811" s="54" t="s">
        <v>1050</v>
      </c>
      <c r="C5811" s="47" t="s">
        <v>11581</v>
      </c>
      <c r="D5811" s="47" t="s">
        <v>11582</v>
      </c>
      <c r="E5811" s="47" t="s">
        <v>2113</v>
      </c>
      <c r="F5811" s="55" t="b">
        <v>1</v>
      </c>
      <c r="G5811" s="54" t="b">
        <v>1</v>
      </c>
      <c r="H5811" s="54" t="b">
        <v>1</v>
      </c>
      <c r="I5811" s="54" t="b">
        <v>1</v>
      </c>
      <c r="J5811" s="54" t="b">
        <v>1</v>
      </c>
      <c r="K5811" s="63" t="s">
        <v>1050</v>
      </c>
      <c r="L5811" s="63" t="s">
        <v>11581</v>
      </c>
      <c r="M5811" s="63" t="s">
        <v>11582</v>
      </c>
      <c r="N5811" s="63" t="s">
        <v>2113</v>
      </c>
    </row>
    <row r="5812" spans="1:14" x14ac:dyDescent="0.2">
      <c r="A5812" s="51">
        <v>5811</v>
      </c>
      <c r="B5812" s="54" t="s">
        <v>1050</v>
      </c>
      <c r="C5812" s="47" t="s">
        <v>11583</v>
      </c>
      <c r="D5812" s="47" t="s">
        <v>11584</v>
      </c>
      <c r="E5812" s="47" t="s">
        <v>2113</v>
      </c>
      <c r="F5812" s="55" t="b">
        <v>1</v>
      </c>
      <c r="G5812" s="54" t="b">
        <v>1</v>
      </c>
      <c r="H5812" s="54" t="b">
        <v>1</v>
      </c>
      <c r="I5812" s="54" t="b">
        <v>1</v>
      </c>
      <c r="J5812" s="54" t="b">
        <v>1</v>
      </c>
      <c r="K5812" s="63" t="s">
        <v>1050</v>
      </c>
      <c r="L5812" s="63" t="s">
        <v>11583</v>
      </c>
      <c r="M5812" s="63" t="s">
        <v>11584</v>
      </c>
      <c r="N5812" s="63" t="s">
        <v>2113</v>
      </c>
    </row>
    <row r="5813" spans="1:14" x14ac:dyDescent="0.2">
      <c r="A5813" s="51">
        <v>5812</v>
      </c>
      <c r="B5813" s="54" t="s">
        <v>1050</v>
      </c>
      <c r="C5813" s="47" t="s">
        <v>11585</v>
      </c>
      <c r="D5813" s="47" t="s">
        <v>11586</v>
      </c>
      <c r="E5813" s="47" t="s">
        <v>2113</v>
      </c>
      <c r="F5813" s="55" t="b">
        <v>1</v>
      </c>
      <c r="G5813" s="54" t="b">
        <v>1</v>
      </c>
      <c r="H5813" s="54" t="b">
        <v>1</v>
      </c>
      <c r="I5813" s="54" t="b">
        <v>1</v>
      </c>
      <c r="J5813" s="54" t="b">
        <v>1</v>
      </c>
      <c r="K5813" s="63" t="s">
        <v>1050</v>
      </c>
      <c r="L5813" s="63" t="s">
        <v>11585</v>
      </c>
      <c r="M5813" s="63" t="s">
        <v>11586</v>
      </c>
      <c r="N5813" s="63" t="s">
        <v>2113</v>
      </c>
    </row>
    <row r="5814" spans="1:14" x14ac:dyDescent="0.2">
      <c r="A5814" s="51">
        <v>5813</v>
      </c>
      <c r="B5814" s="54" t="s">
        <v>1050</v>
      </c>
      <c r="C5814" s="47" t="s">
        <v>11590</v>
      </c>
      <c r="D5814" s="47" t="s">
        <v>11591</v>
      </c>
      <c r="E5814" s="47" t="s">
        <v>2113</v>
      </c>
      <c r="F5814" s="55" t="b">
        <v>1</v>
      </c>
      <c r="G5814" s="54" t="b">
        <v>1</v>
      </c>
      <c r="H5814" s="54" t="b">
        <v>1</v>
      </c>
      <c r="I5814" s="54" t="b">
        <v>1</v>
      </c>
      <c r="J5814" s="54" t="b">
        <v>1</v>
      </c>
      <c r="K5814" s="63" t="s">
        <v>1050</v>
      </c>
      <c r="L5814" s="63" t="s">
        <v>11590</v>
      </c>
      <c r="M5814" s="63" t="s">
        <v>11591</v>
      </c>
      <c r="N5814" s="63" t="s">
        <v>2113</v>
      </c>
    </row>
    <row r="5815" spans="1:14" x14ac:dyDescent="0.2">
      <c r="A5815" s="51">
        <v>5814</v>
      </c>
      <c r="B5815" s="54" t="s">
        <v>1050</v>
      </c>
      <c r="C5815" s="47" t="s">
        <v>11589</v>
      </c>
      <c r="D5815" s="47" t="s">
        <v>6381</v>
      </c>
      <c r="E5815" s="47" t="s">
        <v>2113</v>
      </c>
      <c r="F5815" s="55" t="b">
        <v>1</v>
      </c>
      <c r="G5815" s="54" t="b">
        <v>1</v>
      </c>
      <c r="H5815" s="54" t="b">
        <v>1</v>
      </c>
      <c r="I5815" s="54" t="b">
        <v>1</v>
      </c>
      <c r="J5815" s="54" t="b">
        <v>1</v>
      </c>
      <c r="K5815" s="63" t="s">
        <v>1050</v>
      </c>
      <c r="L5815" s="63" t="s">
        <v>11589</v>
      </c>
      <c r="M5815" s="63" t="s">
        <v>6381</v>
      </c>
      <c r="N5815" s="63" t="s">
        <v>2113</v>
      </c>
    </row>
    <row r="5816" spans="1:14" x14ac:dyDescent="0.2">
      <c r="A5816" s="51">
        <v>5815</v>
      </c>
      <c r="B5816" s="54" t="s">
        <v>1050</v>
      </c>
      <c r="C5816" s="47" t="s">
        <v>11587</v>
      </c>
      <c r="D5816" s="47" t="s">
        <v>11588</v>
      </c>
      <c r="E5816" s="47" t="s">
        <v>2113</v>
      </c>
      <c r="F5816" s="55" t="b">
        <v>1</v>
      </c>
      <c r="G5816" s="54" t="b">
        <v>1</v>
      </c>
      <c r="H5816" s="54" t="b">
        <v>1</v>
      </c>
      <c r="I5816" s="54" t="b">
        <v>1</v>
      </c>
      <c r="J5816" s="54" t="b">
        <v>1</v>
      </c>
      <c r="K5816" s="63" t="s">
        <v>1050</v>
      </c>
      <c r="L5816" s="63" t="s">
        <v>11587</v>
      </c>
      <c r="M5816" s="63" t="s">
        <v>11588</v>
      </c>
      <c r="N5816" s="63" t="s">
        <v>2113</v>
      </c>
    </row>
    <row r="5817" spans="1:14" x14ac:dyDescent="0.2">
      <c r="A5817" s="51">
        <v>5816</v>
      </c>
      <c r="B5817" s="54" t="s">
        <v>1050</v>
      </c>
      <c r="C5817" s="47" t="s">
        <v>11592</v>
      </c>
      <c r="D5817" s="47" t="s">
        <v>11593</v>
      </c>
      <c r="E5817" s="47" t="s">
        <v>2113</v>
      </c>
      <c r="F5817" s="55" t="b">
        <v>1</v>
      </c>
      <c r="G5817" s="54" t="b">
        <v>1</v>
      </c>
      <c r="H5817" s="54" t="b">
        <v>1</v>
      </c>
      <c r="I5817" s="54" t="b">
        <v>1</v>
      </c>
      <c r="J5817" s="54" t="b">
        <v>1</v>
      </c>
      <c r="K5817" s="63" t="s">
        <v>1050</v>
      </c>
      <c r="L5817" s="63" t="s">
        <v>11592</v>
      </c>
      <c r="M5817" s="63" t="s">
        <v>11593</v>
      </c>
      <c r="N5817" s="63" t="s">
        <v>2113</v>
      </c>
    </row>
    <row r="5818" spans="1:14" x14ac:dyDescent="0.2">
      <c r="A5818" s="51">
        <v>5817</v>
      </c>
      <c r="B5818" s="54" t="s">
        <v>1050</v>
      </c>
      <c r="C5818" s="47" t="s">
        <v>11594</v>
      </c>
      <c r="D5818" s="47" t="s">
        <v>11595</v>
      </c>
      <c r="E5818" s="47" t="s">
        <v>2113</v>
      </c>
      <c r="F5818" s="55" t="b">
        <v>1</v>
      </c>
      <c r="G5818" s="54" t="b">
        <v>1</v>
      </c>
      <c r="H5818" s="54" t="b">
        <v>1</v>
      </c>
      <c r="I5818" s="54" t="b">
        <v>1</v>
      </c>
      <c r="J5818" s="54" t="b">
        <v>1</v>
      </c>
      <c r="K5818" s="63" t="s">
        <v>1050</v>
      </c>
      <c r="L5818" s="63" t="s">
        <v>11594</v>
      </c>
      <c r="M5818" s="63" t="s">
        <v>11595</v>
      </c>
      <c r="N5818" s="63" t="s">
        <v>2113</v>
      </c>
    </row>
    <row r="5819" spans="1:14" x14ac:dyDescent="0.2">
      <c r="A5819" s="51">
        <v>5818</v>
      </c>
      <c r="B5819" s="54" t="s">
        <v>1050</v>
      </c>
      <c r="C5819" s="47" t="s">
        <v>11598</v>
      </c>
      <c r="D5819" s="47" t="s">
        <v>11599</v>
      </c>
      <c r="E5819" s="47" t="s">
        <v>2113</v>
      </c>
      <c r="F5819" s="55" t="b">
        <v>1</v>
      </c>
      <c r="G5819" s="54" t="b">
        <v>1</v>
      </c>
      <c r="H5819" s="54" t="b">
        <v>1</v>
      </c>
      <c r="I5819" s="54" t="b">
        <v>1</v>
      </c>
      <c r="J5819" s="54" t="b">
        <v>1</v>
      </c>
      <c r="K5819" s="63" t="s">
        <v>1050</v>
      </c>
      <c r="L5819" s="63" t="s">
        <v>11598</v>
      </c>
      <c r="M5819" s="63" t="s">
        <v>11599</v>
      </c>
      <c r="N5819" s="63" t="s">
        <v>2113</v>
      </c>
    </row>
    <row r="5820" spans="1:14" x14ac:dyDescent="0.2">
      <c r="A5820" s="51">
        <v>5819</v>
      </c>
      <c r="F5820" s="55" t="b">
        <v>1</v>
      </c>
      <c r="G5820" s="65" t="b">
        <v>0</v>
      </c>
      <c r="H5820" s="65" t="b">
        <v>0</v>
      </c>
      <c r="I5820" s="65" t="b">
        <v>0</v>
      </c>
      <c r="J5820" s="65" t="b">
        <v>0</v>
      </c>
      <c r="K5820" s="63" t="s">
        <v>1050</v>
      </c>
      <c r="L5820" s="63" t="s">
        <v>11617</v>
      </c>
      <c r="M5820" s="63" t="s">
        <v>11618</v>
      </c>
      <c r="N5820" s="63" t="s">
        <v>11550</v>
      </c>
    </row>
    <row r="5821" spans="1:14" x14ac:dyDescent="0.2">
      <c r="A5821" s="51">
        <v>5820</v>
      </c>
      <c r="B5821" s="54" t="s">
        <v>1050</v>
      </c>
      <c r="C5821" s="47" t="s">
        <v>11596</v>
      </c>
      <c r="D5821" s="47" t="s">
        <v>11597</v>
      </c>
      <c r="E5821" s="47" t="s">
        <v>2113</v>
      </c>
      <c r="F5821" s="55" t="b">
        <v>1</v>
      </c>
      <c r="G5821" s="54" t="b">
        <v>1</v>
      </c>
      <c r="H5821" s="54" t="b">
        <v>1</v>
      </c>
      <c r="I5821" s="54" t="b">
        <v>1</v>
      </c>
      <c r="J5821" s="54" t="b">
        <v>1</v>
      </c>
      <c r="K5821" s="63" t="s">
        <v>1050</v>
      </c>
      <c r="L5821" s="63" t="s">
        <v>11596</v>
      </c>
      <c r="M5821" s="63" t="s">
        <v>11597</v>
      </c>
      <c r="N5821" s="63" t="s">
        <v>2113</v>
      </c>
    </row>
    <row r="5822" spans="1:14" x14ac:dyDescent="0.2">
      <c r="A5822" s="51">
        <v>5821</v>
      </c>
      <c r="B5822" s="54" t="s">
        <v>1050</v>
      </c>
      <c r="C5822" s="47" t="s">
        <v>11600</v>
      </c>
      <c r="D5822" s="47" t="s">
        <v>2817</v>
      </c>
      <c r="E5822" s="47" t="s">
        <v>2113</v>
      </c>
      <c r="G5822" s="54" t="b">
        <v>1</v>
      </c>
      <c r="H5822" s="54" t="b">
        <v>1</v>
      </c>
      <c r="I5822" s="54" t="b">
        <v>1</v>
      </c>
      <c r="J5822" s="54" t="b">
        <v>1</v>
      </c>
      <c r="K5822" s="63" t="s">
        <v>1050</v>
      </c>
      <c r="L5822" s="63" t="s">
        <v>11600</v>
      </c>
      <c r="M5822" s="63" t="s">
        <v>2817</v>
      </c>
      <c r="N5822" s="63" t="s">
        <v>2113</v>
      </c>
    </row>
    <row r="5823" spans="1:14" x14ac:dyDescent="0.2">
      <c r="A5823" s="51">
        <v>5822</v>
      </c>
      <c r="B5823" s="54" t="s">
        <v>1050</v>
      </c>
      <c r="C5823" s="47" t="s">
        <v>11613</v>
      </c>
      <c r="D5823" s="47" t="s">
        <v>11614</v>
      </c>
      <c r="E5823" s="47" t="s">
        <v>2113</v>
      </c>
      <c r="F5823" s="55" t="b">
        <v>1</v>
      </c>
      <c r="G5823" s="54" t="b">
        <v>1</v>
      </c>
      <c r="H5823" s="54" t="b">
        <v>1</v>
      </c>
      <c r="I5823" s="54" t="b">
        <v>1</v>
      </c>
      <c r="J5823" s="54" t="b">
        <v>1</v>
      </c>
      <c r="K5823" s="63" t="s">
        <v>1050</v>
      </c>
      <c r="L5823" s="63" t="s">
        <v>11613</v>
      </c>
      <c r="M5823" s="63" t="s">
        <v>11614</v>
      </c>
      <c r="N5823" s="63" t="s">
        <v>2113</v>
      </c>
    </row>
    <row r="5824" spans="1:14" x14ac:dyDescent="0.2">
      <c r="A5824" s="51">
        <v>5823</v>
      </c>
      <c r="B5824" s="54" t="s">
        <v>1050</v>
      </c>
      <c r="C5824" s="47" t="s">
        <v>11615</v>
      </c>
      <c r="D5824" s="47" t="s">
        <v>11616</v>
      </c>
      <c r="E5824" s="47" t="s">
        <v>2113</v>
      </c>
      <c r="F5824" s="55" t="b">
        <v>1</v>
      </c>
      <c r="G5824" s="54" t="b">
        <v>1</v>
      </c>
      <c r="H5824" s="54" t="b">
        <v>1</v>
      </c>
      <c r="I5824" s="54" t="b">
        <v>1</v>
      </c>
      <c r="J5824" s="54" t="b">
        <v>1</v>
      </c>
      <c r="K5824" s="63" t="s">
        <v>1050</v>
      </c>
      <c r="L5824" s="63" t="s">
        <v>11615</v>
      </c>
      <c r="M5824" s="63" t="s">
        <v>11616</v>
      </c>
      <c r="N5824" s="63" t="s">
        <v>2113</v>
      </c>
    </row>
    <row r="5825" spans="1:14" x14ac:dyDescent="0.2">
      <c r="A5825" s="51">
        <v>5824</v>
      </c>
      <c r="B5825" s="54" t="s">
        <v>1050</v>
      </c>
      <c r="C5825" s="47" t="s">
        <v>11601</v>
      </c>
      <c r="D5825" s="47" t="s">
        <v>11602</v>
      </c>
      <c r="E5825" s="47" t="s">
        <v>2113</v>
      </c>
      <c r="F5825" s="55" t="b">
        <v>1</v>
      </c>
      <c r="G5825" s="54" t="b">
        <v>1</v>
      </c>
      <c r="H5825" s="54" t="b">
        <v>1</v>
      </c>
      <c r="I5825" s="54" t="b">
        <v>1</v>
      </c>
      <c r="J5825" s="54" t="b">
        <v>1</v>
      </c>
      <c r="K5825" s="63" t="s">
        <v>1050</v>
      </c>
      <c r="L5825" s="63" t="s">
        <v>11601</v>
      </c>
      <c r="M5825" s="63" t="s">
        <v>11602</v>
      </c>
      <c r="N5825" s="63" t="s">
        <v>2113</v>
      </c>
    </row>
    <row r="5826" spans="1:14" x14ac:dyDescent="0.2">
      <c r="A5826" s="51">
        <v>5825</v>
      </c>
      <c r="B5826" s="54" t="s">
        <v>1050</v>
      </c>
      <c r="C5826" s="47" t="s">
        <v>11605</v>
      </c>
      <c r="D5826" s="47" t="s">
        <v>11606</v>
      </c>
      <c r="E5826" s="47" t="s">
        <v>2113</v>
      </c>
      <c r="F5826" s="55" t="b">
        <v>1</v>
      </c>
      <c r="G5826" s="54" t="b">
        <v>1</v>
      </c>
      <c r="H5826" s="54" t="b">
        <v>1</v>
      </c>
      <c r="I5826" s="54" t="b">
        <v>1</v>
      </c>
      <c r="J5826" s="54" t="b">
        <v>1</v>
      </c>
      <c r="K5826" s="63" t="s">
        <v>1050</v>
      </c>
      <c r="L5826" s="63" t="s">
        <v>11605</v>
      </c>
      <c r="M5826" s="63" t="s">
        <v>11606</v>
      </c>
      <c r="N5826" s="63" t="s">
        <v>2113</v>
      </c>
    </row>
    <row r="5827" spans="1:14" x14ac:dyDescent="0.2">
      <c r="A5827" s="51">
        <v>5826</v>
      </c>
      <c r="B5827" s="54" t="s">
        <v>1050</v>
      </c>
      <c r="C5827" s="47" t="s">
        <v>11607</v>
      </c>
      <c r="D5827" s="47" t="s">
        <v>11608</v>
      </c>
      <c r="E5827" s="47" t="s">
        <v>2113</v>
      </c>
      <c r="F5827" s="55" t="b">
        <v>1</v>
      </c>
      <c r="G5827" s="54" t="b">
        <v>1</v>
      </c>
      <c r="H5827" s="54" t="b">
        <v>1</v>
      </c>
      <c r="I5827" s="54" t="b">
        <v>1</v>
      </c>
      <c r="J5827" s="54" t="b">
        <v>1</v>
      </c>
      <c r="K5827" s="63" t="s">
        <v>1050</v>
      </c>
      <c r="L5827" s="63" t="s">
        <v>11607</v>
      </c>
      <c r="M5827" s="63" t="s">
        <v>11608</v>
      </c>
      <c r="N5827" s="63" t="s">
        <v>2113</v>
      </c>
    </row>
    <row r="5828" spans="1:14" x14ac:dyDescent="0.2">
      <c r="A5828" s="51">
        <v>5827</v>
      </c>
      <c r="B5828" s="54" t="s">
        <v>1050</v>
      </c>
      <c r="C5828" s="47" t="s">
        <v>11609</v>
      </c>
      <c r="D5828" s="47" t="s">
        <v>11610</v>
      </c>
      <c r="E5828" s="47" t="s">
        <v>2113</v>
      </c>
      <c r="F5828" s="55" t="b">
        <v>1</v>
      </c>
      <c r="G5828" s="54" t="b">
        <v>1</v>
      </c>
      <c r="H5828" s="54" t="b">
        <v>1</v>
      </c>
      <c r="I5828" s="54" t="b">
        <v>1</v>
      </c>
      <c r="J5828" s="54" t="b">
        <v>1</v>
      </c>
      <c r="K5828" s="63" t="s">
        <v>1050</v>
      </c>
      <c r="L5828" s="63" t="s">
        <v>11609</v>
      </c>
      <c r="M5828" s="63" t="s">
        <v>11610</v>
      </c>
      <c r="N5828" s="63" t="s">
        <v>2113</v>
      </c>
    </row>
    <row r="5829" spans="1:14" x14ac:dyDescent="0.2">
      <c r="A5829" s="51">
        <v>5828</v>
      </c>
      <c r="B5829" s="54" t="s">
        <v>1050</v>
      </c>
      <c r="C5829" s="47" t="s">
        <v>11603</v>
      </c>
      <c r="D5829" s="47" t="s">
        <v>11604</v>
      </c>
      <c r="E5829" s="47" t="s">
        <v>2113</v>
      </c>
      <c r="F5829" s="55" t="b">
        <v>1</v>
      </c>
      <c r="G5829" s="54" t="b">
        <v>1</v>
      </c>
      <c r="H5829" s="54" t="b">
        <v>1</v>
      </c>
      <c r="I5829" s="54" t="b">
        <v>1</v>
      </c>
      <c r="J5829" s="54" t="b">
        <v>1</v>
      </c>
      <c r="K5829" s="63" t="s">
        <v>1050</v>
      </c>
      <c r="L5829" s="63" t="s">
        <v>11603</v>
      </c>
      <c r="M5829" s="63" t="s">
        <v>11604</v>
      </c>
      <c r="N5829" s="63" t="s">
        <v>2113</v>
      </c>
    </row>
    <row r="5830" spans="1:14" x14ac:dyDescent="0.2">
      <c r="A5830" s="51">
        <v>5829</v>
      </c>
      <c r="B5830" s="54" t="s">
        <v>1050</v>
      </c>
      <c r="C5830" s="47" t="s">
        <v>11611</v>
      </c>
      <c r="D5830" s="47" t="s">
        <v>11612</v>
      </c>
      <c r="E5830" s="47" t="s">
        <v>2113</v>
      </c>
      <c r="F5830" s="55" t="b">
        <v>1</v>
      </c>
      <c r="G5830" s="54" t="b">
        <v>1</v>
      </c>
      <c r="H5830" s="54" t="b">
        <v>1</v>
      </c>
      <c r="I5830" s="54" t="b">
        <v>1</v>
      </c>
      <c r="J5830" s="54" t="b">
        <v>1</v>
      </c>
      <c r="K5830" s="63" t="s">
        <v>1050</v>
      </c>
      <c r="L5830" s="63" t="s">
        <v>11611</v>
      </c>
      <c r="M5830" s="63" t="s">
        <v>11612</v>
      </c>
      <c r="N5830" s="63" t="s">
        <v>2113</v>
      </c>
    </row>
    <row r="5831" spans="1:14" x14ac:dyDescent="0.2">
      <c r="A5831" s="51">
        <v>5830</v>
      </c>
      <c r="B5831" s="54" t="s">
        <v>1050</v>
      </c>
      <c r="C5831" s="47" t="s">
        <v>11619</v>
      </c>
      <c r="D5831" s="47" t="s">
        <v>11620</v>
      </c>
      <c r="E5831" s="47" t="s">
        <v>2113</v>
      </c>
      <c r="F5831" s="55" t="b">
        <v>1</v>
      </c>
      <c r="G5831" s="54" t="b">
        <v>1</v>
      </c>
      <c r="H5831" s="54" t="b">
        <v>1</v>
      </c>
      <c r="I5831" s="54" t="b">
        <v>1</v>
      </c>
      <c r="J5831" s="54" t="b">
        <v>1</v>
      </c>
      <c r="K5831" s="63" t="s">
        <v>1050</v>
      </c>
      <c r="L5831" s="63" t="s">
        <v>11619</v>
      </c>
      <c r="M5831" s="63" t="s">
        <v>11620</v>
      </c>
      <c r="N5831" s="63" t="s">
        <v>2113</v>
      </c>
    </row>
    <row r="5832" spans="1:14" x14ac:dyDescent="0.2">
      <c r="A5832" s="51">
        <v>5831</v>
      </c>
      <c r="B5832" s="54" t="s">
        <v>1050</v>
      </c>
      <c r="C5832" s="47" t="s">
        <v>11621</v>
      </c>
      <c r="D5832" s="47" t="s">
        <v>11622</v>
      </c>
      <c r="E5832" s="47" t="s">
        <v>2113</v>
      </c>
      <c r="F5832" s="55" t="b">
        <v>1</v>
      </c>
      <c r="G5832" s="54" t="b">
        <v>1</v>
      </c>
      <c r="H5832" s="54" t="b">
        <v>1</v>
      </c>
      <c r="I5832" s="54" t="b">
        <v>1</v>
      </c>
      <c r="J5832" s="54" t="b">
        <v>1</v>
      </c>
      <c r="K5832" s="63" t="s">
        <v>1050</v>
      </c>
      <c r="L5832" s="63" t="s">
        <v>11621</v>
      </c>
      <c r="M5832" s="63" t="s">
        <v>11622</v>
      </c>
      <c r="N5832" s="63" t="s">
        <v>2113</v>
      </c>
    </row>
    <row r="5833" spans="1:14" x14ac:dyDescent="0.2">
      <c r="A5833" s="51">
        <v>5832</v>
      </c>
      <c r="B5833" s="54" t="s">
        <v>1050</v>
      </c>
      <c r="C5833" s="47" t="s">
        <v>11623</v>
      </c>
      <c r="D5833" s="47" t="s">
        <v>11624</v>
      </c>
      <c r="E5833" s="47" t="s">
        <v>2113</v>
      </c>
      <c r="F5833" s="55" t="b">
        <v>1</v>
      </c>
      <c r="G5833" s="54" t="b">
        <v>1</v>
      </c>
      <c r="H5833" s="54" t="b">
        <v>1</v>
      </c>
      <c r="I5833" s="54" t="b">
        <v>1</v>
      </c>
      <c r="J5833" s="54" t="b">
        <v>1</v>
      </c>
      <c r="K5833" s="63" t="s">
        <v>1050</v>
      </c>
      <c r="L5833" s="63" t="s">
        <v>11623</v>
      </c>
      <c r="M5833" s="63" t="s">
        <v>11624</v>
      </c>
      <c r="N5833" s="63" t="s">
        <v>2113</v>
      </c>
    </row>
    <row r="5834" spans="1:14" x14ac:dyDescent="0.2">
      <c r="A5834" s="51">
        <v>5833</v>
      </c>
      <c r="B5834" s="54" t="s">
        <v>1050</v>
      </c>
      <c r="C5834" s="47" t="s">
        <v>11625</v>
      </c>
      <c r="D5834" s="47" t="s">
        <v>11626</v>
      </c>
      <c r="E5834" s="47" t="s">
        <v>2113</v>
      </c>
      <c r="F5834" s="55" t="b">
        <v>1</v>
      </c>
      <c r="G5834" s="54" t="b">
        <v>1</v>
      </c>
      <c r="H5834" s="54" t="b">
        <v>1</v>
      </c>
      <c r="I5834" s="54" t="b">
        <v>1</v>
      </c>
      <c r="J5834" s="54" t="b">
        <v>1</v>
      </c>
      <c r="K5834" s="63" t="s">
        <v>1050</v>
      </c>
      <c r="L5834" s="63" t="s">
        <v>11625</v>
      </c>
      <c r="M5834" s="63" t="s">
        <v>11626</v>
      </c>
      <c r="N5834" s="63" t="s">
        <v>2113</v>
      </c>
    </row>
    <row r="5835" spans="1:14" x14ac:dyDescent="0.2">
      <c r="A5835" s="51">
        <v>5834</v>
      </c>
      <c r="F5835" s="55" t="b">
        <v>1</v>
      </c>
      <c r="G5835" s="65" t="b">
        <v>0</v>
      </c>
      <c r="H5835" s="65" t="b">
        <v>0</v>
      </c>
      <c r="I5835" s="65" t="b">
        <v>0</v>
      </c>
      <c r="J5835" s="65" t="b">
        <v>0</v>
      </c>
      <c r="K5835" s="63" t="s">
        <v>1050</v>
      </c>
      <c r="L5835" s="63" t="s">
        <v>11627</v>
      </c>
      <c r="M5835" s="63" t="s">
        <v>11628</v>
      </c>
      <c r="N5835" s="63" t="s">
        <v>11550</v>
      </c>
    </row>
    <row r="5836" spans="1:14" x14ac:dyDescent="0.2">
      <c r="A5836" s="51">
        <v>5835</v>
      </c>
      <c r="B5836" s="54" t="s">
        <v>1050</v>
      </c>
      <c r="C5836" s="47" t="s">
        <v>11629</v>
      </c>
      <c r="D5836" s="47" t="s">
        <v>11630</v>
      </c>
      <c r="E5836" s="47" t="s">
        <v>2113</v>
      </c>
      <c r="F5836" s="55" t="b">
        <v>1</v>
      </c>
      <c r="G5836" s="54" t="b">
        <v>1</v>
      </c>
      <c r="H5836" s="54" t="b">
        <v>1</v>
      </c>
      <c r="I5836" s="54" t="b">
        <v>1</v>
      </c>
      <c r="J5836" s="54" t="b">
        <v>1</v>
      </c>
      <c r="K5836" s="63" t="s">
        <v>1050</v>
      </c>
      <c r="L5836" s="63" t="s">
        <v>11629</v>
      </c>
      <c r="M5836" s="63" t="s">
        <v>11630</v>
      </c>
      <c r="N5836" s="63" t="s">
        <v>2113</v>
      </c>
    </row>
    <row r="5837" spans="1:14" x14ac:dyDescent="0.2">
      <c r="A5837" s="51">
        <v>5836</v>
      </c>
      <c r="B5837" s="54" t="s">
        <v>1050</v>
      </c>
      <c r="C5837" s="47" t="s">
        <v>11631</v>
      </c>
      <c r="D5837" s="47" t="s">
        <v>11632</v>
      </c>
      <c r="E5837" s="47" t="s">
        <v>2113</v>
      </c>
      <c r="G5837" s="54" t="b">
        <v>1</v>
      </c>
      <c r="H5837" s="54" t="b">
        <v>1</v>
      </c>
      <c r="I5837" s="54" t="b">
        <v>1</v>
      </c>
      <c r="J5837" s="54" t="b">
        <v>1</v>
      </c>
      <c r="K5837" s="63" t="s">
        <v>1050</v>
      </c>
      <c r="L5837" s="63" t="s">
        <v>11631</v>
      </c>
      <c r="M5837" s="63" t="s">
        <v>11632</v>
      </c>
      <c r="N5837" s="63" t="s">
        <v>2113</v>
      </c>
    </row>
    <row r="5838" spans="1:14" x14ac:dyDescent="0.2">
      <c r="A5838" s="51">
        <v>5837</v>
      </c>
      <c r="B5838" s="54" t="s">
        <v>1050</v>
      </c>
      <c r="C5838" s="47" t="s">
        <v>11633</v>
      </c>
      <c r="D5838" s="47" t="s">
        <v>11634</v>
      </c>
      <c r="E5838" s="47" t="s">
        <v>2113</v>
      </c>
      <c r="F5838" s="55" t="b">
        <v>1</v>
      </c>
      <c r="G5838" s="54" t="b">
        <v>1</v>
      </c>
      <c r="H5838" s="54" t="b">
        <v>1</v>
      </c>
      <c r="I5838" s="54" t="b">
        <v>1</v>
      </c>
      <c r="J5838" s="54" t="b">
        <v>1</v>
      </c>
      <c r="K5838" s="63" t="s">
        <v>1050</v>
      </c>
      <c r="L5838" s="63" t="s">
        <v>11633</v>
      </c>
      <c r="M5838" s="63" t="s">
        <v>11634</v>
      </c>
      <c r="N5838" s="63" t="s">
        <v>2113</v>
      </c>
    </row>
    <row r="5839" spans="1:14" x14ac:dyDescent="0.2">
      <c r="A5839" s="51">
        <v>5838</v>
      </c>
      <c r="B5839" s="54" t="s">
        <v>1050</v>
      </c>
      <c r="C5839" s="47" t="s">
        <v>11635</v>
      </c>
      <c r="D5839" s="47" t="s">
        <v>11636</v>
      </c>
      <c r="E5839" s="47" t="s">
        <v>2113</v>
      </c>
      <c r="F5839" s="55" t="b">
        <v>1</v>
      </c>
      <c r="G5839" s="54" t="b">
        <v>1</v>
      </c>
      <c r="H5839" s="54" t="b">
        <v>1</v>
      </c>
      <c r="I5839" s="54" t="b">
        <v>1</v>
      </c>
      <c r="J5839" s="54" t="b">
        <v>1</v>
      </c>
      <c r="K5839" s="63" t="s">
        <v>1050</v>
      </c>
      <c r="L5839" s="63" t="s">
        <v>11635</v>
      </c>
      <c r="M5839" s="63" t="s">
        <v>11636</v>
      </c>
      <c r="N5839" s="63" t="s">
        <v>2113</v>
      </c>
    </row>
    <row r="5840" spans="1:14" x14ac:dyDescent="0.2">
      <c r="A5840" s="51">
        <v>5839</v>
      </c>
      <c r="B5840" s="54" t="s">
        <v>1050</v>
      </c>
      <c r="C5840" s="47" t="s">
        <v>11637</v>
      </c>
      <c r="D5840" s="47" t="s">
        <v>11638</v>
      </c>
      <c r="E5840" s="47" t="s">
        <v>2113</v>
      </c>
      <c r="F5840" s="55" t="b">
        <v>1</v>
      </c>
      <c r="G5840" s="54" t="b">
        <v>1</v>
      </c>
      <c r="H5840" s="54" t="b">
        <v>1</v>
      </c>
      <c r="I5840" s="54" t="b">
        <v>1</v>
      </c>
      <c r="J5840" s="54" t="b">
        <v>1</v>
      </c>
      <c r="K5840" s="63" t="s">
        <v>1050</v>
      </c>
      <c r="L5840" s="63" t="s">
        <v>11637</v>
      </c>
      <c r="M5840" s="63" t="s">
        <v>11638</v>
      </c>
      <c r="N5840" s="63" t="s">
        <v>2113</v>
      </c>
    </row>
    <row r="5841" spans="1:14" x14ac:dyDescent="0.2">
      <c r="A5841" s="51">
        <v>5840</v>
      </c>
      <c r="F5841" s="55" t="b">
        <v>1</v>
      </c>
      <c r="G5841" s="65" t="b">
        <v>0</v>
      </c>
      <c r="H5841" s="65" t="b">
        <v>0</v>
      </c>
      <c r="I5841" s="65" t="b">
        <v>0</v>
      </c>
      <c r="J5841" s="65" t="b">
        <v>0</v>
      </c>
      <c r="K5841" s="63" t="s">
        <v>1050</v>
      </c>
      <c r="L5841" s="63" t="s">
        <v>11639</v>
      </c>
      <c r="M5841" s="63" t="s">
        <v>11640</v>
      </c>
      <c r="N5841" s="63" t="s">
        <v>11550</v>
      </c>
    </row>
    <row r="5842" spans="1:14" x14ac:dyDescent="0.2">
      <c r="A5842" s="51">
        <v>5841</v>
      </c>
      <c r="B5842" s="54" t="s">
        <v>1050</v>
      </c>
      <c r="C5842" s="47" t="s">
        <v>11641</v>
      </c>
      <c r="D5842" s="47" t="s">
        <v>11642</v>
      </c>
      <c r="E5842" s="47" t="s">
        <v>2113</v>
      </c>
      <c r="F5842" s="55" t="b">
        <v>1</v>
      </c>
      <c r="G5842" s="54" t="b">
        <v>1</v>
      </c>
      <c r="H5842" s="54" t="b">
        <v>1</v>
      </c>
      <c r="I5842" s="54" t="b">
        <v>1</v>
      </c>
      <c r="J5842" s="54" t="b">
        <v>1</v>
      </c>
      <c r="K5842" s="63" t="s">
        <v>1050</v>
      </c>
      <c r="L5842" s="63" t="s">
        <v>11641</v>
      </c>
      <c r="M5842" s="63" t="s">
        <v>11642</v>
      </c>
      <c r="N5842" s="63" t="s">
        <v>2113</v>
      </c>
    </row>
    <row r="5843" spans="1:14" x14ac:dyDescent="0.2">
      <c r="A5843" s="51">
        <v>5842</v>
      </c>
      <c r="B5843" s="54" t="s">
        <v>1050</v>
      </c>
      <c r="C5843" s="47" t="s">
        <v>11647</v>
      </c>
      <c r="D5843" s="47" t="s">
        <v>11648</v>
      </c>
      <c r="E5843" s="47" t="s">
        <v>2113</v>
      </c>
      <c r="G5843" s="54" t="b">
        <v>1</v>
      </c>
      <c r="H5843" s="54" t="b">
        <v>1</v>
      </c>
      <c r="I5843" s="54" t="b">
        <v>1</v>
      </c>
      <c r="J5843" s="54" t="b">
        <v>1</v>
      </c>
      <c r="K5843" s="63" t="s">
        <v>1050</v>
      </c>
      <c r="L5843" s="63" t="s">
        <v>11647</v>
      </c>
      <c r="M5843" s="63" t="s">
        <v>11648</v>
      </c>
      <c r="N5843" s="63" t="s">
        <v>2113</v>
      </c>
    </row>
    <row r="5844" spans="1:14" x14ac:dyDescent="0.2">
      <c r="A5844" s="51">
        <v>5843</v>
      </c>
      <c r="F5844" s="55" t="b">
        <v>1</v>
      </c>
      <c r="G5844" s="65" t="b">
        <v>0</v>
      </c>
      <c r="H5844" s="65" t="b">
        <v>0</v>
      </c>
      <c r="I5844" s="65" t="b">
        <v>0</v>
      </c>
      <c r="J5844" s="65" t="b">
        <v>0</v>
      </c>
      <c r="K5844" s="63" t="s">
        <v>1050</v>
      </c>
      <c r="L5844" s="63" t="s">
        <v>11645</v>
      </c>
      <c r="M5844" s="63" t="s">
        <v>11646</v>
      </c>
      <c r="N5844" s="63" t="s">
        <v>11550</v>
      </c>
    </row>
    <row r="5845" spans="1:14" x14ac:dyDescent="0.2">
      <c r="A5845" s="51">
        <v>5844</v>
      </c>
      <c r="B5845" s="54" t="s">
        <v>1050</v>
      </c>
      <c r="C5845" s="47" t="s">
        <v>11643</v>
      </c>
      <c r="D5845" s="47" t="s">
        <v>11644</v>
      </c>
      <c r="E5845" s="47" t="s">
        <v>2113</v>
      </c>
      <c r="F5845" s="55" t="b">
        <v>1</v>
      </c>
      <c r="G5845" s="54" t="b">
        <v>1</v>
      </c>
      <c r="H5845" s="54" t="b">
        <v>1</v>
      </c>
      <c r="I5845" s="54" t="b">
        <v>1</v>
      </c>
      <c r="J5845" s="54" t="b">
        <v>1</v>
      </c>
      <c r="K5845" s="63" t="s">
        <v>1050</v>
      </c>
      <c r="L5845" s="63" t="s">
        <v>11643</v>
      </c>
      <c r="M5845" s="63" t="s">
        <v>11644</v>
      </c>
      <c r="N5845" s="63" t="s">
        <v>2113</v>
      </c>
    </row>
    <row r="5846" spans="1:14" x14ac:dyDescent="0.2">
      <c r="A5846" s="51">
        <v>5845</v>
      </c>
      <c r="B5846" s="54" t="s">
        <v>1050</v>
      </c>
      <c r="C5846" s="47" t="s">
        <v>11649</v>
      </c>
      <c r="D5846" s="47" t="s">
        <v>11650</v>
      </c>
      <c r="E5846" s="47" t="s">
        <v>2113</v>
      </c>
      <c r="G5846" s="54" t="b">
        <v>1</v>
      </c>
      <c r="H5846" s="54" t="b">
        <v>1</v>
      </c>
      <c r="I5846" s="54" t="b">
        <v>1</v>
      </c>
      <c r="J5846" s="54" t="b">
        <v>1</v>
      </c>
      <c r="K5846" s="63" t="s">
        <v>1050</v>
      </c>
      <c r="L5846" s="63" t="s">
        <v>11649</v>
      </c>
      <c r="M5846" s="63" t="s">
        <v>11650</v>
      </c>
      <c r="N5846" s="63" t="s">
        <v>2113</v>
      </c>
    </row>
    <row r="5847" spans="1:14" x14ac:dyDescent="0.2">
      <c r="A5847" s="51">
        <v>5846</v>
      </c>
      <c r="B5847" s="54" t="s">
        <v>1050</v>
      </c>
      <c r="C5847" s="47" t="s">
        <v>11653</v>
      </c>
      <c r="D5847" s="47" t="s">
        <v>11654</v>
      </c>
      <c r="E5847" s="47" t="s">
        <v>2113</v>
      </c>
      <c r="F5847" s="55" t="b">
        <v>1</v>
      </c>
      <c r="G5847" s="54" t="b">
        <v>1</v>
      </c>
      <c r="H5847" s="54" t="b">
        <v>1</v>
      </c>
      <c r="I5847" s="54" t="b">
        <v>1</v>
      </c>
      <c r="J5847" s="54" t="b">
        <v>1</v>
      </c>
      <c r="K5847" s="63" t="s">
        <v>1050</v>
      </c>
      <c r="L5847" s="63" t="s">
        <v>11653</v>
      </c>
      <c r="M5847" s="63" t="s">
        <v>11654</v>
      </c>
      <c r="N5847" s="63" t="s">
        <v>2113</v>
      </c>
    </row>
    <row r="5848" spans="1:14" x14ac:dyDescent="0.2">
      <c r="A5848" s="51">
        <v>5847</v>
      </c>
      <c r="B5848" s="54" t="s">
        <v>1050</v>
      </c>
      <c r="C5848" s="47" t="s">
        <v>11651</v>
      </c>
      <c r="D5848" s="47" t="s">
        <v>11652</v>
      </c>
      <c r="E5848" s="47" t="s">
        <v>2113</v>
      </c>
      <c r="F5848" s="55" t="b">
        <v>1</v>
      </c>
      <c r="G5848" s="54" t="b">
        <v>1</v>
      </c>
      <c r="H5848" s="54" t="b">
        <v>1</v>
      </c>
      <c r="I5848" s="54" t="b">
        <v>1</v>
      </c>
      <c r="J5848" s="54" t="b">
        <v>1</v>
      </c>
      <c r="K5848" s="63" t="s">
        <v>1050</v>
      </c>
      <c r="L5848" s="63" t="s">
        <v>11651</v>
      </c>
      <c r="M5848" s="63" t="s">
        <v>11652</v>
      </c>
      <c r="N5848" s="63" t="s">
        <v>2113</v>
      </c>
    </row>
    <row r="5849" spans="1:14" x14ac:dyDescent="0.2">
      <c r="A5849" s="51">
        <v>5848</v>
      </c>
      <c r="B5849" s="54" t="s">
        <v>1050</v>
      </c>
      <c r="C5849" s="47" t="s">
        <v>11655</v>
      </c>
      <c r="D5849" s="47" t="s">
        <v>11656</v>
      </c>
      <c r="E5849" s="47" t="s">
        <v>2113</v>
      </c>
      <c r="F5849" s="55" t="b">
        <v>1</v>
      </c>
      <c r="G5849" s="54" t="b">
        <v>1</v>
      </c>
      <c r="H5849" s="54" t="b">
        <v>1</v>
      </c>
      <c r="I5849" s="54" t="b">
        <v>1</v>
      </c>
      <c r="J5849" s="54" t="b">
        <v>1</v>
      </c>
      <c r="K5849" s="63" t="s">
        <v>1050</v>
      </c>
      <c r="L5849" s="63" t="s">
        <v>11655</v>
      </c>
      <c r="M5849" s="63" t="s">
        <v>11656</v>
      </c>
      <c r="N5849" s="63" t="s">
        <v>2113</v>
      </c>
    </row>
    <row r="5850" spans="1:14" x14ac:dyDescent="0.2">
      <c r="A5850" s="51">
        <v>5849</v>
      </c>
      <c r="F5850" s="55" t="b">
        <v>1</v>
      </c>
      <c r="G5850" s="65" t="b">
        <v>0</v>
      </c>
      <c r="H5850" s="65" t="b">
        <v>0</v>
      </c>
      <c r="I5850" s="65" t="b">
        <v>0</v>
      </c>
      <c r="J5850" s="65" t="b">
        <v>0</v>
      </c>
      <c r="K5850" s="63" t="s">
        <v>1130</v>
      </c>
      <c r="L5850" s="63" t="s">
        <v>11661</v>
      </c>
      <c r="M5850" s="63" t="s">
        <v>1416</v>
      </c>
      <c r="N5850" s="63" t="s">
        <v>11658</v>
      </c>
    </row>
    <row r="5851" spans="1:14" x14ac:dyDescent="0.2">
      <c r="A5851" s="51">
        <v>5850</v>
      </c>
      <c r="F5851" s="55" t="b">
        <v>1</v>
      </c>
      <c r="G5851" s="65" t="b">
        <v>0</v>
      </c>
      <c r="H5851" s="65" t="b">
        <v>0</v>
      </c>
      <c r="I5851" s="65" t="b">
        <v>0</v>
      </c>
      <c r="J5851" s="65" t="b">
        <v>0</v>
      </c>
      <c r="K5851" s="63" t="s">
        <v>1130</v>
      </c>
      <c r="L5851" s="63" t="s">
        <v>11663</v>
      </c>
      <c r="M5851" s="63" t="s">
        <v>11664</v>
      </c>
      <c r="N5851" s="63" t="s">
        <v>11658</v>
      </c>
    </row>
    <row r="5852" spans="1:14" x14ac:dyDescent="0.2">
      <c r="A5852" s="51">
        <v>5851</v>
      </c>
      <c r="G5852" s="65" t="b">
        <v>0</v>
      </c>
      <c r="H5852" s="65" t="b">
        <v>0</v>
      </c>
      <c r="I5852" s="65" t="b">
        <v>0</v>
      </c>
      <c r="J5852" s="65" t="b">
        <v>0</v>
      </c>
      <c r="K5852" s="63" t="s">
        <v>1130</v>
      </c>
      <c r="L5852" s="63" t="s">
        <v>11665</v>
      </c>
      <c r="M5852" s="63" t="s">
        <v>1425</v>
      </c>
      <c r="N5852" s="63" t="s">
        <v>11658</v>
      </c>
    </row>
    <row r="5853" spans="1:14" x14ac:dyDescent="0.2">
      <c r="A5853" s="51">
        <v>5852</v>
      </c>
      <c r="G5853" s="65" t="b">
        <v>0</v>
      </c>
      <c r="H5853" s="65" t="b">
        <v>0</v>
      </c>
      <c r="I5853" s="65" t="b">
        <v>0</v>
      </c>
      <c r="J5853" s="65" t="b">
        <v>0</v>
      </c>
      <c r="K5853" s="63" t="s">
        <v>1130</v>
      </c>
      <c r="L5853" s="63" t="s">
        <v>11667</v>
      </c>
      <c r="M5853" s="63" t="s">
        <v>1396</v>
      </c>
      <c r="N5853" s="63" t="s">
        <v>11658</v>
      </c>
    </row>
    <row r="5854" spans="1:14" x14ac:dyDescent="0.2">
      <c r="A5854" s="51">
        <v>5853</v>
      </c>
      <c r="G5854" s="65" t="b">
        <v>0</v>
      </c>
      <c r="H5854" s="65" t="b">
        <v>0</v>
      </c>
      <c r="I5854" s="65" t="b">
        <v>0</v>
      </c>
      <c r="J5854" s="65" t="b">
        <v>0</v>
      </c>
      <c r="K5854" s="63" t="s">
        <v>1130</v>
      </c>
      <c r="L5854" s="63" t="s">
        <v>11657</v>
      </c>
      <c r="M5854" s="63" t="s">
        <v>1457</v>
      </c>
      <c r="N5854" s="63" t="s">
        <v>11658</v>
      </c>
    </row>
    <row r="5855" spans="1:14" x14ac:dyDescent="0.2">
      <c r="A5855" s="51">
        <v>5854</v>
      </c>
      <c r="G5855" s="65" t="b">
        <v>0</v>
      </c>
      <c r="H5855" s="65" t="b">
        <v>0</v>
      </c>
      <c r="I5855" s="65" t="b">
        <v>0</v>
      </c>
      <c r="J5855" s="65" t="b">
        <v>0</v>
      </c>
      <c r="K5855" s="63" t="s">
        <v>1130</v>
      </c>
      <c r="L5855" s="63" t="s">
        <v>11659</v>
      </c>
      <c r="M5855" s="63" t="s">
        <v>1451</v>
      </c>
      <c r="N5855" s="63" t="s">
        <v>11658</v>
      </c>
    </row>
    <row r="5856" spans="1:14" x14ac:dyDescent="0.2">
      <c r="A5856" s="51">
        <v>5855</v>
      </c>
      <c r="G5856" s="65" t="b">
        <v>0</v>
      </c>
      <c r="H5856" s="65" t="b">
        <v>0</v>
      </c>
      <c r="I5856" s="65" t="b">
        <v>0</v>
      </c>
      <c r="J5856" s="65" t="b">
        <v>0</v>
      </c>
      <c r="K5856" s="63" t="s">
        <v>1130</v>
      </c>
      <c r="L5856" s="63" t="s">
        <v>11660</v>
      </c>
      <c r="M5856" s="63" t="s">
        <v>1418</v>
      </c>
      <c r="N5856" s="63" t="s">
        <v>11658</v>
      </c>
    </row>
    <row r="5857" spans="1:14" x14ac:dyDescent="0.2">
      <c r="A5857" s="51">
        <v>5856</v>
      </c>
      <c r="G5857" s="65" t="b">
        <v>0</v>
      </c>
      <c r="H5857" s="65" t="b">
        <v>0</v>
      </c>
      <c r="I5857" s="65" t="b">
        <v>0</v>
      </c>
      <c r="J5857" s="65" t="b">
        <v>0</v>
      </c>
      <c r="K5857" s="63" t="s">
        <v>1130</v>
      </c>
      <c r="L5857" s="63" t="s">
        <v>11662</v>
      </c>
      <c r="M5857" s="63" t="s">
        <v>1420</v>
      </c>
      <c r="N5857" s="63" t="s">
        <v>11658</v>
      </c>
    </row>
    <row r="5858" spans="1:14" x14ac:dyDescent="0.2">
      <c r="A5858" s="51">
        <v>5857</v>
      </c>
      <c r="G5858" s="65" t="b">
        <v>0</v>
      </c>
      <c r="H5858" s="65" t="b">
        <v>0</v>
      </c>
      <c r="I5858" s="65" t="b">
        <v>0</v>
      </c>
      <c r="J5858" s="65" t="b">
        <v>0</v>
      </c>
      <c r="K5858" s="63" t="s">
        <v>1130</v>
      </c>
      <c r="L5858" s="63" t="s">
        <v>11666</v>
      </c>
      <c r="M5858" s="63" t="s">
        <v>1429</v>
      </c>
      <c r="N5858" s="63" t="s">
        <v>11658</v>
      </c>
    </row>
    <row r="5859" spans="1:14" x14ac:dyDescent="0.2">
      <c r="A5859" s="51">
        <v>5858</v>
      </c>
      <c r="B5859" s="54" t="s">
        <v>1055</v>
      </c>
      <c r="C5859" s="47" t="s">
        <v>11668</v>
      </c>
      <c r="D5859" s="47" t="s">
        <v>11669</v>
      </c>
      <c r="E5859" s="47" t="s">
        <v>2590</v>
      </c>
      <c r="G5859" s="54" t="b">
        <v>1</v>
      </c>
      <c r="H5859" s="54" t="b">
        <v>1</v>
      </c>
      <c r="I5859" s="54" t="b">
        <v>1</v>
      </c>
      <c r="J5859" s="54" t="b">
        <v>1</v>
      </c>
      <c r="K5859" s="63" t="s">
        <v>1055</v>
      </c>
      <c r="L5859" s="63" t="s">
        <v>11668</v>
      </c>
      <c r="M5859" s="63" t="s">
        <v>11669</v>
      </c>
      <c r="N5859" s="63" t="s">
        <v>2590</v>
      </c>
    </row>
    <row r="5860" spans="1:14" x14ac:dyDescent="0.2">
      <c r="A5860" s="51">
        <v>5859</v>
      </c>
      <c r="B5860" s="54" t="s">
        <v>1055</v>
      </c>
      <c r="C5860" s="47" t="s">
        <v>11670</v>
      </c>
      <c r="D5860" s="47" t="s">
        <v>11671</v>
      </c>
      <c r="E5860" s="47" t="s">
        <v>2590</v>
      </c>
      <c r="G5860" s="54" t="b">
        <v>1</v>
      </c>
      <c r="H5860" s="54" t="b">
        <v>1</v>
      </c>
      <c r="I5860" s="54" t="b">
        <v>1</v>
      </c>
      <c r="J5860" s="54" t="b">
        <v>1</v>
      </c>
      <c r="K5860" s="63" t="s">
        <v>1055</v>
      </c>
      <c r="L5860" s="63" t="s">
        <v>11670</v>
      </c>
      <c r="M5860" s="63" t="s">
        <v>11671</v>
      </c>
      <c r="N5860" s="63" t="s">
        <v>2590</v>
      </c>
    </row>
    <row r="5861" spans="1:14" x14ac:dyDescent="0.2">
      <c r="A5861" s="51">
        <v>5860</v>
      </c>
      <c r="B5861" s="54" t="s">
        <v>1055</v>
      </c>
      <c r="C5861" s="47" t="s">
        <v>11672</v>
      </c>
      <c r="D5861" s="47" t="s">
        <v>11673</v>
      </c>
      <c r="E5861" s="47" t="s">
        <v>2590</v>
      </c>
      <c r="F5861" s="55" t="b">
        <v>1</v>
      </c>
      <c r="G5861" s="54" t="b">
        <v>1</v>
      </c>
      <c r="H5861" s="54" t="b">
        <v>1</v>
      </c>
      <c r="I5861" s="54" t="b">
        <v>1</v>
      </c>
      <c r="J5861" s="54" t="b">
        <v>1</v>
      </c>
      <c r="K5861" s="63" t="s">
        <v>1055</v>
      </c>
      <c r="L5861" s="63" t="s">
        <v>11672</v>
      </c>
      <c r="M5861" s="63" t="s">
        <v>11673</v>
      </c>
      <c r="N5861" s="63" t="s">
        <v>2590</v>
      </c>
    </row>
    <row r="5862" spans="1:14" x14ac:dyDescent="0.2">
      <c r="A5862" s="51">
        <v>5861</v>
      </c>
      <c r="B5862" s="54" t="s">
        <v>1055</v>
      </c>
      <c r="C5862" s="47" t="s">
        <v>11674</v>
      </c>
      <c r="D5862" s="47" t="s">
        <v>11675</v>
      </c>
      <c r="E5862" s="47" t="s">
        <v>2590</v>
      </c>
      <c r="F5862" s="55" t="b">
        <v>1</v>
      </c>
      <c r="G5862" s="54" t="b">
        <v>1</v>
      </c>
      <c r="H5862" s="54" t="b">
        <v>1</v>
      </c>
      <c r="I5862" s="54" t="b">
        <v>1</v>
      </c>
      <c r="J5862" s="54" t="b">
        <v>1</v>
      </c>
      <c r="K5862" s="63" t="s">
        <v>1055</v>
      </c>
      <c r="L5862" s="63" t="s">
        <v>11674</v>
      </c>
      <c r="M5862" s="63" t="s">
        <v>11675</v>
      </c>
      <c r="N5862" s="63" t="s">
        <v>2590</v>
      </c>
    </row>
    <row r="5863" spans="1:14" x14ac:dyDescent="0.2">
      <c r="A5863" s="51">
        <v>5862</v>
      </c>
      <c r="B5863" s="54" t="s">
        <v>1055</v>
      </c>
      <c r="C5863" s="47" t="s">
        <v>11676</v>
      </c>
      <c r="D5863" s="47" t="s">
        <v>11677</v>
      </c>
      <c r="E5863" s="47" t="s">
        <v>2590</v>
      </c>
      <c r="F5863" s="55" t="b">
        <v>1</v>
      </c>
      <c r="G5863" s="54" t="b">
        <v>1</v>
      </c>
      <c r="H5863" s="54" t="b">
        <v>1</v>
      </c>
      <c r="I5863" s="54" t="b">
        <v>1</v>
      </c>
      <c r="J5863" s="54" t="b">
        <v>1</v>
      </c>
      <c r="K5863" s="63" t="s">
        <v>1055</v>
      </c>
      <c r="L5863" s="63" t="s">
        <v>11676</v>
      </c>
      <c r="M5863" s="63" t="s">
        <v>11677</v>
      </c>
      <c r="N5863" s="63" t="s">
        <v>2590</v>
      </c>
    </row>
    <row r="5864" spans="1:14" x14ac:dyDescent="0.2">
      <c r="A5864" s="51">
        <v>5863</v>
      </c>
      <c r="B5864" s="54" t="s">
        <v>1055</v>
      </c>
      <c r="C5864" s="47" t="s">
        <v>11680</v>
      </c>
      <c r="D5864" s="47" t="s">
        <v>11566</v>
      </c>
      <c r="E5864" s="47" t="s">
        <v>2590</v>
      </c>
      <c r="F5864" s="55" t="b">
        <v>1</v>
      </c>
      <c r="G5864" s="54" t="b">
        <v>1</v>
      </c>
      <c r="H5864" s="54" t="b">
        <v>1</v>
      </c>
      <c r="I5864" s="54" t="b">
        <v>1</v>
      </c>
      <c r="J5864" s="54" t="b">
        <v>1</v>
      </c>
      <c r="K5864" s="63" t="s">
        <v>1055</v>
      </c>
      <c r="L5864" s="63" t="s">
        <v>11680</v>
      </c>
      <c r="M5864" s="63" t="s">
        <v>11566</v>
      </c>
      <c r="N5864" s="63" t="s">
        <v>2590</v>
      </c>
    </row>
    <row r="5865" spans="1:14" x14ac:dyDescent="0.2">
      <c r="A5865" s="51">
        <v>5864</v>
      </c>
      <c r="B5865" s="54" t="s">
        <v>1055</v>
      </c>
      <c r="C5865" s="47" t="s">
        <v>11678</v>
      </c>
      <c r="D5865" s="47" t="s">
        <v>11679</v>
      </c>
      <c r="E5865" s="47" t="s">
        <v>2590</v>
      </c>
      <c r="F5865" s="55" t="b">
        <v>1</v>
      </c>
      <c r="G5865" s="54" t="b">
        <v>1</v>
      </c>
      <c r="H5865" s="54" t="b">
        <v>1</v>
      </c>
      <c r="I5865" s="54" t="b">
        <v>1</v>
      </c>
      <c r="J5865" s="54" t="b">
        <v>1</v>
      </c>
      <c r="K5865" s="63" t="s">
        <v>1055</v>
      </c>
      <c r="L5865" s="63" t="s">
        <v>11678</v>
      </c>
      <c r="M5865" s="63" t="s">
        <v>11679</v>
      </c>
      <c r="N5865" s="63" t="s">
        <v>2590</v>
      </c>
    </row>
    <row r="5866" spans="1:14" x14ac:dyDescent="0.2">
      <c r="A5866" s="51">
        <v>5865</v>
      </c>
      <c r="B5866" s="54" t="s">
        <v>1055</v>
      </c>
      <c r="C5866" s="47" t="s">
        <v>11681</v>
      </c>
      <c r="D5866" s="47" t="s">
        <v>11682</v>
      </c>
      <c r="E5866" s="47" t="s">
        <v>2590</v>
      </c>
      <c r="F5866" s="55" t="b">
        <v>1</v>
      </c>
      <c r="G5866" s="54" t="b">
        <v>1</v>
      </c>
      <c r="H5866" s="54" t="b">
        <v>1</v>
      </c>
      <c r="I5866" s="54" t="b">
        <v>1</v>
      </c>
      <c r="J5866" s="54" t="b">
        <v>1</v>
      </c>
      <c r="K5866" s="63" t="s">
        <v>1055</v>
      </c>
      <c r="L5866" s="63" t="s">
        <v>11681</v>
      </c>
      <c r="M5866" s="63" t="s">
        <v>11682</v>
      </c>
      <c r="N5866" s="63" t="s">
        <v>2590</v>
      </c>
    </row>
    <row r="5867" spans="1:14" x14ac:dyDescent="0.2">
      <c r="A5867" s="51">
        <v>5866</v>
      </c>
      <c r="B5867" s="54" t="s">
        <v>1055</v>
      </c>
      <c r="C5867" s="47" t="s">
        <v>11683</v>
      </c>
      <c r="D5867" s="47" t="s">
        <v>11684</v>
      </c>
      <c r="E5867" s="47" t="s">
        <v>2590</v>
      </c>
      <c r="F5867" s="55" t="b">
        <v>1</v>
      </c>
      <c r="G5867" s="54" t="b">
        <v>1</v>
      </c>
      <c r="H5867" s="54" t="b">
        <v>1</v>
      </c>
      <c r="I5867" s="54" t="b">
        <v>1</v>
      </c>
      <c r="J5867" s="54" t="b">
        <v>1</v>
      </c>
      <c r="K5867" s="63" t="s">
        <v>1055</v>
      </c>
      <c r="L5867" s="63" t="s">
        <v>11683</v>
      </c>
      <c r="M5867" s="63" t="s">
        <v>11684</v>
      </c>
      <c r="N5867" s="63" t="s">
        <v>2590</v>
      </c>
    </row>
    <row r="5868" spans="1:14" x14ac:dyDescent="0.2">
      <c r="A5868" s="51">
        <v>5867</v>
      </c>
      <c r="B5868" s="54" t="s">
        <v>1055</v>
      </c>
      <c r="C5868" s="47" t="s">
        <v>11685</v>
      </c>
      <c r="D5868" s="47" t="s">
        <v>11686</v>
      </c>
      <c r="E5868" s="47" t="s">
        <v>2590</v>
      </c>
      <c r="F5868" s="55" t="b">
        <v>1</v>
      </c>
      <c r="G5868" s="54" t="b">
        <v>1</v>
      </c>
      <c r="H5868" s="54" t="b">
        <v>1</v>
      </c>
      <c r="I5868" s="54" t="b">
        <v>1</v>
      </c>
      <c r="J5868" s="54" t="b">
        <v>1</v>
      </c>
      <c r="K5868" s="63" t="s">
        <v>1055</v>
      </c>
      <c r="L5868" s="63" t="s">
        <v>11685</v>
      </c>
      <c r="M5868" s="63" t="s">
        <v>11686</v>
      </c>
      <c r="N5868" s="63" t="s">
        <v>2590</v>
      </c>
    </row>
    <row r="5869" spans="1:14" x14ac:dyDescent="0.2">
      <c r="A5869" s="51">
        <v>5868</v>
      </c>
      <c r="B5869" s="54" t="s">
        <v>1055</v>
      </c>
      <c r="C5869" s="47" t="s">
        <v>11687</v>
      </c>
      <c r="D5869" s="47" t="s">
        <v>11688</v>
      </c>
      <c r="E5869" s="47" t="s">
        <v>2590</v>
      </c>
      <c r="F5869" s="55" t="b">
        <v>1</v>
      </c>
      <c r="G5869" s="54" t="b">
        <v>1</v>
      </c>
      <c r="H5869" s="54" t="b">
        <v>1</v>
      </c>
      <c r="I5869" s="54" t="b">
        <v>1</v>
      </c>
      <c r="J5869" s="54" t="b">
        <v>1</v>
      </c>
      <c r="K5869" s="63" t="s">
        <v>1055</v>
      </c>
      <c r="L5869" s="63" t="s">
        <v>11687</v>
      </c>
      <c r="M5869" s="63" t="s">
        <v>11688</v>
      </c>
      <c r="N5869" s="63" t="s">
        <v>2590</v>
      </c>
    </row>
    <row r="5870" spans="1:14" x14ac:dyDescent="0.2">
      <c r="A5870" s="51">
        <v>5869</v>
      </c>
      <c r="B5870" s="54" t="s">
        <v>1055</v>
      </c>
      <c r="C5870" s="47" t="s">
        <v>11693</v>
      </c>
      <c r="D5870" s="47" t="s">
        <v>2068</v>
      </c>
      <c r="E5870" s="47" t="s">
        <v>2590</v>
      </c>
      <c r="F5870" s="55" t="b">
        <v>1</v>
      </c>
      <c r="G5870" s="54" t="b">
        <v>1</v>
      </c>
      <c r="H5870" s="54" t="b">
        <v>1</v>
      </c>
      <c r="I5870" s="54" t="b">
        <v>1</v>
      </c>
      <c r="J5870" s="54" t="b">
        <v>1</v>
      </c>
      <c r="K5870" s="63" t="s">
        <v>1055</v>
      </c>
      <c r="L5870" s="63" t="s">
        <v>11693</v>
      </c>
      <c r="M5870" s="63" t="s">
        <v>2068</v>
      </c>
      <c r="N5870" s="63" t="s">
        <v>2590</v>
      </c>
    </row>
    <row r="5871" spans="1:14" x14ac:dyDescent="0.2">
      <c r="A5871" s="51">
        <v>5870</v>
      </c>
      <c r="B5871" s="54" t="s">
        <v>1055</v>
      </c>
      <c r="C5871" s="47" t="s">
        <v>11691</v>
      </c>
      <c r="D5871" s="47" t="s">
        <v>11692</v>
      </c>
      <c r="E5871" s="47" t="s">
        <v>2590</v>
      </c>
      <c r="F5871" s="55" t="b">
        <v>1</v>
      </c>
      <c r="G5871" s="54" t="b">
        <v>1</v>
      </c>
      <c r="H5871" s="54" t="b">
        <v>1</v>
      </c>
      <c r="I5871" s="54" t="b">
        <v>1</v>
      </c>
      <c r="J5871" s="54" t="b">
        <v>1</v>
      </c>
      <c r="K5871" s="63" t="s">
        <v>1055</v>
      </c>
      <c r="L5871" s="63" t="s">
        <v>11691</v>
      </c>
      <c r="M5871" s="63" t="s">
        <v>11692</v>
      </c>
      <c r="N5871" s="63" t="s">
        <v>2590</v>
      </c>
    </row>
    <row r="5872" spans="1:14" x14ac:dyDescent="0.2">
      <c r="A5872" s="51">
        <v>5871</v>
      </c>
      <c r="B5872" s="54" t="s">
        <v>1055</v>
      </c>
      <c r="C5872" s="47" t="s">
        <v>11689</v>
      </c>
      <c r="D5872" s="47" t="s">
        <v>11690</v>
      </c>
      <c r="E5872" s="47" t="s">
        <v>2590</v>
      </c>
      <c r="F5872" s="55" t="b">
        <v>1</v>
      </c>
      <c r="G5872" s="54" t="b">
        <v>1</v>
      </c>
      <c r="H5872" s="54" t="b">
        <v>1</v>
      </c>
      <c r="I5872" s="54" t="b">
        <v>1</v>
      </c>
      <c r="J5872" s="54" t="b">
        <v>1</v>
      </c>
      <c r="K5872" s="63" t="s">
        <v>1055</v>
      </c>
      <c r="L5872" s="63" t="s">
        <v>11689</v>
      </c>
      <c r="M5872" s="63" t="s">
        <v>11690</v>
      </c>
      <c r="N5872" s="63" t="s">
        <v>2590</v>
      </c>
    </row>
    <row r="5873" spans="1:14" x14ac:dyDescent="0.2">
      <c r="A5873" s="51">
        <v>5872</v>
      </c>
      <c r="B5873" s="54" t="s">
        <v>1055</v>
      </c>
      <c r="C5873" s="47" t="s">
        <v>11694</v>
      </c>
      <c r="D5873" s="47" t="s">
        <v>11695</v>
      </c>
      <c r="E5873" s="47" t="s">
        <v>2590</v>
      </c>
      <c r="F5873" s="55" t="b">
        <v>1</v>
      </c>
      <c r="G5873" s="54" t="b">
        <v>1</v>
      </c>
      <c r="H5873" s="54" t="b">
        <v>1</v>
      </c>
      <c r="I5873" s="54" t="b">
        <v>1</v>
      </c>
      <c r="J5873" s="54" t="b">
        <v>1</v>
      </c>
      <c r="K5873" s="63" t="s">
        <v>1055</v>
      </c>
      <c r="L5873" s="63" t="s">
        <v>11694</v>
      </c>
      <c r="M5873" s="63" t="s">
        <v>11695</v>
      </c>
      <c r="N5873" s="63" t="s">
        <v>2590</v>
      </c>
    </row>
    <row r="5874" spans="1:14" x14ac:dyDescent="0.2">
      <c r="A5874" s="51">
        <v>5873</v>
      </c>
      <c r="B5874" s="54" t="s">
        <v>1055</v>
      </c>
      <c r="C5874" s="47" t="s">
        <v>11696</v>
      </c>
      <c r="D5874" s="47" t="s">
        <v>3511</v>
      </c>
      <c r="E5874" s="47" t="s">
        <v>2590</v>
      </c>
      <c r="F5874" s="55" t="b">
        <v>1</v>
      </c>
      <c r="G5874" s="54" t="b">
        <v>1</v>
      </c>
      <c r="H5874" s="54" t="b">
        <v>1</v>
      </c>
      <c r="I5874" s="54" t="b">
        <v>1</v>
      </c>
      <c r="J5874" s="54" t="b">
        <v>1</v>
      </c>
      <c r="K5874" s="63" t="s">
        <v>1055</v>
      </c>
      <c r="L5874" s="63" t="s">
        <v>11696</v>
      </c>
      <c r="M5874" s="63" t="s">
        <v>3511</v>
      </c>
      <c r="N5874" s="63" t="s">
        <v>2590</v>
      </c>
    </row>
    <row r="5875" spans="1:14" x14ac:dyDescent="0.2">
      <c r="A5875" s="51">
        <v>5874</v>
      </c>
      <c r="B5875" s="54" t="s">
        <v>1055</v>
      </c>
      <c r="C5875" s="47" t="s">
        <v>11697</v>
      </c>
      <c r="D5875" s="47" t="s">
        <v>11698</v>
      </c>
      <c r="E5875" s="47" t="s">
        <v>2590</v>
      </c>
      <c r="F5875" s="55" t="b">
        <v>1</v>
      </c>
      <c r="G5875" s="54" t="b">
        <v>1</v>
      </c>
      <c r="H5875" s="54" t="b">
        <v>1</v>
      </c>
      <c r="I5875" s="54" t="b">
        <v>1</v>
      </c>
      <c r="J5875" s="54" t="b">
        <v>1</v>
      </c>
      <c r="K5875" s="63" t="s">
        <v>1055</v>
      </c>
      <c r="L5875" s="63" t="s">
        <v>11697</v>
      </c>
      <c r="M5875" s="63" t="s">
        <v>11698</v>
      </c>
      <c r="N5875" s="63" t="s">
        <v>2590</v>
      </c>
    </row>
    <row r="5876" spans="1:14" x14ac:dyDescent="0.2">
      <c r="A5876" s="51">
        <v>5875</v>
      </c>
      <c r="B5876" s="54" t="s">
        <v>1055</v>
      </c>
      <c r="C5876" s="47" t="s">
        <v>11699</v>
      </c>
      <c r="D5876" s="47" t="s">
        <v>11700</v>
      </c>
      <c r="E5876" s="47" t="s">
        <v>2590</v>
      </c>
      <c r="F5876" s="55" t="b">
        <v>1</v>
      </c>
      <c r="G5876" s="54" t="b">
        <v>1</v>
      </c>
      <c r="H5876" s="54" t="b">
        <v>1</v>
      </c>
      <c r="I5876" s="54" t="b">
        <v>1</v>
      </c>
      <c r="J5876" s="54" t="b">
        <v>1</v>
      </c>
      <c r="K5876" s="63" t="s">
        <v>1055</v>
      </c>
      <c r="L5876" s="63" t="s">
        <v>11699</v>
      </c>
      <c r="M5876" s="63" t="s">
        <v>11700</v>
      </c>
      <c r="N5876" s="63" t="s">
        <v>2590</v>
      </c>
    </row>
    <row r="5877" spans="1:14" x14ac:dyDescent="0.2">
      <c r="A5877" s="51">
        <v>5876</v>
      </c>
      <c r="B5877" s="54" t="s">
        <v>1055</v>
      </c>
      <c r="C5877" s="47" t="s">
        <v>11701</v>
      </c>
      <c r="D5877" s="47" t="s">
        <v>11702</v>
      </c>
      <c r="E5877" s="47" t="s">
        <v>2590</v>
      </c>
      <c r="F5877" s="55" t="b">
        <v>1</v>
      </c>
      <c r="G5877" s="54" t="b">
        <v>1</v>
      </c>
      <c r="H5877" s="54" t="b">
        <v>1</v>
      </c>
      <c r="I5877" s="54" t="b">
        <v>1</v>
      </c>
      <c r="J5877" s="54" t="b">
        <v>1</v>
      </c>
      <c r="K5877" s="63" t="s">
        <v>1055</v>
      </c>
      <c r="L5877" s="63" t="s">
        <v>11701</v>
      </c>
      <c r="M5877" s="63" t="s">
        <v>11702</v>
      </c>
      <c r="N5877" s="63" t="s">
        <v>2590</v>
      </c>
    </row>
    <row r="5878" spans="1:14" x14ac:dyDescent="0.2">
      <c r="A5878" s="51">
        <v>5877</v>
      </c>
      <c r="B5878" s="54" t="s">
        <v>1057</v>
      </c>
      <c r="C5878" s="47" t="s">
        <v>11703</v>
      </c>
      <c r="D5878" s="47" t="s">
        <v>11704</v>
      </c>
      <c r="E5878" s="47" t="s">
        <v>2087</v>
      </c>
      <c r="F5878" s="55" t="b">
        <v>1</v>
      </c>
      <c r="G5878" s="54" t="b">
        <v>1</v>
      </c>
      <c r="H5878" s="54" t="b">
        <v>1</v>
      </c>
      <c r="I5878" s="54" t="b">
        <v>1</v>
      </c>
      <c r="J5878" s="54" t="b">
        <v>1</v>
      </c>
      <c r="K5878" s="63" t="s">
        <v>1057</v>
      </c>
      <c r="L5878" s="63" t="s">
        <v>11703</v>
      </c>
      <c r="M5878" s="63" t="s">
        <v>11704</v>
      </c>
      <c r="N5878" s="63" t="s">
        <v>2087</v>
      </c>
    </row>
    <row r="5879" spans="1:14" x14ac:dyDescent="0.2">
      <c r="A5879" s="51">
        <v>5878</v>
      </c>
      <c r="B5879" s="54" t="s">
        <v>1057</v>
      </c>
      <c r="C5879" s="47" t="s">
        <v>11705</v>
      </c>
      <c r="D5879" s="47" t="s">
        <v>11706</v>
      </c>
      <c r="E5879" s="47" t="s">
        <v>2087</v>
      </c>
      <c r="F5879" s="55" t="b">
        <v>1</v>
      </c>
      <c r="G5879" s="54" t="b">
        <v>1</v>
      </c>
      <c r="H5879" s="54" t="b">
        <v>1</v>
      </c>
      <c r="I5879" s="54" t="b">
        <v>1</v>
      </c>
      <c r="J5879" s="54" t="b">
        <v>1</v>
      </c>
      <c r="K5879" s="63" t="s">
        <v>1057</v>
      </c>
      <c r="L5879" s="63" t="s">
        <v>11705</v>
      </c>
      <c r="M5879" s="63" t="s">
        <v>11706</v>
      </c>
      <c r="N5879" s="63" t="s">
        <v>2087</v>
      </c>
    </row>
    <row r="5880" spans="1:14" x14ac:dyDescent="0.2">
      <c r="A5880" s="51">
        <v>5879</v>
      </c>
      <c r="B5880" s="54" t="s">
        <v>1057</v>
      </c>
      <c r="C5880" s="47" t="s">
        <v>11707</v>
      </c>
      <c r="D5880" s="47" t="s">
        <v>13875</v>
      </c>
      <c r="E5880" s="47" t="s">
        <v>2087</v>
      </c>
      <c r="F5880" s="55" t="b">
        <v>1</v>
      </c>
      <c r="G5880" s="54" t="b">
        <v>1</v>
      </c>
      <c r="H5880" s="54" t="b">
        <v>1</v>
      </c>
      <c r="I5880" s="65" t="b">
        <v>0</v>
      </c>
      <c r="J5880" s="54" t="b">
        <v>1</v>
      </c>
      <c r="K5880" s="63" t="s">
        <v>1057</v>
      </c>
      <c r="L5880" s="63" t="s">
        <v>11707</v>
      </c>
      <c r="M5880" s="63" t="s">
        <v>11708</v>
      </c>
      <c r="N5880" s="63" t="s">
        <v>2087</v>
      </c>
    </row>
    <row r="5881" spans="1:14" x14ac:dyDescent="0.2">
      <c r="A5881" s="51">
        <v>5880</v>
      </c>
      <c r="B5881" s="54" t="s">
        <v>1057</v>
      </c>
      <c r="C5881" s="47" t="s">
        <v>11709</v>
      </c>
      <c r="D5881" s="47" t="s">
        <v>11710</v>
      </c>
      <c r="E5881" s="47" t="s">
        <v>2087</v>
      </c>
      <c r="F5881" s="55" t="b">
        <v>1</v>
      </c>
      <c r="G5881" s="54" t="b">
        <v>1</v>
      </c>
      <c r="H5881" s="54" t="b">
        <v>1</v>
      </c>
      <c r="I5881" s="54" t="b">
        <v>1</v>
      </c>
      <c r="J5881" s="54" t="b">
        <v>1</v>
      </c>
      <c r="K5881" s="63" t="s">
        <v>1057</v>
      </c>
      <c r="L5881" s="63" t="s">
        <v>11709</v>
      </c>
      <c r="M5881" s="63" t="s">
        <v>11710</v>
      </c>
      <c r="N5881" s="63" t="s">
        <v>2087</v>
      </c>
    </row>
    <row r="5882" spans="1:14" x14ac:dyDescent="0.2">
      <c r="A5882" s="51">
        <v>5881</v>
      </c>
      <c r="B5882" s="54" t="s">
        <v>1057</v>
      </c>
      <c r="C5882" s="47" t="s">
        <v>11711</v>
      </c>
      <c r="D5882" s="47" t="s">
        <v>11712</v>
      </c>
      <c r="E5882" s="47" t="s">
        <v>2087</v>
      </c>
      <c r="F5882" s="55" t="b">
        <v>1</v>
      </c>
      <c r="G5882" s="54" t="b">
        <v>1</v>
      </c>
      <c r="H5882" s="54" t="b">
        <v>1</v>
      </c>
      <c r="I5882" s="54" t="b">
        <v>1</v>
      </c>
      <c r="J5882" s="54" t="b">
        <v>1</v>
      </c>
      <c r="K5882" s="63" t="s">
        <v>1057</v>
      </c>
      <c r="L5882" s="63" t="s">
        <v>11711</v>
      </c>
      <c r="M5882" s="63" t="s">
        <v>11712</v>
      </c>
      <c r="N5882" s="63" t="s">
        <v>2087</v>
      </c>
    </row>
    <row r="5883" spans="1:14" x14ac:dyDescent="0.2">
      <c r="A5883" s="51">
        <v>5882</v>
      </c>
      <c r="B5883" s="54" t="s">
        <v>1057</v>
      </c>
      <c r="C5883" s="47" t="s">
        <v>11713</v>
      </c>
      <c r="D5883" s="47" t="s">
        <v>11714</v>
      </c>
      <c r="E5883" s="47" t="s">
        <v>2087</v>
      </c>
      <c r="F5883" s="55" t="b">
        <v>1</v>
      </c>
      <c r="G5883" s="54" t="b">
        <v>1</v>
      </c>
      <c r="H5883" s="54" t="b">
        <v>1</v>
      </c>
      <c r="I5883" s="54" t="b">
        <v>1</v>
      </c>
      <c r="J5883" s="54" t="b">
        <v>1</v>
      </c>
      <c r="K5883" s="63" t="s">
        <v>1057</v>
      </c>
      <c r="L5883" s="63" t="s">
        <v>11713</v>
      </c>
      <c r="M5883" s="63" t="s">
        <v>11714</v>
      </c>
      <c r="N5883" s="63" t="s">
        <v>2087</v>
      </c>
    </row>
    <row r="5884" spans="1:14" x14ac:dyDescent="0.2">
      <c r="A5884" s="51">
        <v>5883</v>
      </c>
      <c r="B5884" s="54" t="s">
        <v>1057</v>
      </c>
      <c r="C5884" s="47" t="s">
        <v>11715</v>
      </c>
      <c r="D5884" s="47" t="s">
        <v>11716</v>
      </c>
      <c r="E5884" s="47" t="s">
        <v>2087</v>
      </c>
      <c r="F5884" s="55" t="b">
        <v>1</v>
      </c>
      <c r="G5884" s="54" t="b">
        <v>1</v>
      </c>
      <c r="H5884" s="54" t="b">
        <v>1</v>
      </c>
      <c r="I5884" s="54" t="b">
        <v>1</v>
      </c>
      <c r="J5884" s="54" t="b">
        <v>1</v>
      </c>
      <c r="K5884" s="63" t="s">
        <v>1057</v>
      </c>
      <c r="L5884" s="63" t="s">
        <v>11715</v>
      </c>
      <c r="M5884" s="63" t="s">
        <v>11716</v>
      </c>
      <c r="N5884" s="63" t="s">
        <v>2087</v>
      </c>
    </row>
    <row r="5885" spans="1:14" x14ac:dyDescent="0.2">
      <c r="A5885" s="51">
        <v>5884</v>
      </c>
      <c r="B5885" s="54" t="s">
        <v>1057</v>
      </c>
      <c r="C5885" s="47" t="s">
        <v>11717</v>
      </c>
      <c r="D5885" s="47" t="s">
        <v>13876</v>
      </c>
      <c r="E5885" s="47" t="s">
        <v>8683</v>
      </c>
      <c r="F5885" s="55" t="b">
        <v>1</v>
      </c>
      <c r="G5885" s="54" t="b">
        <v>1</v>
      </c>
      <c r="H5885" s="54" t="b">
        <v>1</v>
      </c>
      <c r="I5885" s="65" t="b">
        <v>0</v>
      </c>
      <c r="J5885" s="54" t="b">
        <v>1</v>
      </c>
      <c r="K5885" s="63" t="s">
        <v>1057</v>
      </c>
      <c r="L5885" s="63" t="s">
        <v>11717</v>
      </c>
      <c r="M5885" s="63" t="s">
        <v>11718</v>
      </c>
      <c r="N5885" s="63" t="s">
        <v>8683</v>
      </c>
    </row>
    <row r="5886" spans="1:14" x14ac:dyDescent="0.2">
      <c r="A5886" s="51">
        <v>5885</v>
      </c>
      <c r="B5886" s="54" t="s">
        <v>1057</v>
      </c>
      <c r="C5886" s="47" t="s">
        <v>11719</v>
      </c>
      <c r="D5886" s="47" t="s">
        <v>11720</v>
      </c>
      <c r="E5886" s="47" t="s">
        <v>2087</v>
      </c>
      <c r="F5886" s="55" t="b">
        <v>1</v>
      </c>
      <c r="G5886" s="54" t="b">
        <v>1</v>
      </c>
      <c r="H5886" s="54" t="b">
        <v>1</v>
      </c>
      <c r="I5886" s="54" t="b">
        <v>1</v>
      </c>
      <c r="J5886" s="54" t="b">
        <v>1</v>
      </c>
      <c r="K5886" s="63" t="s">
        <v>1057</v>
      </c>
      <c r="L5886" s="63" t="s">
        <v>11719</v>
      </c>
      <c r="M5886" s="63" t="s">
        <v>11720</v>
      </c>
      <c r="N5886" s="63" t="s">
        <v>2087</v>
      </c>
    </row>
    <row r="5887" spans="1:14" x14ac:dyDescent="0.2">
      <c r="A5887" s="51">
        <v>5886</v>
      </c>
      <c r="B5887" s="54" t="s">
        <v>1057</v>
      </c>
      <c r="C5887" s="47" t="s">
        <v>11721</v>
      </c>
      <c r="D5887" s="47" t="s">
        <v>11722</v>
      </c>
      <c r="E5887" s="47" t="s">
        <v>2087</v>
      </c>
      <c r="F5887" s="55" t="b">
        <v>1</v>
      </c>
      <c r="G5887" s="54" t="b">
        <v>1</v>
      </c>
      <c r="H5887" s="54" t="b">
        <v>1</v>
      </c>
      <c r="I5887" s="54" t="b">
        <v>1</v>
      </c>
      <c r="J5887" s="54" t="b">
        <v>1</v>
      </c>
      <c r="K5887" s="63" t="s">
        <v>1057</v>
      </c>
      <c r="L5887" s="63" t="s">
        <v>11721</v>
      </c>
      <c r="M5887" s="63" t="s">
        <v>11722</v>
      </c>
      <c r="N5887" s="63" t="s">
        <v>2087</v>
      </c>
    </row>
    <row r="5888" spans="1:14" x14ac:dyDescent="0.2">
      <c r="A5888" s="51">
        <v>5887</v>
      </c>
      <c r="B5888" s="54" t="s">
        <v>1057</v>
      </c>
      <c r="C5888" s="47" t="s">
        <v>11723</v>
      </c>
      <c r="D5888" s="47" t="s">
        <v>11724</v>
      </c>
      <c r="E5888" s="47" t="s">
        <v>2087</v>
      </c>
      <c r="F5888" s="55" t="b">
        <v>1</v>
      </c>
      <c r="G5888" s="54" t="b">
        <v>1</v>
      </c>
      <c r="H5888" s="54" t="b">
        <v>1</v>
      </c>
      <c r="I5888" s="54" t="b">
        <v>1</v>
      </c>
      <c r="J5888" s="54" t="b">
        <v>1</v>
      </c>
      <c r="K5888" s="63" t="s">
        <v>1057</v>
      </c>
      <c r="L5888" s="63" t="s">
        <v>11723</v>
      </c>
      <c r="M5888" s="63" t="s">
        <v>11724</v>
      </c>
      <c r="N5888" s="63" t="s">
        <v>2087</v>
      </c>
    </row>
    <row r="5889" spans="1:14" x14ac:dyDescent="0.2">
      <c r="A5889" s="51">
        <v>5888</v>
      </c>
      <c r="B5889" s="54" t="s">
        <v>1057</v>
      </c>
      <c r="C5889" s="47" t="s">
        <v>11725</v>
      </c>
      <c r="D5889" s="47" t="s">
        <v>11726</v>
      </c>
      <c r="E5889" s="47" t="s">
        <v>2046</v>
      </c>
      <c r="F5889" s="55" t="b">
        <v>1</v>
      </c>
      <c r="G5889" s="54" t="b">
        <v>1</v>
      </c>
      <c r="H5889" s="54" t="b">
        <v>1</v>
      </c>
      <c r="I5889" s="54" t="b">
        <v>1</v>
      </c>
      <c r="J5889" s="54" t="b">
        <v>1</v>
      </c>
      <c r="K5889" s="63" t="s">
        <v>1057</v>
      </c>
      <c r="L5889" s="63" t="s">
        <v>11725</v>
      </c>
      <c r="M5889" s="63" t="s">
        <v>11726</v>
      </c>
      <c r="N5889" s="63" t="s">
        <v>2046</v>
      </c>
    </row>
    <row r="5890" spans="1:14" x14ac:dyDescent="0.2">
      <c r="A5890" s="51">
        <v>5889</v>
      </c>
      <c r="B5890" s="54" t="s">
        <v>1057</v>
      </c>
      <c r="C5890" s="47" t="s">
        <v>11727</v>
      </c>
      <c r="D5890" s="47" t="s">
        <v>11726</v>
      </c>
      <c r="E5890" s="47" t="s">
        <v>2087</v>
      </c>
      <c r="F5890" s="55" t="b">
        <v>1</v>
      </c>
      <c r="G5890" s="54" t="b">
        <v>1</v>
      </c>
      <c r="H5890" s="54" t="b">
        <v>1</v>
      </c>
      <c r="I5890" s="54" t="b">
        <v>1</v>
      </c>
      <c r="J5890" s="54" t="b">
        <v>1</v>
      </c>
      <c r="K5890" s="63" t="s">
        <v>1057</v>
      </c>
      <c r="L5890" s="63" t="s">
        <v>11727</v>
      </c>
      <c r="M5890" s="63" t="s">
        <v>11726</v>
      </c>
      <c r="N5890" s="63" t="s">
        <v>2087</v>
      </c>
    </row>
    <row r="5891" spans="1:14" x14ac:dyDescent="0.2">
      <c r="A5891" s="51">
        <v>5890</v>
      </c>
      <c r="B5891" s="54" t="s">
        <v>1057</v>
      </c>
      <c r="C5891" s="47" t="s">
        <v>11728</v>
      </c>
      <c r="D5891" s="47" t="s">
        <v>11729</v>
      </c>
      <c r="E5891" s="47" t="s">
        <v>2087</v>
      </c>
      <c r="F5891" s="55" t="b">
        <v>1</v>
      </c>
      <c r="G5891" s="54" t="b">
        <v>1</v>
      </c>
      <c r="H5891" s="54" t="b">
        <v>1</v>
      </c>
      <c r="I5891" s="54" t="b">
        <v>1</v>
      </c>
      <c r="J5891" s="54" t="b">
        <v>1</v>
      </c>
      <c r="K5891" s="63" t="s">
        <v>1057</v>
      </c>
      <c r="L5891" s="63" t="s">
        <v>11728</v>
      </c>
      <c r="M5891" s="63" t="s">
        <v>11729</v>
      </c>
      <c r="N5891" s="63" t="s">
        <v>2087</v>
      </c>
    </row>
    <row r="5892" spans="1:14" x14ac:dyDescent="0.2">
      <c r="A5892" s="51">
        <v>5891</v>
      </c>
      <c r="B5892" s="54" t="s">
        <v>1059</v>
      </c>
      <c r="C5892" s="47" t="s">
        <v>11730</v>
      </c>
      <c r="D5892" s="47" t="s">
        <v>11731</v>
      </c>
      <c r="E5892" s="47" t="s">
        <v>1719</v>
      </c>
      <c r="F5892" s="55" t="b">
        <v>1</v>
      </c>
      <c r="G5892" s="54" t="b">
        <v>1</v>
      </c>
      <c r="H5892" s="54" t="b">
        <v>1</v>
      </c>
      <c r="I5892" s="54" t="b">
        <v>1</v>
      </c>
      <c r="J5892" s="54" t="b">
        <v>1</v>
      </c>
      <c r="K5892" s="63" t="s">
        <v>1059</v>
      </c>
      <c r="L5892" s="63" t="s">
        <v>11730</v>
      </c>
      <c r="M5892" s="63" t="s">
        <v>11731</v>
      </c>
      <c r="N5892" s="63" t="s">
        <v>1719</v>
      </c>
    </row>
    <row r="5893" spans="1:14" x14ac:dyDescent="0.2">
      <c r="A5893" s="51">
        <v>5892</v>
      </c>
      <c r="B5893" s="54" t="s">
        <v>1059</v>
      </c>
      <c r="C5893" s="47" t="s">
        <v>11732</v>
      </c>
      <c r="D5893" s="47" t="s">
        <v>13877</v>
      </c>
      <c r="E5893" s="47" t="s">
        <v>1719</v>
      </c>
      <c r="F5893" s="55" t="b">
        <v>1</v>
      </c>
      <c r="G5893" s="54" t="b">
        <v>1</v>
      </c>
      <c r="H5893" s="54" t="b">
        <v>1</v>
      </c>
      <c r="I5893" s="65" t="b">
        <v>0</v>
      </c>
      <c r="J5893" s="54" t="b">
        <v>1</v>
      </c>
      <c r="K5893" s="63" t="s">
        <v>1059</v>
      </c>
      <c r="L5893" s="63" t="s">
        <v>11732</v>
      </c>
      <c r="M5893" s="63" t="s">
        <v>11733</v>
      </c>
      <c r="N5893" s="63" t="s">
        <v>1719</v>
      </c>
    </row>
    <row r="5894" spans="1:14" x14ac:dyDescent="0.2">
      <c r="A5894" s="51">
        <v>5893</v>
      </c>
      <c r="B5894" s="54" t="s">
        <v>1059</v>
      </c>
      <c r="C5894" s="47" t="s">
        <v>11734</v>
      </c>
      <c r="D5894" s="47" t="s">
        <v>11735</v>
      </c>
      <c r="E5894" s="47" t="s">
        <v>1719</v>
      </c>
      <c r="F5894" s="55" t="b">
        <v>1</v>
      </c>
      <c r="G5894" s="54" t="b">
        <v>1</v>
      </c>
      <c r="H5894" s="54" t="b">
        <v>1</v>
      </c>
      <c r="I5894" s="54" t="b">
        <v>1</v>
      </c>
      <c r="J5894" s="54" t="b">
        <v>1</v>
      </c>
      <c r="K5894" s="63" t="s">
        <v>1059</v>
      </c>
      <c r="L5894" s="63" t="s">
        <v>11734</v>
      </c>
      <c r="M5894" s="63" t="s">
        <v>11735</v>
      </c>
      <c r="N5894" s="63" t="s">
        <v>1719</v>
      </c>
    </row>
    <row r="5895" spans="1:14" x14ac:dyDescent="0.2">
      <c r="A5895" s="51">
        <v>5894</v>
      </c>
      <c r="B5895" s="54" t="s">
        <v>1059</v>
      </c>
      <c r="C5895" s="47" t="s">
        <v>11736</v>
      </c>
      <c r="D5895" s="47" t="s">
        <v>13878</v>
      </c>
      <c r="E5895" s="47" t="s">
        <v>1719</v>
      </c>
      <c r="F5895" s="55" t="b">
        <v>1</v>
      </c>
      <c r="G5895" s="54" t="b">
        <v>1</v>
      </c>
      <c r="H5895" s="54" t="b">
        <v>1</v>
      </c>
      <c r="I5895" s="65" t="b">
        <v>0</v>
      </c>
      <c r="J5895" s="54" t="b">
        <v>1</v>
      </c>
      <c r="K5895" s="63" t="s">
        <v>1059</v>
      </c>
      <c r="L5895" s="63" t="s">
        <v>11736</v>
      </c>
      <c r="M5895" s="63" t="s">
        <v>11737</v>
      </c>
      <c r="N5895" s="63" t="s">
        <v>1719</v>
      </c>
    </row>
    <row r="5896" spans="1:14" x14ac:dyDescent="0.2">
      <c r="A5896" s="51">
        <v>5895</v>
      </c>
      <c r="B5896" s="54" t="s">
        <v>1059</v>
      </c>
      <c r="C5896" s="47" t="s">
        <v>11738</v>
      </c>
      <c r="D5896" s="47" t="s">
        <v>13879</v>
      </c>
      <c r="E5896" s="47" t="s">
        <v>1719</v>
      </c>
      <c r="F5896" s="55" t="b">
        <v>1</v>
      </c>
      <c r="G5896" s="54" t="b">
        <v>1</v>
      </c>
      <c r="H5896" s="54" t="b">
        <v>1</v>
      </c>
      <c r="I5896" s="65" t="b">
        <v>0</v>
      </c>
      <c r="J5896" s="54" t="b">
        <v>1</v>
      </c>
      <c r="K5896" s="63" t="s">
        <v>1059</v>
      </c>
      <c r="L5896" s="63" t="s">
        <v>11738</v>
      </c>
      <c r="M5896" s="63" t="s">
        <v>11739</v>
      </c>
      <c r="N5896" s="63" t="s">
        <v>1719</v>
      </c>
    </row>
    <row r="5897" spans="1:14" x14ac:dyDescent="0.2">
      <c r="A5897" s="51">
        <v>5896</v>
      </c>
      <c r="B5897" s="54" t="s">
        <v>1059</v>
      </c>
      <c r="C5897" s="47" t="s">
        <v>11740</v>
      </c>
      <c r="D5897" s="47" t="s">
        <v>11741</v>
      </c>
      <c r="E5897" s="47" t="s">
        <v>1719</v>
      </c>
      <c r="F5897" s="55" t="b">
        <v>1</v>
      </c>
      <c r="G5897" s="54" t="b">
        <v>1</v>
      </c>
      <c r="H5897" s="54" t="b">
        <v>1</v>
      </c>
      <c r="I5897" s="54" t="b">
        <v>1</v>
      </c>
      <c r="J5897" s="54" t="b">
        <v>1</v>
      </c>
      <c r="K5897" s="63" t="s">
        <v>1059</v>
      </c>
      <c r="L5897" s="63" t="s">
        <v>11740</v>
      </c>
      <c r="M5897" s="63" t="s">
        <v>11741</v>
      </c>
      <c r="N5897" s="63" t="s">
        <v>1719</v>
      </c>
    </row>
    <row r="5898" spans="1:14" x14ac:dyDescent="0.2">
      <c r="A5898" s="51">
        <v>5897</v>
      </c>
      <c r="B5898" s="56" t="s">
        <v>1063</v>
      </c>
      <c r="C5898" s="47" t="s">
        <v>11762</v>
      </c>
      <c r="D5898" s="47" t="s">
        <v>11763</v>
      </c>
      <c r="E5898" s="47" t="s">
        <v>3404</v>
      </c>
      <c r="F5898" s="55" t="b">
        <v>1</v>
      </c>
      <c r="G5898" s="65" t="b">
        <v>0</v>
      </c>
      <c r="H5898" s="54" t="b">
        <v>1</v>
      </c>
      <c r="I5898" s="54" t="b">
        <v>1</v>
      </c>
      <c r="J5898" s="54" t="b">
        <v>1</v>
      </c>
      <c r="K5898" s="63" t="s">
        <v>11742</v>
      </c>
      <c r="L5898" s="63" t="s">
        <v>11762</v>
      </c>
      <c r="M5898" s="63" t="s">
        <v>11763</v>
      </c>
      <c r="N5898" s="63" t="s">
        <v>3404</v>
      </c>
    </row>
    <row r="5899" spans="1:14" x14ac:dyDescent="0.2">
      <c r="A5899" s="51">
        <v>5898</v>
      </c>
      <c r="B5899" s="56" t="s">
        <v>1063</v>
      </c>
      <c r="C5899" s="47" t="s">
        <v>11744</v>
      </c>
      <c r="D5899" s="47" t="s">
        <v>11745</v>
      </c>
      <c r="E5899" s="47" t="s">
        <v>2113</v>
      </c>
      <c r="F5899" s="55" t="b">
        <v>1</v>
      </c>
      <c r="G5899" s="65" t="b">
        <v>0</v>
      </c>
      <c r="H5899" s="54" t="b">
        <v>1</v>
      </c>
      <c r="I5899" s="54" t="b">
        <v>1</v>
      </c>
      <c r="J5899" s="54" t="b">
        <v>1</v>
      </c>
      <c r="K5899" s="63" t="s">
        <v>11742</v>
      </c>
      <c r="L5899" s="63" t="s">
        <v>11744</v>
      </c>
      <c r="M5899" s="63" t="s">
        <v>11745</v>
      </c>
      <c r="N5899" s="63" t="s">
        <v>2113</v>
      </c>
    </row>
    <row r="5900" spans="1:14" x14ac:dyDescent="0.2">
      <c r="A5900" s="51">
        <v>5899</v>
      </c>
      <c r="B5900" s="56" t="s">
        <v>1063</v>
      </c>
      <c r="C5900" s="47" t="s">
        <v>11746</v>
      </c>
      <c r="D5900" s="47" t="s">
        <v>11747</v>
      </c>
      <c r="E5900" s="47" t="s">
        <v>2113</v>
      </c>
      <c r="F5900" s="55" t="b">
        <v>1</v>
      </c>
      <c r="G5900" s="65" t="b">
        <v>0</v>
      </c>
      <c r="H5900" s="54" t="b">
        <v>1</v>
      </c>
      <c r="I5900" s="54" t="b">
        <v>1</v>
      </c>
      <c r="J5900" s="54" t="b">
        <v>1</v>
      </c>
      <c r="K5900" s="63" t="s">
        <v>11742</v>
      </c>
      <c r="L5900" s="63" t="s">
        <v>11746</v>
      </c>
      <c r="M5900" s="63" t="s">
        <v>11747</v>
      </c>
      <c r="N5900" s="63" t="s">
        <v>2113</v>
      </c>
    </row>
    <row r="5901" spans="1:14" x14ac:dyDescent="0.2">
      <c r="A5901" s="51">
        <v>5900</v>
      </c>
      <c r="B5901" s="56" t="s">
        <v>1063</v>
      </c>
      <c r="C5901" s="47" t="s">
        <v>11748</v>
      </c>
      <c r="D5901" s="47" t="s">
        <v>11749</v>
      </c>
      <c r="E5901" s="47" t="s">
        <v>2113</v>
      </c>
      <c r="F5901" s="55" t="b">
        <v>1</v>
      </c>
      <c r="G5901" s="65" t="b">
        <v>0</v>
      </c>
      <c r="H5901" s="54" t="b">
        <v>1</v>
      </c>
      <c r="I5901" s="54" t="b">
        <v>1</v>
      </c>
      <c r="J5901" s="54" t="b">
        <v>1</v>
      </c>
      <c r="K5901" s="63" t="s">
        <v>11742</v>
      </c>
      <c r="L5901" s="63" t="s">
        <v>11748</v>
      </c>
      <c r="M5901" s="63" t="s">
        <v>11749</v>
      </c>
      <c r="N5901" s="63" t="s">
        <v>2113</v>
      </c>
    </row>
    <row r="5902" spans="1:14" x14ac:dyDescent="0.2">
      <c r="A5902" s="51">
        <v>5901</v>
      </c>
      <c r="B5902" s="56" t="s">
        <v>1063</v>
      </c>
      <c r="C5902" s="47" t="s">
        <v>11750</v>
      </c>
      <c r="D5902" s="47" t="s">
        <v>11751</v>
      </c>
      <c r="E5902" s="47" t="s">
        <v>2113</v>
      </c>
      <c r="F5902" s="55" t="b">
        <v>1</v>
      </c>
      <c r="G5902" s="65" t="b">
        <v>0</v>
      </c>
      <c r="H5902" s="54" t="b">
        <v>1</v>
      </c>
      <c r="I5902" s="54" t="b">
        <v>1</v>
      </c>
      <c r="J5902" s="54" t="b">
        <v>1</v>
      </c>
      <c r="K5902" s="63" t="s">
        <v>11742</v>
      </c>
      <c r="L5902" s="63" t="s">
        <v>11750</v>
      </c>
      <c r="M5902" s="63" t="s">
        <v>11751</v>
      </c>
      <c r="N5902" s="63" t="s">
        <v>2113</v>
      </c>
    </row>
    <row r="5903" spans="1:14" x14ac:dyDescent="0.2">
      <c r="A5903" s="51">
        <v>5902</v>
      </c>
      <c r="B5903" s="56" t="s">
        <v>1063</v>
      </c>
      <c r="C5903" s="47" t="s">
        <v>11752</v>
      </c>
      <c r="D5903" s="47" t="s">
        <v>3384</v>
      </c>
      <c r="E5903" s="47" t="s">
        <v>2113</v>
      </c>
      <c r="F5903" s="55" t="b">
        <v>1</v>
      </c>
      <c r="G5903" s="65" t="b">
        <v>0</v>
      </c>
      <c r="H5903" s="54" t="b">
        <v>1</v>
      </c>
      <c r="I5903" s="54" t="b">
        <v>1</v>
      </c>
      <c r="J5903" s="54" t="b">
        <v>1</v>
      </c>
      <c r="K5903" s="63" t="s">
        <v>11742</v>
      </c>
      <c r="L5903" s="63" t="s">
        <v>11752</v>
      </c>
      <c r="M5903" s="63" t="s">
        <v>3384</v>
      </c>
      <c r="N5903" s="63" t="s">
        <v>2113</v>
      </c>
    </row>
    <row r="5904" spans="1:14" x14ac:dyDescent="0.2">
      <c r="A5904" s="51">
        <v>5903</v>
      </c>
      <c r="B5904" s="56" t="s">
        <v>1063</v>
      </c>
      <c r="C5904" s="47" t="s">
        <v>11753</v>
      </c>
      <c r="D5904" s="47" t="s">
        <v>11754</v>
      </c>
      <c r="E5904" s="47" t="s">
        <v>2113</v>
      </c>
      <c r="F5904" s="55" t="b">
        <v>1</v>
      </c>
      <c r="G5904" s="65" t="b">
        <v>0</v>
      </c>
      <c r="H5904" s="54" t="b">
        <v>1</v>
      </c>
      <c r="I5904" s="54" t="b">
        <v>1</v>
      </c>
      <c r="J5904" s="54" t="b">
        <v>1</v>
      </c>
      <c r="K5904" s="63" t="s">
        <v>11742</v>
      </c>
      <c r="L5904" s="63" t="s">
        <v>11753</v>
      </c>
      <c r="M5904" s="63" t="s">
        <v>11754</v>
      </c>
      <c r="N5904" s="63" t="s">
        <v>2113</v>
      </c>
    </row>
    <row r="5905" spans="1:14" x14ac:dyDescent="0.2">
      <c r="A5905" s="51">
        <v>5904</v>
      </c>
      <c r="B5905" s="56" t="s">
        <v>1063</v>
      </c>
      <c r="C5905" s="47" t="s">
        <v>11755</v>
      </c>
      <c r="D5905" s="47" t="s">
        <v>11756</v>
      </c>
      <c r="E5905" s="47" t="s">
        <v>2113</v>
      </c>
      <c r="F5905" s="55" t="b">
        <v>1</v>
      </c>
      <c r="G5905" s="65" t="b">
        <v>0</v>
      </c>
      <c r="H5905" s="54" t="b">
        <v>1</v>
      </c>
      <c r="I5905" s="54" t="b">
        <v>1</v>
      </c>
      <c r="J5905" s="54" t="b">
        <v>1</v>
      </c>
      <c r="K5905" s="63" t="s">
        <v>11742</v>
      </c>
      <c r="L5905" s="63" t="s">
        <v>11755</v>
      </c>
      <c r="M5905" s="63" t="s">
        <v>11756</v>
      </c>
      <c r="N5905" s="63" t="s">
        <v>2113</v>
      </c>
    </row>
    <row r="5906" spans="1:14" x14ac:dyDescent="0.2">
      <c r="A5906" s="51">
        <v>5905</v>
      </c>
      <c r="B5906" s="56" t="s">
        <v>1063</v>
      </c>
      <c r="C5906" s="47" t="s">
        <v>11764</v>
      </c>
      <c r="D5906" s="47" t="s">
        <v>11765</v>
      </c>
      <c r="E5906" s="47" t="s">
        <v>2113</v>
      </c>
      <c r="F5906" s="55" t="b">
        <v>1</v>
      </c>
      <c r="G5906" s="65" t="b">
        <v>0</v>
      </c>
      <c r="H5906" s="54" t="b">
        <v>1</v>
      </c>
      <c r="I5906" s="54" t="b">
        <v>1</v>
      </c>
      <c r="J5906" s="54" t="b">
        <v>1</v>
      </c>
      <c r="K5906" s="63" t="s">
        <v>11742</v>
      </c>
      <c r="L5906" s="63" t="s">
        <v>11764</v>
      </c>
      <c r="M5906" s="63" t="s">
        <v>11765</v>
      </c>
      <c r="N5906" s="63" t="s">
        <v>2113</v>
      </c>
    </row>
    <row r="5907" spans="1:14" x14ac:dyDescent="0.2">
      <c r="A5907" s="51">
        <v>5906</v>
      </c>
      <c r="B5907" s="56" t="s">
        <v>1063</v>
      </c>
      <c r="C5907" s="47" t="s">
        <v>11766</v>
      </c>
      <c r="D5907" s="47" t="s">
        <v>11767</v>
      </c>
      <c r="E5907" s="47" t="s">
        <v>2113</v>
      </c>
      <c r="F5907" s="55" t="b">
        <v>1</v>
      </c>
      <c r="G5907" s="65" t="b">
        <v>0</v>
      </c>
      <c r="H5907" s="54" t="b">
        <v>1</v>
      </c>
      <c r="I5907" s="54" t="b">
        <v>1</v>
      </c>
      <c r="J5907" s="54" t="b">
        <v>1</v>
      </c>
      <c r="K5907" s="63" t="s">
        <v>11742</v>
      </c>
      <c r="L5907" s="63" t="s">
        <v>11766</v>
      </c>
      <c r="M5907" s="63" t="s">
        <v>11767</v>
      </c>
      <c r="N5907" s="63" t="s">
        <v>2113</v>
      </c>
    </row>
    <row r="5908" spans="1:14" x14ac:dyDescent="0.2">
      <c r="A5908" s="51">
        <v>5907</v>
      </c>
      <c r="B5908" s="56" t="s">
        <v>1063</v>
      </c>
      <c r="C5908" s="47" t="s">
        <v>11768</v>
      </c>
      <c r="D5908" s="47" t="s">
        <v>11769</v>
      </c>
      <c r="E5908" s="47" t="s">
        <v>2113</v>
      </c>
      <c r="F5908" s="55" t="b">
        <v>1</v>
      </c>
      <c r="G5908" s="65" t="b">
        <v>0</v>
      </c>
      <c r="H5908" s="54" t="b">
        <v>1</v>
      </c>
      <c r="I5908" s="54" t="b">
        <v>1</v>
      </c>
      <c r="J5908" s="54" t="b">
        <v>1</v>
      </c>
      <c r="K5908" s="63" t="s">
        <v>11742</v>
      </c>
      <c r="L5908" s="63" t="s">
        <v>11768</v>
      </c>
      <c r="M5908" s="63" t="s">
        <v>11769</v>
      </c>
      <c r="N5908" s="63" t="s">
        <v>2113</v>
      </c>
    </row>
    <row r="5909" spans="1:14" x14ac:dyDescent="0.2">
      <c r="A5909" s="51">
        <v>5908</v>
      </c>
      <c r="B5909" s="56" t="s">
        <v>1063</v>
      </c>
      <c r="C5909" s="47" t="s">
        <v>11774</v>
      </c>
      <c r="D5909" s="47" t="s">
        <v>11775</v>
      </c>
      <c r="E5909" s="47" t="s">
        <v>2113</v>
      </c>
      <c r="F5909" s="55" t="b">
        <v>1</v>
      </c>
      <c r="G5909" s="65" t="b">
        <v>0</v>
      </c>
      <c r="H5909" s="54" t="b">
        <v>1</v>
      </c>
      <c r="I5909" s="54" t="b">
        <v>1</v>
      </c>
      <c r="J5909" s="54" t="b">
        <v>1</v>
      </c>
      <c r="K5909" s="63" t="s">
        <v>11742</v>
      </c>
      <c r="L5909" s="63" t="s">
        <v>11774</v>
      </c>
      <c r="M5909" s="63" t="s">
        <v>11775</v>
      </c>
      <c r="N5909" s="63" t="s">
        <v>2113</v>
      </c>
    </row>
    <row r="5910" spans="1:14" x14ac:dyDescent="0.2">
      <c r="A5910" s="51">
        <v>5909</v>
      </c>
      <c r="B5910" s="56" t="s">
        <v>1063</v>
      </c>
      <c r="C5910" s="47" t="s">
        <v>11770</v>
      </c>
      <c r="D5910" s="47" t="s">
        <v>11771</v>
      </c>
      <c r="E5910" s="47" t="s">
        <v>2113</v>
      </c>
      <c r="F5910" s="55" t="b">
        <v>1</v>
      </c>
      <c r="G5910" s="65" t="b">
        <v>0</v>
      </c>
      <c r="H5910" s="54" t="b">
        <v>1</v>
      </c>
      <c r="I5910" s="54" t="b">
        <v>1</v>
      </c>
      <c r="J5910" s="54" t="b">
        <v>1</v>
      </c>
      <c r="K5910" s="63" t="s">
        <v>11742</v>
      </c>
      <c r="L5910" s="63" t="s">
        <v>11770</v>
      </c>
      <c r="M5910" s="63" t="s">
        <v>11771</v>
      </c>
      <c r="N5910" s="63" t="s">
        <v>2113</v>
      </c>
    </row>
    <row r="5911" spans="1:14" x14ac:dyDescent="0.2">
      <c r="A5911" s="51">
        <v>5910</v>
      </c>
      <c r="B5911" s="56" t="s">
        <v>1063</v>
      </c>
      <c r="C5911" s="47" t="s">
        <v>11772</v>
      </c>
      <c r="D5911" s="47" t="s">
        <v>11773</v>
      </c>
      <c r="E5911" s="47" t="s">
        <v>2113</v>
      </c>
      <c r="F5911" s="55" t="b">
        <v>1</v>
      </c>
      <c r="G5911" s="65" t="b">
        <v>0</v>
      </c>
      <c r="H5911" s="54" t="b">
        <v>1</v>
      </c>
      <c r="I5911" s="54" t="b">
        <v>1</v>
      </c>
      <c r="J5911" s="54" t="b">
        <v>1</v>
      </c>
      <c r="K5911" s="63" t="s">
        <v>11742</v>
      </c>
      <c r="L5911" s="63" t="s">
        <v>11772</v>
      </c>
      <c r="M5911" s="63" t="s">
        <v>11773</v>
      </c>
      <c r="N5911" s="63" t="s">
        <v>2113</v>
      </c>
    </row>
    <row r="5912" spans="1:14" x14ac:dyDescent="0.2">
      <c r="A5912" s="51">
        <v>5911</v>
      </c>
      <c r="B5912" s="56" t="s">
        <v>1063</v>
      </c>
      <c r="C5912" s="47" t="s">
        <v>11776</v>
      </c>
      <c r="D5912" s="47" t="s">
        <v>11777</v>
      </c>
      <c r="E5912" s="47" t="s">
        <v>2113</v>
      </c>
      <c r="F5912" s="55" t="b">
        <v>1</v>
      </c>
      <c r="G5912" s="65" t="b">
        <v>0</v>
      </c>
      <c r="H5912" s="54" t="b">
        <v>1</v>
      </c>
      <c r="I5912" s="54" t="b">
        <v>1</v>
      </c>
      <c r="J5912" s="54" t="b">
        <v>1</v>
      </c>
      <c r="K5912" s="63" t="s">
        <v>11742</v>
      </c>
      <c r="L5912" s="63" t="s">
        <v>11776</v>
      </c>
      <c r="M5912" s="63" t="s">
        <v>11777</v>
      </c>
      <c r="N5912" s="63" t="s">
        <v>2113</v>
      </c>
    </row>
    <row r="5913" spans="1:14" x14ac:dyDescent="0.2">
      <c r="A5913" s="51">
        <v>5912</v>
      </c>
      <c r="B5913" s="56" t="s">
        <v>1063</v>
      </c>
      <c r="C5913" s="47" t="s">
        <v>11778</v>
      </c>
      <c r="D5913" s="47" t="s">
        <v>11779</v>
      </c>
      <c r="E5913" s="47" t="s">
        <v>2113</v>
      </c>
      <c r="F5913" s="55" t="b">
        <v>1</v>
      </c>
      <c r="G5913" s="65" t="b">
        <v>0</v>
      </c>
      <c r="H5913" s="54" t="b">
        <v>1</v>
      </c>
      <c r="I5913" s="54" t="b">
        <v>1</v>
      </c>
      <c r="J5913" s="54" t="b">
        <v>1</v>
      </c>
      <c r="K5913" s="63" t="s">
        <v>11742</v>
      </c>
      <c r="L5913" s="63" t="s">
        <v>11778</v>
      </c>
      <c r="M5913" s="63" t="s">
        <v>11779</v>
      </c>
      <c r="N5913" s="63" t="s">
        <v>2113</v>
      </c>
    </row>
    <row r="5914" spans="1:14" x14ac:dyDescent="0.2">
      <c r="A5914" s="51">
        <v>5913</v>
      </c>
      <c r="B5914" s="56" t="s">
        <v>1063</v>
      </c>
      <c r="C5914" s="47" t="s">
        <v>11780</v>
      </c>
      <c r="D5914" s="47" t="s">
        <v>3432</v>
      </c>
      <c r="E5914" s="47" t="s">
        <v>2113</v>
      </c>
      <c r="F5914" s="55" t="b">
        <v>1</v>
      </c>
      <c r="G5914" s="65" t="b">
        <v>0</v>
      </c>
      <c r="H5914" s="54" t="b">
        <v>1</v>
      </c>
      <c r="I5914" s="54" t="b">
        <v>1</v>
      </c>
      <c r="J5914" s="54" t="b">
        <v>1</v>
      </c>
      <c r="K5914" s="63" t="s">
        <v>11742</v>
      </c>
      <c r="L5914" s="63" t="s">
        <v>11780</v>
      </c>
      <c r="M5914" s="63" t="s">
        <v>3432</v>
      </c>
      <c r="N5914" s="63" t="s">
        <v>2113</v>
      </c>
    </row>
    <row r="5915" spans="1:14" x14ac:dyDescent="0.2">
      <c r="A5915" s="51">
        <v>5914</v>
      </c>
      <c r="B5915" s="56" t="s">
        <v>1063</v>
      </c>
      <c r="C5915" s="47" t="s">
        <v>11783</v>
      </c>
      <c r="D5915" s="47" t="s">
        <v>11784</v>
      </c>
      <c r="E5915" s="47" t="s">
        <v>2113</v>
      </c>
      <c r="F5915" s="55" t="b">
        <v>1</v>
      </c>
      <c r="G5915" s="65" t="b">
        <v>0</v>
      </c>
      <c r="H5915" s="54" t="b">
        <v>1</v>
      </c>
      <c r="I5915" s="54" t="b">
        <v>1</v>
      </c>
      <c r="J5915" s="54" t="b">
        <v>1</v>
      </c>
      <c r="K5915" s="63" t="s">
        <v>11742</v>
      </c>
      <c r="L5915" s="63" t="s">
        <v>11783</v>
      </c>
      <c r="M5915" s="63" t="s">
        <v>11784</v>
      </c>
      <c r="N5915" s="63" t="s">
        <v>2113</v>
      </c>
    </row>
    <row r="5916" spans="1:14" x14ac:dyDescent="0.2">
      <c r="A5916" s="51">
        <v>5915</v>
      </c>
      <c r="B5916" s="56" t="s">
        <v>1063</v>
      </c>
      <c r="C5916" s="47" t="s">
        <v>11781</v>
      </c>
      <c r="D5916" s="47" t="s">
        <v>11782</v>
      </c>
      <c r="E5916" s="47" t="s">
        <v>2113</v>
      </c>
      <c r="F5916" s="55" t="b">
        <v>1</v>
      </c>
      <c r="G5916" s="65" t="b">
        <v>0</v>
      </c>
      <c r="H5916" s="54" t="b">
        <v>1</v>
      </c>
      <c r="I5916" s="54" t="b">
        <v>1</v>
      </c>
      <c r="J5916" s="54" t="b">
        <v>1</v>
      </c>
      <c r="K5916" s="63" t="s">
        <v>11742</v>
      </c>
      <c r="L5916" s="63" t="s">
        <v>11781</v>
      </c>
      <c r="M5916" s="63" t="s">
        <v>11782</v>
      </c>
      <c r="N5916" s="63" t="s">
        <v>2113</v>
      </c>
    </row>
    <row r="5917" spans="1:14" x14ac:dyDescent="0.2">
      <c r="A5917" s="51">
        <v>5916</v>
      </c>
      <c r="B5917" s="56" t="s">
        <v>1063</v>
      </c>
      <c r="C5917" s="47" t="s">
        <v>11787</v>
      </c>
      <c r="D5917" s="47" t="s">
        <v>11788</v>
      </c>
      <c r="E5917" s="47" t="s">
        <v>2113</v>
      </c>
      <c r="F5917" s="55" t="b">
        <v>1</v>
      </c>
      <c r="G5917" s="65" t="b">
        <v>0</v>
      </c>
      <c r="H5917" s="54" t="b">
        <v>1</v>
      </c>
      <c r="I5917" s="54" t="b">
        <v>1</v>
      </c>
      <c r="J5917" s="54" t="b">
        <v>1</v>
      </c>
      <c r="K5917" s="63" t="s">
        <v>11742</v>
      </c>
      <c r="L5917" s="63" t="s">
        <v>11787</v>
      </c>
      <c r="M5917" s="63" t="s">
        <v>11788</v>
      </c>
      <c r="N5917" s="63" t="s">
        <v>2113</v>
      </c>
    </row>
    <row r="5918" spans="1:14" x14ac:dyDescent="0.2">
      <c r="A5918" s="51">
        <v>5917</v>
      </c>
      <c r="B5918" s="56" t="s">
        <v>1063</v>
      </c>
      <c r="C5918" s="47" t="s">
        <v>11789</v>
      </c>
      <c r="D5918" s="47" t="s">
        <v>11790</v>
      </c>
      <c r="E5918" s="47" t="s">
        <v>2113</v>
      </c>
      <c r="F5918" s="55" t="b">
        <v>1</v>
      </c>
      <c r="G5918" s="65" t="b">
        <v>0</v>
      </c>
      <c r="H5918" s="54" t="b">
        <v>1</v>
      </c>
      <c r="I5918" s="54" t="b">
        <v>1</v>
      </c>
      <c r="J5918" s="54" t="b">
        <v>1</v>
      </c>
      <c r="K5918" s="63" t="s">
        <v>11742</v>
      </c>
      <c r="L5918" s="63" t="s">
        <v>11789</v>
      </c>
      <c r="M5918" s="63" t="s">
        <v>11790</v>
      </c>
      <c r="N5918" s="63" t="s">
        <v>2113</v>
      </c>
    </row>
    <row r="5919" spans="1:14" x14ac:dyDescent="0.2">
      <c r="A5919" s="51">
        <v>5918</v>
      </c>
      <c r="B5919" s="56" t="s">
        <v>1063</v>
      </c>
      <c r="C5919" s="47" t="s">
        <v>11759</v>
      </c>
      <c r="D5919" s="47" t="s">
        <v>11760</v>
      </c>
      <c r="E5919" s="47" t="s">
        <v>11761</v>
      </c>
      <c r="F5919" s="55" t="b">
        <v>1</v>
      </c>
      <c r="G5919" s="65" t="b">
        <v>0</v>
      </c>
      <c r="H5919" s="54" t="b">
        <v>1</v>
      </c>
      <c r="I5919" s="54" t="b">
        <v>1</v>
      </c>
      <c r="J5919" s="54" t="b">
        <v>1</v>
      </c>
      <c r="K5919" s="63" t="s">
        <v>11742</v>
      </c>
      <c r="L5919" s="63" t="s">
        <v>11759</v>
      </c>
      <c r="M5919" s="63" t="s">
        <v>11760</v>
      </c>
      <c r="N5919" s="63" t="s">
        <v>11761</v>
      </c>
    </row>
    <row r="5920" spans="1:14" x14ac:dyDescent="0.2">
      <c r="A5920" s="51">
        <v>5919</v>
      </c>
      <c r="B5920" s="56" t="s">
        <v>1063</v>
      </c>
      <c r="C5920" s="47" t="s">
        <v>11785</v>
      </c>
      <c r="D5920" s="47" t="s">
        <v>11786</v>
      </c>
      <c r="E5920" s="47" t="s">
        <v>2113</v>
      </c>
      <c r="F5920" s="55" t="b">
        <v>1</v>
      </c>
      <c r="G5920" s="65" t="b">
        <v>0</v>
      </c>
      <c r="H5920" s="54" t="b">
        <v>1</v>
      </c>
      <c r="I5920" s="54" t="b">
        <v>1</v>
      </c>
      <c r="J5920" s="54" t="b">
        <v>1</v>
      </c>
      <c r="K5920" s="63" t="s">
        <v>11742</v>
      </c>
      <c r="L5920" s="63" t="s">
        <v>11785</v>
      </c>
      <c r="M5920" s="63" t="s">
        <v>11786</v>
      </c>
      <c r="N5920" s="63" t="s">
        <v>2113</v>
      </c>
    </row>
    <row r="5921" spans="1:14" x14ac:dyDescent="0.2">
      <c r="A5921" s="51">
        <v>5920</v>
      </c>
      <c r="B5921" s="56" t="s">
        <v>1063</v>
      </c>
      <c r="C5921" s="47" t="s">
        <v>11757</v>
      </c>
      <c r="D5921" s="47" t="s">
        <v>11758</v>
      </c>
      <c r="E5921" s="47" t="s">
        <v>2113</v>
      </c>
      <c r="F5921" s="55" t="b">
        <v>1</v>
      </c>
      <c r="G5921" s="65" t="b">
        <v>0</v>
      </c>
      <c r="H5921" s="54" t="b">
        <v>1</v>
      </c>
      <c r="I5921" s="54" t="b">
        <v>1</v>
      </c>
      <c r="J5921" s="54" t="b">
        <v>1</v>
      </c>
      <c r="K5921" s="63" t="s">
        <v>11742</v>
      </c>
      <c r="L5921" s="63" t="s">
        <v>11757</v>
      </c>
      <c r="M5921" s="63" t="s">
        <v>11758</v>
      </c>
      <c r="N5921" s="63" t="s">
        <v>2113</v>
      </c>
    </row>
    <row r="5922" spans="1:14" x14ac:dyDescent="0.2">
      <c r="A5922" s="51">
        <v>5921</v>
      </c>
      <c r="B5922" s="56" t="s">
        <v>1063</v>
      </c>
      <c r="C5922" s="47" t="s">
        <v>11743</v>
      </c>
      <c r="D5922" s="47" t="s">
        <v>2744</v>
      </c>
      <c r="E5922" s="47" t="s">
        <v>2113</v>
      </c>
      <c r="F5922" s="55" t="b">
        <v>1</v>
      </c>
      <c r="G5922" s="65" t="b">
        <v>0</v>
      </c>
      <c r="H5922" s="54" t="b">
        <v>1</v>
      </c>
      <c r="I5922" s="54" t="b">
        <v>1</v>
      </c>
      <c r="J5922" s="54" t="b">
        <v>1</v>
      </c>
      <c r="K5922" s="63" t="s">
        <v>11742</v>
      </c>
      <c r="L5922" s="63" t="s">
        <v>11743</v>
      </c>
      <c r="M5922" s="63" t="s">
        <v>2744</v>
      </c>
      <c r="N5922" s="63" t="s">
        <v>2113</v>
      </c>
    </row>
    <row r="5923" spans="1:14" x14ac:dyDescent="0.2">
      <c r="A5923" s="51">
        <v>5922</v>
      </c>
      <c r="B5923" s="54" t="s">
        <v>1133</v>
      </c>
      <c r="C5923" s="47" t="s">
        <v>11861</v>
      </c>
      <c r="D5923" s="47" t="s">
        <v>13911</v>
      </c>
      <c r="E5923" s="47" t="s">
        <v>1719</v>
      </c>
      <c r="F5923" s="55" t="b">
        <v>1</v>
      </c>
      <c r="G5923" s="54" t="b">
        <v>1</v>
      </c>
      <c r="H5923" s="54" t="b">
        <v>1</v>
      </c>
      <c r="I5923" s="65" t="b">
        <v>0</v>
      </c>
      <c r="J5923" s="54" t="b">
        <v>1</v>
      </c>
      <c r="K5923" s="63" t="s">
        <v>1133</v>
      </c>
      <c r="L5923" s="63" t="s">
        <v>11861</v>
      </c>
      <c r="M5923" s="63" t="s">
        <v>11862</v>
      </c>
      <c r="N5923" s="63" t="s">
        <v>1719</v>
      </c>
    </row>
    <row r="5924" spans="1:14" x14ac:dyDescent="0.2">
      <c r="A5924" s="51">
        <v>5923</v>
      </c>
      <c r="B5924" s="54" t="s">
        <v>1133</v>
      </c>
      <c r="C5924" s="47" t="s">
        <v>11867</v>
      </c>
      <c r="D5924" s="47" t="s">
        <v>13914</v>
      </c>
      <c r="E5924" s="47" t="s">
        <v>1719</v>
      </c>
      <c r="F5924" s="55" t="b">
        <v>1</v>
      </c>
      <c r="G5924" s="54" t="b">
        <v>1</v>
      </c>
      <c r="H5924" s="54" t="b">
        <v>1</v>
      </c>
      <c r="I5924" s="65" t="b">
        <v>0</v>
      </c>
      <c r="J5924" s="54" t="b">
        <v>1</v>
      </c>
      <c r="K5924" s="63" t="s">
        <v>1133</v>
      </c>
      <c r="L5924" s="63" t="s">
        <v>11867</v>
      </c>
      <c r="M5924" s="63" t="s">
        <v>11868</v>
      </c>
      <c r="N5924" s="63" t="s">
        <v>1719</v>
      </c>
    </row>
    <row r="5925" spans="1:14" x14ac:dyDescent="0.2">
      <c r="A5925" s="51">
        <v>5924</v>
      </c>
      <c r="B5925" s="54" t="s">
        <v>1133</v>
      </c>
      <c r="C5925" s="47" t="s">
        <v>11833</v>
      </c>
      <c r="D5925" s="47" t="s">
        <v>13899</v>
      </c>
      <c r="E5925" s="47" t="s">
        <v>1719</v>
      </c>
      <c r="F5925" s="55" t="b">
        <v>1</v>
      </c>
      <c r="G5925" s="54" t="b">
        <v>1</v>
      </c>
      <c r="H5925" s="54" t="b">
        <v>1</v>
      </c>
      <c r="I5925" s="65" t="b">
        <v>0</v>
      </c>
      <c r="J5925" s="54" t="b">
        <v>1</v>
      </c>
      <c r="K5925" s="63" t="s">
        <v>1133</v>
      </c>
      <c r="L5925" s="63" t="s">
        <v>11833</v>
      </c>
      <c r="M5925" s="63" t="s">
        <v>11834</v>
      </c>
      <c r="N5925" s="63" t="s">
        <v>1719</v>
      </c>
    </row>
    <row r="5926" spans="1:14" x14ac:dyDescent="0.2">
      <c r="A5926" s="51">
        <v>5925</v>
      </c>
      <c r="B5926" s="54" t="s">
        <v>1133</v>
      </c>
      <c r="C5926" s="47" t="s">
        <v>11817</v>
      </c>
      <c r="D5926" s="47" t="s">
        <v>13892</v>
      </c>
      <c r="E5926" s="47" t="s">
        <v>1719</v>
      </c>
      <c r="F5926" s="55" t="b">
        <v>1</v>
      </c>
      <c r="G5926" s="54" t="b">
        <v>1</v>
      </c>
      <c r="H5926" s="54" t="b">
        <v>1</v>
      </c>
      <c r="I5926" s="65" t="b">
        <v>0</v>
      </c>
      <c r="J5926" s="54" t="b">
        <v>1</v>
      </c>
      <c r="K5926" s="63" t="s">
        <v>1133</v>
      </c>
      <c r="L5926" s="63" t="s">
        <v>11817</v>
      </c>
      <c r="M5926" s="63" t="s">
        <v>11818</v>
      </c>
      <c r="N5926" s="63" t="s">
        <v>1719</v>
      </c>
    </row>
    <row r="5927" spans="1:14" x14ac:dyDescent="0.2">
      <c r="A5927" s="51">
        <v>5926</v>
      </c>
      <c r="B5927" s="54" t="s">
        <v>1133</v>
      </c>
      <c r="C5927" s="47" t="s">
        <v>11895</v>
      </c>
      <c r="D5927" s="47" t="s">
        <v>13927</v>
      </c>
      <c r="E5927" s="47" t="s">
        <v>1719</v>
      </c>
      <c r="F5927" s="55" t="b">
        <v>1</v>
      </c>
      <c r="G5927" s="54" t="b">
        <v>1</v>
      </c>
      <c r="H5927" s="54" t="b">
        <v>1</v>
      </c>
      <c r="I5927" s="65" t="b">
        <v>0</v>
      </c>
      <c r="J5927" s="54" t="b">
        <v>1</v>
      </c>
      <c r="K5927" s="63" t="s">
        <v>1133</v>
      </c>
      <c r="L5927" s="63" t="s">
        <v>11895</v>
      </c>
      <c r="M5927" s="63" t="s">
        <v>11896</v>
      </c>
      <c r="N5927" s="63" t="s">
        <v>1719</v>
      </c>
    </row>
    <row r="5928" spans="1:14" x14ac:dyDescent="0.2">
      <c r="A5928" s="51">
        <v>5927</v>
      </c>
      <c r="B5928" s="54" t="s">
        <v>1133</v>
      </c>
      <c r="C5928" s="47" t="s">
        <v>11917</v>
      </c>
      <c r="D5928" s="47" t="s">
        <v>13938</v>
      </c>
      <c r="E5928" s="47" t="s">
        <v>1719</v>
      </c>
      <c r="F5928" s="55" t="b">
        <v>1</v>
      </c>
      <c r="G5928" s="54" t="b">
        <v>1</v>
      </c>
      <c r="H5928" s="54" t="b">
        <v>1</v>
      </c>
      <c r="I5928" s="65" t="b">
        <v>0</v>
      </c>
      <c r="J5928" s="54" t="b">
        <v>1</v>
      </c>
      <c r="K5928" s="63" t="s">
        <v>1133</v>
      </c>
      <c r="L5928" s="63" t="s">
        <v>11917</v>
      </c>
      <c r="M5928" s="63" t="s">
        <v>11918</v>
      </c>
      <c r="N5928" s="63" t="s">
        <v>1719</v>
      </c>
    </row>
    <row r="5929" spans="1:14" x14ac:dyDescent="0.2">
      <c r="A5929" s="51">
        <v>5928</v>
      </c>
      <c r="B5929" s="54" t="s">
        <v>1133</v>
      </c>
      <c r="C5929" s="47" t="s">
        <v>11911</v>
      </c>
      <c r="D5929" s="47" t="s">
        <v>13935</v>
      </c>
      <c r="E5929" s="47" t="s">
        <v>1719</v>
      </c>
      <c r="F5929" s="55" t="b">
        <v>1</v>
      </c>
      <c r="G5929" s="54" t="b">
        <v>1</v>
      </c>
      <c r="H5929" s="54" t="b">
        <v>1</v>
      </c>
      <c r="I5929" s="65" t="b">
        <v>0</v>
      </c>
      <c r="J5929" s="54" t="b">
        <v>1</v>
      </c>
      <c r="K5929" s="63" t="s">
        <v>1133</v>
      </c>
      <c r="L5929" s="63" t="s">
        <v>11911</v>
      </c>
      <c r="M5929" s="63" t="s">
        <v>11912</v>
      </c>
      <c r="N5929" s="63" t="s">
        <v>1719</v>
      </c>
    </row>
    <row r="5930" spans="1:14" x14ac:dyDescent="0.2">
      <c r="A5930" s="51">
        <v>5929</v>
      </c>
      <c r="B5930" s="54" t="s">
        <v>1133</v>
      </c>
      <c r="C5930" s="47" t="s">
        <v>11865</v>
      </c>
      <c r="D5930" s="47" t="s">
        <v>13913</v>
      </c>
      <c r="E5930" s="47" t="s">
        <v>1719</v>
      </c>
      <c r="F5930" s="55" t="b">
        <v>1</v>
      </c>
      <c r="G5930" s="54" t="b">
        <v>1</v>
      </c>
      <c r="H5930" s="54" t="b">
        <v>1</v>
      </c>
      <c r="I5930" s="65" t="b">
        <v>0</v>
      </c>
      <c r="J5930" s="54" t="b">
        <v>1</v>
      </c>
      <c r="K5930" s="63" t="s">
        <v>1133</v>
      </c>
      <c r="L5930" s="63" t="s">
        <v>11865</v>
      </c>
      <c r="M5930" s="63" t="s">
        <v>11866</v>
      </c>
      <c r="N5930" s="63" t="s">
        <v>1719</v>
      </c>
    </row>
    <row r="5931" spans="1:14" x14ac:dyDescent="0.2">
      <c r="A5931" s="51">
        <v>5930</v>
      </c>
      <c r="B5931" s="54" t="s">
        <v>1133</v>
      </c>
      <c r="C5931" s="47" t="s">
        <v>11889</v>
      </c>
      <c r="D5931" s="47" t="s">
        <v>13924</v>
      </c>
      <c r="E5931" s="47" t="s">
        <v>1719</v>
      </c>
      <c r="F5931" s="55" t="b">
        <v>1</v>
      </c>
      <c r="G5931" s="54" t="b">
        <v>1</v>
      </c>
      <c r="H5931" s="54" t="b">
        <v>1</v>
      </c>
      <c r="I5931" s="65" t="b">
        <v>0</v>
      </c>
      <c r="J5931" s="54" t="b">
        <v>1</v>
      </c>
      <c r="K5931" s="63" t="s">
        <v>1133</v>
      </c>
      <c r="L5931" s="63" t="s">
        <v>11889</v>
      </c>
      <c r="M5931" s="63" t="s">
        <v>11890</v>
      </c>
      <c r="N5931" s="63" t="s">
        <v>1719</v>
      </c>
    </row>
    <row r="5932" spans="1:14" x14ac:dyDescent="0.2">
      <c r="A5932" s="51">
        <v>5931</v>
      </c>
      <c r="B5932" s="54" t="s">
        <v>1133</v>
      </c>
      <c r="C5932" s="47" t="s">
        <v>11851</v>
      </c>
      <c r="D5932" s="47" t="s">
        <v>13906</v>
      </c>
      <c r="E5932" s="47" t="s">
        <v>1719</v>
      </c>
      <c r="F5932" s="55" t="b">
        <v>1</v>
      </c>
      <c r="G5932" s="54" t="b">
        <v>1</v>
      </c>
      <c r="H5932" s="54" t="b">
        <v>1</v>
      </c>
      <c r="I5932" s="65" t="b">
        <v>0</v>
      </c>
      <c r="J5932" s="54" t="b">
        <v>1</v>
      </c>
      <c r="K5932" s="63" t="s">
        <v>1133</v>
      </c>
      <c r="L5932" s="63" t="s">
        <v>11851</v>
      </c>
      <c r="M5932" s="63" t="s">
        <v>11852</v>
      </c>
      <c r="N5932" s="63" t="s">
        <v>1719</v>
      </c>
    </row>
    <row r="5933" spans="1:14" x14ac:dyDescent="0.2">
      <c r="A5933" s="51">
        <v>5932</v>
      </c>
      <c r="F5933" s="55" t="b">
        <v>1</v>
      </c>
      <c r="G5933" s="65" t="b">
        <v>0</v>
      </c>
      <c r="H5933" s="65" t="b">
        <v>0</v>
      </c>
      <c r="I5933" s="65" t="b">
        <v>0</v>
      </c>
      <c r="J5933" s="65" t="b">
        <v>0</v>
      </c>
      <c r="K5933" s="63" t="s">
        <v>1133</v>
      </c>
      <c r="L5933" s="63" t="s">
        <v>11839</v>
      </c>
      <c r="M5933" s="63" t="s">
        <v>11840</v>
      </c>
      <c r="N5933" s="63" t="s">
        <v>1719</v>
      </c>
    </row>
    <row r="5934" spans="1:14" x14ac:dyDescent="0.2">
      <c r="A5934" s="51">
        <v>5933</v>
      </c>
      <c r="B5934" s="54" t="s">
        <v>1133</v>
      </c>
      <c r="C5934" s="47" t="s">
        <v>11875</v>
      </c>
      <c r="D5934" s="47" t="s">
        <v>13917</v>
      </c>
      <c r="E5934" s="47" t="s">
        <v>1719</v>
      </c>
      <c r="F5934" s="55" t="b">
        <v>1</v>
      </c>
      <c r="G5934" s="54" t="b">
        <v>1</v>
      </c>
      <c r="H5934" s="54" t="b">
        <v>1</v>
      </c>
      <c r="I5934" s="65" t="b">
        <v>0</v>
      </c>
      <c r="J5934" s="54" t="b">
        <v>1</v>
      </c>
      <c r="K5934" s="63" t="s">
        <v>1133</v>
      </c>
      <c r="L5934" s="63" t="s">
        <v>11875</v>
      </c>
      <c r="M5934" s="63" t="s">
        <v>11876</v>
      </c>
      <c r="N5934" s="63" t="s">
        <v>1719</v>
      </c>
    </row>
    <row r="5935" spans="1:14" x14ac:dyDescent="0.2">
      <c r="A5935" s="51">
        <v>5934</v>
      </c>
      <c r="B5935" s="54" t="s">
        <v>1133</v>
      </c>
      <c r="C5935" s="47" t="s">
        <v>11899</v>
      </c>
      <c r="D5935" s="47" t="s">
        <v>13929</v>
      </c>
      <c r="E5935" s="47" t="s">
        <v>1719</v>
      </c>
      <c r="G5935" s="54" t="b">
        <v>1</v>
      </c>
      <c r="H5935" s="54" t="b">
        <v>1</v>
      </c>
      <c r="I5935" s="65" t="b">
        <v>0</v>
      </c>
      <c r="J5935" s="54" t="b">
        <v>1</v>
      </c>
      <c r="K5935" s="63" t="s">
        <v>1133</v>
      </c>
      <c r="L5935" s="63" t="s">
        <v>11899</v>
      </c>
      <c r="M5935" s="63" t="s">
        <v>11900</v>
      </c>
      <c r="N5935" s="63" t="s">
        <v>1719</v>
      </c>
    </row>
    <row r="5936" spans="1:14" x14ac:dyDescent="0.2">
      <c r="A5936" s="51">
        <v>5935</v>
      </c>
      <c r="B5936" s="54" t="s">
        <v>1133</v>
      </c>
      <c r="C5936" s="47" t="s">
        <v>11903</v>
      </c>
      <c r="D5936" s="47" t="s">
        <v>13931</v>
      </c>
      <c r="E5936" s="47" t="s">
        <v>1719</v>
      </c>
      <c r="F5936" s="55" t="b">
        <v>1</v>
      </c>
      <c r="G5936" s="54" t="b">
        <v>1</v>
      </c>
      <c r="H5936" s="54" t="b">
        <v>1</v>
      </c>
      <c r="I5936" s="65" t="b">
        <v>0</v>
      </c>
      <c r="J5936" s="54" t="b">
        <v>1</v>
      </c>
      <c r="K5936" s="63" t="s">
        <v>1133</v>
      </c>
      <c r="L5936" s="63" t="s">
        <v>11903</v>
      </c>
      <c r="M5936" s="63" t="s">
        <v>11904</v>
      </c>
      <c r="N5936" s="63" t="s">
        <v>1719</v>
      </c>
    </row>
    <row r="5937" spans="1:14" x14ac:dyDescent="0.2">
      <c r="A5937" s="51">
        <v>5936</v>
      </c>
      <c r="B5937" s="54" t="s">
        <v>1133</v>
      </c>
      <c r="C5937" s="47" t="s">
        <v>11873</v>
      </c>
      <c r="D5937" s="47" t="s">
        <v>13916</v>
      </c>
      <c r="E5937" s="47" t="s">
        <v>1719</v>
      </c>
      <c r="F5937" s="55" t="b">
        <v>1</v>
      </c>
      <c r="G5937" s="54" t="b">
        <v>1</v>
      </c>
      <c r="H5937" s="54" t="b">
        <v>1</v>
      </c>
      <c r="I5937" s="65" t="b">
        <v>0</v>
      </c>
      <c r="J5937" s="54" t="b">
        <v>1</v>
      </c>
      <c r="K5937" s="63" t="s">
        <v>1133</v>
      </c>
      <c r="L5937" s="63" t="s">
        <v>11873</v>
      </c>
      <c r="M5937" s="63" t="s">
        <v>11874</v>
      </c>
      <c r="N5937" s="63" t="s">
        <v>1719</v>
      </c>
    </row>
    <row r="5938" spans="1:14" x14ac:dyDescent="0.2">
      <c r="A5938" s="51">
        <v>5937</v>
      </c>
      <c r="B5938" s="54" t="s">
        <v>1133</v>
      </c>
      <c r="C5938" s="47" t="s">
        <v>11841</v>
      </c>
      <c r="D5938" s="47" t="s">
        <v>13904</v>
      </c>
      <c r="E5938" s="47" t="s">
        <v>1719</v>
      </c>
      <c r="F5938" s="55" t="b">
        <v>1</v>
      </c>
      <c r="G5938" s="54" t="b">
        <v>1</v>
      </c>
      <c r="H5938" s="54" t="b">
        <v>1</v>
      </c>
      <c r="I5938" s="65" t="b">
        <v>0</v>
      </c>
      <c r="J5938" s="54" t="b">
        <v>1</v>
      </c>
      <c r="K5938" s="63" t="s">
        <v>1133</v>
      </c>
      <c r="L5938" s="63" t="s">
        <v>11841</v>
      </c>
      <c r="M5938" s="63" t="s">
        <v>11842</v>
      </c>
      <c r="N5938" s="63" t="s">
        <v>1719</v>
      </c>
    </row>
    <row r="5939" spans="1:14" x14ac:dyDescent="0.2">
      <c r="A5939" s="51">
        <v>5938</v>
      </c>
      <c r="B5939" s="54" t="s">
        <v>1133</v>
      </c>
      <c r="C5939" s="47" t="s">
        <v>11883</v>
      </c>
      <c r="D5939" s="47" t="s">
        <v>13921</v>
      </c>
      <c r="E5939" s="47" t="s">
        <v>1719</v>
      </c>
      <c r="F5939" s="55" t="b">
        <v>1</v>
      </c>
      <c r="G5939" s="54" t="b">
        <v>1</v>
      </c>
      <c r="H5939" s="54" t="b">
        <v>1</v>
      </c>
      <c r="I5939" s="65" t="b">
        <v>0</v>
      </c>
      <c r="J5939" s="54" t="b">
        <v>1</v>
      </c>
      <c r="K5939" s="63" t="s">
        <v>1133</v>
      </c>
      <c r="L5939" s="63" t="s">
        <v>11883</v>
      </c>
      <c r="M5939" s="63" t="s">
        <v>11884</v>
      </c>
      <c r="N5939" s="63" t="s">
        <v>1719</v>
      </c>
    </row>
    <row r="5940" spans="1:14" x14ac:dyDescent="0.2">
      <c r="A5940" s="51">
        <v>5939</v>
      </c>
      <c r="B5940" s="54" t="s">
        <v>1133</v>
      </c>
      <c r="C5940" s="47" t="s">
        <v>11891</v>
      </c>
      <c r="D5940" s="47" t="s">
        <v>13925</v>
      </c>
      <c r="E5940" s="47" t="s">
        <v>1719</v>
      </c>
      <c r="F5940" s="55" t="b">
        <v>1</v>
      </c>
      <c r="G5940" s="54" t="b">
        <v>1</v>
      </c>
      <c r="H5940" s="54" t="b">
        <v>1</v>
      </c>
      <c r="I5940" s="65" t="b">
        <v>0</v>
      </c>
      <c r="J5940" s="54" t="b">
        <v>1</v>
      </c>
      <c r="K5940" s="63" t="s">
        <v>1133</v>
      </c>
      <c r="L5940" s="63" t="s">
        <v>11891</v>
      </c>
      <c r="M5940" s="63" t="s">
        <v>11892</v>
      </c>
      <c r="N5940" s="63" t="s">
        <v>1719</v>
      </c>
    </row>
    <row r="5941" spans="1:14" x14ac:dyDescent="0.2">
      <c r="A5941" s="51">
        <v>5940</v>
      </c>
      <c r="B5941" s="54" t="s">
        <v>1133</v>
      </c>
      <c r="C5941" s="47" t="s">
        <v>11905</v>
      </c>
      <c r="D5941" s="47" t="s">
        <v>13932</v>
      </c>
      <c r="E5941" s="47" t="s">
        <v>1719</v>
      </c>
      <c r="F5941" s="55" t="b">
        <v>1</v>
      </c>
      <c r="G5941" s="54" t="b">
        <v>1</v>
      </c>
      <c r="H5941" s="54" t="b">
        <v>1</v>
      </c>
      <c r="I5941" s="65" t="b">
        <v>0</v>
      </c>
      <c r="J5941" s="54" t="b">
        <v>1</v>
      </c>
      <c r="K5941" s="63" t="s">
        <v>1133</v>
      </c>
      <c r="L5941" s="63" t="s">
        <v>11905</v>
      </c>
      <c r="M5941" s="63" t="s">
        <v>11906</v>
      </c>
      <c r="N5941" s="63" t="s">
        <v>1719</v>
      </c>
    </row>
    <row r="5942" spans="1:14" x14ac:dyDescent="0.2">
      <c r="A5942" s="51">
        <v>5941</v>
      </c>
      <c r="B5942" s="54" t="s">
        <v>1133</v>
      </c>
      <c r="C5942" s="47" t="s">
        <v>11885</v>
      </c>
      <c r="D5942" s="47" t="s">
        <v>13922</v>
      </c>
      <c r="E5942" s="47" t="s">
        <v>1719</v>
      </c>
      <c r="F5942" s="55" t="b">
        <v>1</v>
      </c>
      <c r="G5942" s="54" t="b">
        <v>1</v>
      </c>
      <c r="H5942" s="54" t="b">
        <v>1</v>
      </c>
      <c r="I5942" s="65" t="b">
        <v>0</v>
      </c>
      <c r="J5942" s="54" t="b">
        <v>1</v>
      </c>
      <c r="K5942" s="63" t="s">
        <v>1133</v>
      </c>
      <c r="L5942" s="63" t="s">
        <v>11885</v>
      </c>
      <c r="M5942" s="63" t="s">
        <v>11886</v>
      </c>
      <c r="N5942" s="63" t="s">
        <v>1719</v>
      </c>
    </row>
    <row r="5943" spans="1:14" x14ac:dyDescent="0.2">
      <c r="A5943" s="51">
        <v>5942</v>
      </c>
      <c r="B5943" s="54" t="s">
        <v>1133</v>
      </c>
      <c r="C5943" s="47" t="s">
        <v>11859</v>
      </c>
      <c r="D5943" s="47" t="s">
        <v>11860</v>
      </c>
      <c r="E5943" s="47" t="s">
        <v>1719</v>
      </c>
      <c r="F5943" s="55" t="b">
        <v>1</v>
      </c>
      <c r="G5943" s="54" t="b">
        <v>1</v>
      </c>
      <c r="H5943" s="54" t="b">
        <v>1</v>
      </c>
      <c r="I5943" s="54" t="b">
        <v>1</v>
      </c>
      <c r="J5943" s="54" t="b">
        <v>1</v>
      </c>
      <c r="K5943" s="63" t="s">
        <v>1133</v>
      </c>
      <c r="L5943" s="63" t="s">
        <v>11859</v>
      </c>
      <c r="M5943" s="63" t="s">
        <v>11860</v>
      </c>
      <c r="N5943" s="63" t="s">
        <v>1719</v>
      </c>
    </row>
    <row r="5944" spans="1:14" x14ac:dyDescent="0.2">
      <c r="A5944" s="51">
        <v>5943</v>
      </c>
      <c r="B5944" s="54" t="s">
        <v>1133</v>
      </c>
      <c r="C5944" s="47" t="s">
        <v>11887</v>
      </c>
      <c r="D5944" s="47" t="s">
        <v>13923</v>
      </c>
      <c r="E5944" s="47" t="s">
        <v>1719</v>
      </c>
      <c r="F5944" s="55" t="b">
        <v>1</v>
      </c>
      <c r="G5944" s="54" t="b">
        <v>1</v>
      </c>
      <c r="H5944" s="54" t="b">
        <v>1</v>
      </c>
      <c r="I5944" s="65" t="b">
        <v>0</v>
      </c>
      <c r="J5944" s="54" t="b">
        <v>1</v>
      </c>
      <c r="K5944" s="63" t="s">
        <v>1133</v>
      </c>
      <c r="L5944" s="63" t="s">
        <v>11887</v>
      </c>
      <c r="M5944" s="63" t="s">
        <v>11888</v>
      </c>
      <c r="N5944" s="63" t="s">
        <v>1719</v>
      </c>
    </row>
    <row r="5945" spans="1:14" x14ac:dyDescent="0.2">
      <c r="A5945" s="51">
        <v>5944</v>
      </c>
      <c r="B5945" s="54" t="s">
        <v>1133</v>
      </c>
      <c r="C5945" s="47" t="s">
        <v>11831</v>
      </c>
      <c r="D5945" s="47" t="s">
        <v>11832</v>
      </c>
      <c r="E5945" s="47" t="s">
        <v>1719</v>
      </c>
      <c r="F5945" s="55" t="b">
        <v>1</v>
      </c>
      <c r="G5945" s="54" t="b">
        <v>1</v>
      </c>
      <c r="H5945" s="54" t="b">
        <v>1</v>
      </c>
      <c r="I5945" s="54" t="b">
        <v>1</v>
      </c>
      <c r="J5945" s="54" t="b">
        <v>1</v>
      </c>
      <c r="K5945" s="63" t="s">
        <v>1133</v>
      </c>
      <c r="L5945" s="63" t="s">
        <v>11831</v>
      </c>
      <c r="M5945" s="63" t="s">
        <v>11832</v>
      </c>
      <c r="N5945" s="63" t="s">
        <v>1719</v>
      </c>
    </row>
    <row r="5946" spans="1:14" x14ac:dyDescent="0.2">
      <c r="A5946" s="51">
        <v>5945</v>
      </c>
      <c r="B5946" s="54" t="s">
        <v>1133</v>
      </c>
      <c r="C5946" s="47" t="s">
        <v>11805</v>
      </c>
      <c r="D5946" s="47" t="s">
        <v>13886</v>
      </c>
      <c r="E5946" s="47" t="s">
        <v>1719</v>
      </c>
      <c r="F5946" s="55" t="b">
        <v>1</v>
      </c>
      <c r="G5946" s="54" t="b">
        <v>1</v>
      </c>
      <c r="H5946" s="54" t="b">
        <v>1</v>
      </c>
      <c r="I5946" s="65" t="b">
        <v>0</v>
      </c>
      <c r="J5946" s="54" t="b">
        <v>1</v>
      </c>
      <c r="K5946" s="63" t="s">
        <v>1133</v>
      </c>
      <c r="L5946" s="63" t="s">
        <v>11805</v>
      </c>
      <c r="M5946" s="63" t="s">
        <v>11806</v>
      </c>
      <c r="N5946" s="63" t="s">
        <v>1719</v>
      </c>
    </row>
    <row r="5947" spans="1:14" x14ac:dyDescent="0.2">
      <c r="A5947" s="51">
        <v>5946</v>
      </c>
      <c r="B5947" s="54" t="s">
        <v>1133</v>
      </c>
      <c r="C5947" s="47" t="s">
        <v>11881</v>
      </c>
      <c r="D5947" s="47" t="s">
        <v>13920</v>
      </c>
      <c r="E5947" s="47" t="s">
        <v>1719</v>
      </c>
      <c r="F5947" s="55" t="b">
        <v>1</v>
      </c>
      <c r="G5947" s="54" t="b">
        <v>1</v>
      </c>
      <c r="H5947" s="54" t="b">
        <v>1</v>
      </c>
      <c r="I5947" s="65" t="b">
        <v>0</v>
      </c>
      <c r="J5947" s="54" t="b">
        <v>1</v>
      </c>
      <c r="K5947" s="63" t="s">
        <v>1133</v>
      </c>
      <c r="L5947" s="63" t="s">
        <v>11881</v>
      </c>
      <c r="M5947" s="63" t="s">
        <v>11882</v>
      </c>
      <c r="N5947" s="63" t="s">
        <v>1719</v>
      </c>
    </row>
    <row r="5948" spans="1:14" x14ac:dyDescent="0.2">
      <c r="A5948" s="51">
        <v>5947</v>
      </c>
      <c r="B5948" s="54" t="s">
        <v>1133</v>
      </c>
      <c r="C5948" s="47" t="s">
        <v>11821</v>
      </c>
      <c r="D5948" s="47" t="s">
        <v>13893</v>
      </c>
      <c r="E5948" s="47" t="s">
        <v>1719</v>
      </c>
      <c r="F5948" s="55" t="b">
        <v>1</v>
      </c>
      <c r="G5948" s="54" t="b">
        <v>1</v>
      </c>
      <c r="H5948" s="54" t="b">
        <v>1</v>
      </c>
      <c r="I5948" s="65" t="b">
        <v>0</v>
      </c>
      <c r="J5948" s="54" t="b">
        <v>1</v>
      </c>
      <c r="K5948" s="63" t="s">
        <v>1133</v>
      </c>
      <c r="L5948" s="63" t="s">
        <v>11821</v>
      </c>
      <c r="M5948" s="63" t="s">
        <v>11822</v>
      </c>
      <c r="N5948" s="63" t="s">
        <v>1719</v>
      </c>
    </row>
    <row r="5949" spans="1:14" x14ac:dyDescent="0.2">
      <c r="A5949" s="51">
        <v>5948</v>
      </c>
      <c r="B5949" s="54" t="s">
        <v>1133</v>
      </c>
      <c r="C5949" s="47" t="s">
        <v>11855</v>
      </c>
      <c r="D5949" s="47" t="s">
        <v>13909</v>
      </c>
      <c r="E5949" s="47" t="s">
        <v>1719</v>
      </c>
      <c r="F5949" s="55" t="b">
        <v>1</v>
      </c>
      <c r="G5949" s="54" t="b">
        <v>1</v>
      </c>
      <c r="H5949" s="54" t="b">
        <v>1</v>
      </c>
      <c r="I5949" s="65" t="b">
        <v>0</v>
      </c>
      <c r="J5949" s="54" t="b">
        <v>1</v>
      </c>
      <c r="K5949" s="63" t="s">
        <v>1133</v>
      </c>
      <c r="L5949" s="63" t="s">
        <v>11855</v>
      </c>
      <c r="M5949" s="63" t="s">
        <v>11856</v>
      </c>
      <c r="N5949" s="63" t="s">
        <v>1719</v>
      </c>
    </row>
    <row r="5950" spans="1:14" x14ac:dyDescent="0.2">
      <c r="A5950" s="51">
        <v>5949</v>
      </c>
      <c r="B5950" s="54" t="s">
        <v>1133</v>
      </c>
      <c r="C5950" s="47" t="s">
        <v>11863</v>
      </c>
      <c r="D5950" s="47" t="s">
        <v>13912</v>
      </c>
      <c r="E5950" s="47" t="s">
        <v>1719</v>
      </c>
      <c r="F5950" s="55" t="b">
        <v>1</v>
      </c>
      <c r="G5950" s="54" t="b">
        <v>1</v>
      </c>
      <c r="H5950" s="54" t="b">
        <v>1</v>
      </c>
      <c r="I5950" s="65" t="b">
        <v>0</v>
      </c>
      <c r="J5950" s="54" t="b">
        <v>1</v>
      </c>
      <c r="K5950" s="63" t="s">
        <v>1133</v>
      </c>
      <c r="L5950" s="63" t="s">
        <v>11863</v>
      </c>
      <c r="M5950" s="63" t="s">
        <v>11864</v>
      </c>
      <c r="N5950" s="63" t="s">
        <v>1719</v>
      </c>
    </row>
    <row r="5951" spans="1:14" x14ac:dyDescent="0.2">
      <c r="A5951" s="51">
        <v>5950</v>
      </c>
      <c r="B5951" s="54" t="s">
        <v>1133</v>
      </c>
      <c r="C5951" s="47" t="s">
        <v>11877</v>
      </c>
      <c r="D5951" s="47" t="s">
        <v>13918</v>
      </c>
      <c r="E5951" s="47" t="s">
        <v>1719</v>
      </c>
      <c r="F5951" s="55" t="b">
        <v>1</v>
      </c>
      <c r="G5951" s="54" t="b">
        <v>1</v>
      </c>
      <c r="H5951" s="54" t="b">
        <v>1</v>
      </c>
      <c r="I5951" s="65" t="b">
        <v>0</v>
      </c>
      <c r="J5951" s="54" t="b">
        <v>1</v>
      </c>
      <c r="K5951" s="63" t="s">
        <v>1133</v>
      </c>
      <c r="L5951" s="63" t="s">
        <v>11877</v>
      </c>
      <c r="M5951" s="63" t="s">
        <v>11878</v>
      </c>
      <c r="N5951" s="63" t="s">
        <v>1719</v>
      </c>
    </row>
    <row r="5952" spans="1:14" x14ac:dyDescent="0.2">
      <c r="A5952" s="51">
        <v>5951</v>
      </c>
      <c r="B5952" s="54" t="s">
        <v>1133</v>
      </c>
      <c r="C5952" s="47" t="s">
        <v>11897</v>
      </c>
      <c r="D5952" s="47" t="s">
        <v>13928</v>
      </c>
      <c r="E5952" s="47" t="s">
        <v>1719</v>
      </c>
      <c r="F5952" s="55" t="b">
        <v>1</v>
      </c>
      <c r="G5952" s="54" t="b">
        <v>1</v>
      </c>
      <c r="H5952" s="54" t="b">
        <v>1</v>
      </c>
      <c r="I5952" s="65" t="b">
        <v>0</v>
      </c>
      <c r="J5952" s="54" t="b">
        <v>1</v>
      </c>
      <c r="K5952" s="63" t="s">
        <v>1133</v>
      </c>
      <c r="L5952" s="63" t="s">
        <v>11897</v>
      </c>
      <c r="M5952" s="63" t="s">
        <v>11898</v>
      </c>
      <c r="N5952" s="63" t="s">
        <v>1719</v>
      </c>
    </row>
    <row r="5953" spans="1:14" x14ac:dyDescent="0.2">
      <c r="A5953" s="51">
        <v>5952</v>
      </c>
      <c r="B5953" s="54" t="s">
        <v>1133</v>
      </c>
      <c r="C5953" s="47" t="s">
        <v>11827</v>
      </c>
      <c r="D5953" s="47" t="s">
        <v>13897</v>
      </c>
      <c r="E5953" s="47" t="s">
        <v>1719</v>
      </c>
      <c r="F5953" s="55" t="b">
        <v>1</v>
      </c>
      <c r="G5953" s="54" t="b">
        <v>1</v>
      </c>
      <c r="H5953" s="54" t="b">
        <v>1</v>
      </c>
      <c r="I5953" s="65" t="b">
        <v>0</v>
      </c>
      <c r="J5953" s="54" t="b">
        <v>1</v>
      </c>
      <c r="K5953" s="63" t="s">
        <v>1133</v>
      </c>
      <c r="L5953" s="63" t="s">
        <v>11827</v>
      </c>
      <c r="M5953" s="63" t="s">
        <v>11828</v>
      </c>
      <c r="N5953" s="63" t="s">
        <v>1719</v>
      </c>
    </row>
    <row r="5954" spans="1:14" x14ac:dyDescent="0.2">
      <c r="A5954" s="51">
        <v>5953</v>
      </c>
      <c r="B5954" s="54" t="s">
        <v>1133</v>
      </c>
      <c r="C5954" s="47" t="s">
        <v>11811</v>
      </c>
      <c r="D5954" s="47" t="s">
        <v>13889</v>
      </c>
      <c r="E5954" s="47" t="s">
        <v>1719</v>
      </c>
      <c r="F5954" s="55" t="b">
        <v>1</v>
      </c>
      <c r="G5954" s="54" t="b">
        <v>1</v>
      </c>
      <c r="H5954" s="54" t="b">
        <v>1</v>
      </c>
      <c r="I5954" s="65" t="b">
        <v>0</v>
      </c>
      <c r="J5954" s="54" t="b">
        <v>1</v>
      </c>
      <c r="K5954" s="63" t="s">
        <v>1133</v>
      </c>
      <c r="L5954" s="63" t="s">
        <v>11811</v>
      </c>
      <c r="M5954" s="63" t="s">
        <v>11812</v>
      </c>
      <c r="N5954" s="63" t="s">
        <v>1719</v>
      </c>
    </row>
    <row r="5955" spans="1:14" x14ac:dyDescent="0.2">
      <c r="A5955" s="51">
        <v>5954</v>
      </c>
      <c r="B5955" s="54" t="s">
        <v>1133</v>
      </c>
      <c r="C5955" s="47" t="s">
        <v>11869</v>
      </c>
      <c r="D5955" s="47" t="s">
        <v>11870</v>
      </c>
      <c r="E5955" s="47" t="s">
        <v>1719</v>
      </c>
      <c r="F5955" s="55" t="b">
        <v>1</v>
      </c>
      <c r="G5955" s="54" t="b">
        <v>1</v>
      </c>
      <c r="H5955" s="54" t="b">
        <v>1</v>
      </c>
      <c r="I5955" s="54" t="b">
        <v>1</v>
      </c>
      <c r="J5955" s="54" t="b">
        <v>1</v>
      </c>
      <c r="K5955" s="63" t="s">
        <v>1133</v>
      </c>
      <c r="L5955" s="63" t="s">
        <v>11869</v>
      </c>
      <c r="M5955" s="63" t="s">
        <v>11870</v>
      </c>
      <c r="N5955" s="63" t="s">
        <v>1719</v>
      </c>
    </row>
    <row r="5956" spans="1:14" x14ac:dyDescent="0.2">
      <c r="A5956" s="51">
        <v>5955</v>
      </c>
      <c r="B5956" s="54" t="s">
        <v>1133</v>
      </c>
      <c r="C5956" s="47" t="s">
        <v>11793</v>
      </c>
      <c r="D5956" s="47" t="s">
        <v>13884</v>
      </c>
      <c r="E5956" s="47" t="s">
        <v>1719</v>
      </c>
      <c r="F5956" s="55" t="b">
        <v>1</v>
      </c>
      <c r="G5956" s="54" t="b">
        <v>1</v>
      </c>
      <c r="H5956" s="54" t="b">
        <v>1</v>
      </c>
      <c r="I5956" s="65" t="b">
        <v>0</v>
      </c>
      <c r="J5956" s="54" t="b">
        <v>1</v>
      </c>
      <c r="K5956" s="63" t="s">
        <v>1133</v>
      </c>
      <c r="L5956" s="63" t="s">
        <v>11793</v>
      </c>
      <c r="M5956" s="63" t="s">
        <v>11794</v>
      </c>
      <c r="N5956" s="63" t="s">
        <v>1719</v>
      </c>
    </row>
    <row r="5957" spans="1:14" x14ac:dyDescent="0.2">
      <c r="A5957" s="51">
        <v>5956</v>
      </c>
      <c r="B5957" s="54" t="s">
        <v>1133</v>
      </c>
      <c r="C5957" s="47" t="s">
        <v>11791</v>
      </c>
      <c r="D5957" s="47" t="s">
        <v>11792</v>
      </c>
      <c r="E5957" s="47" t="s">
        <v>1719</v>
      </c>
      <c r="F5957" s="55" t="b">
        <v>1</v>
      </c>
      <c r="G5957" s="54" t="b">
        <v>1</v>
      </c>
      <c r="H5957" s="54" t="b">
        <v>1</v>
      </c>
      <c r="I5957" s="54" t="b">
        <v>1</v>
      </c>
      <c r="J5957" s="54" t="b">
        <v>1</v>
      </c>
      <c r="K5957" s="63" t="s">
        <v>1133</v>
      </c>
      <c r="L5957" s="63" t="s">
        <v>11791</v>
      </c>
      <c r="M5957" s="63" t="s">
        <v>11792</v>
      </c>
      <c r="N5957" s="63" t="s">
        <v>1719</v>
      </c>
    </row>
    <row r="5958" spans="1:14" x14ac:dyDescent="0.2">
      <c r="A5958" s="51">
        <v>5957</v>
      </c>
      <c r="B5958" s="54" t="s">
        <v>1133</v>
      </c>
      <c r="C5958" s="47" t="s">
        <v>11829</v>
      </c>
      <c r="D5958" s="47" t="s">
        <v>13898</v>
      </c>
      <c r="E5958" s="47" t="s">
        <v>1719</v>
      </c>
      <c r="F5958" s="55" t="b">
        <v>1</v>
      </c>
      <c r="G5958" s="54" t="b">
        <v>1</v>
      </c>
      <c r="H5958" s="54" t="b">
        <v>1</v>
      </c>
      <c r="I5958" s="65" t="b">
        <v>0</v>
      </c>
      <c r="J5958" s="54" t="b">
        <v>1</v>
      </c>
      <c r="K5958" s="63" t="s">
        <v>1133</v>
      </c>
      <c r="L5958" s="63" t="s">
        <v>11829</v>
      </c>
      <c r="M5958" s="63" t="s">
        <v>11830</v>
      </c>
      <c r="N5958" s="63" t="s">
        <v>1719</v>
      </c>
    </row>
    <row r="5959" spans="1:14" x14ac:dyDescent="0.2">
      <c r="A5959" s="51">
        <v>5958</v>
      </c>
      <c r="B5959" s="54" t="s">
        <v>1133</v>
      </c>
      <c r="C5959" s="47" t="s">
        <v>11907</v>
      </c>
      <c r="D5959" s="47" t="s">
        <v>13933</v>
      </c>
      <c r="E5959" s="47" t="s">
        <v>1719</v>
      </c>
      <c r="F5959" s="55" t="b">
        <v>1</v>
      </c>
      <c r="G5959" s="54" t="b">
        <v>1</v>
      </c>
      <c r="H5959" s="54" t="b">
        <v>1</v>
      </c>
      <c r="I5959" s="65" t="b">
        <v>0</v>
      </c>
      <c r="J5959" s="54" t="b">
        <v>1</v>
      </c>
      <c r="K5959" s="63" t="s">
        <v>1133</v>
      </c>
      <c r="L5959" s="63" t="s">
        <v>11907</v>
      </c>
      <c r="M5959" s="63" t="s">
        <v>11908</v>
      </c>
      <c r="N5959" s="63" t="s">
        <v>1719</v>
      </c>
    </row>
    <row r="5960" spans="1:14" x14ac:dyDescent="0.2">
      <c r="A5960" s="51">
        <v>5959</v>
      </c>
      <c r="B5960" s="54" t="s">
        <v>1133</v>
      </c>
      <c r="C5960" s="47" t="s">
        <v>11857</v>
      </c>
      <c r="D5960" s="47" t="s">
        <v>13910</v>
      </c>
      <c r="E5960" s="47" t="s">
        <v>1719</v>
      </c>
      <c r="F5960" s="55" t="b">
        <v>1</v>
      </c>
      <c r="G5960" s="54" t="b">
        <v>1</v>
      </c>
      <c r="H5960" s="54" t="b">
        <v>1</v>
      </c>
      <c r="I5960" s="65" t="b">
        <v>0</v>
      </c>
      <c r="J5960" s="54" t="b">
        <v>1</v>
      </c>
      <c r="K5960" s="63" t="s">
        <v>1133</v>
      </c>
      <c r="L5960" s="63" t="s">
        <v>11857</v>
      </c>
      <c r="M5960" s="63" t="s">
        <v>11858</v>
      </c>
      <c r="N5960" s="63" t="s">
        <v>1719</v>
      </c>
    </row>
    <row r="5961" spans="1:14" x14ac:dyDescent="0.2">
      <c r="A5961" s="51">
        <v>5960</v>
      </c>
      <c r="B5961" s="54" t="s">
        <v>1133</v>
      </c>
      <c r="C5961" s="47" t="s">
        <v>11913</v>
      </c>
      <c r="D5961" s="47" t="s">
        <v>13936</v>
      </c>
      <c r="E5961" s="47" t="s">
        <v>1719</v>
      </c>
      <c r="F5961" s="55" t="b">
        <v>1</v>
      </c>
      <c r="G5961" s="54" t="b">
        <v>1</v>
      </c>
      <c r="H5961" s="54" t="b">
        <v>1</v>
      </c>
      <c r="I5961" s="65" t="b">
        <v>0</v>
      </c>
      <c r="J5961" s="54" t="b">
        <v>1</v>
      </c>
      <c r="K5961" s="63" t="s">
        <v>1133</v>
      </c>
      <c r="L5961" s="63" t="s">
        <v>11913</v>
      </c>
      <c r="M5961" s="63" t="s">
        <v>11914</v>
      </c>
      <c r="N5961" s="63" t="s">
        <v>1719</v>
      </c>
    </row>
    <row r="5962" spans="1:14" x14ac:dyDescent="0.2">
      <c r="A5962" s="51">
        <v>5961</v>
      </c>
      <c r="B5962" s="54" t="s">
        <v>1133</v>
      </c>
      <c r="C5962" s="47" t="s">
        <v>11803</v>
      </c>
      <c r="D5962" s="47" t="s">
        <v>13885</v>
      </c>
      <c r="E5962" s="47" t="s">
        <v>1719</v>
      </c>
      <c r="F5962" s="55" t="b">
        <v>1</v>
      </c>
      <c r="G5962" s="54" t="b">
        <v>1</v>
      </c>
      <c r="H5962" s="54" t="b">
        <v>1</v>
      </c>
      <c r="I5962" s="65" t="b">
        <v>0</v>
      </c>
      <c r="J5962" s="54" t="b">
        <v>1</v>
      </c>
      <c r="K5962" s="63" t="s">
        <v>1133</v>
      </c>
      <c r="L5962" s="63" t="s">
        <v>11803</v>
      </c>
      <c r="M5962" s="63" t="s">
        <v>11804</v>
      </c>
      <c r="N5962" s="63" t="s">
        <v>1719</v>
      </c>
    </row>
    <row r="5963" spans="1:14" x14ac:dyDescent="0.2">
      <c r="A5963" s="51">
        <v>5962</v>
      </c>
      <c r="B5963" s="54" t="s">
        <v>1133</v>
      </c>
      <c r="C5963" s="47" t="s">
        <v>11909</v>
      </c>
      <c r="D5963" s="47" t="s">
        <v>13934</v>
      </c>
      <c r="E5963" s="47" t="s">
        <v>1719</v>
      </c>
      <c r="F5963" s="55" t="b">
        <v>1</v>
      </c>
      <c r="G5963" s="54" t="b">
        <v>1</v>
      </c>
      <c r="H5963" s="54" t="b">
        <v>1</v>
      </c>
      <c r="I5963" s="65" t="b">
        <v>0</v>
      </c>
      <c r="J5963" s="54" t="b">
        <v>1</v>
      </c>
      <c r="K5963" s="63" t="s">
        <v>1133</v>
      </c>
      <c r="L5963" s="63" t="s">
        <v>11909</v>
      </c>
      <c r="M5963" s="63" t="s">
        <v>11910</v>
      </c>
      <c r="N5963" s="63" t="s">
        <v>1719</v>
      </c>
    </row>
    <row r="5964" spans="1:14" x14ac:dyDescent="0.2">
      <c r="A5964" s="51">
        <v>5963</v>
      </c>
      <c r="B5964" s="54" t="s">
        <v>1133</v>
      </c>
      <c r="C5964" s="47" t="s">
        <v>11893</v>
      </c>
      <c r="D5964" s="47" t="s">
        <v>13926</v>
      </c>
      <c r="E5964" s="47" t="s">
        <v>1719</v>
      </c>
      <c r="F5964" s="55" t="b">
        <v>1</v>
      </c>
      <c r="G5964" s="54" t="b">
        <v>1</v>
      </c>
      <c r="H5964" s="54" t="b">
        <v>1</v>
      </c>
      <c r="I5964" s="65" t="b">
        <v>0</v>
      </c>
      <c r="J5964" s="54" t="b">
        <v>1</v>
      </c>
      <c r="K5964" s="63" t="s">
        <v>1133</v>
      </c>
      <c r="L5964" s="63" t="s">
        <v>11893</v>
      </c>
      <c r="M5964" s="63" t="s">
        <v>11894</v>
      </c>
      <c r="N5964" s="63" t="s">
        <v>1719</v>
      </c>
    </row>
    <row r="5965" spans="1:14" x14ac:dyDescent="0.2">
      <c r="A5965" s="51">
        <v>5964</v>
      </c>
      <c r="B5965" s="54" t="s">
        <v>1133</v>
      </c>
      <c r="C5965" s="47" t="s">
        <v>11797</v>
      </c>
      <c r="D5965" s="47" t="s">
        <v>13881</v>
      </c>
      <c r="E5965" s="47" t="s">
        <v>1719</v>
      </c>
      <c r="F5965" s="55" t="b">
        <v>1</v>
      </c>
      <c r="G5965" s="54" t="b">
        <v>1</v>
      </c>
      <c r="H5965" s="54" t="b">
        <v>1</v>
      </c>
      <c r="I5965" s="65" t="b">
        <v>0</v>
      </c>
      <c r="J5965" s="54" t="b">
        <v>1</v>
      </c>
      <c r="K5965" s="63" t="s">
        <v>1133</v>
      </c>
      <c r="L5965" s="63" t="s">
        <v>11797</v>
      </c>
      <c r="M5965" s="63" t="s">
        <v>11798</v>
      </c>
      <c r="N5965" s="63" t="s">
        <v>1719</v>
      </c>
    </row>
    <row r="5966" spans="1:14" x14ac:dyDescent="0.2">
      <c r="A5966" s="51">
        <v>5965</v>
      </c>
      <c r="B5966" s="54" t="s">
        <v>1133</v>
      </c>
      <c r="C5966" s="47" t="s">
        <v>11795</v>
      </c>
      <c r="D5966" s="47" t="s">
        <v>13880</v>
      </c>
      <c r="E5966" s="47" t="s">
        <v>1719</v>
      </c>
      <c r="F5966" s="55" t="b">
        <v>1</v>
      </c>
      <c r="G5966" s="54" t="b">
        <v>1</v>
      </c>
      <c r="H5966" s="54" t="b">
        <v>1</v>
      </c>
      <c r="I5966" s="65" t="b">
        <v>0</v>
      </c>
      <c r="J5966" s="54" t="b">
        <v>1</v>
      </c>
      <c r="K5966" s="63" t="s">
        <v>1133</v>
      </c>
      <c r="L5966" s="63" t="s">
        <v>11795</v>
      </c>
      <c r="M5966" s="63" t="s">
        <v>11796</v>
      </c>
      <c r="N5966" s="63" t="s">
        <v>1719</v>
      </c>
    </row>
    <row r="5967" spans="1:14" x14ac:dyDescent="0.2">
      <c r="A5967" s="51">
        <v>5966</v>
      </c>
      <c r="B5967" s="54" t="s">
        <v>1133</v>
      </c>
      <c r="C5967" s="47" t="s">
        <v>11799</v>
      </c>
      <c r="D5967" s="47" t="s">
        <v>13882</v>
      </c>
      <c r="E5967" s="47" t="s">
        <v>1719</v>
      </c>
      <c r="F5967" s="55" t="b">
        <v>1</v>
      </c>
      <c r="G5967" s="54" t="b">
        <v>1</v>
      </c>
      <c r="H5967" s="54" t="b">
        <v>1</v>
      </c>
      <c r="I5967" s="65" t="b">
        <v>0</v>
      </c>
      <c r="J5967" s="54" t="b">
        <v>1</v>
      </c>
      <c r="K5967" s="63" t="s">
        <v>1133</v>
      </c>
      <c r="L5967" s="63" t="s">
        <v>11799</v>
      </c>
      <c r="M5967" s="63" t="s">
        <v>11800</v>
      </c>
      <c r="N5967" s="63" t="s">
        <v>1719</v>
      </c>
    </row>
    <row r="5968" spans="1:14" x14ac:dyDescent="0.2">
      <c r="A5968" s="51">
        <v>5967</v>
      </c>
      <c r="B5968" s="54" t="s">
        <v>1133</v>
      </c>
      <c r="C5968" s="47" t="s">
        <v>11801</v>
      </c>
      <c r="D5968" s="47" t="s">
        <v>13883</v>
      </c>
      <c r="E5968" s="47" t="s">
        <v>1719</v>
      </c>
      <c r="F5968" s="55" t="b">
        <v>1</v>
      </c>
      <c r="G5968" s="54" t="b">
        <v>1</v>
      </c>
      <c r="H5968" s="54" t="b">
        <v>1</v>
      </c>
      <c r="I5968" s="65" t="b">
        <v>0</v>
      </c>
      <c r="J5968" s="54" t="b">
        <v>1</v>
      </c>
      <c r="K5968" s="63" t="s">
        <v>1133</v>
      </c>
      <c r="L5968" s="63" t="s">
        <v>11801</v>
      </c>
      <c r="M5968" s="63" t="s">
        <v>11802</v>
      </c>
      <c r="N5968" s="63" t="s">
        <v>1719</v>
      </c>
    </row>
    <row r="5969" spans="1:14" x14ac:dyDescent="0.2">
      <c r="A5969" s="51">
        <v>5968</v>
      </c>
      <c r="B5969" s="54" t="s">
        <v>1133</v>
      </c>
      <c r="C5969" s="47" t="s">
        <v>11807</v>
      </c>
      <c r="D5969" s="47" t="s">
        <v>13887</v>
      </c>
      <c r="E5969" s="47" t="s">
        <v>1719</v>
      </c>
      <c r="F5969" s="55" t="b">
        <v>1</v>
      </c>
      <c r="G5969" s="54" t="b">
        <v>1</v>
      </c>
      <c r="H5969" s="54" t="b">
        <v>1</v>
      </c>
      <c r="I5969" s="65" t="b">
        <v>0</v>
      </c>
      <c r="J5969" s="54" t="b">
        <v>1</v>
      </c>
      <c r="K5969" s="63" t="s">
        <v>1133</v>
      </c>
      <c r="L5969" s="63" t="s">
        <v>11807</v>
      </c>
      <c r="M5969" s="63" t="s">
        <v>11808</v>
      </c>
      <c r="N5969" s="63" t="s">
        <v>1719</v>
      </c>
    </row>
    <row r="5970" spans="1:14" x14ac:dyDescent="0.2">
      <c r="A5970" s="51">
        <v>5969</v>
      </c>
      <c r="B5970" s="54" t="s">
        <v>1133</v>
      </c>
      <c r="C5970" s="47" t="s">
        <v>11809</v>
      </c>
      <c r="D5970" s="47" t="s">
        <v>13888</v>
      </c>
      <c r="E5970" s="47" t="s">
        <v>1719</v>
      </c>
      <c r="F5970" s="55" t="b">
        <v>1</v>
      </c>
      <c r="G5970" s="54" t="b">
        <v>1</v>
      </c>
      <c r="H5970" s="54" t="b">
        <v>1</v>
      </c>
      <c r="I5970" s="65" t="b">
        <v>0</v>
      </c>
      <c r="J5970" s="54" t="b">
        <v>1</v>
      </c>
      <c r="K5970" s="63" t="s">
        <v>1133</v>
      </c>
      <c r="L5970" s="63" t="s">
        <v>11809</v>
      </c>
      <c r="M5970" s="63" t="s">
        <v>11810</v>
      </c>
      <c r="N5970" s="63" t="s">
        <v>1719</v>
      </c>
    </row>
    <row r="5971" spans="1:14" x14ac:dyDescent="0.2">
      <c r="A5971" s="51">
        <v>5970</v>
      </c>
      <c r="B5971" s="54" t="s">
        <v>1133</v>
      </c>
      <c r="C5971" s="47" t="s">
        <v>11813</v>
      </c>
      <c r="D5971" s="47" t="s">
        <v>13890</v>
      </c>
      <c r="E5971" s="47" t="s">
        <v>1719</v>
      </c>
      <c r="F5971" s="55" t="b">
        <v>1</v>
      </c>
      <c r="G5971" s="54" t="b">
        <v>1</v>
      </c>
      <c r="H5971" s="54" t="b">
        <v>1</v>
      </c>
      <c r="I5971" s="65" t="b">
        <v>0</v>
      </c>
      <c r="J5971" s="54" t="b">
        <v>1</v>
      </c>
      <c r="K5971" s="63" t="s">
        <v>1133</v>
      </c>
      <c r="L5971" s="63" t="s">
        <v>11813</v>
      </c>
      <c r="M5971" s="63" t="s">
        <v>11814</v>
      </c>
      <c r="N5971" s="63" t="s">
        <v>1719</v>
      </c>
    </row>
    <row r="5972" spans="1:14" x14ac:dyDescent="0.2">
      <c r="A5972" s="51">
        <v>5971</v>
      </c>
      <c r="B5972" s="54" t="s">
        <v>1133</v>
      </c>
      <c r="C5972" s="47" t="s">
        <v>11843</v>
      </c>
      <c r="D5972" s="47" t="s">
        <v>13900</v>
      </c>
      <c r="E5972" s="47" t="s">
        <v>1719</v>
      </c>
      <c r="F5972" s="55" t="b">
        <v>1</v>
      </c>
      <c r="G5972" s="54" t="b">
        <v>1</v>
      </c>
      <c r="H5972" s="54" t="b">
        <v>1</v>
      </c>
      <c r="I5972" s="65" t="b">
        <v>0</v>
      </c>
      <c r="J5972" s="54" t="b">
        <v>1</v>
      </c>
      <c r="K5972" s="63" t="s">
        <v>1133</v>
      </c>
      <c r="L5972" s="63" t="s">
        <v>11843</v>
      </c>
      <c r="M5972" s="63" t="s">
        <v>11844</v>
      </c>
      <c r="N5972" s="63" t="s">
        <v>1719</v>
      </c>
    </row>
    <row r="5973" spans="1:14" x14ac:dyDescent="0.2">
      <c r="A5973" s="51">
        <v>5972</v>
      </c>
      <c r="B5973" s="54" t="s">
        <v>1133</v>
      </c>
      <c r="C5973" s="47" t="s">
        <v>11835</v>
      </c>
      <c r="D5973" s="47" t="s">
        <v>13902</v>
      </c>
      <c r="E5973" s="47" t="s">
        <v>1719</v>
      </c>
      <c r="F5973" s="55" t="b">
        <v>1</v>
      </c>
      <c r="G5973" s="54" t="b">
        <v>1</v>
      </c>
      <c r="H5973" s="54" t="b">
        <v>1</v>
      </c>
      <c r="I5973" s="65" t="b">
        <v>0</v>
      </c>
      <c r="J5973" s="54" t="b">
        <v>1</v>
      </c>
      <c r="K5973" s="63" t="s">
        <v>1133</v>
      </c>
      <c r="L5973" s="63" t="s">
        <v>11835</v>
      </c>
      <c r="M5973" s="63" t="s">
        <v>11836</v>
      </c>
      <c r="N5973" s="63" t="s">
        <v>1719</v>
      </c>
    </row>
    <row r="5974" spans="1:14" x14ac:dyDescent="0.2">
      <c r="A5974" s="51">
        <v>5973</v>
      </c>
      <c r="B5974" s="54" t="s">
        <v>1133</v>
      </c>
      <c r="C5974" s="47" t="s">
        <v>11853</v>
      </c>
      <c r="D5974" s="47" t="s">
        <v>13908</v>
      </c>
      <c r="E5974" s="47" t="s">
        <v>1719</v>
      </c>
      <c r="F5974" s="55" t="b">
        <v>1</v>
      </c>
      <c r="G5974" s="54" t="b">
        <v>1</v>
      </c>
      <c r="H5974" s="54" t="b">
        <v>1</v>
      </c>
      <c r="I5974" s="65" t="b">
        <v>0</v>
      </c>
      <c r="J5974" s="54" t="b">
        <v>1</v>
      </c>
      <c r="K5974" s="63" t="s">
        <v>1133</v>
      </c>
      <c r="L5974" s="63" t="s">
        <v>11853</v>
      </c>
      <c r="M5974" s="63" t="s">
        <v>11854</v>
      </c>
      <c r="N5974" s="63" t="s">
        <v>1719</v>
      </c>
    </row>
    <row r="5975" spans="1:14" x14ac:dyDescent="0.2">
      <c r="A5975" s="51">
        <v>5974</v>
      </c>
      <c r="B5975" s="54" t="s">
        <v>1133</v>
      </c>
      <c r="C5975" s="47" t="s">
        <v>11871</v>
      </c>
      <c r="D5975" s="47" t="s">
        <v>13915</v>
      </c>
      <c r="E5975" s="47" t="s">
        <v>1719</v>
      </c>
      <c r="F5975" s="55" t="b">
        <v>1</v>
      </c>
      <c r="G5975" s="54" t="b">
        <v>1</v>
      </c>
      <c r="H5975" s="54" t="b">
        <v>1</v>
      </c>
      <c r="I5975" s="65" t="b">
        <v>0</v>
      </c>
      <c r="J5975" s="54" t="b">
        <v>1</v>
      </c>
      <c r="K5975" s="63" t="s">
        <v>1133</v>
      </c>
      <c r="L5975" s="63" t="s">
        <v>11871</v>
      </c>
      <c r="M5975" s="63" t="s">
        <v>11872</v>
      </c>
      <c r="N5975" s="63" t="s">
        <v>1719</v>
      </c>
    </row>
    <row r="5976" spans="1:14" x14ac:dyDescent="0.2">
      <c r="A5976" s="51">
        <v>5975</v>
      </c>
      <c r="B5976" s="54" t="s">
        <v>1133</v>
      </c>
      <c r="C5976" s="47" t="s">
        <v>11879</v>
      </c>
      <c r="D5976" s="47" t="s">
        <v>13919</v>
      </c>
      <c r="E5976" s="47" t="s">
        <v>1719</v>
      </c>
      <c r="F5976" s="55" t="b">
        <v>1</v>
      </c>
      <c r="G5976" s="54" t="b">
        <v>1</v>
      </c>
      <c r="H5976" s="54" t="b">
        <v>1</v>
      </c>
      <c r="I5976" s="65" t="b">
        <v>0</v>
      </c>
      <c r="J5976" s="54" t="b">
        <v>1</v>
      </c>
      <c r="K5976" s="63" t="s">
        <v>1133</v>
      </c>
      <c r="L5976" s="63" t="s">
        <v>11879</v>
      </c>
      <c r="M5976" s="63" t="s">
        <v>11880</v>
      </c>
      <c r="N5976" s="63" t="s">
        <v>1719</v>
      </c>
    </row>
    <row r="5977" spans="1:14" x14ac:dyDescent="0.2">
      <c r="A5977" s="51">
        <v>5976</v>
      </c>
      <c r="B5977" s="54" t="s">
        <v>1133</v>
      </c>
      <c r="C5977" s="47" t="s">
        <v>11901</v>
      </c>
      <c r="D5977" s="47" t="s">
        <v>13930</v>
      </c>
      <c r="E5977" s="47" t="s">
        <v>1719</v>
      </c>
      <c r="F5977" s="55" t="b">
        <v>1</v>
      </c>
      <c r="G5977" s="54" t="b">
        <v>1</v>
      </c>
      <c r="H5977" s="54" t="b">
        <v>1</v>
      </c>
      <c r="I5977" s="65" t="b">
        <v>0</v>
      </c>
      <c r="J5977" s="54" t="b">
        <v>1</v>
      </c>
      <c r="K5977" s="63" t="s">
        <v>1133</v>
      </c>
      <c r="L5977" s="63" t="s">
        <v>11901</v>
      </c>
      <c r="M5977" s="63" t="s">
        <v>11902</v>
      </c>
      <c r="N5977" s="63" t="s">
        <v>1719</v>
      </c>
    </row>
    <row r="5978" spans="1:14" x14ac:dyDescent="0.2">
      <c r="A5978" s="51">
        <v>5977</v>
      </c>
      <c r="B5978" s="54" t="s">
        <v>1133</v>
      </c>
      <c r="C5978" s="47" t="s">
        <v>11915</v>
      </c>
      <c r="D5978" s="47" t="s">
        <v>13937</v>
      </c>
      <c r="E5978" s="47" t="s">
        <v>1719</v>
      </c>
      <c r="F5978" s="55" t="b">
        <v>1</v>
      </c>
      <c r="G5978" s="54" t="b">
        <v>1</v>
      </c>
      <c r="H5978" s="54" t="b">
        <v>1</v>
      </c>
      <c r="I5978" s="65" t="b">
        <v>0</v>
      </c>
      <c r="J5978" s="54" t="b">
        <v>1</v>
      </c>
      <c r="K5978" s="63" t="s">
        <v>1133</v>
      </c>
      <c r="L5978" s="63" t="s">
        <v>11915</v>
      </c>
      <c r="M5978" s="63" t="s">
        <v>11916</v>
      </c>
      <c r="N5978" s="63" t="s">
        <v>1719</v>
      </c>
    </row>
    <row r="5979" spans="1:14" x14ac:dyDescent="0.2">
      <c r="A5979" s="51">
        <v>5978</v>
      </c>
      <c r="B5979" s="54" t="s">
        <v>1133</v>
      </c>
      <c r="C5979" s="47" t="s">
        <v>11825</v>
      </c>
      <c r="D5979" s="47" t="s">
        <v>13896</v>
      </c>
      <c r="E5979" s="47" t="s">
        <v>1719</v>
      </c>
      <c r="F5979" s="55" t="b">
        <v>1</v>
      </c>
      <c r="G5979" s="54" t="b">
        <v>1</v>
      </c>
      <c r="H5979" s="54" t="b">
        <v>1</v>
      </c>
      <c r="I5979" s="65" t="b">
        <v>0</v>
      </c>
      <c r="J5979" s="54" t="b">
        <v>1</v>
      </c>
      <c r="K5979" s="63" t="s">
        <v>1133</v>
      </c>
      <c r="L5979" s="63" t="s">
        <v>11825</v>
      </c>
      <c r="M5979" s="63" t="s">
        <v>11826</v>
      </c>
      <c r="N5979" s="63" t="s">
        <v>1719</v>
      </c>
    </row>
    <row r="5980" spans="1:14" x14ac:dyDescent="0.2">
      <c r="A5980" s="51">
        <v>5979</v>
      </c>
      <c r="B5980" s="54" t="s">
        <v>1133</v>
      </c>
      <c r="C5980" s="47" t="s">
        <v>11823</v>
      </c>
      <c r="D5980" s="47" t="s">
        <v>13894</v>
      </c>
      <c r="E5980" s="47" t="s">
        <v>1719</v>
      </c>
      <c r="F5980" s="55" t="b">
        <v>1</v>
      </c>
      <c r="G5980" s="54" t="b">
        <v>1</v>
      </c>
      <c r="H5980" s="54" t="b">
        <v>1</v>
      </c>
      <c r="I5980" s="65" t="b">
        <v>0</v>
      </c>
      <c r="J5980" s="54" t="b">
        <v>1</v>
      </c>
      <c r="K5980" s="63" t="s">
        <v>1133</v>
      </c>
      <c r="L5980" s="63" t="s">
        <v>11823</v>
      </c>
      <c r="M5980" s="63" t="s">
        <v>11824</v>
      </c>
      <c r="N5980" s="63" t="s">
        <v>1719</v>
      </c>
    </row>
    <row r="5981" spans="1:14" x14ac:dyDescent="0.2">
      <c r="A5981" s="51">
        <v>5980</v>
      </c>
      <c r="B5981" s="54" t="s">
        <v>1133</v>
      </c>
      <c r="C5981" s="47" t="s">
        <v>11847</v>
      </c>
      <c r="D5981" s="47" t="s">
        <v>13905</v>
      </c>
      <c r="E5981" s="47" t="s">
        <v>1719</v>
      </c>
      <c r="F5981" s="55" t="b">
        <v>1</v>
      </c>
      <c r="G5981" s="54" t="b">
        <v>1</v>
      </c>
      <c r="H5981" s="54" t="b">
        <v>1</v>
      </c>
      <c r="I5981" s="65" t="b">
        <v>0</v>
      </c>
      <c r="J5981" s="54" t="b">
        <v>1</v>
      </c>
      <c r="K5981" s="63" t="s">
        <v>1133</v>
      </c>
      <c r="L5981" s="63" t="s">
        <v>11847</v>
      </c>
      <c r="M5981" s="63" t="s">
        <v>11848</v>
      </c>
      <c r="N5981" s="63" t="s">
        <v>1719</v>
      </c>
    </row>
    <row r="5982" spans="1:14" x14ac:dyDescent="0.2">
      <c r="A5982" s="51">
        <v>5981</v>
      </c>
      <c r="B5982" s="54" t="s">
        <v>1133</v>
      </c>
      <c r="C5982" s="47" t="s">
        <v>11815</v>
      </c>
      <c r="D5982" s="47" t="s">
        <v>13891</v>
      </c>
      <c r="E5982" s="47" t="s">
        <v>2164</v>
      </c>
      <c r="F5982" s="55" t="b">
        <v>1</v>
      </c>
      <c r="G5982" s="54" t="b">
        <v>1</v>
      </c>
      <c r="H5982" s="54" t="b">
        <v>1</v>
      </c>
      <c r="I5982" s="65" t="b">
        <v>0</v>
      </c>
      <c r="J5982" s="54" t="b">
        <v>1</v>
      </c>
      <c r="K5982" s="63" t="s">
        <v>1133</v>
      </c>
      <c r="L5982" s="63" t="s">
        <v>11815</v>
      </c>
      <c r="M5982" s="63" t="s">
        <v>11816</v>
      </c>
      <c r="N5982" s="63" t="s">
        <v>2164</v>
      </c>
    </row>
    <row r="5983" spans="1:14" x14ac:dyDescent="0.2">
      <c r="A5983" s="51">
        <v>5982</v>
      </c>
      <c r="B5983" s="54" t="s">
        <v>1133</v>
      </c>
      <c r="C5983" s="47" t="s">
        <v>11819</v>
      </c>
      <c r="D5983" s="47" t="s">
        <v>13895</v>
      </c>
      <c r="E5983" s="47" t="s">
        <v>2164</v>
      </c>
      <c r="F5983" s="55" t="b">
        <v>1</v>
      </c>
      <c r="G5983" s="54" t="b">
        <v>1</v>
      </c>
      <c r="H5983" s="54" t="b">
        <v>1</v>
      </c>
      <c r="I5983" s="65" t="b">
        <v>0</v>
      </c>
      <c r="J5983" s="54" t="b">
        <v>1</v>
      </c>
      <c r="K5983" s="63" t="s">
        <v>1133</v>
      </c>
      <c r="L5983" s="63" t="s">
        <v>11819</v>
      </c>
      <c r="M5983" s="63" t="s">
        <v>11820</v>
      </c>
      <c r="N5983" s="63" t="s">
        <v>2164</v>
      </c>
    </row>
    <row r="5984" spans="1:14" x14ac:dyDescent="0.2">
      <c r="A5984" s="51">
        <v>5983</v>
      </c>
      <c r="B5984" s="54" t="s">
        <v>1133</v>
      </c>
      <c r="C5984" s="47" t="s">
        <v>11837</v>
      </c>
      <c r="D5984" s="47" t="s">
        <v>13903</v>
      </c>
      <c r="E5984" s="47" t="s">
        <v>2164</v>
      </c>
      <c r="F5984" s="55" t="b">
        <v>1</v>
      </c>
      <c r="G5984" s="54" t="b">
        <v>1</v>
      </c>
      <c r="H5984" s="54" t="b">
        <v>1</v>
      </c>
      <c r="I5984" s="65" t="b">
        <v>0</v>
      </c>
      <c r="J5984" s="54" t="b">
        <v>1</v>
      </c>
      <c r="K5984" s="63" t="s">
        <v>1133</v>
      </c>
      <c r="L5984" s="63" t="s">
        <v>11837</v>
      </c>
      <c r="M5984" s="63" t="s">
        <v>11838</v>
      </c>
      <c r="N5984" s="63" t="s">
        <v>2164</v>
      </c>
    </row>
    <row r="5985" spans="1:14" x14ac:dyDescent="0.2">
      <c r="A5985" s="51">
        <v>5984</v>
      </c>
      <c r="B5985" s="54" t="s">
        <v>1133</v>
      </c>
      <c r="C5985" s="47" t="s">
        <v>11845</v>
      </c>
      <c r="D5985" s="47" t="s">
        <v>13901</v>
      </c>
      <c r="E5985" s="47" t="s">
        <v>2164</v>
      </c>
      <c r="F5985" s="55" t="b">
        <v>1</v>
      </c>
      <c r="G5985" s="54" t="b">
        <v>1</v>
      </c>
      <c r="H5985" s="54" t="b">
        <v>1</v>
      </c>
      <c r="I5985" s="65" t="b">
        <v>0</v>
      </c>
      <c r="J5985" s="54" t="b">
        <v>1</v>
      </c>
      <c r="K5985" s="63" t="s">
        <v>1133</v>
      </c>
      <c r="L5985" s="63" t="s">
        <v>11845</v>
      </c>
      <c r="M5985" s="63" t="s">
        <v>11846</v>
      </c>
      <c r="N5985" s="63" t="s">
        <v>2164</v>
      </c>
    </row>
    <row r="5986" spans="1:14" x14ac:dyDescent="0.2">
      <c r="A5986" s="51">
        <v>5985</v>
      </c>
      <c r="B5986" s="54" t="s">
        <v>1133</v>
      </c>
      <c r="C5986" s="47" t="s">
        <v>11849</v>
      </c>
      <c r="D5986" s="47" t="s">
        <v>13907</v>
      </c>
      <c r="E5986" s="47" t="s">
        <v>2164</v>
      </c>
      <c r="F5986" s="55" t="b">
        <v>1</v>
      </c>
      <c r="G5986" s="54" t="b">
        <v>1</v>
      </c>
      <c r="H5986" s="54" t="b">
        <v>1</v>
      </c>
      <c r="I5986" s="65" t="b">
        <v>0</v>
      </c>
      <c r="J5986" s="54" t="b">
        <v>1</v>
      </c>
      <c r="K5986" s="63" t="s">
        <v>1133</v>
      </c>
      <c r="L5986" s="63" t="s">
        <v>11849</v>
      </c>
      <c r="M5986" s="63" t="s">
        <v>11850</v>
      </c>
      <c r="N5986" s="63" t="s">
        <v>2164</v>
      </c>
    </row>
    <row r="5987" spans="1:14" x14ac:dyDescent="0.2">
      <c r="A5987" s="51">
        <v>5986</v>
      </c>
      <c r="B5987" s="54" t="s">
        <v>1081</v>
      </c>
      <c r="C5987" s="47" t="s">
        <v>11923</v>
      </c>
      <c r="D5987" s="47" t="s">
        <v>13939</v>
      </c>
      <c r="E5987" s="47" t="s">
        <v>2365</v>
      </c>
      <c r="F5987" s="55" t="b">
        <v>1</v>
      </c>
      <c r="G5987" s="54" t="b">
        <v>1</v>
      </c>
      <c r="H5987" s="54" t="b">
        <v>1</v>
      </c>
      <c r="I5987" s="65" t="b">
        <v>0</v>
      </c>
      <c r="J5987" s="54" t="b">
        <v>1</v>
      </c>
      <c r="K5987" s="63" t="s">
        <v>1081</v>
      </c>
      <c r="L5987" s="63" t="s">
        <v>11923</v>
      </c>
      <c r="M5987" s="63" t="s">
        <v>11924</v>
      </c>
      <c r="N5987" s="63" t="s">
        <v>2365</v>
      </c>
    </row>
    <row r="5988" spans="1:14" x14ac:dyDescent="0.2">
      <c r="A5988" s="51">
        <v>5987</v>
      </c>
      <c r="B5988" s="54" t="s">
        <v>1081</v>
      </c>
      <c r="C5988" s="47" t="s">
        <v>11919</v>
      </c>
      <c r="D5988" s="47" t="s">
        <v>13940</v>
      </c>
      <c r="E5988" s="47" t="s">
        <v>2365</v>
      </c>
      <c r="F5988" s="55" t="b">
        <v>1</v>
      </c>
      <c r="G5988" s="54" t="b">
        <v>1</v>
      </c>
      <c r="H5988" s="54" t="b">
        <v>1</v>
      </c>
      <c r="I5988" s="65" t="b">
        <v>0</v>
      </c>
      <c r="J5988" s="54" t="b">
        <v>1</v>
      </c>
      <c r="K5988" s="63" t="s">
        <v>1081</v>
      </c>
      <c r="L5988" s="63" t="s">
        <v>11919</v>
      </c>
      <c r="M5988" s="63" t="s">
        <v>11920</v>
      </c>
      <c r="N5988" s="63" t="s">
        <v>2365</v>
      </c>
    </row>
    <row r="5989" spans="1:14" x14ac:dyDescent="0.2">
      <c r="A5989" s="51">
        <v>5988</v>
      </c>
      <c r="B5989" s="54" t="s">
        <v>1081</v>
      </c>
      <c r="C5989" s="47" t="s">
        <v>11921</v>
      </c>
      <c r="D5989" s="47" t="s">
        <v>13944</v>
      </c>
      <c r="E5989" s="47" t="s">
        <v>2365</v>
      </c>
      <c r="F5989" s="55" t="b">
        <v>1</v>
      </c>
      <c r="G5989" s="54" t="b">
        <v>1</v>
      </c>
      <c r="H5989" s="54" t="b">
        <v>1</v>
      </c>
      <c r="I5989" s="65" t="b">
        <v>0</v>
      </c>
      <c r="J5989" s="54" t="b">
        <v>1</v>
      </c>
      <c r="K5989" s="63" t="s">
        <v>1081</v>
      </c>
      <c r="L5989" s="63" t="s">
        <v>11921</v>
      </c>
      <c r="M5989" s="63" t="s">
        <v>11922</v>
      </c>
      <c r="N5989" s="63" t="s">
        <v>2365</v>
      </c>
    </row>
    <row r="5990" spans="1:14" x14ac:dyDescent="0.2">
      <c r="A5990" s="51">
        <v>5989</v>
      </c>
      <c r="B5990" s="54" t="s">
        <v>1081</v>
      </c>
      <c r="C5990" s="47" t="s">
        <v>11927</v>
      </c>
      <c r="D5990" s="47" t="s">
        <v>13942</v>
      </c>
      <c r="E5990" s="47" t="s">
        <v>2365</v>
      </c>
      <c r="F5990" s="55" t="b">
        <v>1</v>
      </c>
      <c r="G5990" s="54" t="b">
        <v>1</v>
      </c>
      <c r="H5990" s="54" t="b">
        <v>1</v>
      </c>
      <c r="I5990" s="65" t="b">
        <v>0</v>
      </c>
      <c r="J5990" s="54" t="b">
        <v>1</v>
      </c>
      <c r="K5990" s="63" t="s">
        <v>1081</v>
      </c>
      <c r="L5990" s="63" t="s">
        <v>11927</v>
      </c>
      <c r="M5990" s="63" t="s">
        <v>11928</v>
      </c>
      <c r="N5990" s="63" t="s">
        <v>2365</v>
      </c>
    </row>
    <row r="5991" spans="1:14" x14ac:dyDescent="0.2">
      <c r="A5991" s="51">
        <v>5990</v>
      </c>
      <c r="B5991" s="54" t="s">
        <v>1081</v>
      </c>
      <c r="C5991" s="47" t="s">
        <v>11925</v>
      </c>
      <c r="D5991" s="47" t="s">
        <v>13941</v>
      </c>
      <c r="E5991" s="47" t="s">
        <v>2365</v>
      </c>
      <c r="F5991" s="55" t="b">
        <v>1</v>
      </c>
      <c r="G5991" s="54" t="b">
        <v>1</v>
      </c>
      <c r="H5991" s="54" t="b">
        <v>1</v>
      </c>
      <c r="I5991" s="65" t="b">
        <v>0</v>
      </c>
      <c r="J5991" s="54" t="b">
        <v>1</v>
      </c>
      <c r="K5991" s="63" t="s">
        <v>1081</v>
      </c>
      <c r="L5991" s="63" t="s">
        <v>11925</v>
      </c>
      <c r="M5991" s="63" t="s">
        <v>11926</v>
      </c>
      <c r="N5991" s="63" t="s">
        <v>2365</v>
      </c>
    </row>
    <row r="5992" spans="1:14" x14ac:dyDescent="0.2">
      <c r="A5992" s="51">
        <v>5991</v>
      </c>
      <c r="B5992" s="54" t="s">
        <v>1081</v>
      </c>
      <c r="C5992" s="47" t="s">
        <v>11936</v>
      </c>
      <c r="D5992" s="47" t="s">
        <v>11937</v>
      </c>
      <c r="E5992" s="47" t="s">
        <v>2365</v>
      </c>
      <c r="F5992" s="55" t="b">
        <v>1</v>
      </c>
      <c r="G5992" s="54" t="b">
        <v>1</v>
      </c>
      <c r="H5992" s="54" t="b">
        <v>1</v>
      </c>
      <c r="I5992" s="54" t="b">
        <v>1</v>
      </c>
      <c r="J5992" s="54" t="b">
        <v>1</v>
      </c>
      <c r="K5992" s="63" t="s">
        <v>1081</v>
      </c>
      <c r="L5992" s="63" t="s">
        <v>11936</v>
      </c>
      <c r="M5992" s="63" t="s">
        <v>11937</v>
      </c>
      <c r="N5992" s="63" t="s">
        <v>2365</v>
      </c>
    </row>
    <row r="5993" spans="1:14" x14ac:dyDescent="0.2">
      <c r="A5993" s="51">
        <v>5992</v>
      </c>
      <c r="B5993" s="54" t="s">
        <v>1081</v>
      </c>
      <c r="C5993" s="47" t="s">
        <v>11958</v>
      </c>
      <c r="D5993" s="47" t="s">
        <v>11959</v>
      </c>
      <c r="E5993" s="47" t="s">
        <v>2365</v>
      </c>
      <c r="F5993" s="55" t="b">
        <v>1</v>
      </c>
      <c r="G5993" s="54" t="b">
        <v>1</v>
      </c>
      <c r="H5993" s="54" t="b">
        <v>1</v>
      </c>
      <c r="I5993" s="54" t="b">
        <v>1</v>
      </c>
      <c r="J5993" s="54" t="b">
        <v>1</v>
      </c>
      <c r="K5993" s="63" t="s">
        <v>1081</v>
      </c>
      <c r="L5993" s="63" t="s">
        <v>11958</v>
      </c>
      <c r="M5993" s="63" t="s">
        <v>11959</v>
      </c>
      <c r="N5993" s="63" t="s">
        <v>2365</v>
      </c>
    </row>
    <row r="5994" spans="1:14" x14ac:dyDescent="0.2">
      <c r="A5994" s="51">
        <v>5993</v>
      </c>
      <c r="B5994" s="54" t="s">
        <v>1081</v>
      </c>
      <c r="C5994" s="47" t="s">
        <v>11956</v>
      </c>
      <c r="D5994" s="47" t="s">
        <v>11957</v>
      </c>
      <c r="E5994" s="47" t="s">
        <v>2365</v>
      </c>
      <c r="F5994" s="55" t="b">
        <v>1</v>
      </c>
      <c r="G5994" s="54" t="b">
        <v>1</v>
      </c>
      <c r="H5994" s="54" t="b">
        <v>1</v>
      </c>
      <c r="I5994" s="54" t="b">
        <v>1</v>
      </c>
      <c r="J5994" s="54" t="b">
        <v>1</v>
      </c>
      <c r="K5994" s="63" t="s">
        <v>1081</v>
      </c>
      <c r="L5994" s="63" t="s">
        <v>11956</v>
      </c>
      <c r="M5994" s="63" t="s">
        <v>11957</v>
      </c>
      <c r="N5994" s="63" t="s">
        <v>2365</v>
      </c>
    </row>
    <row r="5995" spans="1:14" x14ac:dyDescent="0.2">
      <c r="A5995" s="51">
        <v>5994</v>
      </c>
      <c r="B5995" s="54" t="s">
        <v>1081</v>
      </c>
      <c r="C5995" s="47" t="s">
        <v>11934</v>
      </c>
      <c r="D5995" s="47" t="s">
        <v>11935</v>
      </c>
      <c r="E5995" s="47" t="s">
        <v>2365</v>
      </c>
      <c r="F5995" s="55" t="b">
        <v>1</v>
      </c>
      <c r="G5995" s="54" t="b">
        <v>1</v>
      </c>
      <c r="H5995" s="54" t="b">
        <v>1</v>
      </c>
      <c r="I5995" s="54" t="b">
        <v>1</v>
      </c>
      <c r="J5995" s="54" t="b">
        <v>1</v>
      </c>
      <c r="K5995" s="63" t="s">
        <v>1081</v>
      </c>
      <c r="L5995" s="63" t="s">
        <v>11934</v>
      </c>
      <c r="M5995" s="63" t="s">
        <v>11935</v>
      </c>
      <c r="N5995" s="63" t="s">
        <v>2365</v>
      </c>
    </row>
    <row r="5996" spans="1:14" x14ac:dyDescent="0.2">
      <c r="A5996" s="51">
        <v>5995</v>
      </c>
      <c r="B5996" s="54" t="s">
        <v>1081</v>
      </c>
      <c r="C5996" s="47" t="s">
        <v>11938</v>
      </c>
      <c r="D5996" s="47" t="s">
        <v>11939</v>
      </c>
      <c r="E5996" s="47" t="s">
        <v>2365</v>
      </c>
      <c r="F5996" s="55" t="b">
        <v>1</v>
      </c>
      <c r="G5996" s="54" t="b">
        <v>1</v>
      </c>
      <c r="H5996" s="54" t="b">
        <v>1</v>
      </c>
      <c r="I5996" s="54" t="b">
        <v>1</v>
      </c>
      <c r="J5996" s="54" t="b">
        <v>1</v>
      </c>
      <c r="K5996" s="63" t="s">
        <v>1081</v>
      </c>
      <c r="L5996" s="63" t="s">
        <v>11938</v>
      </c>
      <c r="M5996" s="63" t="s">
        <v>11939</v>
      </c>
      <c r="N5996" s="63" t="s">
        <v>2365</v>
      </c>
    </row>
    <row r="5997" spans="1:14" x14ac:dyDescent="0.2">
      <c r="A5997" s="51">
        <v>5996</v>
      </c>
      <c r="B5997" s="54" t="s">
        <v>1081</v>
      </c>
      <c r="C5997" s="47" t="s">
        <v>11929</v>
      </c>
      <c r="D5997" s="47" t="s">
        <v>8980</v>
      </c>
      <c r="E5997" s="47" t="s">
        <v>2365</v>
      </c>
      <c r="F5997" s="55" t="b">
        <v>1</v>
      </c>
      <c r="G5997" s="54" t="b">
        <v>1</v>
      </c>
      <c r="H5997" s="54" t="b">
        <v>1</v>
      </c>
      <c r="I5997" s="54" t="b">
        <v>1</v>
      </c>
      <c r="J5997" s="54" t="b">
        <v>1</v>
      </c>
      <c r="K5997" s="63" t="s">
        <v>1081</v>
      </c>
      <c r="L5997" s="63" t="s">
        <v>11929</v>
      </c>
      <c r="M5997" s="63" t="s">
        <v>8980</v>
      </c>
      <c r="N5997" s="63" t="s">
        <v>2365</v>
      </c>
    </row>
    <row r="5998" spans="1:14" x14ac:dyDescent="0.2">
      <c r="A5998" s="51">
        <v>5997</v>
      </c>
      <c r="B5998" s="54" t="s">
        <v>1081</v>
      </c>
      <c r="C5998" s="47" t="s">
        <v>11940</v>
      </c>
      <c r="D5998" s="47" t="s">
        <v>11941</v>
      </c>
      <c r="E5998" s="47" t="s">
        <v>2365</v>
      </c>
      <c r="F5998" s="55" t="b">
        <v>1</v>
      </c>
      <c r="G5998" s="54" t="b">
        <v>1</v>
      </c>
      <c r="H5998" s="54" t="b">
        <v>1</v>
      </c>
      <c r="I5998" s="54" t="b">
        <v>1</v>
      </c>
      <c r="J5998" s="54" t="b">
        <v>1</v>
      </c>
      <c r="K5998" s="63" t="s">
        <v>1081</v>
      </c>
      <c r="L5998" s="63" t="s">
        <v>11940</v>
      </c>
      <c r="M5998" s="63" t="s">
        <v>11941</v>
      </c>
      <c r="N5998" s="63" t="s">
        <v>2365</v>
      </c>
    </row>
    <row r="5999" spans="1:14" x14ac:dyDescent="0.2">
      <c r="A5999" s="51">
        <v>5998</v>
      </c>
      <c r="B5999" s="54" t="s">
        <v>1081</v>
      </c>
      <c r="C5999" s="47" t="s">
        <v>11942</v>
      </c>
      <c r="D5999" s="47" t="s">
        <v>13947</v>
      </c>
      <c r="E5999" s="47" t="s">
        <v>2365</v>
      </c>
      <c r="F5999" s="55" t="b">
        <v>1</v>
      </c>
      <c r="G5999" s="54" t="b">
        <v>1</v>
      </c>
      <c r="H5999" s="54" t="b">
        <v>1</v>
      </c>
      <c r="I5999" s="65" t="b">
        <v>0</v>
      </c>
      <c r="J5999" s="54" t="b">
        <v>1</v>
      </c>
      <c r="K5999" s="63" t="s">
        <v>1081</v>
      </c>
      <c r="L5999" s="63" t="s">
        <v>11942</v>
      </c>
      <c r="M5999" s="63" t="s">
        <v>11943</v>
      </c>
      <c r="N5999" s="63" t="s">
        <v>2365</v>
      </c>
    </row>
    <row r="6000" spans="1:14" x14ac:dyDescent="0.2">
      <c r="A6000" s="51">
        <v>5999</v>
      </c>
      <c r="B6000" s="54" t="s">
        <v>1081</v>
      </c>
      <c r="C6000" s="47" t="s">
        <v>11930</v>
      </c>
      <c r="D6000" s="47" t="s">
        <v>11931</v>
      </c>
      <c r="E6000" s="47" t="s">
        <v>2365</v>
      </c>
      <c r="F6000" s="55" t="b">
        <v>1</v>
      </c>
      <c r="G6000" s="54" t="b">
        <v>1</v>
      </c>
      <c r="H6000" s="54" t="b">
        <v>1</v>
      </c>
      <c r="I6000" s="54" t="b">
        <v>1</v>
      </c>
      <c r="J6000" s="54" t="b">
        <v>1</v>
      </c>
      <c r="K6000" s="63" t="s">
        <v>1081</v>
      </c>
      <c r="L6000" s="63" t="s">
        <v>11930</v>
      </c>
      <c r="M6000" s="63" t="s">
        <v>11931</v>
      </c>
      <c r="N6000" s="63" t="s">
        <v>2365</v>
      </c>
    </row>
    <row r="6001" spans="1:14" x14ac:dyDescent="0.2">
      <c r="A6001" s="51">
        <v>6000</v>
      </c>
      <c r="B6001" s="54" t="s">
        <v>1081</v>
      </c>
      <c r="C6001" s="47" t="s">
        <v>11932</v>
      </c>
      <c r="D6001" s="47" t="s">
        <v>11933</v>
      </c>
      <c r="E6001" s="47" t="s">
        <v>2365</v>
      </c>
      <c r="F6001" s="55" t="b">
        <v>1</v>
      </c>
      <c r="G6001" s="54" t="b">
        <v>1</v>
      </c>
      <c r="H6001" s="54" t="b">
        <v>1</v>
      </c>
      <c r="I6001" s="54" t="b">
        <v>1</v>
      </c>
      <c r="J6001" s="54" t="b">
        <v>1</v>
      </c>
      <c r="K6001" s="63" t="s">
        <v>1081</v>
      </c>
      <c r="L6001" s="63" t="s">
        <v>11932</v>
      </c>
      <c r="M6001" s="63" t="s">
        <v>11933</v>
      </c>
      <c r="N6001" s="63" t="s">
        <v>2365</v>
      </c>
    </row>
    <row r="6002" spans="1:14" x14ac:dyDescent="0.2">
      <c r="A6002" s="51">
        <v>6001</v>
      </c>
      <c r="B6002" s="54" t="s">
        <v>1081</v>
      </c>
      <c r="C6002" s="47" t="s">
        <v>11944</v>
      </c>
      <c r="D6002" s="47" t="s">
        <v>11945</v>
      </c>
      <c r="E6002" s="47" t="s">
        <v>2365</v>
      </c>
      <c r="F6002" s="55" t="b">
        <v>1</v>
      </c>
      <c r="G6002" s="54" t="b">
        <v>1</v>
      </c>
      <c r="H6002" s="54" t="b">
        <v>1</v>
      </c>
      <c r="I6002" s="54" t="b">
        <v>1</v>
      </c>
      <c r="J6002" s="54" t="b">
        <v>1</v>
      </c>
      <c r="K6002" s="63" t="s">
        <v>1081</v>
      </c>
      <c r="L6002" s="63" t="s">
        <v>11944</v>
      </c>
      <c r="M6002" s="63" t="s">
        <v>11945</v>
      </c>
      <c r="N6002" s="63" t="s">
        <v>2365</v>
      </c>
    </row>
    <row r="6003" spans="1:14" x14ac:dyDescent="0.2">
      <c r="A6003" s="51">
        <v>6002</v>
      </c>
      <c r="B6003" s="54" t="s">
        <v>1081</v>
      </c>
      <c r="C6003" s="47" t="s">
        <v>11952</v>
      </c>
      <c r="D6003" s="47" t="s">
        <v>13943</v>
      </c>
      <c r="E6003" s="47" t="s">
        <v>2365</v>
      </c>
      <c r="F6003" s="55" t="b">
        <v>1</v>
      </c>
      <c r="G6003" s="54" t="b">
        <v>1</v>
      </c>
      <c r="H6003" s="54" t="b">
        <v>1</v>
      </c>
      <c r="I6003" s="65" t="b">
        <v>0</v>
      </c>
      <c r="J6003" s="65" t="b">
        <v>0</v>
      </c>
      <c r="K6003" s="63" t="s">
        <v>1081</v>
      </c>
      <c r="L6003" s="63" t="s">
        <v>11952</v>
      </c>
      <c r="M6003" s="63" t="s">
        <v>11953</v>
      </c>
      <c r="N6003" s="63" t="s">
        <v>2164</v>
      </c>
    </row>
    <row r="6004" spans="1:14" x14ac:dyDescent="0.2">
      <c r="A6004" s="51">
        <v>6003</v>
      </c>
      <c r="B6004" s="54" t="s">
        <v>1081</v>
      </c>
      <c r="C6004" s="47" t="s">
        <v>11954</v>
      </c>
      <c r="D6004" s="47" t="s">
        <v>13948</v>
      </c>
      <c r="E6004" s="47" t="s">
        <v>2365</v>
      </c>
      <c r="F6004" s="55" t="b">
        <v>1</v>
      </c>
      <c r="G6004" s="54" t="b">
        <v>1</v>
      </c>
      <c r="H6004" s="54" t="b">
        <v>1</v>
      </c>
      <c r="I6004" s="65" t="b">
        <v>0</v>
      </c>
      <c r="J6004" s="54" t="b">
        <v>1</v>
      </c>
      <c r="K6004" s="63" t="s">
        <v>1081</v>
      </c>
      <c r="L6004" s="63" t="s">
        <v>11954</v>
      </c>
      <c r="M6004" s="63" t="s">
        <v>11955</v>
      </c>
      <c r="N6004" s="63" t="s">
        <v>2365</v>
      </c>
    </row>
    <row r="6005" spans="1:14" x14ac:dyDescent="0.2">
      <c r="A6005" s="51">
        <v>6004</v>
      </c>
      <c r="B6005" s="54" t="s">
        <v>1081</v>
      </c>
      <c r="C6005" s="47" t="s">
        <v>11946</v>
      </c>
      <c r="D6005" s="47" t="s">
        <v>11947</v>
      </c>
      <c r="E6005" s="47" t="s">
        <v>2365</v>
      </c>
      <c r="F6005" s="55" t="b">
        <v>1</v>
      </c>
      <c r="G6005" s="54" t="b">
        <v>1</v>
      </c>
      <c r="H6005" s="54" t="b">
        <v>1</v>
      </c>
      <c r="I6005" s="54" t="b">
        <v>1</v>
      </c>
      <c r="J6005" s="54" t="b">
        <v>1</v>
      </c>
      <c r="K6005" s="63" t="s">
        <v>1081</v>
      </c>
      <c r="L6005" s="63" t="s">
        <v>11946</v>
      </c>
      <c r="M6005" s="63" t="s">
        <v>11947</v>
      </c>
      <c r="N6005" s="63" t="s">
        <v>2365</v>
      </c>
    </row>
    <row r="6006" spans="1:14" x14ac:dyDescent="0.2">
      <c r="A6006" s="51">
        <v>6005</v>
      </c>
      <c r="B6006" s="54" t="s">
        <v>1081</v>
      </c>
      <c r="C6006" s="47" t="s">
        <v>11950</v>
      </c>
      <c r="D6006" s="47" t="s">
        <v>13949</v>
      </c>
      <c r="E6006" s="47" t="s">
        <v>2365</v>
      </c>
      <c r="F6006" s="55" t="b">
        <v>1</v>
      </c>
      <c r="G6006" s="54" t="b">
        <v>1</v>
      </c>
      <c r="H6006" s="54" t="b">
        <v>1</v>
      </c>
      <c r="I6006" s="65" t="b">
        <v>0</v>
      </c>
      <c r="J6006" s="54" t="b">
        <v>1</v>
      </c>
      <c r="K6006" s="63" t="s">
        <v>1081</v>
      </c>
      <c r="L6006" s="63" t="s">
        <v>11950</v>
      </c>
      <c r="M6006" s="63" t="s">
        <v>11951</v>
      </c>
      <c r="N6006" s="63" t="s">
        <v>2365</v>
      </c>
    </row>
    <row r="6007" spans="1:14" x14ac:dyDescent="0.2">
      <c r="A6007" s="51">
        <v>6006</v>
      </c>
      <c r="B6007" s="54" t="s">
        <v>1081</v>
      </c>
      <c r="C6007" s="47" t="s">
        <v>13945</v>
      </c>
      <c r="D6007" s="47" t="s">
        <v>13946</v>
      </c>
      <c r="E6007" s="47" t="s">
        <v>2365</v>
      </c>
      <c r="F6007" s="55" t="b">
        <v>1</v>
      </c>
      <c r="G6007" s="65" t="b">
        <v>0</v>
      </c>
      <c r="H6007" s="65" t="b">
        <v>0</v>
      </c>
      <c r="I6007" s="65" t="b">
        <v>0</v>
      </c>
      <c r="J6007" s="65" t="b">
        <v>0</v>
      </c>
    </row>
    <row r="6008" spans="1:14" x14ac:dyDescent="0.2">
      <c r="A6008" s="51">
        <v>6007</v>
      </c>
      <c r="B6008" s="54" t="s">
        <v>1081</v>
      </c>
      <c r="C6008" s="47" t="s">
        <v>11948</v>
      </c>
      <c r="D6008" s="47" t="s">
        <v>13950</v>
      </c>
      <c r="E6008" s="47" t="s">
        <v>2365</v>
      </c>
      <c r="F6008" s="55" t="b">
        <v>1</v>
      </c>
      <c r="G6008" s="54" t="b">
        <v>1</v>
      </c>
      <c r="H6008" s="54" t="b">
        <v>1</v>
      </c>
      <c r="I6008" s="65" t="b">
        <v>0</v>
      </c>
      <c r="J6008" s="54" t="b">
        <v>1</v>
      </c>
      <c r="K6008" s="63" t="s">
        <v>1081</v>
      </c>
      <c r="L6008" s="63" t="s">
        <v>11948</v>
      </c>
      <c r="M6008" s="63" t="s">
        <v>11949</v>
      </c>
      <c r="N6008" s="63" t="s">
        <v>2365</v>
      </c>
    </row>
    <row r="6009" spans="1:14" x14ac:dyDescent="0.2">
      <c r="A6009" s="51">
        <v>6008</v>
      </c>
      <c r="B6009" s="54" t="s">
        <v>1083</v>
      </c>
      <c r="C6009" s="47" t="s">
        <v>11972</v>
      </c>
      <c r="D6009" s="47" t="s">
        <v>4197</v>
      </c>
      <c r="E6009" s="47" t="s">
        <v>1719</v>
      </c>
      <c r="F6009" s="55" t="b">
        <v>1</v>
      </c>
      <c r="G6009" s="54" t="b">
        <v>1</v>
      </c>
      <c r="H6009" s="54" t="b">
        <v>1</v>
      </c>
      <c r="I6009" s="54" t="b">
        <v>1</v>
      </c>
      <c r="J6009" s="54" t="b">
        <v>1</v>
      </c>
      <c r="K6009" s="63" t="s">
        <v>1083</v>
      </c>
      <c r="L6009" s="63" t="s">
        <v>11972</v>
      </c>
      <c r="M6009" s="63" t="s">
        <v>4197</v>
      </c>
      <c r="N6009" s="63" t="s">
        <v>1719</v>
      </c>
    </row>
    <row r="6010" spans="1:14" x14ac:dyDescent="0.2">
      <c r="A6010" s="51">
        <v>6009</v>
      </c>
      <c r="B6010" s="54" t="s">
        <v>1083</v>
      </c>
      <c r="C6010" s="47" t="s">
        <v>11960</v>
      </c>
      <c r="D6010" s="47" t="s">
        <v>2720</v>
      </c>
      <c r="E6010" s="47" t="s">
        <v>1719</v>
      </c>
      <c r="F6010" s="55" t="b">
        <v>1</v>
      </c>
      <c r="G6010" s="54" t="b">
        <v>1</v>
      </c>
      <c r="H6010" s="54" t="b">
        <v>1</v>
      </c>
      <c r="I6010" s="54" t="b">
        <v>1</v>
      </c>
      <c r="J6010" s="54" t="b">
        <v>1</v>
      </c>
      <c r="K6010" s="63" t="s">
        <v>1083</v>
      </c>
      <c r="L6010" s="63" t="s">
        <v>11960</v>
      </c>
      <c r="M6010" s="63" t="s">
        <v>2720</v>
      </c>
      <c r="N6010" s="63" t="s">
        <v>1719</v>
      </c>
    </row>
    <row r="6011" spans="1:14" x14ac:dyDescent="0.2">
      <c r="A6011" s="51">
        <v>6010</v>
      </c>
      <c r="B6011" s="54" t="s">
        <v>1083</v>
      </c>
      <c r="C6011" s="47" t="s">
        <v>11963</v>
      </c>
      <c r="D6011" s="47" t="s">
        <v>4191</v>
      </c>
      <c r="E6011" s="47" t="s">
        <v>1719</v>
      </c>
      <c r="F6011" s="55" t="b">
        <v>1</v>
      </c>
      <c r="G6011" s="54" t="b">
        <v>1</v>
      </c>
      <c r="H6011" s="54" t="b">
        <v>1</v>
      </c>
      <c r="I6011" s="54" t="b">
        <v>1</v>
      </c>
      <c r="J6011" s="54" t="b">
        <v>1</v>
      </c>
      <c r="K6011" s="63" t="s">
        <v>1083</v>
      </c>
      <c r="L6011" s="63" t="s">
        <v>11963</v>
      </c>
      <c r="M6011" s="63" t="s">
        <v>4191</v>
      </c>
      <c r="N6011" s="63" t="s">
        <v>1719</v>
      </c>
    </row>
    <row r="6012" spans="1:14" x14ac:dyDescent="0.2">
      <c r="A6012" s="51">
        <v>6011</v>
      </c>
      <c r="B6012" s="54" t="s">
        <v>1083</v>
      </c>
      <c r="C6012" s="47" t="s">
        <v>11964</v>
      </c>
      <c r="D6012" s="47" t="s">
        <v>11965</v>
      </c>
      <c r="E6012" s="47" t="s">
        <v>1719</v>
      </c>
      <c r="F6012" s="55" t="b">
        <v>1</v>
      </c>
      <c r="G6012" s="54" t="b">
        <v>1</v>
      </c>
      <c r="H6012" s="54" t="b">
        <v>1</v>
      </c>
      <c r="I6012" s="54" t="b">
        <v>1</v>
      </c>
      <c r="J6012" s="54" t="b">
        <v>1</v>
      </c>
      <c r="K6012" s="63" t="s">
        <v>1083</v>
      </c>
      <c r="L6012" s="63" t="s">
        <v>11964</v>
      </c>
      <c r="M6012" s="63" t="s">
        <v>11965</v>
      </c>
      <c r="N6012" s="63" t="s">
        <v>1719</v>
      </c>
    </row>
    <row r="6013" spans="1:14" x14ac:dyDescent="0.2">
      <c r="A6013" s="51">
        <v>6012</v>
      </c>
      <c r="B6013" s="54" t="s">
        <v>1083</v>
      </c>
      <c r="C6013" s="47" t="s">
        <v>11970</v>
      </c>
      <c r="D6013" s="47" t="s">
        <v>4193</v>
      </c>
      <c r="E6013" s="47" t="s">
        <v>1719</v>
      </c>
      <c r="F6013" s="55" t="b">
        <v>1</v>
      </c>
      <c r="G6013" s="54" t="b">
        <v>1</v>
      </c>
      <c r="H6013" s="54" t="b">
        <v>1</v>
      </c>
      <c r="I6013" s="54" t="b">
        <v>1</v>
      </c>
      <c r="J6013" s="54" t="b">
        <v>1</v>
      </c>
      <c r="K6013" s="63" t="s">
        <v>1083</v>
      </c>
      <c r="L6013" s="63" t="s">
        <v>11970</v>
      </c>
      <c r="M6013" s="63" t="s">
        <v>4193</v>
      </c>
      <c r="N6013" s="63" t="s">
        <v>1719</v>
      </c>
    </row>
    <row r="6014" spans="1:14" x14ac:dyDescent="0.2">
      <c r="A6014" s="51">
        <v>6013</v>
      </c>
      <c r="B6014" s="54" t="s">
        <v>1083</v>
      </c>
      <c r="C6014" s="47" t="s">
        <v>11968</v>
      </c>
      <c r="D6014" s="47" t="s">
        <v>11969</v>
      </c>
      <c r="E6014" s="47" t="s">
        <v>1719</v>
      </c>
      <c r="F6014" s="55" t="b">
        <v>1</v>
      </c>
      <c r="G6014" s="54" t="b">
        <v>1</v>
      </c>
      <c r="H6014" s="54" t="b">
        <v>1</v>
      </c>
      <c r="I6014" s="54" t="b">
        <v>1</v>
      </c>
      <c r="J6014" s="54" t="b">
        <v>1</v>
      </c>
      <c r="K6014" s="63" t="s">
        <v>1083</v>
      </c>
      <c r="L6014" s="63" t="s">
        <v>11968</v>
      </c>
      <c r="M6014" s="63" t="s">
        <v>11969</v>
      </c>
      <c r="N6014" s="63" t="s">
        <v>1719</v>
      </c>
    </row>
    <row r="6015" spans="1:14" x14ac:dyDescent="0.2">
      <c r="A6015" s="51">
        <v>6014</v>
      </c>
      <c r="B6015" s="54" t="s">
        <v>1083</v>
      </c>
      <c r="C6015" s="47" t="s">
        <v>11971</v>
      </c>
      <c r="D6015" s="47" t="s">
        <v>2736</v>
      </c>
      <c r="E6015" s="47" t="s">
        <v>1719</v>
      </c>
      <c r="F6015" s="55" t="b">
        <v>1</v>
      </c>
      <c r="G6015" s="54" t="b">
        <v>1</v>
      </c>
      <c r="H6015" s="54" t="b">
        <v>1</v>
      </c>
      <c r="I6015" s="54" t="b">
        <v>1</v>
      </c>
      <c r="J6015" s="54" t="b">
        <v>1</v>
      </c>
      <c r="K6015" s="63" t="s">
        <v>1083</v>
      </c>
      <c r="L6015" s="63" t="s">
        <v>11971</v>
      </c>
      <c r="M6015" s="63" t="s">
        <v>2736</v>
      </c>
      <c r="N6015" s="63" t="s">
        <v>1719</v>
      </c>
    </row>
    <row r="6016" spans="1:14" x14ac:dyDescent="0.2">
      <c r="A6016" s="51">
        <v>6015</v>
      </c>
      <c r="B6016" s="54" t="s">
        <v>1083</v>
      </c>
      <c r="C6016" s="47" t="s">
        <v>11961</v>
      </c>
      <c r="D6016" s="47" t="s">
        <v>11962</v>
      </c>
      <c r="E6016" s="47" t="s">
        <v>1719</v>
      </c>
      <c r="F6016" s="55" t="b">
        <v>1</v>
      </c>
      <c r="G6016" s="54" t="b">
        <v>1</v>
      </c>
      <c r="H6016" s="54" t="b">
        <v>1</v>
      </c>
      <c r="I6016" s="54" t="b">
        <v>1</v>
      </c>
      <c r="J6016" s="54" t="b">
        <v>1</v>
      </c>
      <c r="K6016" s="63" t="s">
        <v>1083</v>
      </c>
      <c r="L6016" s="63" t="s">
        <v>11961</v>
      </c>
      <c r="M6016" s="63" t="s">
        <v>11962</v>
      </c>
      <c r="N6016" s="63" t="s">
        <v>1719</v>
      </c>
    </row>
    <row r="6017" spans="1:14" x14ac:dyDescent="0.2">
      <c r="A6017" s="51">
        <v>6016</v>
      </c>
      <c r="B6017" s="54" t="s">
        <v>1083</v>
      </c>
      <c r="C6017" s="47" t="s">
        <v>11966</v>
      </c>
      <c r="D6017" s="47" t="s">
        <v>11967</v>
      </c>
      <c r="E6017" s="47" t="s">
        <v>1719</v>
      </c>
      <c r="F6017" s="55" t="b">
        <v>1</v>
      </c>
      <c r="G6017" s="54" t="b">
        <v>1</v>
      </c>
      <c r="H6017" s="54" t="b">
        <v>1</v>
      </c>
      <c r="I6017" s="54" t="b">
        <v>1</v>
      </c>
      <c r="J6017" s="54" t="b">
        <v>1</v>
      </c>
      <c r="K6017" s="63" t="s">
        <v>1083</v>
      </c>
      <c r="L6017" s="63" t="s">
        <v>11966</v>
      </c>
      <c r="M6017" s="63" t="s">
        <v>11967</v>
      </c>
      <c r="N6017" s="63" t="s">
        <v>1719</v>
      </c>
    </row>
    <row r="6018" spans="1:14" x14ac:dyDescent="0.2">
      <c r="A6018" s="51">
        <v>6017</v>
      </c>
      <c r="B6018" s="54" t="s">
        <v>1083</v>
      </c>
      <c r="C6018" s="47" t="s">
        <v>13951</v>
      </c>
      <c r="D6018" s="47" t="s">
        <v>13952</v>
      </c>
      <c r="E6018" s="47" t="s">
        <v>1719</v>
      </c>
      <c r="F6018" s="55" t="b">
        <v>1</v>
      </c>
      <c r="G6018" s="65" t="b">
        <v>0</v>
      </c>
      <c r="H6018" s="65" t="b">
        <v>0</v>
      </c>
      <c r="I6018" s="65" t="b">
        <v>0</v>
      </c>
      <c r="J6018" s="65" t="b">
        <v>0</v>
      </c>
    </row>
    <row r="6019" spans="1:14" x14ac:dyDescent="0.2">
      <c r="A6019" s="51">
        <v>6018</v>
      </c>
      <c r="B6019" s="54" t="s">
        <v>1085</v>
      </c>
      <c r="C6019" s="47" t="s">
        <v>11973</v>
      </c>
      <c r="D6019" s="47" t="s">
        <v>11974</v>
      </c>
      <c r="E6019" s="47" t="s">
        <v>1719</v>
      </c>
      <c r="F6019" s="55" t="b">
        <v>1</v>
      </c>
      <c r="G6019" s="54" t="b">
        <v>1</v>
      </c>
      <c r="H6019" s="54" t="b">
        <v>1</v>
      </c>
      <c r="I6019" s="54" t="b">
        <v>1</v>
      </c>
      <c r="J6019" s="54" t="b">
        <v>1</v>
      </c>
      <c r="K6019" s="63" t="s">
        <v>1085</v>
      </c>
      <c r="L6019" s="63" t="s">
        <v>11973</v>
      </c>
      <c r="M6019" s="63" t="s">
        <v>11974</v>
      </c>
      <c r="N6019" s="63" t="s">
        <v>1719</v>
      </c>
    </row>
    <row r="6020" spans="1:14" x14ac:dyDescent="0.2">
      <c r="A6020" s="51">
        <v>6019</v>
      </c>
      <c r="B6020" s="54" t="s">
        <v>1085</v>
      </c>
      <c r="C6020" s="47" t="s">
        <v>11975</v>
      </c>
      <c r="D6020" s="47" t="s">
        <v>11976</v>
      </c>
      <c r="E6020" s="47" t="s">
        <v>1719</v>
      </c>
      <c r="F6020" s="55" t="b">
        <v>1</v>
      </c>
      <c r="G6020" s="54" t="b">
        <v>1</v>
      </c>
      <c r="H6020" s="54" t="b">
        <v>1</v>
      </c>
      <c r="I6020" s="54" t="b">
        <v>1</v>
      </c>
      <c r="J6020" s="54" t="b">
        <v>1</v>
      </c>
      <c r="K6020" s="63" t="s">
        <v>1085</v>
      </c>
      <c r="L6020" s="63" t="s">
        <v>11975</v>
      </c>
      <c r="M6020" s="63" t="s">
        <v>11976</v>
      </c>
      <c r="N6020" s="63" t="s">
        <v>1719</v>
      </c>
    </row>
    <row r="6021" spans="1:14" x14ac:dyDescent="0.2">
      <c r="A6021" s="51">
        <v>6020</v>
      </c>
      <c r="B6021" s="54" t="s">
        <v>1085</v>
      </c>
      <c r="C6021" s="47" t="s">
        <v>11977</v>
      </c>
      <c r="D6021" s="47" t="s">
        <v>11978</v>
      </c>
      <c r="E6021" s="47" t="s">
        <v>1719</v>
      </c>
      <c r="F6021" s="55" t="b">
        <v>1</v>
      </c>
      <c r="G6021" s="54" t="b">
        <v>1</v>
      </c>
      <c r="H6021" s="54" t="b">
        <v>1</v>
      </c>
      <c r="I6021" s="54" t="b">
        <v>1</v>
      </c>
      <c r="J6021" s="54" t="b">
        <v>1</v>
      </c>
      <c r="K6021" s="63" t="s">
        <v>1085</v>
      </c>
      <c r="L6021" s="63" t="s">
        <v>11977</v>
      </c>
      <c r="M6021" s="63" t="s">
        <v>11978</v>
      </c>
      <c r="N6021" s="63" t="s">
        <v>1719</v>
      </c>
    </row>
    <row r="6022" spans="1:14" x14ac:dyDescent="0.2">
      <c r="A6022" s="51">
        <v>6021</v>
      </c>
      <c r="B6022" s="54" t="s">
        <v>1085</v>
      </c>
      <c r="C6022" s="47" t="s">
        <v>11979</v>
      </c>
      <c r="D6022" s="47" t="s">
        <v>11980</v>
      </c>
      <c r="E6022" s="47" t="s">
        <v>1719</v>
      </c>
      <c r="F6022" s="55" t="b">
        <v>1</v>
      </c>
      <c r="G6022" s="54" t="b">
        <v>1</v>
      </c>
      <c r="H6022" s="54" t="b">
        <v>1</v>
      </c>
      <c r="I6022" s="54" t="b">
        <v>1</v>
      </c>
      <c r="J6022" s="54" t="b">
        <v>1</v>
      </c>
      <c r="K6022" s="63" t="s">
        <v>1085</v>
      </c>
      <c r="L6022" s="63" t="s">
        <v>11979</v>
      </c>
      <c r="M6022" s="63" t="s">
        <v>11980</v>
      </c>
      <c r="N6022" s="63" t="s">
        <v>1719</v>
      </c>
    </row>
    <row r="6023" spans="1:14" x14ac:dyDescent="0.2">
      <c r="A6023" s="51">
        <v>6022</v>
      </c>
      <c r="B6023" s="54" t="s">
        <v>1085</v>
      </c>
      <c r="C6023" s="47" t="s">
        <v>11981</v>
      </c>
      <c r="D6023" s="47" t="s">
        <v>11982</v>
      </c>
      <c r="E6023" s="47" t="s">
        <v>1719</v>
      </c>
      <c r="F6023" s="55" t="b">
        <v>1</v>
      </c>
      <c r="G6023" s="54" t="b">
        <v>1</v>
      </c>
      <c r="H6023" s="54" t="b">
        <v>1</v>
      </c>
      <c r="I6023" s="54" t="b">
        <v>1</v>
      </c>
      <c r="J6023" s="54" t="b">
        <v>1</v>
      </c>
      <c r="K6023" s="63" t="s">
        <v>1085</v>
      </c>
      <c r="L6023" s="63" t="s">
        <v>11981</v>
      </c>
      <c r="M6023" s="63" t="s">
        <v>11982</v>
      </c>
      <c r="N6023" s="63" t="s">
        <v>1719</v>
      </c>
    </row>
    <row r="6024" spans="1:14" x14ac:dyDescent="0.2">
      <c r="A6024" s="51">
        <v>6023</v>
      </c>
      <c r="B6024" s="54" t="s">
        <v>1085</v>
      </c>
      <c r="C6024" s="47" t="s">
        <v>11991</v>
      </c>
      <c r="D6024" s="47" t="s">
        <v>11992</v>
      </c>
      <c r="E6024" s="47" t="s">
        <v>1719</v>
      </c>
      <c r="F6024" s="55" t="b">
        <v>1</v>
      </c>
      <c r="G6024" s="54" t="b">
        <v>1</v>
      </c>
      <c r="H6024" s="54" t="b">
        <v>1</v>
      </c>
      <c r="I6024" s="54" t="b">
        <v>1</v>
      </c>
      <c r="J6024" s="54" t="b">
        <v>1</v>
      </c>
      <c r="K6024" s="63" t="s">
        <v>1085</v>
      </c>
      <c r="L6024" s="63" t="s">
        <v>11991</v>
      </c>
      <c r="M6024" s="63" t="s">
        <v>11992</v>
      </c>
      <c r="N6024" s="63" t="s">
        <v>1719</v>
      </c>
    </row>
    <row r="6025" spans="1:14" x14ac:dyDescent="0.2">
      <c r="A6025" s="51">
        <v>6024</v>
      </c>
      <c r="B6025" s="54" t="s">
        <v>1085</v>
      </c>
      <c r="C6025" s="47" t="s">
        <v>11987</v>
      </c>
      <c r="D6025" s="47" t="s">
        <v>11988</v>
      </c>
      <c r="E6025" s="47" t="s">
        <v>1719</v>
      </c>
      <c r="F6025" s="55" t="b">
        <v>1</v>
      </c>
      <c r="G6025" s="54" t="b">
        <v>1</v>
      </c>
      <c r="H6025" s="54" t="b">
        <v>1</v>
      </c>
      <c r="I6025" s="54" t="b">
        <v>1</v>
      </c>
      <c r="J6025" s="54" t="b">
        <v>1</v>
      </c>
      <c r="K6025" s="63" t="s">
        <v>1085</v>
      </c>
      <c r="L6025" s="63" t="s">
        <v>11987</v>
      </c>
      <c r="M6025" s="63" t="s">
        <v>11988</v>
      </c>
      <c r="N6025" s="63" t="s">
        <v>1719</v>
      </c>
    </row>
    <row r="6026" spans="1:14" x14ac:dyDescent="0.2">
      <c r="A6026" s="51">
        <v>6025</v>
      </c>
      <c r="B6026" s="54" t="s">
        <v>1085</v>
      </c>
      <c r="C6026" s="47" t="s">
        <v>11989</v>
      </c>
      <c r="D6026" s="47" t="s">
        <v>11990</v>
      </c>
      <c r="E6026" s="47" t="s">
        <v>1719</v>
      </c>
      <c r="F6026" s="55" t="b">
        <v>1</v>
      </c>
      <c r="G6026" s="54" t="b">
        <v>1</v>
      </c>
      <c r="H6026" s="54" t="b">
        <v>1</v>
      </c>
      <c r="I6026" s="54" t="b">
        <v>1</v>
      </c>
      <c r="J6026" s="54" t="b">
        <v>1</v>
      </c>
      <c r="K6026" s="63" t="s">
        <v>1085</v>
      </c>
      <c r="L6026" s="63" t="s">
        <v>11989</v>
      </c>
      <c r="M6026" s="63" t="s">
        <v>11990</v>
      </c>
      <c r="N6026" s="63" t="s">
        <v>1719</v>
      </c>
    </row>
    <row r="6027" spans="1:14" x14ac:dyDescent="0.2">
      <c r="A6027" s="51">
        <v>6026</v>
      </c>
      <c r="B6027" s="54" t="s">
        <v>1085</v>
      </c>
      <c r="C6027" s="47" t="s">
        <v>11985</v>
      </c>
      <c r="D6027" s="47" t="s">
        <v>11986</v>
      </c>
      <c r="E6027" s="47" t="s">
        <v>1719</v>
      </c>
      <c r="F6027" s="55" t="b">
        <v>1</v>
      </c>
      <c r="G6027" s="54" t="b">
        <v>1</v>
      </c>
      <c r="H6027" s="54" t="b">
        <v>1</v>
      </c>
      <c r="I6027" s="54" t="b">
        <v>1</v>
      </c>
      <c r="J6027" s="54" t="b">
        <v>1</v>
      </c>
      <c r="K6027" s="63" t="s">
        <v>1085</v>
      </c>
      <c r="L6027" s="63" t="s">
        <v>11985</v>
      </c>
      <c r="M6027" s="63" t="s">
        <v>11986</v>
      </c>
      <c r="N6027" s="63" t="s">
        <v>1719</v>
      </c>
    </row>
    <row r="6028" spans="1:14" x14ac:dyDescent="0.2">
      <c r="A6028" s="51">
        <v>6027</v>
      </c>
      <c r="B6028" s="54" t="s">
        <v>1085</v>
      </c>
      <c r="C6028" s="47" t="s">
        <v>11983</v>
      </c>
      <c r="D6028" s="47" t="s">
        <v>11984</v>
      </c>
      <c r="E6028" s="47" t="s">
        <v>1719</v>
      </c>
      <c r="F6028" s="55" t="b">
        <v>1</v>
      </c>
      <c r="G6028" s="54" t="b">
        <v>1</v>
      </c>
      <c r="H6028" s="54" t="b">
        <v>1</v>
      </c>
      <c r="I6028" s="54" t="b">
        <v>1</v>
      </c>
      <c r="J6028" s="54" t="b">
        <v>1</v>
      </c>
      <c r="K6028" s="63" t="s">
        <v>1085</v>
      </c>
      <c r="L6028" s="63" t="s">
        <v>11983</v>
      </c>
      <c r="M6028" s="63" t="s">
        <v>11984</v>
      </c>
      <c r="N6028" s="63" t="s">
        <v>1719</v>
      </c>
    </row>
  </sheetData>
  <autoFilter ref="A2:N6025">
    <sortState ref="A2:N6027">
      <sortCondition ref="A1:A6024"/>
    </sortState>
  </autoFilter>
  <mergeCells count="3">
    <mergeCell ref="G1:J1"/>
    <mergeCell ref="K1:N1"/>
    <mergeCell ref="B1:F1"/>
  </mergeCells>
  <conditionalFormatting sqref="L5092:L1048576 L1067:L5076 L2:L1065">
    <cfRule type="duplicateValues" dxfId="1" priority="2"/>
  </conditionalFormatting>
  <conditionalFormatting sqref="L5077:L5091">
    <cfRule type="duplicateValues" dxfId="0" priority="6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About</vt:lpstr>
      <vt:lpstr>NCIt GENC data</vt:lpstr>
      <vt:lpstr>ISO-3166</vt:lpstr>
      <vt:lpstr>Country Comparison</vt:lpstr>
      <vt:lpstr>Original GENC AS</vt:lpstr>
      <vt:lpstr>ISO 3166-2 NCImeta</vt:lpstr>
      <vt:lpstr>AS Comparison</vt:lpstr>
      <vt:lpstr>'Country Comparison'!v2.CountryCodes</vt:lpstr>
      <vt:lpstr>'ISO-3166'!v2.CountryCodes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NCI EVS</dc:creator>
  <cp:lastModifiedBy>NCI EVS Theresa Quinn </cp:lastModifiedBy>
  <dcterms:created xsi:type="dcterms:W3CDTF">2015-08-06T19:54:04Z</dcterms:created>
  <dcterms:modified xsi:type="dcterms:W3CDTF">2016-05-03T14:52:36Z</dcterms:modified>
</cp:coreProperties>
</file>